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92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88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90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Compras" sheetId="2" r:id="rId6"/>
    <sheet state="visible" name="Notas" sheetId="3" r:id="rId7"/>
    <sheet state="visible" name="Notas de Compras" sheetId="4" r:id="rId8"/>
    <sheet state="visible" name="Itens de Compras" sheetId="5" r:id="rId9"/>
    <sheet state="visible" name="JULHO 2025" sheetId="6" r:id="rId10"/>
    <sheet state="visible" name="AGOSTO 2025" sheetId="7" r:id="rId11"/>
    <sheet state="visible" name="SETEMBRO 2025" sheetId="8" r:id="rId12"/>
    <sheet state="visible" name="OUTUBRO 2025" sheetId="9" r:id="rId13"/>
    <sheet state="visible" name="NOVEMBRO 2025" sheetId="10" r:id="rId14"/>
    <sheet state="visible" name="DEZEMBRO 2025" sheetId="11" r:id="rId15"/>
    <sheet state="visible" name="JANEIRO 2026" sheetId="12" r:id="rId16"/>
    <sheet state="visible" name="FEVEREIRO 2026" sheetId="13" r:id="rId17"/>
    <sheet state="visible" name="MARÇO 2026" sheetId="14" r:id="rId18"/>
    <sheet state="visible" name="ABRIL 2026" sheetId="15" r:id="rId19"/>
    <sheet state="visible" name="MAIO 2026" sheetId="16" r:id="rId20"/>
    <sheet state="visible" name="JUNHO 2026" sheetId="17" r:id="rId21"/>
  </sheets>
  <definedNames/>
  <calcPr/>
</workbook>
</file>

<file path=xl/sharedStrings.xml><?xml version="1.0" encoding="utf-8"?>
<sst xmlns="http://schemas.openxmlformats.org/spreadsheetml/2006/main" count="32211" uniqueCount="8616">
  <si>
    <t>Identificação</t>
  </si>
  <si>
    <t>Data</t>
  </si>
  <si>
    <t>Entrada/Saída</t>
  </si>
  <si>
    <t xml:space="preserve">Valor </t>
  </si>
  <si>
    <t>ID</t>
  </si>
  <si>
    <t>Branco</t>
  </si>
  <si>
    <t>Descrição</t>
  </si>
  <si>
    <t>Preço</t>
  </si>
  <si>
    <t>Loja</t>
  </si>
  <si>
    <t>Branco 2</t>
  </si>
  <si>
    <t>Data Compra</t>
  </si>
  <si>
    <t>Fornecedor</t>
  </si>
  <si>
    <t>Nota</t>
  </si>
  <si>
    <t>Inconsistência</t>
  </si>
  <si>
    <t>Tipo</t>
  </si>
  <si>
    <t>Produto 1</t>
  </si>
  <si>
    <t>Nome</t>
  </si>
  <si>
    <t>Funcionário</t>
  </si>
  <si>
    <t>Quantidade 1</t>
  </si>
  <si>
    <t>Sangria Entrada</t>
  </si>
  <si>
    <t>Foto</t>
  </si>
  <si>
    <t>Valor 1</t>
  </si>
  <si>
    <t>Concluido</t>
  </si>
  <si>
    <t>Pago CX</t>
  </si>
  <si>
    <t>Valor Soma  1</t>
  </si>
  <si>
    <t>Usuário</t>
  </si>
  <si>
    <t>Movimentação</t>
  </si>
  <si>
    <t>Data Movimentação</t>
  </si>
  <si>
    <t>Produto 2</t>
  </si>
  <si>
    <t>Quantidade 2</t>
  </si>
  <si>
    <t>Foto 1</t>
  </si>
  <si>
    <t>Conta Corrente</t>
  </si>
  <si>
    <t>Valor 2</t>
  </si>
  <si>
    <t>Selecionado</t>
  </si>
  <si>
    <t>Foto 2</t>
  </si>
  <si>
    <t>Atualizar</t>
  </si>
  <si>
    <t>Valor Soma 2</t>
  </si>
  <si>
    <t>Foto 3</t>
  </si>
  <si>
    <t>Justificado</t>
  </si>
  <si>
    <t>Justificativa</t>
  </si>
  <si>
    <t>Produto 3</t>
  </si>
  <si>
    <t>Valor</t>
  </si>
  <si>
    <t>Quantidade 3</t>
  </si>
  <si>
    <t>Valor 3</t>
  </si>
  <si>
    <t>Valor Soma 3</t>
  </si>
  <si>
    <t>Reembolso</t>
  </si>
  <si>
    <t>Produto 4</t>
  </si>
  <si>
    <t>Desconto</t>
  </si>
  <si>
    <t>Quantidade 4</t>
  </si>
  <si>
    <t>c9d43a77</t>
  </si>
  <si>
    <t>Saída</t>
  </si>
  <si>
    <t>Valor 4</t>
  </si>
  <si>
    <t>Valor Soma 4</t>
  </si>
  <si>
    <t>R$ 4,86</t>
  </si>
  <si>
    <t>9b48c602</t>
  </si>
  <si>
    <t>Produto 5</t>
  </si>
  <si>
    <t>Quantidade 5</t>
  </si>
  <si>
    <t>Saida Outros: Consumo Ana</t>
  </si>
  <si>
    <t>6ddc4671</t>
  </si>
  <si>
    <t>147344c6</t>
  </si>
  <si>
    <t>Suco prats (14/07/2025) - Suco prats</t>
  </si>
  <si>
    <t>Valor 5</t>
  </si>
  <si>
    <t>ab652b29</t>
  </si>
  <si>
    <t>Notas_Images/c9d43a77.Foto.004608.jpg</t>
  </si>
  <si>
    <t>Valor Soma 5</t>
  </si>
  <si>
    <t>Suco prats</t>
  </si>
  <si>
    <t>Produto 6</t>
  </si>
  <si>
    <t>26/06/2026 (Consumo) - Ana Carolina - R$ 4,86</t>
  </si>
  <si>
    <t>Quantidade 6</t>
  </si>
  <si>
    <t>tbacuritibanos@gmail.com</t>
  </si>
  <si>
    <t>Valor 6</t>
  </si>
  <si>
    <t>R$ 10,99</t>
  </si>
  <si>
    <t>87d8fd04</t>
  </si>
  <si>
    <t>Valor Soma 6</t>
  </si>
  <si>
    <t>Saida Outros: Consumo Sabrina</t>
  </si>
  <si>
    <t>Produto 7</t>
  </si>
  <si>
    <t>Quantidade 7</t>
  </si>
  <si>
    <t>5572a475</t>
  </si>
  <si>
    <t>200438b9</t>
  </si>
  <si>
    <t>Queluz mercado (15/07/2025) - Compra de banana</t>
  </si>
  <si>
    <t>Valor 7</t>
  </si>
  <si>
    <t>Notas_Images/87d8fd04.Foto.003549.jpg</t>
  </si>
  <si>
    <t>Compra de banana</t>
  </si>
  <si>
    <t>Valor Soma 7</t>
  </si>
  <si>
    <t>26/06/2026 (Consumo) - Sabrina - R$ 10,99</t>
  </si>
  <si>
    <t>Produto 8</t>
  </si>
  <si>
    <t>Quantidade 8</t>
  </si>
  <si>
    <t>Valor 8</t>
  </si>
  <si>
    <t>1da04c77</t>
  </si>
  <si>
    <t>Valor Soma 8</t>
  </si>
  <si>
    <t>Produto 9</t>
  </si>
  <si>
    <t>R$ 11,77</t>
  </si>
  <si>
    <t>Quantidade 9</t>
  </si>
  <si>
    <t>6d1b6cdf</t>
  </si>
  <si>
    <t>Saida Outros: consumo sabrina</t>
  </si>
  <si>
    <t>Valor 9</t>
  </si>
  <si>
    <t>Papelaria (16/07/2025) - Compra de luvas</t>
  </si>
  <si>
    <t>Valor Soma 9</t>
  </si>
  <si>
    <t>Notas_Images/1da04c77.Foto.165706.jpg</t>
  </si>
  <si>
    <t>Produto 10</t>
  </si>
  <si>
    <t>Compra de luvas</t>
  </si>
  <si>
    <t>Quantidade 10</t>
  </si>
  <si>
    <t>26/06/2026 (Consumo) - Sabrina - R$ 11,77</t>
  </si>
  <si>
    <t>Valor 10</t>
  </si>
  <si>
    <t>Valor Soma 10</t>
  </si>
  <si>
    <t>b46162b7</t>
  </si>
  <si>
    <t>R$ 6,26</t>
  </si>
  <si>
    <t>Produto 11</t>
  </si>
  <si>
    <t>Quantidade 11</t>
  </si>
  <si>
    <t>3263610d</t>
  </si>
  <si>
    <t>Valor 11</t>
  </si>
  <si>
    <t>Morangos de vacaria (16/07/2025) - Morangos</t>
  </si>
  <si>
    <t>Valor Soma 11</t>
  </si>
  <si>
    <t>Notas_Images/b46162b7.Foto.201854.jpg</t>
  </si>
  <si>
    <t>Produto 12</t>
  </si>
  <si>
    <t>Morangos</t>
  </si>
  <si>
    <t>27/06/2026 (Consumo) - Sabrina - R$ 6,26</t>
  </si>
  <si>
    <t>Quantidade 12</t>
  </si>
  <si>
    <t>Valor 12</t>
  </si>
  <si>
    <t>Valor Soma 12</t>
  </si>
  <si>
    <t>R$ 12,80</t>
  </si>
  <si>
    <t>Produto 13</t>
  </si>
  <si>
    <t>Saida Outros: consumo ana</t>
  </si>
  <si>
    <t>Quantidade 13</t>
  </si>
  <si>
    <t>Valor 13</t>
  </si>
  <si>
    <t>Valor Soma 13</t>
  </si>
  <si>
    <t>Produto 14</t>
  </si>
  <si>
    <t>27/06/2026 (Consumo) - Ana Carolina - R$ 12,80</t>
  </si>
  <si>
    <t>Quantidade 14</t>
  </si>
  <si>
    <t>Valor 14</t>
  </si>
  <si>
    <t>Valor Soma 14</t>
  </si>
  <si>
    <t>R$ 4,35</t>
  </si>
  <si>
    <t>Produto 15</t>
  </si>
  <si>
    <t>Saida Outros: compra de pão</t>
  </si>
  <si>
    <t>6b4c46fc</t>
  </si>
  <si>
    <t>Quantidade 15</t>
  </si>
  <si>
    <t>b944522f</t>
  </si>
  <si>
    <t>540d8d78</t>
  </si>
  <si>
    <t>Valor 15</t>
  </si>
  <si>
    <t>Mercado VIA (15/07/2025) - Compras de frutas e produtos de limpeza</t>
  </si>
  <si>
    <t>Notas_Images/6b4c46fc.Foto.202113.jpg</t>
  </si>
  <si>
    <t>Valor Soma 15</t>
  </si>
  <si>
    <t>28/06/2026 (Compra de Mercadorias) -  - R$ 4,35</t>
  </si>
  <si>
    <t>Compras de frutas e produtos de limpeza</t>
  </si>
  <si>
    <t>Valor Total</t>
  </si>
  <si>
    <t>c441dfd9</t>
  </si>
  <si>
    <t>R$ 3,00</t>
  </si>
  <si>
    <t>Valor Nota</t>
  </si>
  <si>
    <t>00011da5</t>
  </si>
  <si>
    <t>Saida Outros: consumo jaara</t>
  </si>
  <si>
    <t>Bebidas (16/07/2025) - Pagamento de bebidas</t>
  </si>
  <si>
    <t>Notas_Images/c441dfd9.Foto.202234.jpg</t>
  </si>
  <si>
    <t>a3cb820d</t>
  </si>
  <si>
    <t>Pagamento de bebidas</t>
  </si>
  <si>
    <t>28/06/2026 (Consumo) - Jaara - R$ 3,00</t>
  </si>
  <si>
    <t>226ac942</t>
  </si>
  <si>
    <t>0d63e77a</t>
  </si>
  <si>
    <t>R$ 5,00</t>
  </si>
  <si>
    <t>Amadelli (10/07/2025) - Compra de bonés</t>
  </si>
  <si>
    <t>Notas_Images/226ac942.Foto.211911.jpg</t>
  </si>
  <si>
    <t>Compra de bonés</t>
  </si>
  <si>
    <t>eaa4252f</t>
  </si>
  <si>
    <t>28/06/2026 (Consumo) - Sabrina - R$ 5,00</t>
  </si>
  <si>
    <t>Mercado VIA (18/07/2025) - Compras de mercado</t>
  </si>
  <si>
    <t>Notas_Images/eaa4252f.Foto.235602.jpg</t>
  </si>
  <si>
    <t>Compras de mercado</t>
  </si>
  <si>
    <t>R$ 26,33</t>
  </si>
  <si>
    <t>d7ce6e1f</t>
  </si>
  <si>
    <t>f18d05cc</t>
  </si>
  <si>
    <t>28/06/2026 (Consumo) - Sabrina - R$ 26,33</t>
  </si>
  <si>
    <t>Distribuidora de embalagens de ctb (18/07/2025) - Compras distribuidora de guardanapo de delivery</t>
  </si>
  <si>
    <t>1572963</t>
  </si>
  <si>
    <t>Notas_Images/d7ce6e1f.Foto.000115.jpg</t>
  </si>
  <si>
    <t>Compras distribuidora de guardanapo de delivery</t>
  </si>
  <si>
    <t>ed1aba62</t>
  </si>
  <si>
    <t>862a5349</t>
  </si>
  <si>
    <t>Casa Fagundes embalagens (18/07/2025) - Compra de granulado</t>
  </si>
  <si>
    <t>Notas_Images/ed1aba62.Foto.003051.jpg</t>
  </si>
  <si>
    <t>Compra de granulado</t>
  </si>
  <si>
    <t>R$ 9,71</t>
  </si>
  <si>
    <t>icm.jairo@gmail.com</t>
  </si>
  <si>
    <t>8a3e29f5</t>
  </si>
  <si>
    <t>c03c70e0</t>
  </si>
  <si>
    <t>29/06/2026 (Consumo) - Sabrina - R$ 9,71</t>
  </si>
  <si>
    <t>Queluz supermercados (19/07/2025) - Compra de frutas e lanches</t>
  </si>
  <si>
    <t>Notas_Images/8a3e29f5.Foto.003927.jpg</t>
  </si>
  <si>
    <t>Compra de frutas e lanches</t>
  </si>
  <si>
    <t>1574188</t>
  </si>
  <si>
    <t>R$ 15,59</t>
  </si>
  <si>
    <t>20201ef7</t>
  </si>
  <si>
    <t>b7672b6f</t>
  </si>
  <si>
    <t>alinedcdalmeida@gmail.com</t>
  </si>
  <si>
    <t>29/06/2026 (Consumo) - Ana Carolina - R$ 15,59</t>
  </si>
  <si>
    <t>Copiadora taliana (18/07/2025) - Impressos</t>
  </si>
  <si>
    <t>R$ 250,00</t>
  </si>
  <si>
    <t>Notas_Images/20201ef7.Foto.004145.jpg</t>
  </si>
  <si>
    <t>Impressos</t>
  </si>
  <si>
    <t>1575164</t>
  </si>
  <si>
    <t>Saida Outros: dinheiro pego do caixa para compras do mercado que será feito amanhã</t>
  </si>
  <si>
    <t>b6c3ad43</t>
  </si>
  <si>
    <t>9082c974</t>
  </si>
  <si>
    <t>Queluz supermercados (20/07/2025) - Compras de lanche e uva</t>
  </si>
  <si>
    <t>29/06/2026 (Caixa Pagamento) -  - R$ 250,00</t>
  </si>
  <si>
    <t>Notas_Images/b6c3ad43.Foto.000734.jpg</t>
  </si>
  <si>
    <t>Compras de lanche e uva</t>
  </si>
  <si>
    <t>R$ 10,00</t>
  </si>
  <si>
    <t>c246611c</t>
  </si>
  <si>
    <t>1575610</t>
  </si>
  <si>
    <t>Queluz mercado (20/07/2025) - Compra de banana</t>
  </si>
  <si>
    <t>Notas_Images/c246611c.Foto.001240.jpg</t>
  </si>
  <si>
    <t>29/06/2026 (Consumo) - Sabrina - R$ 10,00</t>
  </si>
  <si>
    <t>ed63a051</t>
  </si>
  <si>
    <t>b3569c13</t>
  </si>
  <si>
    <t>R$ 49,82</t>
  </si>
  <si>
    <t>Souza matérias elétricos e instalações (22/07/2025) - Compras de cabo de Internet</t>
  </si>
  <si>
    <t>Notas_Images/ed63a051.Foto.004242.jpg</t>
  </si>
  <si>
    <t>Compras de cabo de Internet</t>
  </si>
  <si>
    <t>30/06/2026 (Consumo) - Ana Carolina - R$ 49,82</t>
  </si>
  <si>
    <t>fd0f3ff8</t>
  </si>
  <si>
    <t>1575617</t>
  </si>
  <si>
    <t>9568de02</t>
  </si>
  <si>
    <t>R$ 12,91</t>
  </si>
  <si>
    <t>Passarela Center via atacadista (21/07/2025) - Compras de uva, banana, manga</t>
  </si>
  <si>
    <t>Notas_Images/fd0f3ff8.Foto.004417.jpg</t>
  </si>
  <si>
    <t>Compras de uva, banana, manga</t>
  </si>
  <si>
    <t>30/06/2026 (Consumo) - Sabrina - R$ 12,91</t>
  </si>
  <si>
    <t>b4b123e7</t>
  </si>
  <si>
    <t>Entrada</t>
  </si>
  <si>
    <t>R$ 92,80</t>
  </si>
  <si>
    <t>Entrada Outros: troco do dinheiro que foi pego ontem do caixa, para compras do mercado feitas hoje</t>
  </si>
  <si>
    <t>0abd4fb3</t>
  </si>
  <si>
    <t>Passarela Center via atacadista (22/07/2025) - Compras de kiwi</t>
  </si>
  <si>
    <t>Notas_Images/b4b123e7.Foto.004608.jpg</t>
  </si>
  <si>
    <t>30/06/2026 (Caixa Troco) -  - R$ 92,80</t>
  </si>
  <si>
    <t>Compras de kiwi</t>
  </si>
  <si>
    <t>1575225</t>
  </si>
  <si>
    <t>R$ 30,00</t>
  </si>
  <si>
    <t>5c2899dc</t>
  </si>
  <si>
    <t>Saida Outros: pagamento do uber autorizado pela dona joice</t>
  </si>
  <si>
    <t>Copiadora taliana (21/07/2025) - Compras de impressão colorida</t>
  </si>
  <si>
    <t>Notas_Images/5c2899dc.Foto.004731.jpg</t>
  </si>
  <si>
    <t>30/06/2026 (Compra de Mercadorias) -  - R$ 30,00</t>
  </si>
  <si>
    <t>Compras de impressão colorida</t>
  </si>
  <si>
    <t>não foi pego recibo</t>
  </si>
  <si>
    <t>264a8353</t>
  </si>
  <si>
    <t>c90dbb7e</t>
  </si>
  <si>
    <t>R$ 4,00</t>
  </si>
  <si>
    <t>Loja 7 Curitibanos (23/07/2025) - Compras de caixas organizadoras</t>
  </si>
  <si>
    <t>Notas_Images/264a8353.Foto.163157.jpg</t>
  </si>
  <si>
    <t>Compras de caixas organizadoras</t>
  </si>
  <si>
    <t>60d4bad0</t>
  </si>
  <si>
    <t>30/06/2026 (Consumo) - Sabrina - R$ 4,00</t>
  </si>
  <si>
    <t>Amadelli (22/07/2025) - Carga seca</t>
  </si>
  <si>
    <t>Notas_Images/60d4bad0.Foto.213606.jpg</t>
  </si>
  <si>
    <t>Carga seca</t>
  </si>
  <si>
    <t>1579049</t>
  </si>
  <si>
    <t>Notas_Images/60d4bad0.Foto 1.213606.jpg</t>
  </si>
  <si>
    <t>Notas_Images/60d4bad0.Foto 2.213606.jpg</t>
  </si>
  <si>
    <t>e13fbfad</t>
  </si>
  <si>
    <t>b568bd90</t>
  </si>
  <si>
    <t>Casa Fagundes embalagens (25/07/2025) - Compras de frascos de produtos de limpeza</t>
  </si>
  <si>
    <t>Notas_Images/e13fbfad.Foto.000503.jpg</t>
  </si>
  <si>
    <t>Compras de frascos de produtos de limpeza</t>
  </si>
  <si>
    <t>74b6e132</t>
  </si>
  <si>
    <t>95be2f76</t>
  </si>
  <si>
    <t>1579068</t>
  </si>
  <si>
    <t>Passarela Center via atacadista (25/07/2025) - Compra de frutas</t>
  </si>
  <si>
    <t>Notas_Images/95be2f76.Foto.000612.jpg</t>
  </si>
  <si>
    <t>Compra de frutas</t>
  </si>
  <si>
    <t>01/07/2026 (Consumo) - Ana Carolina - R$ 4,00</t>
  </si>
  <si>
    <t>28c403d4</t>
  </si>
  <si>
    <t>Queluz mercado (26/07/2025) - Compras de lanche para intervalo</t>
  </si>
  <si>
    <t>Notas_Images/28c403d4.Foto.005949.jpg</t>
  </si>
  <si>
    <t>1579125</t>
  </si>
  <si>
    <t>Compras de lanche para intervalo</t>
  </si>
  <si>
    <t>6d3f6cd5</t>
  </si>
  <si>
    <t>01/07/2026 (Consumo) - Ana Carolina - R$ 5,00</t>
  </si>
  <si>
    <t>Queluz mercado (27/07/2025) - Lanche e fruta para loja</t>
  </si>
  <si>
    <t>Notas_Images/6d3f6cd5.Foto.225801.jpg</t>
  </si>
  <si>
    <t>Lanche e fruta para loja</t>
  </si>
  <si>
    <t>R$ 245,00</t>
  </si>
  <si>
    <t>Saida Outros: 7 kg de morango vacaria</t>
  </si>
  <si>
    <t>d82ca67c</t>
  </si>
  <si>
    <t>1580883</t>
  </si>
  <si>
    <t>Queluz supermercados (27/07/2025) - Frutas pra loja</t>
  </si>
  <si>
    <t>Notas_Images/d82ca67c.Foto.225942.jpg</t>
  </si>
  <si>
    <t>be61ba6e</t>
  </si>
  <si>
    <t>Frutas pra loja</t>
  </si>
  <si>
    <t>01/07/2026 (Compra de Mercadorias) -  - R$ 245,00</t>
  </si>
  <si>
    <t>da9efcfb</t>
  </si>
  <si>
    <t>R$ 17,25</t>
  </si>
  <si>
    <t>Amadelli (24/07/2025) - Carga gelada</t>
  </si>
  <si>
    <t>Notas_Images/da9efcfb.Foto.204437.jpg</t>
  </si>
  <si>
    <t>Carga gelada</t>
  </si>
  <si>
    <t>Notas_Images/da9efcfb.Foto 1.204437.jpg</t>
  </si>
  <si>
    <t>1580893</t>
  </si>
  <si>
    <t>Notas_Images/da9efcfb.Foto 2.204437.jpg</t>
  </si>
  <si>
    <t>d096ee79</t>
  </si>
  <si>
    <t>01/07/2026 (Consumo) - Jaara - R$ 17,25</t>
  </si>
  <si>
    <t>Queluz mercado (30/07/2025) - Esponja para louça e suco de abacaxis</t>
  </si>
  <si>
    <t>Notas_Images/d096ee79.Foto.175025.jpg</t>
  </si>
  <si>
    <t>Esponja para louça e suco de abacaxis</t>
  </si>
  <si>
    <t>R$ 12,78</t>
  </si>
  <si>
    <t>516a3ca2</t>
  </si>
  <si>
    <t>1582980</t>
  </si>
  <si>
    <t>Passarela Center via atacadista (31/07/2025) - Compra de frutas</t>
  </si>
  <si>
    <t>Notas_Images/516a3ca2.Foto.000219.jpg</t>
  </si>
  <si>
    <t>01/07/2026 (Consumo) - Sabrina - R$ 12,78</t>
  </si>
  <si>
    <t>3e1047ae</t>
  </si>
  <si>
    <t>Queluz supermercados (02/08/2025) - Frutas para loja</t>
  </si>
  <si>
    <t>Notas_Images/3e1047ae.Foto.004144.jpg</t>
  </si>
  <si>
    <t>R$ 159,60</t>
  </si>
  <si>
    <t>Frutas para loja</t>
  </si>
  <si>
    <t>1583020</t>
  </si>
  <si>
    <t>Saida Outros: saida do caixa referente a pagamento de bebidas</t>
  </si>
  <si>
    <t>6b0dbeca</t>
  </si>
  <si>
    <t>15d59f9d</t>
  </si>
  <si>
    <t>02/07/2026 (Compra de Mercadorias) -  - R$ 159,60</t>
  </si>
  <si>
    <t>Passarela Center via atacadista (02/08/2025) - Frutas e lanche da tarde</t>
  </si>
  <si>
    <t>Notas_Images/6b0dbeca.Foto.004256.jpg</t>
  </si>
  <si>
    <t>Frutas e lanche da tarde</t>
  </si>
  <si>
    <t>R$ 6,01</t>
  </si>
  <si>
    <t>1586680</t>
  </si>
  <si>
    <t>5e0278d5</t>
  </si>
  <si>
    <t>4dc555bc</t>
  </si>
  <si>
    <t>SC COPIAS (04/08/2025) - Impressões para loja</t>
  </si>
  <si>
    <t>Notas_Images/5e0278d5.Foto.162728.jpg</t>
  </si>
  <si>
    <t>02/07/2026 (Consumo) - Ana Carolina - R$ 6,01</t>
  </si>
  <si>
    <t>Impressões para loja</t>
  </si>
  <si>
    <t>R$ 200,00</t>
  </si>
  <si>
    <t>50f597c8</t>
  </si>
  <si>
    <t>1586688</t>
  </si>
  <si>
    <t>Entrada Outros: saida do armario para entrada no caixa troco / compra de itens para loja</t>
  </si>
  <si>
    <t>SC COPIAS (04/08/2025) - Placa para loja de ABERTO e FECHADO</t>
  </si>
  <si>
    <t>Notas_Images/50f597c8.Foto.162852.jpg</t>
  </si>
  <si>
    <t>02/07/2026 (Caixa Troco) -  - R$ 200,00</t>
  </si>
  <si>
    <t>Placa para loja de ABERTO e FECHADO</t>
  </si>
  <si>
    <t>91dc5a78</t>
  </si>
  <si>
    <t>1586685</t>
  </si>
  <si>
    <t>R$ 4,90</t>
  </si>
  <si>
    <t>SC COPIAS (05/08/2025) - Impressões para loja</t>
  </si>
  <si>
    <t>Notas_Images/91dc5a78.Foto.194644.jpg</t>
  </si>
  <si>
    <t>1586682</t>
  </si>
  <si>
    <t>02/07/2026 (Consumo) - Sabrina - R$ 4,90</t>
  </si>
  <si>
    <t>2ff98752</t>
  </si>
  <si>
    <t>8cac5900</t>
  </si>
  <si>
    <t>Comércio de variedades (04/08/2025) - Pilhas para controle</t>
  </si>
  <si>
    <t>R$ 75,50</t>
  </si>
  <si>
    <t>Notas_Images/2ff98752.Foto.194959.jpg</t>
  </si>
  <si>
    <t>Pilhas para controle</t>
  </si>
  <si>
    <t>Saida Outros: compra de copias para loja 02/07</t>
  </si>
  <si>
    <t>6c9ad39c</t>
  </si>
  <si>
    <t>1587260</t>
  </si>
  <si>
    <t>02/07/2026 (Compra de Moedas) -  - R$ 75,50</t>
  </si>
  <si>
    <t>c55d4843</t>
  </si>
  <si>
    <t>d093fd0b</t>
  </si>
  <si>
    <t>R$ 66,90</t>
  </si>
  <si>
    <t>Saida Outros: compra de produtos para loja 02/07</t>
  </si>
  <si>
    <t>JN EMBALAGENS (04/08/2025) - Luvas,  papel toalha, canudos para loja</t>
  </si>
  <si>
    <t>Notas_Images/c55d4843.Foto.195200.jpg</t>
  </si>
  <si>
    <t>Luvas,  papel toalha, canudos para loja</t>
  </si>
  <si>
    <t>6950f10d</t>
  </si>
  <si>
    <t>02/07/2026 (Compra de Mercadorias) -  - R$ 66,90</t>
  </si>
  <si>
    <t>e3b5907a</t>
  </si>
  <si>
    <t>R$ 5,99</t>
  </si>
  <si>
    <t>Amadelli (22/07/2025) - Pedido seco</t>
  </si>
  <si>
    <t>Notas_Images/e3b5907a.Foto.213844.jpg</t>
  </si>
  <si>
    <t>Saida Outros: compra de detergente para loja 02/07</t>
  </si>
  <si>
    <t>Pedido seco</t>
  </si>
  <si>
    <t>9795be70</t>
  </si>
  <si>
    <t>Notas_Images/e3b5907a.Foto 1.213844.jpg</t>
  </si>
  <si>
    <t>Notas_Images/e3b5907a.Foto 2.213844.jpg</t>
  </si>
  <si>
    <t>02/07/2026 (Compra de Mercadorias) -  - R$ 5,99</t>
  </si>
  <si>
    <t>1590967</t>
  </si>
  <si>
    <t>732c746d</t>
  </si>
  <si>
    <t>e4d1bbb3</t>
  </si>
  <si>
    <t>FO-BRAN BEBIDAS (06/08/2025) - Bebidas para loja</t>
  </si>
  <si>
    <t>Notas_Images/732c746d.Foto.183401.jpg</t>
  </si>
  <si>
    <t>Bebidas para loja</t>
  </si>
  <si>
    <t>03/07/2026 (Consumo) - Jaara - R$ 3,00</t>
  </si>
  <si>
    <t>ab103dc3</t>
  </si>
  <si>
    <t>1590969</t>
  </si>
  <si>
    <t>R$ 12,90</t>
  </si>
  <si>
    <t>Amadelli (04/08/2025) - Carga seca</t>
  </si>
  <si>
    <t>Notas_Images/ab103dc3.Foto.185413.jpg</t>
  </si>
  <si>
    <t>Notas_Images/ab103dc3.Foto 1.185413.jpg</t>
  </si>
  <si>
    <t>Notas_Images/ab103dc3.Foto 2.185413.jpg</t>
  </si>
  <si>
    <t>03/07/2026 (Consumo) - Sabrina - R$ 12,90</t>
  </si>
  <si>
    <t>Notas_Images/ab103dc3.Foto 3.185420.jpg</t>
  </si>
  <si>
    <t>19d62683</t>
  </si>
  <si>
    <t>1593017</t>
  </si>
  <si>
    <t>R$ 11,89</t>
  </si>
  <si>
    <t>b1d140cc</t>
  </si>
  <si>
    <t>Loja mão certa (06/08/2025) - Compra de sifão sanfonafo</t>
  </si>
  <si>
    <t>Notas_Images/19d62683.Foto.235947.jpg</t>
  </si>
  <si>
    <t>Compra de sifão sanfonafo</t>
  </si>
  <si>
    <t>b3b104fe</t>
  </si>
  <si>
    <t>08b1c190</t>
  </si>
  <si>
    <t>04/07/2026 (Consumo) - Sabrina - R$ 11,89</t>
  </si>
  <si>
    <t>Copiadora taliana (05/08/2025) - Compra de impressões</t>
  </si>
  <si>
    <t>Notas_Images/08b1c190.Foto.000109.jpg</t>
  </si>
  <si>
    <t>Compra de impressões</t>
  </si>
  <si>
    <t>1594710</t>
  </si>
  <si>
    <t>8819726c</t>
  </si>
  <si>
    <t>9e462a3e</t>
  </si>
  <si>
    <t>R$ 8,05</t>
  </si>
  <si>
    <t>Copiadora taliana (06/08/2025) - Compra de impressões</t>
  </si>
  <si>
    <t>Notas_Images/9e462a3e.Foto.000223.jpg</t>
  </si>
  <si>
    <t>04/07/2026 (Consumo) - Ana Carolina - R$ 8,05</t>
  </si>
  <si>
    <t>3f701b14</t>
  </si>
  <si>
    <t>Passarela Center via atacadista (03/08/2025) - Compra de uva e lanche para funcionários</t>
  </si>
  <si>
    <t>R$ 3,72</t>
  </si>
  <si>
    <t>Notas_Images/3f701b14.Foto.000328.jpg</t>
  </si>
  <si>
    <t>Compra de uva e lanche para funcionários</t>
  </si>
  <si>
    <t>Saida Outros: compra de pão 04/07</t>
  </si>
  <si>
    <t>1594718</t>
  </si>
  <si>
    <t>4fbe503c</t>
  </si>
  <si>
    <t>04/07/2026 (Compra de Mercadorias) -  - R$ 3,72</t>
  </si>
  <si>
    <t>bf4663aa</t>
  </si>
  <si>
    <t>R$ 318,10</t>
  </si>
  <si>
    <t>Saida Outros: compra de mercado 03/07</t>
  </si>
  <si>
    <t>Celesc Curitibanos (10/09/2025) - Conta de luz</t>
  </si>
  <si>
    <t>Notas_Images/4fbe503c.Foto.210948.jpg</t>
  </si>
  <si>
    <t>Conta de luz</t>
  </si>
  <si>
    <t>0d7aaf74</t>
  </si>
  <si>
    <t>05/07/2026 (Compra de Mercadorias) -  - R$ 318,10</t>
  </si>
  <si>
    <t>0010fbf7</t>
  </si>
  <si>
    <t>R$ 15,00</t>
  </si>
  <si>
    <t>Passarela Center via atacadista (07/08/2025) - Compras de frutas</t>
  </si>
  <si>
    <t>Notas_Images/0010fbf7.Foto.224910.jpg</t>
  </si>
  <si>
    <t>Saida Outros: impressão do aniversario da loja</t>
  </si>
  <si>
    <t>Compras de frutas</t>
  </si>
  <si>
    <t>1598530</t>
  </si>
  <si>
    <t>05/07/2026 (Compra de Mercadorias) -  - R$ 15,00</t>
  </si>
  <si>
    <t>6a5e53f1</t>
  </si>
  <si>
    <t>5dd45f0a</t>
  </si>
  <si>
    <t>Myata supermercado (08/08/2025) - Cola universal pegamil para loja</t>
  </si>
  <si>
    <t>Notas_Images/6a5e53f1.Foto.182603.jpg</t>
  </si>
  <si>
    <t>R$ 7,54</t>
  </si>
  <si>
    <t>Cola universal pegamil para loja</t>
  </si>
  <si>
    <t>121a338d</t>
  </si>
  <si>
    <t>9861fafd</t>
  </si>
  <si>
    <t>Santa Clara pros limpeza (07/08/2025) - Produtos de limpeza para loja</t>
  </si>
  <si>
    <t>07/07/2026 (Consumo) - Ana Carolina - R$ 7,54</t>
  </si>
  <si>
    <t>Notas_Images/121a338d.Foto.183841.jpg</t>
  </si>
  <si>
    <t>Produtos de limpeza para loja</t>
  </si>
  <si>
    <t>1600641</t>
  </si>
  <si>
    <t>9378d669</t>
  </si>
  <si>
    <t>Souza matérias elétricos e instalações (08/08/2025) - Protetor de tomada para loja</t>
  </si>
  <si>
    <t>Notas_Images/9378d669.Foto.203932.jpg</t>
  </si>
  <si>
    <t>07/07/2026 (Consumo) - Jaara - R$ 7,54</t>
  </si>
  <si>
    <t>Protetor de tomada para loja</t>
  </si>
  <si>
    <t>R$ 13,29</t>
  </si>
  <si>
    <t>e239f40f</t>
  </si>
  <si>
    <t>1604489</t>
  </si>
  <si>
    <t>Passarela Center via atacadista (09/08/2025) - Lanche para funcionários da loja</t>
  </si>
  <si>
    <t>Notas_Images/e239f40f.Foto.164051.jpg</t>
  </si>
  <si>
    <t>Lanche para funcionários da loja</t>
  </si>
  <si>
    <t>07/07/2026 (Consumo) - Jaara - R$ 13,29</t>
  </si>
  <si>
    <t>42cbed17</t>
  </si>
  <si>
    <t>R$ 21,90</t>
  </si>
  <si>
    <t>045bd74c</t>
  </si>
  <si>
    <t>1604492</t>
  </si>
  <si>
    <t>Thipograf (11/08/2025) - Adesivos do buffet e sorvetes, para loja</t>
  </si>
  <si>
    <t>Notas_Images/42cbed17.Foto.183755.jpg</t>
  </si>
  <si>
    <t>Saida Outros: compra de suporte acrilico para folha A4</t>
  </si>
  <si>
    <t>Adesivos do buffet e sorvetes, para loja</t>
  </si>
  <si>
    <t>2260144</t>
  </si>
  <si>
    <t>24dc1add</t>
  </si>
  <si>
    <t>07/07/2026 (Compra de Mercadorias) -  - R$ 21,90</t>
  </si>
  <si>
    <t>dc250339</t>
  </si>
  <si>
    <t>Franciosi (11/08/2025) - Compra de banana</t>
  </si>
  <si>
    <t>Notas_Images/24dc1add.Foto.185601.jpg</t>
  </si>
  <si>
    <t>R$ 56,79</t>
  </si>
  <si>
    <t>Saida Outros: compra de acrilico para folha A4 (compra feita pelo mercado livre)</t>
  </si>
  <si>
    <t>1609039</t>
  </si>
  <si>
    <t>03de5cd2</t>
  </si>
  <si>
    <t>2260147</t>
  </si>
  <si>
    <t>ff952347</t>
  </si>
  <si>
    <t>Mercado livre (07/08/2025) - Compra de placa acrilica para folha A4 mercado livre</t>
  </si>
  <si>
    <t>Notas_Images/03de5cd2.Foto.203341.jpg</t>
  </si>
  <si>
    <t>07/07/2026 (Compra de Mercadorias) -  - R$ 56,79</t>
  </si>
  <si>
    <t>Compra de placa acrilica para folha A4 mercado livre</t>
  </si>
  <si>
    <t>Notas_Images/03de5cd2.Foto 1.203341.jpg</t>
  </si>
  <si>
    <t>R$ 620,00</t>
  </si>
  <si>
    <t>Saida Outros: valor retirado do caixa para entrada no armario</t>
  </si>
  <si>
    <t>Amadelli (05/08/2025) - Pedido gelado</t>
  </si>
  <si>
    <t>Notas_Images/46791994.Foto.215527.jpg</t>
  </si>
  <si>
    <t>Pedido gelado</t>
  </si>
  <si>
    <t>1609034</t>
  </si>
  <si>
    <t>08/07/2026 (Caixa Troco) -  - R$ 620,00</t>
  </si>
  <si>
    <t>Notas_Images/46791994.Foto 1.215527.jpg</t>
  </si>
  <si>
    <t>Notas_Images/46791994.Foto 2.215527.jpg</t>
  </si>
  <si>
    <t>56a19996</t>
  </si>
  <si>
    <t>R$ 0,01</t>
  </si>
  <si>
    <t>Notas_Images/56a19996.Foto.220244.jpg</t>
  </si>
  <si>
    <t>Entrada Outros: entrada de 620 do armario de troco</t>
  </si>
  <si>
    <t>9c95d0c6</t>
  </si>
  <si>
    <t>08/07/2026 (Caixa Troco) -  - R$ 0,01</t>
  </si>
  <si>
    <t>1609331</t>
  </si>
  <si>
    <t>Passarela Center via atacadista (12/08/2025) - Compra de frutas e luvas</t>
  </si>
  <si>
    <t>Notas_Images/9c95d0c6.Foto.191534.jpg</t>
  </si>
  <si>
    <t>Compra de frutas e luvas</t>
  </si>
  <si>
    <t>309f60df</t>
  </si>
  <si>
    <t>92dee3cc</t>
  </si>
  <si>
    <t>Chaveiro (12/08/2025) - Cópia de chave</t>
  </si>
  <si>
    <t>Notas_Images/309f60df.Foto.192113.jpg</t>
  </si>
  <si>
    <t>Cópia de chave</t>
  </si>
  <si>
    <t>08/07/2026 (Consumo) - Ana Carolina - R$ 4,00</t>
  </si>
  <si>
    <t>1609333</t>
  </si>
  <si>
    <t>62c401d1</t>
  </si>
  <si>
    <t>R$ 7,16</t>
  </si>
  <si>
    <t>496abd05</t>
  </si>
  <si>
    <t>Loja 1,99 (12/08/2025) - Compra de caneta</t>
  </si>
  <si>
    <t>Notas_Images/62c401d1.Foto.192233.jpg</t>
  </si>
  <si>
    <t>Compra de caneta</t>
  </si>
  <si>
    <t>08/07/2026 (Consumo) - Sabrina - R$ 7,16</t>
  </si>
  <si>
    <t>1609338</t>
  </si>
  <si>
    <t>9aaa6d3e</t>
  </si>
  <si>
    <t>Casa Fagundes embalagens (12/08/2025) - Compra de bisnagas para Crédito e débito</t>
  </si>
  <si>
    <t>R$ 5,62</t>
  </si>
  <si>
    <t>Notas_Images/9aaa6d3e.Foto.201241.jpg</t>
  </si>
  <si>
    <t>Compra de bisnagas para Crédito e débito</t>
  </si>
  <si>
    <t>8947d9e8</t>
  </si>
  <si>
    <t>08/07/2026 (Consumo) - Ana Carolina - R$ 5,62</t>
  </si>
  <si>
    <t>Queluz supermercados (13/08/2025) - Cacho de banana para loja</t>
  </si>
  <si>
    <t>Notas_Images/8947d9e8.Foto.181500.jpg</t>
  </si>
  <si>
    <t>Cacho de banana para loja</t>
  </si>
  <si>
    <t>R$ 79,00</t>
  </si>
  <si>
    <t>Saida Outros: saco de lixo para a loja</t>
  </si>
  <si>
    <t>bb4db81b</t>
  </si>
  <si>
    <t>2261107</t>
  </si>
  <si>
    <t>51dcc693</t>
  </si>
  <si>
    <t>Big lojas (14/08/2025) - Potes e cadernos para loja</t>
  </si>
  <si>
    <t>08/07/2026 (Compra de Mercadorias) -  - R$ 79,00</t>
  </si>
  <si>
    <t>Notas_Images/bb4db81b.Foto.173030.jpg</t>
  </si>
  <si>
    <t>Potes e cadernos para loja</t>
  </si>
  <si>
    <t>R$ 42,50</t>
  </si>
  <si>
    <t>7560ce8b</t>
  </si>
  <si>
    <t>Saida Outros: saquinhos para colher e delivery</t>
  </si>
  <si>
    <t>5d2f4790</t>
  </si>
  <si>
    <t>Agcontabilidade (15/08/2025) - Conta de água</t>
  </si>
  <si>
    <t>1610407</t>
  </si>
  <si>
    <t>Notas_Images/7560ce8b.Foto.195321.jpg</t>
  </si>
  <si>
    <t>2261120</t>
  </si>
  <si>
    <t>Conta de água</t>
  </si>
  <si>
    <t>08/07/2026 (Compra de Mercadorias) -  - R$ 42,50</t>
  </si>
  <si>
    <t>5cc621e1</t>
  </si>
  <si>
    <t>R$ 70,00</t>
  </si>
  <si>
    <t>Passarela Center via atacadista (15/08/2025) - Frutas e lanches para loja</t>
  </si>
  <si>
    <t>Notas_Images/5cc621e1.Foto.225900.jpg</t>
  </si>
  <si>
    <t>Saida Outros: compra de amaradores de cabelo para cliente</t>
  </si>
  <si>
    <t>Frutas e lanches para loja</t>
  </si>
  <si>
    <t>2261123</t>
  </si>
  <si>
    <t>08/07/2026 (Compra de Mercadorias) -  - R$ 70,00</t>
  </si>
  <si>
    <t>61992faf</t>
  </si>
  <si>
    <t>9e9d0b8f</t>
  </si>
  <si>
    <t>R$ 31,80</t>
  </si>
  <si>
    <t>Mais morangos vacaria (14/08/2025) - Morangos para loja</t>
  </si>
  <si>
    <t>Saida Outros: compra de touca branca para funcionarios</t>
  </si>
  <si>
    <t>Notas_Images/61992faf.Foto.230139.jpg</t>
  </si>
  <si>
    <t>Morangos para loja</t>
  </si>
  <si>
    <t>2261126</t>
  </si>
  <si>
    <t>08/07/2026 (Compra de Mercadorias) -  - R$ 31,80</t>
  </si>
  <si>
    <t>e32a21d1</t>
  </si>
  <si>
    <t>Queluz supermercados (16/08/2025) - Lanche para funcionários da loja</t>
  </si>
  <si>
    <t>R$ 20,58</t>
  </si>
  <si>
    <t>Notas_Images/e32a21d1.Foto.230351.jpg</t>
  </si>
  <si>
    <t>Saida Outros: consumo aniversariante</t>
  </si>
  <si>
    <t>4a3a0955</t>
  </si>
  <si>
    <t>6254534f</t>
  </si>
  <si>
    <t>Queluz supermercados (17/08/2025) - Compra de lanche</t>
  </si>
  <si>
    <t>08/07/2026 (Cortesias) -  - R$ 20,58</t>
  </si>
  <si>
    <t>Notas_Images/4a3a0955.Foto.003354.jpg</t>
  </si>
  <si>
    <t>1611004</t>
  </si>
  <si>
    <t>Compra de lanche</t>
  </si>
  <si>
    <t>69d4b93f</t>
  </si>
  <si>
    <t>Saida Outros: CONSUMO ANA</t>
  </si>
  <si>
    <t>FO-BRAN BEBIDAS (19/08/2025) - Compra de bebidas (pagamento por Pix da joice)</t>
  </si>
  <si>
    <t>Notas_Images/69d4b93f.Foto.212805.jpg</t>
  </si>
  <si>
    <t>Compra de bebidas (pagamento por Pix da joice)</t>
  </si>
  <si>
    <t>3731830d</t>
  </si>
  <si>
    <t>1611000</t>
  </si>
  <si>
    <t>R$ 14,44</t>
  </si>
  <si>
    <t>Amadelli (18/08/2025) - Compra de secos</t>
  </si>
  <si>
    <t>Notas_Images/3731830d.Foto.213558.jpg</t>
  </si>
  <si>
    <t>Compra de secos</t>
  </si>
  <si>
    <t>Notas_Images/3731830d.Foto 1.213558.jpg</t>
  </si>
  <si>
    <t>a43aef49</t>
  </si>
  <si>
    <t>08/07/2026 (Consumo) - Ana Carolina - R$ 14,44</t>
  </si>
  <si>
    <t>6899972b</t>
  </si>
  <si>
    <t>MercadoLivre (14/08/2025) - Compra de gelos reutilizáveis para buffet na nota está 25,20 porém teve o frete total 36,19</t>
  </si>
  <si>
    <t>Notas_Images/a43aef49.Foto.233043.jpg</t>
  </si>
  <si>
    <t>R$ 12,67</t>
  </si>
  <si>
    <t>Compra de gelos reutilizáveis para buffet na nota está 25,20 porém teve o frete total 36,19</t>
  </si>
  <si>
    <t>1610997</t>
  </si>
  <si>
    <t>29987ee3</t>
  </si>
  <si>
    <t>Passarela Center via atacadista (19/08/2025) - Compra de uva</t>
  </si>
  <si>
    <t>Notas_Images/29987ee3.Foto.234030.jpg</t>
  </si>
  <si>
    <t>Compra de uva</t>
  </si>
  <si>
    <t>09/07/2026 (Consumo) - Sabrina - R$ 12,67</t>
  </si>
  <si>
    <t>4fc077a6</t>
  </si>
  <si>
    <t>R$ 153,00</t>
  </si>
  <si>
    <t>42cc1f1e</t>
  </si>
  <si>
    <t>Saida Outros: troca de moedas de 0,5 e 0,10 0,25 1,00</t>
  </si>
  <si>
    <t>Angelita Aparecida (18/08/2025) - Compra de borrifador</t>
  </si>
  <si>
    <t>Notas_Images/4fc077a6.Foto.234250.jpg</t>
  </si>
  <si>
    <t>Compra de borrifador</t>
  </si>
  <si>
    <t>1610996</t>
  </si>
  <si>
    <t>107612aab</t>
  </si>
  <si>
    <t>09/07/2026 (Caixa Troco) -  - R$ 153,00</t>
  </si>
  <si>
    <t>e69bbce2</t>
  </si>
  <si>
    <t>878cd857</t>
  </si>
  <si>
    <t>Copiadora taliana (18/08/2025) - Cópias/placas para loja</t>
  </si>
  <si>
    <t>Notas_Images/e69bbce2.Foto.234357.jpg</t>
  </si>
  <si>
    <t>compra 1/5</t>
  </si>
  <si>
    <t>Cópias/placas para loja</t>
  </si>
  <si>
    <t>Entrada Outros: entrada de 153,00 em moedas no armario de troco</t>
  </si>
  <si>
    <t>923065a7</t>
  </si>
  <si>
    <t>09/07/2026 (Caixa Troco) -  - R$ 0,01</t>
  </si>
  <si>
    <t>Passarela Center via atacadista (18/08/2025) - Compra de frutas e álcool</t>
  </si>
  <si>
    <t>joicealmeida74135@gmail.com</t>
  </si>
  <si>
    <t>Notas_Images/44718838.Foto.234500.jpg</t>
  </si>
  <si>
    <t>172e31c0a</t>
  </si>
  <si>
    <t>R$ 130,00</t>
  </si>
  <si>
    <t>Compra de frutas e álcool</t>
  </si>
  <si>
    <t>Saida Outros: saida para pagamento de troca de moedas 0,5 0,10 0,25</t>
  </si>
  <si>
    <t>c4e20e92</t>
  </si>
  <si>
    <t>Uva e potes</t>
  </si>
  <si>
    <t>4fd86515</t>
  </si>
  <si>
    <t>1042ec57</t>
  </si>
  <si>
    <t>10/07/2026 (Caixa Troco) -  - R$ 130,00</t>
  </si>
  <si>
    <t>Amadelli (18/08/2025) - Carga gelada</t>
  </si>
  <si>
    <t>Notas_Images/1042ec57.Foto.163048.jpg</t>
  </si>
  <si>
    <t>1612346</t>
  </si>
  <si>
    <t>Notas_Images/1042ec57.Foto 1.163048.jpg</t>
  </si>
  <si>
    <t>Entrada Outros: entrada no armario de 130,00 em moedas</t>
  </si>
  <si>
    <t>150a78dbf</t>
  </si>
  <si>
    <t>Notas_Images/1042ec57.Foto 2.163048.jpg</t>
  </si>
  <si>
    <t>Notas_Images/1042ec57.Foto 3.163052.jpg</t>
  </si>
  <si>
    <t>10/07/2026 (Caixa Troco) -  - R$ 0,01</t>
  </si>
  <si>
    <t>Ox, detergente rodo</t>
  </si>
  <si>
    <t>Amadelli (18/08/2025) - Cartazes para loja</t>
  </si>
  <si>
    <t>a347d216</t>
  </si>
  <si>
    <t>R$ 210,00</t>
  </si>
  <si>
    <t>Notas_Images/95043757.Foto.163602.jpg</t>
  </si>
  <si>
    <t>Cartazes para loja</t>
  </si>
  <si>
    <t>Saida Outros: pagamento de 6kg de morango</t>
  </si>
  <si>
    <t>Notas_Images/95043757.Foto 1.163602.jpg</t>
  </si>
  <si>
    <t>1613253</t>
  </si>
  <si>
    <t>3af19228</t>
  </si>
  <si>
    <t>4cbcfc6e</t>
  </si>
  <si>
    <t>10/07/2026 (Compra de Mercadorias) -  - R$ 210,00</t>
  </si>
  <si>
    <t>166e7e074</t>
  </si>
  <si>
    <t>Amadelli (18/08/2025) - Cartazes para loja da campanha do mês de setembro.</t>
  </si>
  <si>
    <t>Notas_Images/4cbcfc6e.Foto.163614.jpg</t>
  </si>
  <si>
    <t>R$ 95,96</t>
  </si>
  <si>
    <t>Cartazes para loja da campanha do mês de setembro.</t>
  </si>
  <si>
    <t>Banana 82,52</t>
  </si>
  <si>
    <t>Saida Outros: compra de uvas para loja</t>
  </si>
  <si>
    <t>Notas_Images/4cbcfc6e.Foto 1.163614.jpg</t>
  </si>
  <si>
    <t>c902fac7</t>
  </si>
  <si>
    <t>ffbe03b4</t>
  </si>
  <si>
    <t>c5863bb0</t>
  </si>
  <si>
    <t>1613257</t>
  </si>
  <si>
    <t>10/07/2026 (Compra de Mercadorias) -  - R$ 95,96</t>
  </si>
  <si>
    <t>5d4ea7d6</t>
  </si>
  <si>
    <t>Café com pastel. (21/08/2025) - Almoço para funcionários da loja</t>
  </si>
  <si>
    <t>Notas_Images/c5863bb0.Foto.184944.jpg</t>
  </si>
  <si>
    <t>Almoço para funcionários da loja</t>
  </si>
  <si>
    <t>R$ 9,58</t>
  </si>
  <si>
    <t>1cc665b7c</t>
  </si>
  <si>
    <t>1b2d1730</t>
  </si>
  <si>
    <t>6020a53e</t>
  </si>
  <si>
    <t>Marcos para compras</t>
  </si>
  <si>
    <t>1613564</t>
  </si>
  <si>
    <t>Queluz supermercados (21/08/2025) - Fruta para loja</t>
  </si>
  <si>
    <t>9451298e</t>
  </si>
  <si>
    <t>11/07/2026 (Consumo) - Ana Carolina - R$ 9,58</t>
  </si>
  <si>
    <t>Notas_Images/1b2d1730.Foto.185155.jpg</t>
  </si>
  <si>
    <t>Fruta para loja</t>
  </si>
  <si>
    <t>R$ 7,28</t>
  </si>
  <si>
    <t>fa6ac638</t>
  </si>
  <si>
    <t>c7fe60ce</t>
  </si>
  <si>
    <t>Morangos vacaria (18/08/2025) - Compra de morangos</t>
  </si>
  <si>
    <t>1f91a4f73</t>
  </si>
  <si>
    <t>Notas_Images/fa6ac638.Foto.001823.jpg</t>
  </si>
  <si>
    <t>Compra de morangos</t>
  </si>
  <si>
    <t>11/07/2026 (Consumo) - Sabrina - R$ 7,28</t>
  </si>
  <si>
    <t>debc7f4b</t>
  </si>
  <si>
    <t>aluguel sala</t>
  </si>
  <si>
    <t>df30391a</t>
  </si>
  <si>
    <t>1614502</t>
  </si>
  <si>
    <t>b4de89a3</t>
  </si>
  <si>
    <t>Passarela Center via atacadista (22/08/2025) - Compra de frutas</t>
  </si>
  <si>
    <t>Notas_Images/df30391a.Foto.211445.jpg</t>
  </si>
  <si>
    <t>11/07/2026 (Consumo) - Sabrina - R$ 7,54</t>
  </si>
  <si>
    <t>198dd1fdf</t>
  </si>
  <si>
    <t>ea7c5e7c</t>
  </si>
  <si>
    <t>1618499</t>
  </si>
  <si>
    <t>Marcos pagamento 19, 20e 23/07 24a30/07</t>
  </si>
  <si>
    <t>Queluz supermercados (23/08/2025) - Compra de água de coco e pão</t>
  </si>
  <si>
    <t>4bb34873</t>
  </si>
  <si>
    <t>Notas_Images/ea7c5e7c.Foto.162832.jpg</t>
  </si>
  <si>
    <t>Compra de água de coco e pão</t>
  </si>
  <si>
    <t>11/07/2026 (Compra de Mercadorias) -  - R$ 5,00</t>
  </si>
  <si>
    <t>eb7370ac</t>
  </si>
  <si>
    <t>1618581</t>
  </si>
  <si>
    <t>R$ 8,00</t>
  </si>
  <si>
    <t>4c2ca815</t>
  </si>
  <si>
    <t>Copiadora taliana (25/08/2025) - Impressões e planificação para loja</t>
  </si>
  <si>
    <t>1de069758</t>
  </si>
  <si>
    <t>Notas_Images/eb7370ac.Foto.204815.jpg</t>
  </si>
  <si>
    <t>Impressões e planificação para loja</t>
  </si>
  <si>
    <t>11/07/2026 (Consumo) - Ana Carolina - R$ 8,00</t>
  </si>
  <si>
    <t>Embalagens</t>
  </si>
  <si>
    <t>856dc5ec</t>
  </si>
  <si>
    <t>c65a390d</t>
  </si>
  <si>
    <t>Loja 7 Curitibanos (25/08/2025) - Cesto para loja</t>
  </si>
  <si>
    <t>R$ 500,00</t>
  </si>
  <si>
    <t>Notas_Images/856dc5ec.Foto.205001.jpg</t>
  </si>
  <si>
    <t>1618799</t>
  </si>
  <si>
    <t>Cesto para loja</t>
  </si>
  <si>
    <t>Saida Outros: sangria marcos 12/07</t>
  </si>
  <si>
    <t>46791994</t>
  </si>
  <si>
    <t>a36cb9b2</t>
  </si>
  <si>
    <t>aae31156</t>
  </si>
  <si>
    <t>ffdfffa1</t>
  </si>
  <si>
    <t>bea7c230</t>
  </si>
  <si>
    <t>12/07/2026 (Sangria) - Marcos Vinícius - R$ 500,00</t>
  </si>
  <si>
    <t>1f147fe1c</t>
  </si>
  <si>
    <t>Papelaria lux (25/08/2025) - Fita dupla face para loja</t>
  </si>
  <si>
    <t>Notas_Images/aae31156.Foto.205130.jpg</t>
  </si>
  <si>
    <t>Fita dupla face para loja</t>
  </si>
  <si>
    <t>b4f64265</t>
  </si>
  <si>
    <t>R$ 366,04</t>
  </si>
  <si>
    <t>Fgts</t>
  </si>
  <si>
    <t>d8654680</t>
  </si>
  <si>
    <t>73bb0a64</t>
  </si>
  <si>
    <t>Bijuterias Curitibanos (25/08/2025) - Elásticos para cabelo para loja</t>
  </si>
  <si>
    <t>Notas_Images/d8654680.Foto.205245.jpg</t>
  </si>
  <si>
    <t>2e69bdd3</t>
  </si>
  <si>
    <t>Elásticos para cabelo para loja</t>
  </si>
  <si>
    <t>1fd3269e</t>
  </si>
  <si>
    <t>Saida Outros: compra loja 10/07</t>
  </si>
  <si>
    <t>f21ac2b4</t>
  </si>
  <si>
    <t>Maurina fotografias (25/08/2025) - Quadro para loja</t>
  </si>
  <si>
    <t>Notas_Images/1fd3269e.Foto.212837.jpg</t>
  </si>
  <si>
    <t>Quadro para loja</t>
  </si>
  <si>
    <t>12/07/2026 (Compra de Mercadorias) -  - R$ 366,04</t>
  </si>
  <si>
    <t>120f515c7</t>
  </si>
  <si>
    <t>5ca8cce5</t>
  </si>
  <si>
    <t>R$ 11,11</t>
  </si>
  <si>
    <t>Imposto contratos</t>
  </si>
  <si>
    <t>1619917</t>
  </si>
  <si>
    <t>1b377a0c</t>
  </si>
  <si>
    <t>Saida Outros: compra de lanche 12/07</t>
  </si>
  <si>
    <t>Notas_Images/5ca8cce5.Foto.212951.jpg</t>
  </si>
  <si>
    <t>24bdd77d</t>
  </si>
  <si>
    <t>12/07/2026 (Compra de Mercadorias) -  - R$ 11,11</t>
  </si>
  <si>
    <t>Suco prats (25/08/2025) - Bebidas para loja</t>
  </si>
  <si>
    <t>141f6ccc2</t>
  </si>
  <si>
    <t>1619880</t>
  </si>
  <si>
    <t>Notas_Images/24bdd77d.Foto.213129.jpg</t>
  </si>
  <si>
    <t>R$ 34,63</t>
  </si>
  <si>
    <t>7f86a69e</t>
  </si>
  <si>
    <t>7552f507</t>
  </si>
  <si>
    <t>Exame Sabrine</t>
  </si>
  <si>
    <t>343b47be</t>
  </si>
  <si>
    <t>68d9d3db</t>
  </si>
  <si>
    <t>Mercado pago (25/08/2025) - Compra de pano azul com taxa de entrega valor total de 131,63</t>
  </si>
  <si>
    <t>1d370bd44</t>
  </si>
  <si>
    <t>Notas_Images/7552f507.Foto.215452.jpg</t>
  </si>
  <si>
    <t>12/07/2026 (Consumo) - Jaara - R$ 34,63</t>
  </si>
  <si>
    <t>Compra de pano azul com taxa de entrega valor total de 131,63</t>
  </si>
  <si>
    <t>350b6d62</t>
  </si>
  <si>
    <t>1619891</t>
  </si>
  <si>
    <t>cb7c7c9c</t>
  </si>
  <si>
    <t>R$ 12,40</t>
  </si>
  <si>
    <t>Franciosi (26/08/2025) - Compra de frutas</t>
  </si>
  <si>
    <t>Notas_Images/cb7c7c9c.Foto.215638.jpg</t>
  </si>
  <si>
    <t>1c2d1a71c</t>
  </si>
  <si>
    <t>49919ea2</t>
  </si>
  <si>
    <t>Pedido gelado sabores novos</t>
  </si>
  <si>
    <t>8b9681ca</t>
  </si>
  <si>
    <t>ProFood (26/08/2025) - Embalagens</t>
  </si>
  <si>
    <t>3ac8011e</t>
  </si>
  <si>
    <t>Notas_Images/49919ea2.Foto.180830.jpg</t>
  </si>
  <si>
    <t>1620146</t>
  </si>
  <si>
    <t>Notas_Images/49919ea2.Foto 1.180830.jpg</t>
  </si>
  <si>
    <t>12/07/2026 (Consumo) - Jaara - R$ 12,40</t>
  </si>
  <si>
    <t>f52d0ca3</t>
  </si>
  <si>
    <t>Notas_Images/f52d0ca3.Foto.181144.jpg</t>
  </si>
  <si>
    <t>R$ 58,97</t>
  </si>
  <si>
    <t>Notas_Images/f52d0ca3.Foto 1.181144.jpg</t>
  </si>
  <si>
    <t>309389a8</t>
  </si>
  <si>
    <t>Saida Outros: compra de potes para loja</t>
  </si>
  <si>
    <t>4d1e55fd</t>
  </si>
  <si>
    <t>Notas_Images/309389a8.Foto.181507.jpg</t>
  </si>
  <si>
    <t>e33b66cf</t>
  </si>
  <si>
    <t>Notas_Images/309389a8.Foto 1.181507.jpg</t>
  </si>
  <si>
    <t>13/07/2026 (Compra de Mercadorias) -  - R$ 58,97</t>
  </si>
  <si>
    <t>1d4300d71</t>
  </si>
  <si>
    <t>SC COPIAS (27/08/2025) - Fita dupla face para loja</t>
  </si>
  <si>
    <t>1621256</t>
  </si>
  <si>
    <t>Notas_Images/86095401.Foto.182128.jpg</t>
  </si>
  <si>
    <t>a9b31876</t>
  </si>
  <si>
    <t>R$ 39,98</t>
  </si>
  <si>
    <t>SC COPIAS (27/08/2025) - Impressões para loja</t>
  </si>
  <si>
    <t>Notas_Images/a9b31876.Foto.182223.jpg</t>
  </si>
  <si>
    <t>Saida Outros: desmoltante para maquina de casquinha</t>
  </si>
  <si>
    <t>d2c7d967</t>
  </si>
  <si>
    <t>bbcad3a6</t>
  </si>
  <si>
    <t>134b2edff</t>
  </si>
  <si>
    <t>1622576</t>
  </si>
  <si>
    <t>ProFood (20/08/2025) - Embalagens</t>
  </si>
  <si>
    <t>13/07/2026 (Compra de Mercadorias) -  - R$ 39,98</t>
  </si>
  <si>
    <t>Notas_Images/d2c7d967.Foto.215353.jpg</t>
  </si>
  <si>
    <t>d66a3a65</t>
  </si>
  <si>
    <t>Internet</t>
  </si>
  <si>
    <t>9aa07662</t>
  </si>
  <si>
    <t>Notas_Images/d2c7d967.Foto 1.215353.jpg</t>
  </si>
  <si>
    <t>baa1b9ea</t>
  </si>
  <si>
    <t>R$ 8,95</t>
  </si>
  <si>
    <t>Passarela Center via atacadista (29/08/2025) - Compra de lanches e produtos de limpeza</t>
  </si>
  <si>
    <t>Notas_Images/baa1b9ea.Foto.214440.jpg</t>
  </si>
  <si>
    <t>Compra de lanches e produtos de limpeza</t>
  </si>
  <si>
    <t>1624343</t>
  </si>
  <si>
    <t>15aec7274</t>
  </si>
  <si>
    <t>13397a38</t>
  </si>
  <si>
    <t>JN EMBALAGENS (26/08/2025) - Compra de touca luvas e papel toalha</t>
  </si>
  <si>
    <t>11fd3779</t>
  </si>
  <si>
    <t>Notas_Images/13397a38.Foto.214612.jpg</t>
  </si>
  <si>
    <t>13/07/2026 (Consumo) - Sabrina - R$ 8,95</t>
  </si>
  <si>
    <t>Instalação</t>
  </si>
  <si>
    <t>Compra de touca luvas e papel toalha</t>
  </si>
  <si>
    <t>413ed8db</t>
  </si>
  <si>
    <t>722a60f7</t>
  </si>
  <si>
    <t>0dfab437</t>
  </si>
  <si>
    <t>Aflanio Ferreira (29/08/2025) - Compra de morangos pagos por Pix Joice</t>
  </si>
  <si>
    <t>R$ 9,99</t>
  </si>
  <si>
    <t>Notas_Images/722a60f7.Foto.214938.jpg</t>
  </si>
  <si>
    <t>Compra de morangos pagos por Pix Joice</t>
  </si>
  <si>
    <t>Saida Outros: manteiga para fazer a casquinha</t>
  </si>
  <si>
    <t>112ad3edf</t>
  </si>
  <si>
    <t>324c909c</t>
  </si>
  <si>
    <t>1626687</t>
  </si>
  <si>
    <t>9d33f2fe</t>
  </si>
  <si>
    <t>3da41e9d</t>
  </si>
  <si>
    <t>FO-BRAN BEBIDAS (01/09/2025) - Compra de bebidas para loja</t>
  </si>
  <si>
    <t>Móveis</t>
  </si>
  <si>
    <t>Notas_Images/324c909c.Foto.210226.jpg</t>
  </si>
  <si>
    <t>cd23ee1a</t>
  </si>
  <si>
    <t>Compra de bebidas para loja</t>
  </si>
  <si>
    <t>14/07/2026 (Compra de Mercadorias) -  - R$ 9,99</t>
  </si>
  <si>
    <t>7113fdf9</t>
  </si>
  <si>
    <t>Morangos de vacaria (01/09/2025) - Pagamento de morangos</t>
  </si>
  <si>
    <t>R$ 5,85</t>
  </si>
  <si>
    <t>Notas_Images/7113fdf9.Foto.210940.jpg</t>
  </si>
  <si>
    <t>Pagamento de morangos</t>
  </si>
  <si>
    <t>Saida Outros: adaptador para tomada</t>
  </si>
  <si>
    <t>14b6aa090</t>
  </si>
  <si>
    <t>5339d628</t>
  </si>
  <si>
    <t>1626688</t>
  </si>
  <si>
    <t>fd9fde95</t>
  </si>
  <si>
    <t>Thipograf (02/09/2025) - Compra de adesivos</t>
  </si>
  <si>
    <t>Notas_Images/5339d628.Foto.210518.jpg</t>
  </si>
  <si>
    <t>14/07/2026 (Compra de Mercadorias) -  - R$ 5,85</t>
  </si>
  <si>
    <t>Compra de adesivos</t>
  </si>
  <si>
    <t>ce04e2e9</t>
  </si>
  <si>
    <t>19804ea8</t>
  </si>
  <si>
    <t>R$ 9,00</t>
  </si>
  <si>
    <t>Monitoramento</t>
  </si>
  <si>
    <t>Morangos de vacaria (04/09/2025) - Pagamento de morangos</t>
  </si>
  <si>
    <t>5f645fb6</t>
  </si>
  <si>
    <t>Notas_Images/ce04e2e9.Foto.194239.jpg</t>
  </si>
  <si>
    <t>870e7a01</t>
  </si>
  <si>
    <t>1626704</t>
  </si>
  <si>
    <t>Queluz supermercados (30/08/2025) - Lanche para funcionários</t>
  </si>
  <si>
    <t>Notas_Images/870e7a01.Foto.194419.jpg</t>
  </si>
  <si>
    <t>Lanche para funcionários</t>
  </si>
  <si>
    <t>14/07/2026 (Consumo) - Sabrina - R$ 9,00</t>
  </si>
  <si>
    <t>114895d0e</t>
  </si>
  <si>
    <t>3d1396b2</t>
  </si>
  <si>
    <t>Nota de serviços</t>
  </si>
  <si>
    <t>Amadelli (02/09/2025) - Carga gelada</t>
  </si>
  <si>
    <t>Notas_Images/3d1396b2.Foto.200418.jpg</t>
  </si>
  <si>
    <t>473992f9</t>
  </si>
  <si>
    <t>Notas_Images/3d1396b2.Foto 1.200418.jpg</t>
  </si>
  <si>
    <t>Notas_Images/3d1396b2.Foto 2.200418.jpg</t>
  </si>
  <si>
    <t>1629588</t>
  </si>
  <si>
    <t>Notas_Images/3d1396b2.Foto 3.200422.jpg</t>
  </si>
  <si>
    <t>f91d3313</t>
  </si>
  <si>
    <t>14/07/2026 (Consumo) - Jaara - R$ 5,00</t>
  </si>
  <si>
    <t>Notas_Images/f91d3313.Foto.201147.jpg</t>
  </si>
  <si>
    <t>1cc1beb66</t>
  </si>
  <si>
    <t>Notas_Images/f91d3313.Foto 1.201147.jpg</t>
  </si>
  <si>
    <t>ca16520b</t>
  </si>
  <si>
    <t>luz</t>
  </si>
  <si>
    <t>587abe09</t>
  </si>
  <si>
    <t>Queluz supermercados (06/09/2025) - Lanche para os funcionários da loja</t>
  </si>
  <si>
    <t>Notas_Images/92784572.Foto.173229.jpg</t>
  </si>
  <si>
    <t>Lanche para os funcionários da loja</t>
  </si>
  <si>
    <t>a66a8cdb</t>
  </si>
  <si>
    <t>18f1eb70c</t>
  </si>
  <si>
    <t>Celesc Curitibanos (09/09/2025) - Talão de luz</t>
  </si>
  <si>
    <t>Notas_Images/a66a8cdb.Foto.204329.jpg</t>
  </si>
  <si>
    <t>Talão de luz</t>
  </si>
  <si>
    <t>14/07/2026 (Consumo) - Sabrina - R$ 4,90</t>
  </si>
  <si>
    <t>conta de luz</t>
  </si>
  <si>
    <t>9e8b9c9d</t>
  </si>
  <si>
    <t>d27b4c1f</t>
  </si>
  <si>
    <t>0ba4b2c2</t>
  </si>
  <si>
    <t>Amadelli (04/09/2025) - Carga seca</t>
  </si>
  <si>
    <t>Notas_Images/9e8b9c9d.Foto.205559.jpg</t>
  </si>
  <si>
    <t>1632804</t>
  </si>
  <si>
    <t>R$ 224,00</t>
  </si>
  <si>
    <t>706bf6cb</t>
  </si>
  <si>
    <t>Saida Outros: compra de bebidas</t>
  </si>
  <si>
    <t>1510f45be</t>
  </si>
  <si>
    <t>Morangos vacaria (08/09/2025) - Pagamento de morangos</t>
  </si>
  <si>
    <t>Notas_Images/706bf6cb.Foto.210236.jpg</t>
  </si>
  <si>
    <t>70cf65dd</t>
  </si>
  <si>
    <t>0da325d5</t>
  </si>
  <si>
    <t>frete cubas</t>
  </si>
  <si>
    <t>6d4f60bb</t>
  </si>
  <si>
    <t>3e3de714</t>
  </si>
  <si>
    <t>15/07/2026 (Compra de Mercadorias) -  - R$ 224,00</t>
  </si>
  <si>
    <t>R$ 29,14</t>
  </si>
  <si>
    <t>Santa Clara pros limpeza (09/09/2025) - Compra de matérias de limpeza</t>
  </si>
  <si>
    <t>1c8640d42</t>
  </si>
  <si>
    <t>Notas_Images/3e3de714.Foto.011608.jpg</t>
  </si>
  <si>
    <t>Compra de matérias de limpeza</t>
  </si>
  <si>
    <t>9b50e936</t>
  </si>
  <si>
    <t>Honorários mês 7</t>
  </si>
  <si>
    <t>c8460604</t>
  </si>
  <si>
    <t>d9429536</t>
  </si>
  <si>
    <t>15/07/2026 (Consumo) - Jaara - R$ 29,14</t>
  </si>
  <si>
    <t>dec4c57b</t>
  </si>
  <si>
    <t>Agcontsbilidade (10/09/2025) - Pago a agua do prédio</t>
  </si>
  <si>
    <t>Notas_Images/c8460604.Foto.224312.jpg</t>
  </si>
  <si>
    <t>Pago a agua do prédio</t>
  </si>
  <si>
    <t>1634326</t>
  </si>
  <si>
    <t>R$ 12,00</t>
  </si>
  <si>
    <t>10a0af7b4</t>
  </si>
  <si>
    <t>5a906b76</t>
  </si>
  <si>
    <t>Saida Outros: Copo de aniversariante</t>
  </si>
  <si>
    <t>Queluz mercado (31/08/2025) - Compra de lanche e frutas</t>
  </si>
  <si>
    <t>Notas_Images/5a906b76.Foto.225822.jpg</t>
  </si>
  <si>
    <t>Compra brinquedo</t>
  </si>
  <si>
    <t>Compra de lanche e frutas</t>
  </si>
  <si>
    <t>15/07/2026 (Cortesias) -  - R$ 12,00</t>
  </si>
  <si>
    <t>10791fbf</t>
  </si>
  <si>
    <t>Passarela Center via atacadista (05/09/2025) - Compra de frutas</t>
  </si>
  <si>
    <t>Notas_Images/10791fbf.Foto.225921.jpg</t>
  </si>
  <si>
    <t>R$ 32,46</t>
  </si>
  <si>
    <t>143223d1d</t>
  </si>
  <si>
    <t>1634266</t>
  </si>
  <si>
    <t>73accc62</t>
  </si>
  <si>
    <t>Aluguel sala</t>
  </si>
  <si>
    <t>15/07/2026 (Consumo) - Sabrina - R$ 32,46</t>
  </si>
  <si>
    <t>Passarela Center via atacadista (01/09/2025) - Compra de frutas</t>
  </si>
  <si>
    <t>Notas_Images/73accc62.Foto.230024.jpg</t>
  </si>
  <si>
    <t>R$ 46,39</t>
  </si>
  <si>
    <t>132dd019e</t>
  </si>
  <si>
    <t>Queluz mercado (07/09/2025) - Compra de frutas e pão</t>
  </si>
  <si>
    <t>Notas_Images/77789568.Foto.231423.jpg</t>
  </si>
  <si>
    <t>Compra de frutas e pão</t>
  </si>
  <si>
    <t>ANA CAROLINA</t>
  </si>
  <si>
    <t>15/07/2026 (Consumo) - Jaara - R$ 46,39</t>
  </si>
  <si>
    <t>1634269</t>
  </si>
  <si>
    <t>fb9e15ea</t>
  </si>
  <si>
    <t>R$ 27,86</t>
  </si>
  <si>
    <t>Passarela Center via atacadista (09/09/2025) - Compra de frutas</t>
  </si>
  <si>
    <t>Notas_Images/fb9e15ea.Foto.231528.jpg</t>
  </si>
  <si>
    <t>8542c3c1</t>
  </si>
  <si>
    <t>1f8a61e77</t>
  </si>
  <si>
    <t>15/07/2026 (Consumo) - Jaara - R$ 27,86</t>
  </si>
  <si>
    <t>63746b1d</t>
  </si>
  <si>
    <t>PAGAMENTO</t>
  </si>
  <si>
    <t>R$ 31,31</t>
  </si>
  <si>
    <t>FO-BRAN BEBIDAS (11/09/2025) - Pagamento de bebidas</t>
  </si>
  <si>
    <t>Notas_Images/63746b1d.Foto.220042.jpg</t>
  </si>
  <si>
    <t>1634271</t>
  </si>
  <si>
    <t>634b5654</t>
  </si>
  <si>
    <t>44718838</t>
  </si>
  <si>
    <t>0a92e9ae</t>
  </si>
  <si>
    <t>15/07/2026 (Consumo) - Jaara - R$ 31,31</t>
  </si>
  <si>
    <t>1872fd9a7</t>
  </si>
  <si>
    <t>Passarela Center via atacadista (11/09/2025) - Compra de frutas</t>
  </si>
  <si>
    <t>Notas_Images/0a92e9ae.Foto.015110.jpg</t>
  </si>
  <si>
    <t>R$ 700,00</t>
  </si>
  <si>
    <t>Saida Outros: pagamento de morango</t>
  </si>
  <si>
    <t>fdfed084</t>
  </si>
  <si>
    <t>de83c16b</t>
  </si>
  <si>
    <t>Franciosi (12/09/2025) - Compra de sucos</t>
  </si>
  <si>
    <t>1634272</t>
  </si>
  <si>
    <t>Notas_Images/fdfed084.Foto.230652.jpg</t>
  </si>
  <si>
    <t>16/07/2026 (Caixa Pagamento) -  - R$ 700,00</t>
  </si>
  <si>
    <t>8a81cbc9</t>
  </si>
  <si>
    <t>Compra de sucos</t>
  </si>
  <si>
    <t>1c5cf3215</t>
  </si>
  <si>
    <t>a941fda8</t>
  </si>
  <si>
    <t>16/07/2026 (Consumo) - Sabrina - R$ 4,00</t>
  </si>
  <si>
    <t>JN EMBALAGENS (12/09/2025) - Compra de luvas e papel toalha</t>
  </si>
  <si>
    <t>Notas_Images/a941fda8.Foto.230750.jpg</t>
  </si>
  <si>
    <t>Compra de luvas e papel toalha</t>
  </si>
  <si>
    <t>4dfbd39e</t>
  </si>
  <si>
    <t>R$ 780,00</t>
  </si>
  <si>
    <t>08d17a57</t>
  </si>
  <si>
    <t>1f9c3d2e6</t>
  </si>
  <si>
    <t>Entrada Outros: saida do armario para caixa/ fazer deposito</t>
  </si>
  <si>
    <t>Queluz supermercados (12/09/2025) - Compra de banana</t>
  </si>
  <si>
    <t>Notas_Images/08d17a57.Foto.230837.jpg</t>
  </si>
  <si>
    <t>95043757</t>
  </si>
  <si>
    <t>16/07/2026 (Caixa Troco) -  - R$ 780,00</t>
  </si>
  <si>
    <t>56cf3001</t>
  </si>
  <si>
    <t>Saida Outros: saida para deposito</t>
  </si>
  <si>
    <t>Queluz supermercados (13/09/2025) - Compra de lanches</t>
  </si>
  <si>
    <t>f72b6e5d</t>
  </si>
  <si>
    <t>Notas_Images/56cf3001.Foto.164537.jpg</t>
  </si>
  <si>
    <t>Compra de lanches</t>
  </si>
  <si>
    <t>11d002051</t>
  </si>
  <si>
    <t>16/07/2026 (Sangria) - Marcos Vinícius - R$ 780,00</t>
  </si>
  <si>
    <t>d9d36fab</t>
  </si>
  <si>
    <t>compra de 2 cameras</t>
  </si>
  <si>
    <t>R$ 99,40</t>
  </si>
  <si>
    <t>Queluz supermercados (14/09/2025) - Lanche para funcionários da loja</t>
  </si>
  <si>
    <t>f2df2248</t>
  </si>
  <si>
    <t>Saida Outros: compra de materiais para uso da loja</t>
  </si>
  <si>
    <t>Notas_Images/d9d36fab.Foto.171441.jpg</t>
  </si>
  <si>
    <t>a9fb78d1</t>
  </si>
  <si>
    <t>6f797014</t>
  </si>
  <si>
    <t>16/07/2026 (Compra de Mercadorias) -  - R$ 99,40</t>
  </si>
  <si>
    <t>Morangos vacaria (12/09/2025) - Pagamento de morangos.</t>
  </si>
  <si>
    <t>11db275e0</t>
  </si>
  <si>
    <t>Notas_Images/6f797014.Foto.160911.jpg</t>
  </si>
  <si>
    <t>Pagamento de morangos.</t>
  </si>
  <si>
    <t>R$ 10,86</t>
  </si>
  <si>
    <t>Simples Nacional</t>
  </si>
  <si>
    <t>9eeec060</t>
  </si>
  <si>
    <t>bd8e80dd</t>
  </si>
  <si>
    <t>16/07/2026 (Consumo) - Sabrina - R$ 10,86</t>
  </si>
  <si>
    <t>d841a856</t>
  </si>
  <si>
    <t>Morangos França (11/09/2025) - Pagamento de morangos</t>
  </si>
  <si>
    <t>Notas_Images/bd8e80dd.Foto.161219.jpg</t>
  </si>
  <si>
    <t>R$ 82,56</t>
  </si>
  <si>
    <t>Saida Outros: 3 copos de troca de moedas da Patricia resgatados 17/07</t>
  </si>
  <si>
    <t>764f1542</t>
  </si>
  <si>
    <t>13e69c131</t>
  </si>
  <si>
    <t>17/07/2026 (Cortesias) -  - R$ 82,56</t>
  </si>
  <si>
    <t>Passarela Center via atacadista (15/09/2025) - Produtos e frutas para loja</t>
  </si>
  <si>
    <t>Notas_Images/764f1542.Foto.200735.jpg</t>
  </si>
  <si>
    <t>1635329</t>
  </si>
  <si>
    <t>Produtos e frutas para loja</t>
  </si>
  <si>
    <t>IMPOSTO</t>
  </si>
  <si>
    <t>b539a5bd</t>
  </si>
  <si>
    <t>c0dca4fd</t>
  </si>
  <si>
    <t>R$ 8,82</t>
  </si>
  <si>
    <t>Amadelli (15/09/2025) - Carga seca</t>
  </si>
  <si>
    <t>Notas_Images/c0dca4fd.Foto.204825.jpg</t>
  </si>
  <si>
    <t>5bd02ff1</t>
  </si>
  <si>
    <t>18a894837</t>
  </si>
  <si>
    <t>17/07/2026 (Consumo) - Sabrina - R$ 8,82</t>
  </si>
  <si>
    <t>ProFood (16/09/2025) - Embalagens</t>
  </si>
  <si>
    <t>1635331</t>
  </si>
  <si>
    <t>Notas_Images/5bd02ff1.Foto.205517.jpg</t>
  </si>
  <si>
    <t>cf1a42e6</t>
  </si>
  <si>
    <t>FGTS</t>
  </si>
  <si>
    <t>R$ 115,99</t>
  </si>
  <si>
    <t>Saida Outros: compra de pano perflex 15/07</t>
  </si>
  <si>
    <t>d98fa6d5</t>
  </si>
  <si>
    <t>Notas_Images/d98fa6d5.Foto.210046.jpg</t>
  </si>
  <si>
    <t>14627db77</t>
  </si>
  <si>
    <t>bb0a822b</t>
  </si>
  <si>
    <t>f9f22763</t>
  </si>
  <si>
    <t>e31b23ec</t>
  </si>
  <si>
    <t>17/07/2026 (Compra de Mercadorias) -  - R$ 115,99</t>
  </si>
  <si>
    <t>1636111</t>
  </si>
  <si>
    <t>MARKETING</t>
  </si>
  <si>
    <t>Amadelli (16/09/2025) - Material dia das crianças</t>
  </si>
  <si>
    <t>Notas_Images/f9f22763.Foto.115538.jpg</t>
  </si>
  <si>
    <t>9d6ddd89</t>
  </si>
  <si>
    <t>Material dia das crianças</t>
  </si>
  <si>
    <t>R$ 182,12</t>
  </si>
  <si>
    <t>4bd5396f</t>
  </si>
  <si>
    <t>Saida Outros: propaganda paga do Instagram para nosso sorteio</t>
  </si>
  <si>
    <t>Amadelli (16/09/2025) - Pedido gelado NF 24027</t>
  </si>
  <si>
    <t>4f82b4be</t>
  </si>
  <si>
    <t>Notas_Images/4bd5396f.Foto.115900.jpg</t>
  </si>
  <si>
    <t>Pedido gelado NF 24027</t>
  </si>
  <si>
    <t>15e5c8f69</t>
  </si>
  <si>
    <t>17/07/2026 (Compra de Mercadorias) -  - R$ 182,12</t>
  </si>
  <si>
    <t>Notas_Images/4bd5396f.Foto 1.115900.jpg</t>
  </si>
  <si>
    <t>e789811f</t>
  </si>
  <si>
    <t>1637607</t>
  </si>
  <si>
    <t>R$ 349,15</t>
  </si>
  <si>
    <t>Notas_Images/4bd5396f.Foto 2.115900.jpg</t>
  </si>
  <si>
    <t>Laudos</t>
  </si>
  <si>
    <t>Saida Outros: compras para loja 17/07</t>
  </si>
  <si>
    <t>54cca152</t>
  </si>
  <si>
    <t>8aa6b56f</t>
  </si>
  <si>
    <t>17/07/2026 (Compra de Mercadorias) -  - R$ 349,15</t>
  </si>
  <si>
    <t>473e779f</t>
  </si>
  <si>
    <t>FO-BRAN (18/09/2025) - Pedido de bebidas</t>
  </si>
  <si>
    <t>Notas_Images/54cca152.Foto.180331.jpg</t>
  </si>
  <si>
    <t>Pedido de bebidas</t>
  </si>
  <si>
    <t>R$ 1.100,00</t>
  </si>
  <si>
    <t>12692b6d7</t>
  </si>
  <si>
    <t>Saida Outros: sangria sabrina 18/07</t>
  </si>
  <si>
    <t>f80ba77a</t>
  </si>
  <si>
    <t>1638842</t>
  </si>
  <si>
    <t>Adiantamento</t>
  </si>
  <si>
    <t>d5b0f7f5</t>
  </si>
  <si>
    <t>SC COPIAS (18/09/2025) - Caderno para loja</t>
  </si>
  <si>
    <t>Notas_Images/f80ba77a.Foto.194857.jpg</t>
  </si>
  <si>
    <t>18/07/2026 (Sangria) - Sabrina - R$ 1.100,00</t>
  </si>
  <si>
    <t>Caderno para loja</t>
  </si>
  <si>
    <t>R$ 8,27</t>
  </si>
  <si>
    <t>Saida Outros: pão de hoje</t>
  </si>
  <si>
    <t>28edb529</t>
  </si>
  <si>
    <t>d8e662cf</t>
  </si>
  <si>
    <t>fa7ae388</t>
  </si>
  <si>
    <t>16afc9ceb</t>
  </si>
  <si>
    <t>SC COPIAS (18/09/2025) - Impressões para loja</t>
  </si>
  <si>
    <t>19/07/2026 (Compra de Mercadorias) -  - R$ 8,27</t>
  </si>
  <si>
    <t>Notas_Images/28edb529.Foto.195841.jpg</t>
  </si>
  <si>
    <t>1643493</t>
  </si>
  <si>
    <t>Adiantamento Carol</t>
  </si>
  <si>
    <t>R$ 120,00</t>
  </si>
  <si>
    <t>Saida Outros: pagamento free rafa 13h as 21h</t>
  </si>
  <si>
    <t>007ca8c9</t>
  </si>
  <si>
    <t>1994aa8b</t>
  </si>
  <si>
    <t>19/07/2026 (Freelancer) -  - R$ 120,00</t>
  </si>
  <si>
    <t>Morangos França (18/09/2025) - Pagamento de morangos</t>
  </si>
  <si>
    <t>Notas_Images/007ca8c9.Foto.005544.jpg</t>
  </si>
  <si>
    <t>R$ 112,50</t>
  </si>
  <si>
    <t>d173e17f</t>
  </si>
  <si>
    <t>Saida Outros: pagamento free naty 13h30 as 21h</t>
  </si>
  <si>
    <t>1643495</t>
  </si>
  <si>
    <t>Thipograf (19/09/2025) - Adesivos para loja</t>
  </si>
  <si>
    <t>Notas_Images/d173e17f.Foto.165144.jpg</t>
  </si>
  <si>
    <t>19/07/2026 (Freelancer) -  - R$ 112,50</t>
  </si>
  <si>
    <t>Adesivos para loja</t>
  </si>
  <si>
    <t>c2de7c3e</t>
  </si>
  <si>
    <t>06eee2a8</t>
  </si>
  <si>
    <t>Saida Outros: pagamento free marcos (sabado 18/07 13h as 21h30</t>
  </si>
  <si>
    <t>1c0e526d5</t>
  </si>
  <si>
    <t>Passarela Center via atacadista (18/09/2025) - Compra de frutas e lanches</t>
  </si>
  <si>
    <t>19/07/2026 (Freelancer) -  - R$ 130,00</t>
  </si>
  <si>
    <t>Notas_Images/06eee2a8.Foto.011403.jpg</t>
  </si>
  <si>
    <t>R$ 900,00</t>
  </si>
  <si>
    <t>1643497</t>
  </si>
  <si>
    <t>Saida Outros: sangria marcos 19/07</t>
  </si>
  <si>
    <t>13eb3b9af</t>
  </si>
  <si>
    <t>4d88b70a</t>
  </si>
  <si>
    <t>19/07/2026 (Sangria) - Marcos Vinícius - R$ 900,00</t>
  </si>
  <si>
    <t>Passarela Center via atacadista (17/09/2025) - Compra de banana e kiwi</t>
  </si>
  <si>
    <t>R$ 800,00</t>
  </si>
  <si>
    <t>Notas_Images/4d88b70a.Foto.011506.jpg</t>
  </si>
  <si>
    <t>Compra de banana e kiwi</t>
  </si>
  <si>
    <t>Saida Outros: sangria sabrina 20/07</t>
  </si>
  <si>
    <t>1dfef0df5</t>
  </si>
  <si>
    <t>3661f224</t>
  </si>
  <si>
    <t>20/07/2026 (Sangria) - Sabrina - R$ 800,00</t>
  </si>
  <si>
    <t>1643501</t>
  </si>
  <si>
    <t>Passarela Center via atacadista (22/09/2025) - Produtos e frutas para loja</t>
  </si>
  <si>
    <t>R$ 167,88</t>
  </si>
  <si>
    <t>1ece658b6</t>
  </si>
  <si>
    <t>Notas_Images/3661f224.Foto.195517.jpg</t>
  </si>
  <si>
    <t>Salário</t>
  </si>
  <si>
    <t>2c7bca24</t>
  </si>
  <si>
    <t>21/07/2026 (Compra de Mercadorias) -  - R$ 167,88</t>
  </si>
  <si>
    <t>2a8b0785</t>
  </si>
  <si>
    <t>R$ 480,00</t>
  </si>
  <si>
    <t>Saida Outros: 12 kg de morangos</t>
  </si>
  <si>
    <t>Queluz supermercados (20/09/2025) - Lanche para funcionários da loja</t>
  </si>
  <si>
    <t>139f8fb4e</t>
  </si>
  <si>
    <t>1643605</t>
  </si>
  <si>
    <t>Notas_Images/2a8b0785.Foto.195610.jpg</t>
  </si>
  <si>
    <t>387f3b5f</t>
  </si>
  <si>
    <t>22/07/2026 (Compra de Mercadorias) -  - R$ 480,00</t>
  </si>
  <si>
    <t>13267d4a</t>
  </si>
  <si>
    <t>aaadcbee</t>
  </si>
  <si>
    <t>R$ 22,88</t>
  </si>
  <si>
    <t>1c962f8d6</t>
  </si>
  <si>
    <t>Comércio de variedades (22/09/2025) - Tek bond</t>
  </si>
  <si>
    <t>Pix</t>
  </si>
  <si>
    <t>Notas_Images/13267d4a.Foto.195710.jpg</t>
  </si>
  <si>
    <t>Tek bond</t>
  </si>
  <si>
    <t>22/07/2026 (Consumo) - Jaara - R$ 22,88</t>
  </si>
  <si>
    <t>1643607</t>
  </si>
  <si>
    <t>f09292a8</t>
  </si>
  <si>
    <t>191f54b9a</t>
  </si>
  <si>
    <t>f3880553</t>
  </si>
  <si>
    <t>R$ 25,00</t>
  </si>
  <si>
    <t>bf7ef01f</t>
  </si>
  <si>
    <t>Saida Outros: compra de luva para uso da maquina de casquinha</t>
  </si>
  <si>
    <t>FO-BRAN (24/09/2025) - Pagamento de bebidas</t>
  </si>
  <si>
    <t>3ec17019</t>
  </si>
  <si>
    <t>Notas_Images/f3880553.Foto.212944.jpg</t>
  </si>
  <si>
    <t>24/07/2026 (Compra de Mercadorias) -  - R$ 25,00</t>
  </si>
  <si>
    <t>173d91994</t>
  </si>
  <si>
    <t>d9bc0cc6</t>
  </si>
  <si>
    <t>e251378c</t>
  </si>
  <si>
    <t>Compra freezer</t>
  </si>
  <si>
    <t>26f58688</t>
  </si>
  <si>
    <t>1643502</t>
  </si>
  <si>
    <t>Saida Outros: sangria marcos 24/07</t>
  </si>
  <si>
    <t>Santa Clara pros limpeza (24/09/2025) - Sacos de lixo para loja</t>
  </si>
  <si>
    <t>Notas_Images/d9bc0cc6.Foto.213157.jpg</t>
  </si>
  <si>
    <t>Sacos de lixo para loja</t>
  </si>
  <si>
    <t>24/07/2026 (Sangria) - Marcos Vinícius - R$ 500,00</t>
  </si>
  <si>
    <t>128326f8b</t>
  </si>
  <si>
    <t>9288f9be</t>
  </si>
  <si>
    <t>076a2d69</t>
  </si>
  <si>
    <t>plano anual 2 cameras - reembolso Daniel</t>
  </si>
  <si>
    <t>R$ 170,00</t>
  </si>
  <si>
    <t>fa8d5168</t>
  </si>
  <si>
    <t>Embalagens (24/09/2025) - Produtos de higiene para loja</t>
  </si>
  <si>
    <t>Saida Outros: dedetização da loja(nota sera lançada segunda feira</t>
  </si>
  <si>
    <t>Notas_Images/9288f9be.Foto.213355.jpg</t>
  </si>
  <si>
    <t>Produtos de higiene para loja</t>
  </si>
  <si>
    <t>142adb9e8</t>
  </si>
  <si>
    <t>24/07/2026 (Compra de Mercadorias) -  - R$ 170,00</t>
  </si>
  <si>
    <t>1644945</t>
  </si>
  <si>
    <t>23790.35609 90000.010869 48010.559903 6 11650000400000</t>
  </si>
  <si>
    <t>a37c6613</t>
  </si>
  <si>
    <t>R$ 450,00</t>
  </si>
  <si>
    <t>Saida Outros: sangria marcos 25/07</t>
  </si>
  <si>
    <t>Queluz mercado (23/09/2025) - Margarina para loja</t>
  </si>
  <si>
    <t>Notas_Images/a37c6613.Foto.213505.jpg</t>
  </si>
  <si>
    <t>17bcd1662</t>
  </si>
  <si>
    <t>Margarina para loja</t>
  </si>
  <si>
    <t>25/07/2026 (Sangria) - Marcos Vinícius - R$ 450,00</t>
  </si>
  <si>
    <t>boleto de serviços</t>
  </si>
  <si>
    <t>e508d314</t>
  </si>
  <si>
    <t>6eecd4d2</t>
  </si>
  <si>
    <t>R$ 105,00</t>
  </si>
  <si>
    <t>Saida Outros: free jaara 14h as 21h</t>
  </si>
  <si>
    <t>Casa Fagundes embalagens (24/09/2025) - Termômetro para loja</t>
  </si>
  <si>
    <t>1f733bc50</t>
  </si>
  <si>
    <t>1644946</t>
  </si>
  <si>
    <t>Notas_Images/6eecd4d2.Foto.213910.jpg</t>
  </si>
  <si>
    <t>Termômetro para loja</t>
  </si>
  <si>
    <t>399ccda7</t>
  </si>
  <si>
    <t>25/07/2026 (Freelancer) -  - R$ 105,00</t>
  </si>
  <si>
    <t>painel luinoso 2/5</t>
  </si>
  <si>
    <t>R$ 160,00</t>
  </si>
  <si>
    <t>4478c0ea</t>
  </si>
  <si>
    <t>Saida Outros: free rafa 13h as 21h + 2h de faxina da segunda feira 20/07</t>
  </si>
  <si>
    <t>15778f394</t>
  </si>
  <si>
    <t>Myata supermercado (25/09/2025) - Compra de refri</t>
  </si>
  <si>
    <t>Notas_Images/4478c0ea.Foto.013332.jpg</t>
  </si>
  <si>
    <t>25/07/2026 (Freelancer) -  - R$ 160,00</t>
  </si>
  <si>
    <t>34191090080652259167393344490003311770000132579</t>
  </si>
  <si>
    <t>Compra de refri</t>
  </si>
  <si>
    <t>R$ 20,19</t>
  </si>
  <si>
    <t>Saida Outros: copo de troca de moedas</t>
  </si>
  <si>
    <t>1bc9f84b6</t>
  </si>
  <si>
    <t>3bb5cd8c</t>
  </si>
  <si>
    <t>Nota de serviço 79369</t>
  </si>
  <si>
    <t>26/07/2026 (Cortesias) -  - R$ 20,19</t>
  </si>
  <si>
    <t>Passarela Center via atacadista (25/09/2025) - Compra de frutas</t>
  </si>
  <si>
    <t>Notas_Images/3bb5cd8c.Foto.005101.jpg</t>
  </si>
  <si>
    <t>1b0b95138</t>
  </si>
  <si>
    <t>Saida Outros: free marcos 13h as 21h</t>
  </si>
  <si>
    <t>Boleto Serviços</t>
  </si>
  <si>
    <t>5fba1675</t>
  </si>
  <si>
    <t>26/07/2026 (Freelancer) -  - R$ 120,00</t>
  </si>
  <si>
    <t>Queluz supermercados (27/09/2025) - Lanche para funcionários da loja</t>
  </si>
  <si>
    <t>R$ 128,00</t>
  </si>
  <si>
    <t>1330101f2</t>
  </si>
  <si>
    <t>Notas_Images/5fba1675.Foto.201525.jpg</t>
  </si>
  <si>
    <t>Saida Outros: free rafa 13h as 21h30</t>
  </si>
  <si>
    <t>Serviços</t>
  </si>
  <si>
    <t>26/07/2026 (Freelancer) -  - R$ 128,00</t>
  </si>
  <si>
    <t>45285f28</t>
  </si>
  <si>
    <t>1aad1c939</t>
  </si>
  <si>
    <t>R$ 600,00</t>
  </si>
  <si>
    <t>Saida Outros: sangria marcos 26/07</t>
  </si>
  <si>
    <t>86095401</t>
  </si>
  <si>
    <t>Queluz supermercados (29/09/2025) - Frutas para loja</t>
  </si>
  <si>
    <t>Notas_Images/45285f28.Foto.155834.jpg</t>
  </si>
  <si>
    <t>26/07/2026 (Sangria) - Marcos Vinícius - R$ 600,00</t>
  </si>
  <si>
    <t>1eaa1fc7c</t>
  </si>
  <si>
    <t>R$ 8,48</t>
  </si>
  <si>
    <t>dc4d6386</t>
  </si>
  <si>
    <t>1645818</t>
  </si>
  <si>
    <t>Saida Outros: lanche de hj</t>
  </si>
  <si>
    <t>Queluz supermercados (30/09/2025) - Produtos de higiene para loja</t>
  </si>
  <si>
    <t>Notas_Images/dc4d6386.Foto.214002.jpg</t>
  </si>
  <si>
    <t>26/07/2026 (Compra de Mercadorias) -  - R$ 8,48</t>
  </si>
  <si>
    <t>1b6b31119</t>
  </si>
  <si>
    <t>R$ 16,61</t>
  </si>
  <si>
    <t>72616ca7</t>
  </si>
  <si>
    <t>a1127f50</t>
  </si>
  <si>
    <t>Darnel (01/10/2025) - Teste Mafra sc</t>
  </si>
  <si>
    <t>15b968fc3</t>
  </si>
  <si>
    <t>1645819</t>
  </si>
  <si>
    <t>26/07/2026 (Consumo) - Ana Carolina - R$ 16,61</t>
  </si>
  <si>
    <t>Notas_Images/72616ca7.Foto.203505.jpg</t>
  </si>
  <si>
    <t>Teste Mafra sc</t>
  </si>
  <si>
    <t>Servicos</t>
  </si>
  <si>
    <t>R$ 15,97</t>
  </si>
  <si>
    <t>f9bbe920</t>
  </si>
  <si>
    <t>1ef84e870</t>
  </si>
  <si>
    <t>Passarela Center via atacadista (02/10/2025) - Compra de uva e materiais de limpeza</t>
  </si>
  <si>
    <t>26/07/2026 (Consumo) - Sabrina - R$ 15,97</t>
  </si>
  <si>
    <t>Notas_Images/f9bbe920.Foto.193421.jpg</t>
  </si>
  <si>
    <t>Compra de uva e materiais de limpeza</t>
  </si>
  <si>
    <t>R$ 102,00</t>
  </si>
  <si>
    <t>Saida Outros: troca de moedas com cliente</t>
  </si>
  <si>
    <t>09eac972</t>
  </si>
  <si>
    <t>1fcfa8e7f</t>
  </si>
  <si>
    <t>26/07/2026 (Caixa Troco) -  - R$ 102,00</t>
  </si>
  <si>
    <t>be696e90</t>
  </si>
  <si>
    <t>Consumo de água</t>
  </si>
  <si>
    <t>db6cd407</t>
  </si>
  <si>
    <t>JN EMBALAGENS (02/10/2025) - Compra de luva e touca</t>
  </si>
  <si>
    <t>1649335</t>
  </si>
  <si>
    <t>Notas_Images/09eac972.Foto.193449.jpg</t>
  </si>
  <si>
    <t>Compra de luva e touca</t>
  </si>
  <si>
    <t>Entrada Outros: entrada no armario de 102,00 em moedas</t>
  </si>
  <si>
    <t>128c51261</t>
  </si>
  <si>
    <t>3e6a5c50</t>
  </si>
  <si>
    <t>26/07/2026 (Caixa Troco) -  - R$ 0,01</t>
  </si>
  <si>
    <t>FO-BRAN BEBIDAS (03/10/2025) - Pagamento de bebidas</t>
  </si>
  <si>
    <t>1649337</t>
  </si>
  <si>
    <t>Notas_Images/3e6a5c50.Foto.193642.jpg</t>
  </si>
  <si>
    <t>R$ 17,85</t>
  </si>
  <si>
    <t>ead7ea56</t>
  </si>
  <si>
    <t>27/07/2026 (Consumo) - Ana Carolina - R$ 17,85</t>
  </si>
  <si>
    <t>Amadelli (29/09/2025) - Carga gelada</t>
  </si>
  <si>
    <t>1649346</t>
  </si>
  <si>
    <t>Notas_Images/ead7ea56.Foto.194540.jpg</t>
  </si>
  <si>
    <t>R$ 33,60</t>
  </si>
  <si>
    <t>Notas_Images/ead7ea56.Foto 1.194540.jpg</t>
  </si>
  <si>
    <t>Notas_Images/ead7ea56.Foto 2.194540.jpg</t>
  </si>
  <si>
    <t>f47ac047</t>
  </si>
  <si>
    <t>27/07/2026 (Consumo) - Sabrina - R$ 33,60</t>
  </si>
  <si>
    <t>1656142</t>
  </si>
  <si>
    <t>Amadelli (01/10/2025) - Carga seca</t>
  </si>
  <si>
    <t>Notas_Images/f47ac047.Foto.195309.jpg</t>
  </si>
  <si>
    <t>12ad9c82a</t>
  </si>
  <si>
    <t>Notas_Images/f47ac047.Foto 1.195309.jpg</t>
  </si>
  <si>
    <t>Honorários</t>
  </si>
  <si>
    <t>906d2d84</t>
  </si>
  <si>
    <t>27/07/2026 (Consumo) - Sabrina - R$ 13,29</t>
  </si>
  <si>
    <t>Suco prats (06/10/2025) - Pagamento de sucos e agua de coco</t>
  </si>
  <si>
    <t>Notas_Images/906d2d84.Foto.194542.jpg</t>
  </si>
  <si>
    <t>Pagamento de sucos e agua de coco</t>
  </si>
  <si>
    <t>R$ 112,00</t>
  </si>
  <si>
    <t>1655470</t>
  </si>
  <si>
    <t>Saida Outros: pagamento free rafa 13h30 as 21h</t>
  </si>
  <si>
    <t>aeea1cf9</t>
  </si>
  <si>
    <t>27/07/2026 (Freelancer) -  - R$ 112,00</t>
  </si>
  <si>
    <t>FO-BRAN BEBIDAS (07/10/2025) - Pagamento de bebidas</t>
  </si>
  <si>
    <t>Notas_Images/aeea1cf9.Foto.175637.jpg</t>
  </si>
  <si>
    <t>R$ 51,00</t>
  </si>
  <si>
    <t>12867e4b</t>
  </si>
  <si>
    <t>Saida Outros: pagamento de free ana limpeza da segunda feira (faltou funciionaria</t>
  </si>
  <si>
    <t>Big lojas (08/10/2025) - Produtos para loja</t>
  </si>
  <si>
    <t>1657738</t>
  </si>
  <si>
    <t>Notas_Images/12867e4b.Foto.201615.jpg</t>
  </si>
  <si>
    <t>Produtos para loja</t>
  </si>
  <si>
    <t>28/07/2026 (Freelancer) -  - R$ 51,00</t>
  </si>
  <si>
    <t>18dc0e8a</t>
  </si>
  <si>
    <t>14c8969e2</t>
  </si>
  <si>
    <t>R$ 355,76</t>
  </si>
  <si>
    <t>Saida Outros: compra para aloja 27/07</t>
  </si>
  <si>
    <t>53a4bcc0</t>
  </si>
  <si>
    <t>Compra 3/5</t>
  </si>
  <si>
    <t>Loja do 7,99 (08/10/2025) - Produtos para loja</t>
  </si>
  <si>
    <t>Notas_Images/18dc0e8a.Foto.201755.jpg</t>
  </si>
  <si>
    <t>0ff90e1a</t>
  </si>
  <si>
    <t>1660412</t>
  </si>
  <si>
    <t>28/07/2026 (Compra de Mercadorias) -  - R$ 355,76</t>
  </si>
  <si>
    <t>92da29a2</t>
  </si>
  <si>
    <t>Queluz supermercados (05/10/2025) - Frutas para loja</t>
  </si>
  <si>
    <t>R$ 413,80</t>
  </si>
  <si>
    <t>Notas_Images/92da29a2.Foto.200500.jpg</t>
  </si>
  <si>
    <t>Saida Outros: compra para a loja 23/07</t>
  </si>
  <si>
    <t>8ddaa8a5</t>
  </si>
  <si>
    <t>1830be18</t>
  </si>
  <si>
    <t>28/07/2026 (Compra de Mercadorias) -  - R$ 413,80</t>
  </si>
  <si>
    <t>1c3563ecc</t>
  </si>
  <si>
    <t>1660840</t>
  </si>
  <si>
    <t>Queluz supermercados (09/10/2025) - Frutas para loja</t>
  </si>
  <si>
    <t>Notas_Images/1830be18.Foto.200618.jpg</t>
  </si>
  <si>
    <t>R$ 14,57</t>
  </si>
  <si>
    <t>Pedido 80864 Nota de serviço</t>
  </si>
  <si>
    <t>5ea0d696</t>
  </si>
  <si>
    <t>Queluz supermercados (04/10/2025) - Lanche para funcionários</t>
  </si>
  <si>
    <t>28/07/2026 (Consumo) - Jaara - R$ 14,57</t>
  </si>
  <si>
    <t>17d900664</t>
  </si>
  <si>
    <t>Notas_Images/5ea0d696.Foto.200746.jpg</t>
  </si>
  <si>
    <t>Pedido 78682 Nota de serviço</t>
  </si>
  <si>
    <t>a00ec60e</t>
  </si>
  <si>
    <t>Saida Outros: consumo da ganhadora do sorteio 29 copos</t>
  </si>
  <si>
    <t>Passarela Center via atacadista (06/10/2025) - Frutas e sucos para loja</t>
  </si>
  <si>
    <t>Notas_Images/a00ec60e.Foto.200902.jpg</t>
  </si>
  <si>
    <t>Frutas e sucos para loja</t>
  </si>
  <si>
    <t>1993029ec</t>
  </si>
  <si>
    <t>28/07/2026 (Cortesias) -  - R$ 20,58</t>
  </si>
  <si>
    <t>cf137145</t>
  </si>
  <si>
    <t>Pedido 80868 Nota de serviço</t>
  </si>
  <si>
    <t>Passarela Center via atacadista (07/10/2025) - Compra de produtos e frutas</t>
  </si>
  <si>
    <t>Saida Outros: saida de consumo feita errada (consumo jaara correto</t>
  </si>
  <si>
    <t>Notas_Images/cf137145.Foto.214930.jpg</t>
  </si>
  <si>
    <t>Compra de produtos e frutas</t>
  </si>
  <si>
    <t>1f6d5423d</t>
  </si>
  <si>
    <t>28/07/2026 (Consumo) - Jaara - R$ 0,01</t>
  </si>
  <si>
    <t>273b16e4</t>
  </si>
  <si>
    <t>8ea15658</t>
  </si>
  <si>
    <t>Reembolso Conta Daniel</t>
  </si>
  <si>
    <t>d6fc9dea</t>
  </si>
  <si>
    <t>ac1f0918</t>
  </si>
  <si>
    <t>Rafaella balões (10/10/2025) - Compra de balões pra loja</t>
  </si>
  <si>
    <t>Notas_Images/273b16e4.Foto.221922.jpg</t>
  </si>
  <si>
    <t>Compra de balões pra loja</t>
  </si>
  <si>
    <t>Saida Outros: free rafa 14h as 21h30</t>
  </si>
  <si>
    <t>92784572</t>
  </si>
  <si>
    <t>fa93a5b4</t>
  </si>
  <si>
    <t>28/07/2026 (Freelancer) -  - R$ 120,00</t>
  </si>
  <si>
    <t>1af4f8be3</t>
  </si>
  <si>
    <t>Passarela Center via atacadista (10/10/2025) - Produtos para loja, e lanche para funcionários.</t>
  </si>
  <si>
    <t>d72767e6</t>
  </si>
  <si>
    <t>1664381</t>
  </si>
  <si>
    <t>Notas_Images/fa93a5b4.Foto.012527.jpg</t>
  </si>
  <si>
    <t>Combustível</t>
  </si>
  <si>
    <t>Produtos para loja, e lanche para funcionários.</t>
  </si>
  <si>
    <t>d57227f3</t>
  </si>
  <si>
    <t>b05bcad6</t>
  </si>
  <si>
    <t>29/07/2026 (Consumo) - Ana Carolina - R$ 7,28</t>
  </si>
  <si>
    <t>Queluz supermercados (11/10/2025) - Lanche para funcionários</t>
  </si>
  <si>
    <t>Notas_Images/b05bcad6.Foto.012704.jpg</t>
  </si>
  <si>
    <t>1bd4a75f7</t>
  </si>
  <si>
    <t>00bbbc94</t>
  </si>
  <si>
    <t>3d35840a</t>
  </si>
  <si>
    <t>Café Joice e Marcos</t>
  </si>
  <si>
    <t>Saida Outros: consumo Ana</t>
  </si>
  <si>
    <t>f08fbc86</t>
  </si>
  <si>
    <t>Queluz supermercados (03/10/2025) - Lanche para funcionários da loja, data 03/10</t>
  </si>
  <si>
    <t>Notas_Images/3d35840a.Foto.012849.jpg</t>
  </si>
  <si>
    <t>Lanche para funcionários da loja, data 03/10</t>
  </si>
  <si>
    <t>29/07/2026 (Consumo) - Ana Carolina - R$ 4,00</t>
  </si>
  <si>
    <t>185c04ae9</t>
  </si>
  <si>
    <t>a7ecd360</t>
  </si>
  <si>
    <t>R$ 123,60</t>
  </si>
  <si>
    <t>Lanche equipe</t>
  </si>
  <si>
    <t>Saida Outros: pagamento de bebidas</t>
  </si>
  <si>
    <t>FO-BRAN BEBIDAS (14/10/2025) - Pagamento de bebidas</t>
  </si>
  <si>
    <t>Notas_Images/a7ecd360.Foto.222359.jpg</t>
  </si>
  <si>
    <t>870087be</t>
  </si>
  <si>
    <t>29/07/2026 (Compra de Mercadorias) -  - R$ 123,60</t>
  </si>
  <si>
    <t>48fd1321</t>
  </si>
  <si>
    <t>12bb9c78b</t>
  </si>
  <si>
    <t>Embalagens (14/10/2025) - Produtos para loja</t>
  </si>
  <si>
    <t>Notas_Images/48fd1321.Foto.222524.jpg</t>
  </si>
  <si>
    <t>Recisão Erick/fgts</t>
  </si>
  <si>
    <t>1668885</t>
  </si>
  <si>
    <t>811e6a14</t>
  </si>
  <si>
    <t>12eac2a3c</t>
  </si>
  <si>
    <t>SC COPIAS (14/10/2025) - Grampeadores, fitas e caderno para loja, dia 14/10/2025.</t>
  </si>
  <si>
    <t>Notas_Images/811e6a14.Foto.170711.jpg</t>
  </si>
  <si>
    <t>Imposto</t>
  </si>
  <si>
    <t>Grampeadores, fitas e caderno para loja, dia 14/10/2025.</t>
  </si>
  <si>
    <t>4e8416f3</t>
  </si>
  <si>
    <t>30/07/2026 (Consumo) - Ana Carolina - R$ 7,16</t>
  </si>
  <si>
    <t>1a0e3da3c</t>
  </si>
  <si>
    <t>Queluz supermercados (12/10/2025) - Lanche para funcionários da loja, dia 12/10/2025</t>
  </si>
  <si>
    <t>Notas_Images/4e8416f3.Foto.170843.jpg</t>
  </si>
  <si>
    <t>1671779</t>
  </si>
  <si>
    <t>Lanche para funcionários da loja, dia 12/10/2025</t>
  </si>
  <si>
    <t>R$ 105,19</t>
  </si>
  <si>
    <t>Saida Outros: compra para loja 29/07</t>
  </si>
  <si>
    <t>70fb05c1</t>
  </si>
  <si>
    <t>1fb19e688</t>
  </si>
  <si>
    <t>25d02d47</t>
  </si>
  <si>
    <t>Queluz supermercados (15/10/2025) - Lanche para funcionários da loja, dia 15/10/2025</t>
  </si>
  <si>
    <t>Notas_Images/70fb05c1.Foto.171015.jpg</t>
  </si>
  <si>
    <t>Lanche para funcionários da loja, dia 15/10/2025</t>
  </si>
  <si>
    <t>30/07/2026 (Compra de Mercadorias) -  - R$ 105,19</t>
  </si>
  <si>
    <t>27253c29</t>
  </si>
  <si>
    <t>Recarga celular</t>
  </si>
  <si>
    <t>6fedeba3</t>
  </si>
  <si>
    <t>94aed240</t>
  </si>
  <si>
    <t>R$ 14,70</t>
  </si>
  <si>
    <t>Passarela Center via atacadista (13/10/2025) - Frutas e sucos para loja, dia 13/10/2025.</t>
  </si>
  <si>
    <t>1673054</t>
  </si>
  <si>
    <t>Notas_Images/94aed240.Foto.171145.jpg</t>
  </si>
  <si>
    <t>11674baa4</t>
  </si>
  <si>
    <t>Frutas e sucos para loja, dia 13/10/2025.</t>
  </si>
  <si>
    <t>Simples nacional</t>
  </si>
  <si>
    <t>30/07/2026 (Consumo) - Sabrina - R$ 14,70</t>
  </si>
  <si>
    <t>df8819a3</t>
  </si>
  <si>
    <t>Amadelli (14/10/2025) - Carga gelada</t>
  </si>
  <si>
    <t>R$ 14,46</t>
  </si>
  <si>
    <t>Notas_Images/df8819a3.Foto.211211.jpg</t>
  </si>
  <si>
    <t>15e7ef7f9</t>
  </si>
  <si>
    <t>Notas_Images/df8819a3.Foto 1.211211.jpg</t>
  </si>
  <si>
    <t>1673110</t>
  </si>
  <si>
    <t>8359aead</t>
  </si>
  <si>
    <t>6358b633</t>
  </si>
  <si>
    <t>31/07/2026 (Consumo) - Ana Carolina - R$ 14,46</t>
  </si>
  <si>
    <t>Amadelli (15/10/2025) - Carga seca</t>
  </si>
  <si>
    <t>R$ 14,82</t>
  </si>
  <si>
    <t>Notas_Images/6358b633.Foto.211526.jpg</t>
  </si>
  <si>
    <t>1f3fd85bf</t>
  </si>
  <si>
    <t>3b09bbbd</t>
  </si>
  <si>
    <t>exame admissional Janaina</t>
  </si>
  <si>
    <t>1673095</t>
  </si>
  <si>
    <t>31/07/2026 (Consumo) - Sabrina - R$ 14,82</t>
  </si>
  <si>
    <t>a680a32c</t>
  </si>
  <si>
    <t>Morangos França (03/10/2025) - Compra de morangos</t>
  </si>
  <si>
    <t>R$ 20,96</t>
  </si>
  <si>
    <t>Notas_Images/a680a32c.Foto.224120.jpg</t>
  </si>
  <si>
    <t>15a002f63</t>
  </si>
  <si>
    <t>f83ddadf</t>
  </si>
  <si>
    <t>Rescisão Erick</t>
  </si>
  <si>
    <t>a52802eb</t>
  </si>
  <si>
    <t>2cc7403f</t>
  </si>
  <si>
    <t>1673091</t>
  </si>
  <si>
    <t>31/07/2026 (Consumo) - Sabrina - R$ 20,96</t>
  </si>
  <si>
    <t>77789568</t>
  </si>
  <si>
    <t>Queluz supermercados (19/10/2025) - Frutas para loja.</t>
  </si>
  <si>
    <t>Notas_Images/2cc7403f.Foto.012317.jpg</t>
  </si>
  <si>
    <t>R$ 179,00</t>
  </si>
  <si>
    <t>Frutas para loja.</t>
  </si>
  <si>
    <t>Saida Outros: 20 und de uvas</t>
  </si>
  <si>
    <t>2/2 parcela laudos</t>
  </si>
  <si>
    <t>64ce9000</t>
  </si>
  <si>
    <t>ad997357</t>
  </si>
  <si>
    <t>1673086</t>
  </si>
  <si>
    <t>Queluz supermercados (18/10/2025) - Lanche para funcionários.</t>
  </si>
  <si>
    <t>162c1c69c</t>
  </si>
  <si>
    <t>Pedido 83371 nota de serviço</t>
  </si>
  <si>
    <t>31/07/2026 (Compra de Mercadorias) -  - R$ 179,00</t>
  </si>
  <si>
    <t>1b8e9e47e</t>
  </si>
  <si>
    <t>Notas_Images/64ce9000.Foto.012409.jpg</t>
  </si>
  <si>
    <t>R$ 407,46</t>
  </si>
  <si>
    <t>Pedido 83330 Nota de serviço</t>
  </si>
  <si>
    <t>Saida Outros: compra pra loja 31/07</t>
  </si>
  <si>
    <t>Lanche para funcionários.</t>
  </si>
  <si>
    <t>1673081</t>
  </si>
  <si>
    <t>496e89c7</t>
  </si>
  <si>
    <t>11c9566f5</t>
  </si>
  <si>
    <t>31/07/2026 (Compra de Mercadorias) -  - R$ 407,46</t>
  </si>
  <si>
    <t>836081fd</t>
  </si>
  <si>
    <t>Pedido 82230 Nota de serviço</t>
  </si>
  <si>
    <t>793c2e7a</t>
  </si>
  <si>
    <t>Passarela Center via atacadista (17/10/2025) - 1749382</t>
  </si>
  <si>
    <t>Notas_Images/836081fd.Foto.012536.jpg</t>
  </si>
  <si>
    <t>R$ 49,40</t>
  </si>
  <si>
    <t>1bc42794d</t>
  </si>
  <si>
    <t>1674144</t>
  </si>
  <si>
    <t>Saida Outros: papel filme e despenser de sabão</t>
  </si>
  <si>
    <t>53b4da21</t>
  </si>
  <si>
    <t>Pedido 82230 Cartaz campanha algodão doce</t>
  </si>
  <si>
    <t>Notas_Images/53b4da21.Foto.213548.jpg</t>
  </si>
  <si>
    <t>e18b23c0</t>
  </si>
  <si>
    <t>31/07/2026 (Compra de Mercadorias) -  - R$ 49,40</t>
  </si>
  <si>
    <t>13c287f6</t>
  </si>
  <si>
    <t>1675264</t>
  </si>
  <si>
    <t>MercadoLivre (16/10/2025) - Pagamento de dois rolos de panos hiperflex, valor dos panos 114,54 porém teve o valor do frete cobrado 23,99.</t>
  </si>
  <si>
    <t>Notas_Images/13c287f6.Foto.194209.jpg</t>
  </si>
  <si>
    <t>R$ 13,08</t>
  </si>
  <si>
    <t>Pagamento de dois rolos de panos hiperflex, valor dos panos 114,54 porém teve o valor do frete cobrado 23,99.</t>
  </si>
  <si>
    <t>Saida Outros: compra de manga</t>
  </si>
  <si>
    <t>c30eca72</t>
  </si>
  <si>
    <t>1676824</t>
  </si>
  <si>
    <t>9be069a9</t>
  </si>
  <si>
    <t>fd60c5cb</t>
  </si>
  <si>
    <t>Torri e torri (20/10/2025) - Almoço para funcionários</t>
  </si>
  <si>
    <t>Notas_Images/c30eca72.Foto.194329.jpg</t>
  </si>
  <si>
    <t>31/07/2026 (Compra de Mercadorias) -  - R$ 13,08</t>
  </si>
  <si>
    <t>Almoço para funcionários</t>
  </si>
  <si>
    <t>8994348b</t>
  </si>
  <si>
    <t>1676822</t>
  </si>
  <si>
    <t>R$ 222,00</t>
  </si>
  <si>
    <t>Comércio de variedades (22/10/2025) - Balança e duas pilhas para loja</t>
  </si>
  <si>
    <t>Notas_Images/8994348b.Foto.210441.jpg</t>
  </si>
  <si>
    <t>Balança e duas pilhas para loja</t>
  </si>
  <si>
    <t>d3a631cc</t>
  </si>
  <si>
    <t>1676819</t>
  </si>
  <si>
    <t>31/07/2026 (Compra de Mercadorias) -  - R$ 222,00</t>
  </si>
  <si>
    <t>148bb620</t>
  </si>
  <si>
    <t>R$ 1.200,00</t>
  </si>
  <si>
    <t>Notas_Images/148bb620.Foto.164341.jpg</t>
  </si>
  <si>
    <t>Saida Outros: sangria sabrina 01/08</t>
  </si>
  <si>
    <t>1677686</t>
  </si>
  <si>
    <t>86e2defe</t>
  </si>
  <si>
    <t>FO-BRAN (23/10/2025) - Compra de refrigerantes</t>
  </si>
  <si>
    <t>Notas_Images/86e2defe.Foto.205505.jpg</t>
  </si>
  <si>
    <t>Compra de refrigerantes</t>
  </si>
  <si>
    <t>01/08/2026 (Sangria) - Sabrina - R$ 1.200,00</t>
  </si>
  <si>
    <t>0b45d5eb</t>
  </si>
  <si>
    <t>1680014</t>
  </si>
  <si>
    <t>Passarela Center via atacadista (23/10/2025) - Compra de frutas lanche e produtos</t>
  </si>
  <si>
    <t>R$ 13,50</t>
  </si>
  <si>
    <t>Notas_Images/0b45d5eb.Foto.205632.jpg</t>
  </si>
  <si>
    <t>Compra de frutas lanche e produtos</t>
  </si>
  <si>
    <t>Saida Outros: compra de impressões para loja 01/08</t>
  </si>
  <si>
    <t>353425d4</t>
  </si>
  <si>
    <t>cfdb5ad7</t>
  </si>
  <si>
    <t>16775785</t>
  </si>
  <si>
    <t>Mais morangos vacaria (21/10/2025) - Pagamento de morangos do referente o dia 21/10/2025</t>
  </si>
  <si>
    <t>Notas_Images/353425d4.Foto.215635.jpg</t>
  </si>
  <si>
    <t>Pagamento de morangos do referente o dia 21/10/2025</t>
  </si>
  <si>
    <t>01/08/2026 (Compra de Mercadorias) -  - R$ 13,50</t>
  </si>
  <si>
    <t>R$ 7,00</t>
  </si>
  <si>
    <t>cb201d8d</t>
  </si>
  <si>
    <t>1674693</t>
  </si>
  <si>
    <t>Saida Outros: compra de produto para loja 01/08</t>
  </si>
  <si>
    <t>Mais morangos vacaria (24/10/2025) - Pagamento de morangos.</t>
  </si>
  <si>
    <t>Notas_Images/cb201d8d.Foto.215803.jpg</t>
  </si>
  <si>
    <t>46c1f19a</t>
  </si>
  <si>
    <t>4956a496</t>
  </si>
  <si>
    <t>01/08/2026 (Compra de Mercadorias) -  - R$ 7,00</t>
  </si>
  <si>
    <t>1683466</t>
  </si>
  <si>
    <t>SC COPIAS (24/10/2025) - Coisas para o caixa, e para loja</t>
  </si>
  <si>
    <t>Notas_Images/4956a496.Foto.215912.jpg</t>
  </si>
  <si>
    <t>Coisas para o caixa, e para loja</t>
  </si>
  <si>
    <t>7507d923</t>
  </si>
  <si>
    <t>Celesc (10/11/2025) - Energia elétrica</t>
  </si>
  <si>
    <t>Saida Outros: free marcos 13h as 20h</t>
  </si>
  <si>
    <t>Notas_Images/7507d923.Foto.182746.jpg</t>
  </si>
  <si>
    <t>Energia elétrica</t>
  </si>
  <si>
    <t>ffb7ff7d</t>
  </si>
  <si>
    <t>01/08/2026 (Freelancer) -  - R$ 105,00</t>
  </si>
  <si>
    <t>Passarela Center via atacadista (26/10/2025) - Frutas e lanches para loja , data da compra dia 26/10/2025</t>
  </si>
  <si>
    <t>Notas_Images/ffb7ff7d.Foto.191854.jpg</t>
  </si>
  <si>
    <t>Frutas e lanches para loja , data da compra dia 26/10/2025</t>
  </si>
  <si>
    <t>692e5edf</t>
  </si>
  <si>
    <t>R$ 18,28</t>
  </si>
  <si>
    <t>Santa Clara pros limpeza (27/10/2025) - Compras de saco de lixo</t>
  </si>
  <si>
    <t>Saida Outros: copo aniversariante</t>
  </si>
  <si>
    <t>Notas_Images/692e5edf.Foto.160853.jpg</t>
  </si>
  <si>
    <t>Compras de saco de lixo</t>
  </si>
  <si>
    <t>1c0e526d51</t>
  </si>
  <si>
    <t>01/08/2026 (Cortesias) -  - R$ 18,28</t>
  </si>
  <si>
    <t>153f5b5cc</t>
  </si>
  <si>
    <t>R$ 24,00</t>
  </si>
  <si>
    <t>Recibo</t>
  </si>
  <si>
    <t>1db00f673</t>
  </si>
  <si>
    <t>Holerite</t>
  </si>
  <si>
    <t>02/08/2026 (Consumo) - Ana Carolina - R$ 24,00</t>
  </si>
  <si>
    <t>1e3c7dad8</t>
  </si>
  <si>
    <t>Setembro</t>
  </si>
  <si>
    <t>173e997b6</t>
  </si>
  <si>
    <t>110da63e3</t>
  </si>
  <si>
    <t>1688235</t>
  </si>
  <si>
    <t>02/08/2026 (Consumo) - Sabrina - R$ 9,00</t>
  </si>
  <si>
    <t>142adb9e81</t>
  </si>
  <si>
    <t>R$ 17,90</t>
  </si>
  <si>
    <t>1688481</t>
  </si>
  <si>
    <t>Saida Outros: CONSUMO SABRINA</t>
  </si>
  <si>
    <t>163c725c3</t>
  </si>
  <si>
    <t>Nexa painel</t>
  </si>
  <si>
    <t>02/08/2026 (Consumo) - Sabrina - R$ 17,90</t>
  </si>
  <si>
    <t>1b63d39c1</t>
  </si>
  <si>
    <t>Agua</t>
  </si>
  <si>
    <t>1688483</t>
  </si>
  <si>
    <t>R$ 1.250,00</t>
  </si>
  <si>
    <t>1038e1a43</t>
  </si>
  <si>
    <t>Saida Outros: sangria marcos 02/08</t>
  </si>
  <si>
    <t>18d7d98c111</t>
  </si>
  <si>
    <t>b79dad0b</t>
  </si>
  <si>
    <t>1689248</t>
  </si>
  <si>
    <t>02/08/2026 (Sangria) - Marcos Vinícius - R$ 1.250,00</t>
  </si>
  <si>
    <t>monitoramento cameras</t>
  </si>
  <si>
    <t>Saida Outros: free rafa 13h as 21h45</t>
  </si>
  <si>
    <t>1689849</t>
  </si>
  <si>
    <t>12ad9c82a111</t>
  </si>
  <si>
    <t>02/08/2026 (Freelancer) -  - R$ 130,00</t>
  </si>
  <si>
    <t>18f1eb70c11</t>
  </si>
  <si>
    <t>1691299</t>
  </si>
  <si>
    <t>R$ 79,36</t>
  </si>
  <si>
    <t>14c2703181</t>
  </si>
  <si>
    <t>Saida Outros: retirada de copos de troca de moedas</t>
  </si>
  <si>
    <t>Compra 4/5</t>
  </si>
  <si>
    <t>14eb034961</t>
  </si>
  <si>
    <t>1691207</t>
  </si>
  <si>
    <t>03/08/2026 (Cortesias) -  - R$ 79,36</t>
  </si>
  <si>
    <t>Pedido 85137 nota de serviço ...desconto de 1143,66</t>
  </si>
  <si>
    <t>1ff9c2265</t>
  </si>
  <si>
    <t>Adiantamento Rayana</t>
  </si>
  <si>
    <t>1697595</t>
  </si>
  <si>
    <t>143223d1d1</t>
  </si>
  <si>
    <t>03/08/2026 (Consumo) - Ana Carolina - R$ 5,00</t>
  </si>
  <si>
    <t>14b81b17e</t>
  </si>
  <si>
    <t>1697596</t>
  </si>
  <si>
    <t>Pedido 85145 nota de serviço</t>
  </si>
  <si>
    <t>1697594</t>
  </si>
  <si>
    <t>13f0a40d2</t>
  </si>
  <si>
    <t>03/08/2026 (Consumo) - Ana Carolina - R$ 3,00</t>
  </si>
  <si>
    <t>Saldo pedido inicial</t>
  </si>
  <si>
    <t>R$ 13,67</t>
  </si>
  <si>
    <t>1700340</t>
  </si>
  <si>
    <t>03/08/2026 (Consumo) - Sabrina - R$ 13,67</t>
  </si>
  <si>
    <t>1700341</t>
  </si>
  <si>
    <t>R$ 90,00</t>
  </si>
  <si>
    <t>1ee0d8f20</t>
  </si>
  <si>
    <t>Saida Outros: pagamento free rafa 13h as 19h</t>
  </si>
  <si>
    <t>Reembolso conta Daniel</t>
  </si>
  <si>
    <t>1700594</t>
  </si>
  <si>
    <t>1c5aa714a</t>
  </si>
  <si>
    <t>03/08/2026 (Freelancer) -  - R$ 90,00</t>
  </si>
  <si>
    <t>Adiantamento Ana Carolina</t>
  </si>
  <si>
    <t>1700583</t>
  </si>
  <si>
    <t>19263d8d5</t>
  </si>
  <si>
    <t>ea84fc9b</t>
  </si>
  <si>
    <t>Despesas</t>
  </si>
  <si>
    <t>129468dcb</t>
  </si>
  <si>
    <t>ee20c819</t>
  </si>
  <si>
    <t>1700596</t>
  </si>
  <si>
    <t>1c3559e6b</t>
  </si>
  <si>
    <t>88d23c2d</t>
  </si>
  <si>
    <t>Decoração natal</t>
  </si>
  <si>
    <t>1704178</t>
  </si>
  <si>
    <t>17dc20715</t>
  </si>
  <si>
    <t>Boleto Serviço Pedido 86968</t>
  </si>
  <si>
    <t>1705333</t>
  </si>
  <si>
    <t>1b87ea23e</t>
  </si>
  <si>
    <t>Produto</t>
  </si>
  <si>
    <t>Quantidade</t>
  </si>
  <si>
    <t>ValorTotal</t>
  </si>
  <si>
    <t>ITEM-1c0e526d51-1</t>
  </si>
  <si>
    <t>140c0baf8</t>
  </si>
  <si>
    <t>1a91d450</t>
  </si>
  <si>
    <t>1710125</t>
  </si>
  <si>
    <t>ITEM-153f5b5cc-1</t>
  </si>
  <si>
    <t>1510b93b9</t>
  </si>
  <si>
    <t>Pedido 87343 nota de serviço</t>
  </si>
  <si>
    <t>ITEM-1db00f673-1</t>
  </si>
  <si>
    <t>17de485b9</t>
  </si>
  <si>
    <t>Pedido 86975 nota de serviço</t>
  </si>
  <si>
    <t>1711373</t>
  </si>
  <si>
    <t>ITEM-1e3c7dad8-1</t>
  </si>
  <si>
    <t>14f6abe961</t>
  </si>
  <si>
    <t>ITEM-173e997b6-1</t>
  </si>
  <si>
    <t>1712047</t>
  </si>
  <si>
    <t>Reembolso conta daniel</t>
  </si>
  <si>
    <t>ITEM-110da63e3-1</t>
  </si>
  <si>
    <t>112e7c45f1</t>
  </si>
  <si>
    <t>Compra 5/5</t>
  </si>
  <si>
    <t>234556</t>
  </si>
  <si>
    <t>ITEM-142adb9e81-1</t>
  </si>
  <si>
    <t>1caa682861</t>
  </si>
  <si>
    <t>ITEM-163c725c3-1</t>
  </si>
  <si>
    <t>Copiadora taliana (29/10/2025) - Impressões e plastificacao para loja.</t>
  </si>
  <si>
    <t>Notas_Images/85183076.Foto.202058.jpg</t>
  </si>
  <si>
    <t>1715603</t>
  </si>
  <si>
    <t>Impressões e plastificacao para loja.</t>
  </si>
  <si>
    <t>ITEM-1b63d39c1-1</t>
  </si>
  <si>
    <t>10f4b7a9</t>
  </si>
  <si>
    <t>90af3ba8</t>
  </si>
  <si>
    <t>ITEM-1038e1a43-1</t>
  </si>
  <si>
    <t>Passarela Center via atacadista (27/10/2025) - Produtos para loja.</t>
  </si>
  <si>
    <t>Notas_Images/90af3ba8.Foto.202218.jpg</t>
  </si>
  <si>
    <t>Produtos para loja.</t>
  </si>
  <si>
    <t>3bc42cbf</t>
  </si>
  <si>
    <t>ITEM-18d7d98c111-1</t>
  </si>
  <si>
    <t>1715604</t>
  </si>
  <si>
    <t>Papelaria lux (29/10/2025) - Fita dupla face para loja</t>
  </si>
  <si>
    <t>Notas_Images/3bc42cbf.Foto.202330.jpg</t>
  </si>
  <si>
    <t>ITEM-12ad9c82a111-1</t>
  </si>
  <si>
    <t>bd50c390</t>
  </si>
  <si>
    <t>8004bc38</t>
  </si>
  <si>
    <t>1716488</t>
  </si>
  <si>
    <t>Copiadora Tatiana LTDA ME. (30/10/2025) - Impressões mais plastificacoes.</t>
  </si>
  <si>
    <t>ITEM-18f1eb70c11-1</t>
  </si>
  <si>
    <t>Notas_Images/bd50c390.Foto.211407.jpg</t>
  </si>
  <si>
    <t>Impressões mais plastificacoes.</t>
  </si>
  <si>
    <t>ITEM-14c2703181-1</t>
  </si>
  <si>
    <t>FO-BRAN BEBIDAS (30/10/2025) - Pagamento de bebidas.</t>
  </si>
  <si>
    <t>Notas_Images/42433421.Foto.211509.jpg</t>
  </si>
  <si>
    <t>Pagamento de bebidas.</t>
  </si>
  <si>
    <t>ITEM-14eb034961-1</t>
  </si>
  <si>
    <t>ITEM-1ff9c2265-1</t>
  </si>
  <si>
    <t>173eb7657</t>
  </si>
  <si>
    <t>ITEM-143223d1d1-1</t>
  </si>
  <si>
    <t>Pedido 88529 nota de serviço</t>
  </si>
  <si>
    <t>luely.tba@gmail.com</t>
  </si>
  <si>
    <t>1a5c8e5b6</t>
  </si>
  <si>
    <t>ITEM-14b81b17e-1</t>
  </si>
  <si>
    <t>Pedido 91155 nota de serviço</t>
  </si>
  <si>
    <t>15f15e856</t>
  </si>
  <si>
    <t>ITEM-143223d1d-1</t>
  </si>
  <si>
    <t>Pedido 91180</t>
  </si>
  <si>
    <t>1724471</t>
  </si>
  <si>
    <t>ITEM-13f0a40d2-1</t>
  </si>
  <si>
    <t>1fc9dc1b</t>
  </si>
  <si>
    <t>Amadelli (28/10/2025) - Carga gelada</t>
  </si>
  <si>
    <t>ITEM-1140-1</t>
  </si>
  <si>
    <t>Notas_Images/1fc9dc1b.Foto.170607.jpg</t>
  </si>
  <si>
    <t>Notas_Images/1fc9dc1b.Foto 1.170607.jpg</t>
  </si>
  <si>
    <t>1725974</t>
  </si>
  <si>
    <t>ITEM-1141-1</t>
  </si>
  <si>
    <t>8c1a232c</t>
  </si>
  <si>
    <t>Amadelli (28/10/2025) - Cartazes e dangler.</t>
  </si>
  <si>
    <t>ITEM-1142-1</t>
  </si>
  <si>
    <t>Notas_Images/8c1a232c.Foto.171223.jpg</t>
  </si>
  <si>
    <t>Cartazes e dangler.</t>
  </si>
  <si>
    <t>2b1c66f1</t>
  </si>
  <si>
    <t>ITEM-1143-1</t>
  </si>
  <si>
    <t>1727778</t>
  </si>
  <si>
    <t>Amadelli (29/10/2025) - Compra de secos</t>
  </si>
  <si>
    <t>Notas_Images/2b1c66f1.Foto.225403.jpg</t>
  </si>
  <si>
    <t>ITEM-1ee0d8f20-1</t>
  </si>
  <si>
    <t>Notas_Images/2b1c66f1.Foto 1.225403.jpg</t>
  </si>
  <si>
    <t>12e7c31ec</t>
  </si>
  <si>
    <t>ITEM-1c5aa714a-1</t>
  </si>
  <si>
    <t>Sal adm</t>
  </si>
  <si>
    <t>1727788</t>
  </si>
  <si>
    <t>ITEM-1144-1</t>
  </si>
  <si>
    <t>ITEM-19263d8d5-1</t>
  </si>
  <si>
    <t>58813a7c</t>
  </si>
  <si>
    <t>1729081</t>
  </si>
  <si>
    <t>ITEM-129468dcb-1</t>
  </si>
  <si>
    <t>c6c9b4c4</t>
  </si>
  <si>
    <t>ITEM-1c3559e6b-1</t>
  </si>
  <si>
    <t>34485af0</t>
  </si>
  <si>
    <t>Queluz supermercados (01/11/2025) - Frutas para loja.</t>
  </si>
  <si>
    <t>Notas_Images/c6c9b4c4.Foto.003821.jpg</t>
  </si>
  <si>
    <t>ITEM-1147-1</t>
  </si>
  <si>
    <t>c2a7c308</t>
  </si>
  <si>
    <t>1729078</t>
  </si>
  <si>
    <t>ITEM-1148-1</t>
  </si>
  <si>
    <t>Passarela Center via atacadista (31/10/2025) - Produtos e lanches para loja.</t>
  </si>
  <si>
    <t>Notas_Images/c2a7c308.Foto.003934.jpg</t>
  </si>
  <si>
    <t>Produtos e lanches para loja.</t>
  </si>
  <si>
    <t>ITEM-17dc20715-1</t>
  </si>
  <si>
    <t>d65dc42a</t>
  </si>
  <si>
    <t>ITEM-1b87ea23e-1</t>
  </si>
  <si>
    <t>1729077</t>
  </si>
  <si>
    <t>Queluz supermercados (02/11/2025) - Banana para loja.</t>
  </si>
  <si>
    <t>Notas_Images/d65dc42a.Foto.004022.jpg</t>
  </si>
  <si>
    <t>Banana para loja.</t>
  </si>
  <si>
    <t>ITEM-140c0baf8-1</t>
  </si>
  <si>
    <t>74a6c054</t>
  </si>
  <si>
    <t>ITEM-1510b93b9-1</t>
  </si>
  <si>
    <t>Passarela Center via atacadista (29/10/2025) - Produtos de limpeza para loja.</t>
  </si>
  <si>
    <t>Notas_Images/74a6c054.Foto.004125.jpg</t>
  </si>
  <si>
    <t>ITEM-17de485b9-1</t>
  </si>
  <si>
    <t>Produtos de limpeza para loja.</t>
  </si>
  <si>
    <t>1729074</t>
  </si>
  <si>
    <t>948932f4</t>
  </si>
  <si>
    <t>ITEM-1154-1</t>
  </si>
  <si>
    <t>Queluz supermercados (25/10/2025) - Lanche para funcionários da loja.</t>
  </si>
  <si>
    <t>Notas_Images/948932f4.Foto.004236.jpg</t>
  </si>
  <si>
    <t>Lanche para funcionários da loja.</t>
  </si>
  <si>
    <t>ITEM-14f6abe961-1</t>
  </si>
  <si>
    <t>1729293</t>
  </si>
  <si>
    <t>bc2eb807</t>
  </si>
  <si>
    <t>ITEM-112e7c45f1-1</t>
  </si>
  <si>
    <t>Queluz supermercados (02/11/2025) - Lanche para funcionários da loja.</t>
  </si>
  <si>
    <t>Notas_Images/bc2eb807.Foto.004350.jpg</t>
  </si>
  <si>
    <t>ITEM-1caa682861-1</t>
  </si>
  <si>
    <t>02182eaf</t>
  </si>
  <si>
    <t>ITEM-1161-1</t>
  </si>
  <si>
    <t>1730898</t>
  </si>
  <si>
    <t>Morangos França (03/11/2025) - 10kg de morangos</t>
  </si>
  <si>
    <t>Notas_Images/02182eaf.Foto.223819.jpg</t>
  </si>
  <si>
    <t>10kg de morangos</t>
  </si>
  <si>
    <t>ITEM-173eb7657-1</t>
  </si>
  <si>
    <t>fb3b72fe</t>
  </si>
  <si>
    <t>ITEM-1a5c8e5b6-1</t>
  </si>
  <si>
    <t>1733632</t>
  </si>
  <si>
    <t>e02c98c2</t>
  </si>
  <si>
    <t>PRATS (03/11/2025) - Suco prats</t>
  </si>
  <si>
    <t>Notas_Images/fb3b72fe.Foto.223925.jpg</t>
  </si>
  <si>
    <t>ITEM-15f15e856-1</t>
  </si>
  <si>
    <t>1638faf49</t>
  </si>
  <si>
    <t>ITEM-12e7c31ec-1</t>
  </si>
  <si>
    <t>1733671</t>
  </si>
  <si>
    <t>ITEM-1166-1</t>
  </si>
  <si>
    <t>13fe41f28</t>
  </si>
  <si>
    <t>Nexa ..Painel Publicitario</t>
  </si>
  <si>
    <t>ITEM-1167-1</t>
  </si>
  <si>
    <t>1733669</t>
  </si>
  <si>
    <t>1baa0b8ff</t>
  </si>
  <si>
    <t>ITEM-1638faf49-1</t>
  </si>
  <si>
    <t>Mensal</t>
  </si>
  <si>
    <t>ITEM-13fe41f28-1</t>
  </si>
  <si>
    <t>17e8075af</t>
  </si>
  <si>
    <t>ITEM-1baa0b8ff-1</t>
  </si>
  <si>
    <t>1739330</t>
  </si>
  <si>
    <t>17df17209</t>
  </si>
  <si>
    <t>ITEM-17e8075af-1</t>
  </si>
  <si>
    <t>ITEM-17df17209-1</t>
  </si>
  <si>
    <t>1317968c7</t>
  </si>
  <si>
    <t>1739329</t>
  </si>
  <si>
    <t>ITEM-1317968c7-1</t>
  </si>
  <si>
    <t>13329856e</t>
  </si>
  <si>
    <t>ITEM-13329856e-1</t>
  </si>
  <si>
    <t>12cab071c</t>
  </si>
  <si>
    <t>ITEM-12cab071c-1</t>
  </si>
  <si>
    <t>1744038</t>
  </si>
  <si>
    <t>c127f23c</t>
  </si>
  <si>
    <t>ITEM-1176-1</t>
  </si>
  <si>
    <t>ITEM-1177-1</t>
  </si>
  <si>
    <t>1744033</t>
  </si>
  <si>
    <t>ITEM-1178-1</t>
  </si>
  <si>
    <t>Mensalidade marketing</t>
  </si>
  <si>
    <t>a52b6943</t>
  </si>
  <si>
    <t>ITEM-1179-1</t>
  </si>
  <si>
    <t>b41d0a24</t>
  </si>
  <si>
    <t>Mensalidade sistema</t>
  </si>
  <si>
    <t>ITEM-149c9bd26-1</t>
  </si>
  <si>
    <t>149c9bd26</t>
  </si>
  <si>
    <t>246c610b</t>
  </si>
  <si>
    <t>1744017</t>
  </si>
  <si>
    <t>40eeecf2</t>
  </si>
  <si>
    <t>ITEM-1638adda1-1</t>
  </si>
  <si>
    <t>Mensalidade Royalties</t>
  </si>
  <si>
    <t>1638adda1</t>
  </si>
  <si>
    <t>e56e73f7</t>
  </si>
  <si>
    <t>ITEM-1b33dc0ab-1</t>
  </si>
  <si>
    <t>1b33dc0ab</t>
  </si>
  <si>
    <t>ce714364</t>
  </si>
  <si>
    <t>Conect cell (05/11/2025) - Pendrive novo para loja.</t>
  </si>
  <si>
    <t>Notas_Images/e56e73f7.Foto.160918.jpg</t>
  </si>
  <si>
    <t>1744019</t>
  </si>
  <si>
    <t>ITEM-17df18c06-1</t>
  </si>
  <si>
    <t>Pendrive novo para loja.</t>
  </si>
  <si>
    <t>17df18c06</t>
  </si>
  <si>
    <t>b78400e8</t>
  </si>
  <si>
    <t>ITEM-182d8ff3b-1</t>
  </si>
  <si>
    <t>182d8ff3b</t>
  </si>
  <si>
    <t>Comércio de variedades (05/11/2025) - Copo de milk shake para loja.</t>
  </si>
  <si>
    <t>Notas_Images/b78400e8.Foto.161018.jpg</t>
  </si>
  <si>
    <t>ITEM-10c28bfbd-1</t>
  </si>
  <si>
    <t>Copo de milk shake para loja.</t>
  </si>
  <si>
    <t>10c28bfbd</t>
  </si>
  <si>
    <t>6d6a9402</t>
  </si>
  <si>
    <t>42ce02c3</t>
  </si>
  <si>
    <t>ITEM-1186-1</t>
  </si>
  <si>
    <t>FO-BRAN BEBIDAS (04/11/2025) - Pagamento de bebidas.</t>
  </si>
  <si>
    <t>Notas_Images/42ce02c3.Foto.161214.jpg</t>
  </si>
  <si>
    <t>ITEM-1187-1</t>
  </si>
  <si>
    <t>ITEM-1188-1</t>
  </si>
  <si>
    <t>Morangos vacaria (31/10/2025) - Pagamento de morangos.</t>
  </si>
  <si>
    <t>Notas_Images/16497346.Foto.161411.jpg</t>
  </si>
  <si>
    <t>ITEM-1189-1</t>
  </si>
  <si>
    <t>ITEM-11cff49e7-1</t>
  </si>
  <si>
    <t>11cff49e7</t>
  </si>
  <si>
    <t>1716619</t>
  </si>
  <si>
    <t>d35958fe</t>
  </si>
  <si>
    <t>ITEM-10649b949-1</t>
  </si>
  <si>
    <t>10649b949</t>
  </si>
  <si>
    <t>Mais morangos vacaria (04/11/2025) - Pagamento de morangos</t>
  </si>
  <si>
    <t>Notas_Images/d35958fe.Foto.161815.jpg</t>
  </si>
  <si>
    <t>ITEM-1b536fd41-1</t>
  </si>
  <si>
    <t>1b536fd41</t>
  </si>
  <si>
    <t>1749371</t>
  </si>
  <si>
    <t>ITEM-1aad4e6ec-1</t>
  </si>
  <si>
    <t>1aad4e6ec</t>
  </si>
  <si>
    <t>Rena de Natal</t>
  </si>
  <si>
    <t>ITEM-1a7aa0cc8-1</t>
  </si>
  <si>
    <t>1a7aa0cc8</t>
  </si>
  <si>
    <t>9fb1ca98</t>
  </si>
  <si>
    <t>25a1d2f3</t>
  </si>
  <si>
    <t>ITEM-183758287-1</t>
  </si>
  <si>
    <t>Decoração</t>
  </si>
  <si>
    <t>ITEM-12dc3f453-1</t>
  </si>
  <si>
    <t>12dc3f453</t>
  </si>
  <si>
    <t>6c2d5ade</t>
  </si>
  <si>
    <t>dcebc2ed</t>
  </si>
  <si>
    <t>Decoração natal( Ctbanos será reembolsado por SB e RN</t>
  </si>
  <si>
    <t>ITEM-12e11b607-1</t>
  </si>
  <si>
    <t>12e11b607</t>
  </si>
  <si>
    <t>1749358</t>
  </si>
  <si>
    <t>3dc4cfe6</t>
  </si>
  <si>
    <t>ITEM-14627a4d8-1</t>
  </si>
  <si>
    <t>14627a4d8</t>
  </si>
  <si>
    <t>Santa Clara pros limpeza (05/11/2025) - Produtos de limpeza.</t>
  </si>
  <si>
    <t>Notas_Images/3dc4cfe6.Foto.174106.jpg</t>
  </si>
  <si>
    <t>Produtos de limpeza.</t>
  </si>
  <si>
    <t>1749382</t>
  </si>
  <si>
    <t>ITEM-1204-1</t>
  </si>
  <si>
    <t>68579df0</t>
  </si>
  <si>
    <t>ITEM-1c5ae370a-1</t>
  </si>
  <si>
    <t>1c5ae370a</t>
  </si>
  <si>
    <t>JN EMBALAGENS (06/11/2025) - Compra de produtos de higiene para loja.</t>
  </si>
  <si>
    <t>6a590a43</t>
  </si>
  <si>
    <t>Notas_Images/68579df0.Foto.174249.jpg</t>
  </si>
  <si>
    <t>Compra de produtos de higiene para loja.</t>
  </si>
  <si>
    <t>ITEM-1206-1</t>
  </si>
  <si>
    <t>ITEM-1207-1</t>
  </si>
  <si>
    <t>adiantamento</t>
  </si>
  <si>
    <t>ITEM-1eac0a834-1</t>
  </si>
  <si>
    <t>1eac0a834</t>
  </si>
  <si>
    <t>ITEM-1deaa78ec-1</t>
  </si>
  <si>
    <t>1deaa78ec</t>
  </si>
  <si>
    <t>ITEM-11af477b9-1</t>
  </si>
  <si>
    <t>11af477b9</t>
  </si>
  <si>
    <t>1751756</t>
  </si>
  <si>
    <t>ITEM-110953c2e-1</t>
  </si>
  <si>
    <t>110953c2e</t>
  </si>
  <si>
    <t>be704385</t>
  </si>
  <si>
    <t>ITEM-1c26ad9db-1</t>
  </si>
  <si>
    <t>Mais morangos vacaria (07/11/2025) - Compra de morangos</t>
  </si>
  <si>
    <t>1c26ad9db</t>
  </si>
  <si>
    <t>902a5e1e</t>
  </si>
  <si>
    <t>Notas_Images/be704385.Foto.233744.jpg</t>
  </si>
  <si>
    <t>1751740</t>
  </si>
  <si>
    <t>ITEM-1726f6805-1</t>
  </si>
  <si>
    <t>1726f6805</t>
  </si>
  <si>
    <t>872d2a3a</t>
  </si>
  <si>
    <t>1a1933ef</t>
  </si>
  <si>
    <t>9b8d99ba</t>
  </si>
  <si>
    <t>ITEM-11f725ffa-1</t>
  </si>
  <si>
    <t>Laffame (07/11/2025) - Compra de amarradores</t>
  </si>
  <si>
    <t>11f725ffa</t>
  </si>
  <si>
    <t>Notas_Images/1a1933ef.Foto.234146.jpg</t>
  </si>
  <si>
    <t>Compra de amarradores</t>
  </si>
  <si>
    <t>ITEM-1fa18a08e-1</t>
  </si>
  <si>
    <t>1fa18a08e</t>
  </si>
  <si>
    <t>1753400</t>
  </si>
  <si>
    <t>341f7ede</t>
  </si>
  <si>
    <t>ITEM-10be134d1-1</t>
  </si>
  <si>
    <t>Copiadora taliana (03/11/2025) - Impressões e plastificacao para loja.</t>
  </si>
  <si>
    <t>10be134d1</t>
  </si>
  <si>
    <t>Notas_Images/341f7ede.Foto.213849.jpg</t>
  </si>
  <si>
    <t>ITEM-1b7328315-1</t>
  </si>
  <si>
    <t>1b7328315</t>
  </si>
  <si>
    <t>d6402b7e</t>
  </si>
  <si>
    <t>ITEM-1328f46b6-1</t>
  </si>
  <si>
    <t>Passarela Center via atacadista (06/11/2025) - Produtos e frutas para loja.</t>
  </si>
  <si>
    <t>1328f46b6</t>
  </si>
  <si>
    <t>Notas_Images/d6402b7e.Foto.213958.jpg</t>
  </si>
  <si>
    <t>Produtos e frutas para loja.</t>
  </si>
  <si>
    <t>ITEM-1e98801be-1</t>
  </si>
  <si>
    <t>1e98801be</t>
  </si>
  <si>
    <t>eca3e4fc</t>
  </si>
  <si>
    <t>1754975</t>
  </si>
  <si>
    <t>Passarela Center via atacadista (03/11/2025) - Produtos e frutas para loja.</t>
  </si>
  <si>
    <t>ITEM-11751c3b8-1</t>
  </si>
  <si>
    <t>Notas_Images/eca3e4fc.Foto.214203.jpg</t>
  </si>
  <si>
    <t>11751c3b8</t>
  </si>
  <si>
    <t>ITEM-19d064933-1</t>
  </si>
  <si>
    <t>057071ef</t>
  </si>
  <si>
    <t>19d064933</t>
  </si>
  <si>
    <t>Casa Fagundes embalagens (04/11/2025) - Fita adesiva para loja.</t>
  </si>
  <si>
    <t>1754970</t>
  </si>
  <si>
    <t>ITEM-191432a9e-1</t>
  </si>
  <si>
    <t>Notas_Images/057071ef.Foto.214303.jpg</t>
  </si>
  <si>
    <t>191432a9e</t>
  </si>
  <si>
    <t>Fita adesiva para loja.</t>
  </si>
  <si>
    <t>ITEM-10d7420cd-1</t>
  </si>
  <si>
    <t>30bf9d38</t>
  </si>
  <si>
    <t>10d7420cd</t>
  </si>
  <si>
    <t>Queluz supermercados (08/11/2025) - Lanche para funcionários.</t>
  </si>
  <si>
    <t>Notas_Images/30bf9d38.Foto.214409.jpg</t>
  </si>
  <si>
    <t>ITEM-1abe7d3c6-1</t>
  </si>
  <si>
    <t>1abe7d3c6</t>
  </si>
  <si>
    <t>1756911</t>
  </si>
  <si>
    <t>abcf2e02</t>
  </si>
  <si>
    <t>ITEM-1df371a7b-1</t>
  </si>
  <si>
    <t>1df371a7b</t>
  </si>
  <si>
    <t>Passarela Center via atacadista (06/11/2025) - Refrigerante para funcionários.</t>
  </si>
  <si>
    <t>Notas_Images/abcf2e02.Foto.214513.jpg</t>
  </si>
  <si>
    <t>ITEM-1023ff002-1</t>
  </si>
  <si>
    <t>Refrigerante para funcionários.</t>
  </si>
  <si>
    <t>1023ff002</t>
  </si>
  <si>
    <t>1756970</t>
  </si>
  <si>
    <t>48bdaf8c</t>
  </si>
  <si>
    <t>ITEM-1230-1</t>
  </si>
  <si>
    <t>Queluz supermercados (09/11/2025) - Lanche para funcionários da loja.</t>
  </si>
  <si>
    <t>Notas_Images/48bdaf8c.Foto.165119.jpg</t>
  </si>
  <si>
    <t>ITEM-1231-1</t>
  </si>
  <si>
    <t>ITEM-1232-1</t>
  </si>
  <si>
    <t>1756912</t>
  </si>
  <si>
    <t>ITEM-1233-1</t>
  </si>
  <si>
    <t>ITEM-1234-1</t>
  </si>
  <si>
    <t>ITEM-1235-1</t>
  </si>
  <si>
    <t>ITEM-1c9551fe6-1</t>
  </si>
  <si>
    <t>1c9551fe6</t>
  </si>
  <si>
    <t>ITEM-1b50d8a36-1</t>
  </si>
  <si>
    <t>1b50d8a36</t>
  </si>
  <si>
    <t>1764855</t>
  </si>
  <si>
    <t>ITEM-1fd7b83b3-1</t>
  </si>
  <si>
    <t>1fd7b83b3</t>
  </si>
  <si>
    <t>ITEM-1a794f906-1</t>
  </si>
  <si>
    <t>1a794f906</t>
  </si>
  <si>
    <t>3562e5ae</t>
  </si>
  <si>
    <t>1764224</t>
  </si>
  <si>
    <t>Pagamento de conta de água</t>
  </si>
  <si>
    <t>ITEM-1ec6239fd-1</t>
  </si>
  <si>
    <t>1ec6239fd</t>
  </si>
  <si>
    <t>4fa67550</t>
  </si>
  <si>
    <t>7da8fad5</t>
  </si>
  <si>
    <t>ITEM-1fd0c1bf4-1</t>
  </si>
  <si>
    <t>1fd0c1bf4</t>
  </si>
  <si>
    <t>Celesc Curitibanos (11/11/2025) - Conta de luz</t>
  </si>
  <si>
    <t>Notas_Images/7da8fad5.Foto.225952.jpg</t>
  </si>
  <si>
    <t>ITEM-109eea8a7-1</t>
  </si>
  <si>
    <t>2ac0e754</t>
  </si>
  <si>
    <t>109eea8a7</t>
  </si>
  <si>
    <t>FO-BRAN BEBIDAS (12/11/2025) - Pagamento de bebidas.</t>
  </si>
  <si>
    <t>Notas_Images/2ac0e754.Foto.185537.jpg</t>
  </si>
  <si>
    <t>ITEM-1865656c2-1</t>
  </si>
  <si>
    <t>1865656c2</t>
  </si>
  <si>
    <t>Notas_Images/2ac0e754.Foto 1.185537.jpg</t>
  </si>
  <si>
    <t>ITEM-11975dde8-1</t>
  </si>
  <si>
    <t>8d7f34f2</t>
  </si>
  <si>
    <t>11975dde8</t>
  </si>
  <si>
    <t>ProFood (10/11/2025) - Embalagens</t>
  </si>
  <si>
    <t>ITEM-18e9b80a4-1</t>
  </si>
  <si>
    <t>Notas_Images/8d7f34f2.Foto.212947.jpg</t>
  </si>
  <si>
    <t>18e9b80a4</t>
  </si>
  <si>
    <t>ITEM-100ae9ead-1</t>
  </si>
  <si>
    <t>100ae9ead</t>
  </si>
  <si>
    <t>Pedido 92722 nota de serviço</t>
  </si>
  <si>
    <t>ITEM-1241-1</t>
  </si>
  <si>
    <t>ITEM-1a1c3a13b-1</t>
  </si>
  <si>
    <t>Pedido 93590 nota de serviço</t>
  </si>
  <si>
    <t>1a1c3a13b</t>
  </si>
  <si>
    <t>ITEM-16667c91b-1</t>
  </si>
  <si>
    <t>16667c91b</t>
  </si>
  <si>
    <t>a6efa9e1</t>
  </si>
  <si>
    <t>ITEM-18ed2886c-1</t>
  </si>
  <si>
    <t>18ed2886c</t>
  </si>
  <si>
    <t>0b29f9f8</t>
  </si>
  <si>
    <t>ITEM-1dc81310f-1</t>
  </si>
  <si>
    <t>QR code par mesas</t>
  </si>
  <si>
    <t>1dc81310f</t>
  </si>
  <si>
    <t>448fb483</t>
  </si>
  <si>
    <t>ITEM-1251-1</t>
  </si>
  <si>
    <t>ITEM-1253-1</t>
  </si>
  <si>
    <t>ITEM-1254-1</t>
  </si>
  <si>
    <t>Extensão</t>
  </si>
  <si>
    <t>ITEM-11338b699-1</t>
  </si>
  <si>
    <t>11338b699</t>
  </si>
  <si>
    <t>1e1bf08e</t>
  </si>
  <si>
    <t>Cortinas de led</t>
  </si>
  <si>
    <t>ITEM-1195653ef-1</t>
  </si>
  <si>
    <t>1195653ef</t>
  </si>
  <si>
    <t>ITEM-110ec38cf-1</t>
  </si>
  <si>
    <t>110ec38cf</t>
  </si>
  <si>
    <t>ITEM-1c8709afe-1</t>
  </si>
  <si>
    <t>1c8709afe</t>
  </si>
  <si>
    <t>4fcb9b72</t>
  </si>
  <si>
    <t>50864c70</t>
  </si>
  <si>
    <t>ITEM-17d9e6df3-1</t>
  </si>
  <si>
    <t>17d9e6df3</t>
  </si>
  <si>
    <t>Mais morangos vacaria (11/11/2025) - Compra de morangos</t>
  </si>
  <si>
    <t>Notas_Images/50864c70.Foto.180115.jpg</t>
  </si>
  <si>
    <t>ITEM-18e93d150-1</t>
  </si>
  <si>
    <t>18e93d150</t>
  </si>
  <si>
    <t>32907e9a</t>
  </si>
  <si>
    <t>ITEM-1e64776fc-1</t>
  </si>
  <si>
    <t>1e64776fc</t>
  </si>
  <si>
    <t>Mais morangos vacaria (14/11/2025) - Compra de morangos</t>
  </si>
  <si>
    <t>Notas_Images/32907e9a.Foto.180450.jpg</t>
  </si>
  <si>
    <t>ITEM-10a0c03e2-1</t>
  </si>
  <si>
    <t>10a0c03e2</t>
  </si>
  <si>
    <t>e4847245</t>
  </si>
  <si>
    <t>ITEM-1299ad570-1</t>
  </si>
  <si>
    <t>bfb11394</t>
  </si>
  <si>
    <t>1299ad570</t>
  </si>
  <si>
    <t>b6d7b803</t>
  </si>
  <si>
    <t>Farmacia (15/11/2025) - Compra de remédios para funcionários</t>
  </si>
  <si>
    <t>ITEM-18f843f51-1</t>
  </si>
  <si>
    <t>Notas_Images/bfb11394.Foto.181029.jpg</t>
  </si>
  <si>
    <t>18f843f51</t>
  </si>
  <si>
    <t>Compra de remédios para funcionários</t>
  </si>
  <si>
    <t>ITEM-102ce2bcb-1</t>
  </si>
  <si>
    <t>102ce2bcb</t>
  </si>
  <si>
    <t>2f38d0de</t>
  </si>
  <si>
    <t>Compra de troco</t>
  </si>
  <si>
    <t>ITEM-1267-1</t>
  </si>
  <si>
    <t>ITEM-1269-1</t>
  </si>
  <si>
    <t>ITEM-1270-1</t>
  </si>
  <si>
    <t>ITEM-1277-1</t>
  </si>
  <si>
    <t>ITEM-1278-1</t>
  </si>
  <si>
    <t>Pedido 93602 nota de serviço</t>
  </si>
  <si>
    <t>ITEM-1279-1</t>
  </si>
  <si>
    <t>ITEM-1280-1</t>
  </si>
  <si>
    <t>ITEM-1d465d093-1</t>
  </si>
  <si>
    <t>teste</t>
  </si>
  <si>
    <t>1d465d093</t>
  </si>
  <si>
    <t>f114690c</t>
  </si>
  <si>
    <t>ITEM-1cc022a97-1</t>
  </si>
  <si>
    <t>1cc022a97</t>
  </si>
  <si>
    <t>Amadelli (14/11/2025) - Compra de secos</t>
  </si>
  <si>
    <t>Notas_Images/f114690c.Foto.210138.jpg</t>
  </si>
  <si>
    <t>ITEM-117f3b3c4-1</t>
  </si>
  <si>
    <t>117f3b3c4</t>
  </si>
  <si>
    <t>Notas_Images/f114690c.Foto 1.210138.jpg</t>
  </si>
  <si>
    <t>661f165e</t>
  </si>
  <si>
    <t>ITEM-100be0985-1</t>
  </si>
  <si>
    <t>100be0985</t>
  </si>
  <si>
    <t>Morangos de vacaria (18/11/2025) - Compra de morangos</t>
  </si>
  <si>
    <t>Notas_Images/661f165e.Foto.215447.jpg</t>
  </si>
  <si>
    <t>ITEM-1293-1</t>
  </si>
  <si>
    <t>0aa61fac</t>
  </si>
  <si>
    <t>ITEM-1ae08489d-1</t>
  </si>
  <si>
    <t>1ae08489d</t>
  </si>
  <si>
    <t>29671ba1</t>
  </si>
  <si>
    <t>Prats (17/11/2025) - Compra de suco prats</t>
  </si>
  <si>
    <t>Notas_Images/0aa61fac.Foto.215800.jpg</t>
  </si>
  <si>
    <t>ITEM-10a885304-1</t>
  </si>
  <si>
    <t>Compra de suco prats</t>
  </si>
  <si>
    <t>10a885304</t>
  </si>
  <si>
    <t>ITEM-10a61d8de-1</t>
  </si>
  <si>
    <t>10a61d8de</t>
  </si>
  <si>
    <t>ITEM-1297-1</t>
  </si>
  <si>
    <t>632b59ac</t>
  </si>
  <si>
    <t>ITEM-1298-1</t>
  </si>
  <si>
    <t>Queluz mercado (17/11/2025) - Compra de bananas</t>
  </si>
  <si>
    <t>Notas_Images/632b59ac.Foto.220002.jpg</t>
  </si>
  <si>
    <t>ITEM-1d82cef08-1</t>
  </si>
  <si>
    <t>Compra de bananas</t>
  </si>
  <si>
    <t>1d82cef08</t>
  </si>
  <si>
    <t>ITEM-1bcd98f57-1</t>
  </si>
  <si>
    <t>1bcd98f57</t>
  </si>
  <si>
    <t>44fa6306</t>
  </si>
  <si>
    <t>ITEM-1f764500c-1</t>
  </si>
  <si>
    <t>1f764500c</t>
  </si>
  <si>
    <t>FO-BRAN (17/11/2025) - Compra de refrigerante</t>
  </si>
  <si>
    <t>Notas_Images/44fa6306.Foto.220407.jpg</t>
  </si>
  <si>
    <t>Compra de refrigerante</t>
  </si>
  <si>
    <t>ITEM-1268-1</t>
  </si>
  <si>
    <t>6f5a1617</t>
  </si>
  <si>
    <t>ITEM-1309-1</t>
  </si>
  <si>
    <t>Copiadora Tatiana LTDA ME. (18/11/2025) - Impressões para The Best day</t>
  </si>
  <si>
    <t>Notas_Images/6f5a1617.Foto.220617.jpg</t>
  </si>
  <si>
    <t>ITEM-1ff8d88cc-1</t>
  </si>
  <si>
    <t>Impressões para The Best day</t>
  </si>
  <si>
    <t>1ff8d88cc</t>
  </si>
  <si>
    <t>bc126932</t>
  </si>
  <si>
    <t>ITEM-14c5f0bdb-1</t>
  </si>
  <si>
    <t>14c5f0bdb</t>
  </si>
  <si>
    <t>572b14bc</t>
  </si>
  <si>
    <t>ProFood (11/11/2025) - Compra de embalagens para panetone</t>
  </si>
  <si>
    <t>Notas_Images/bc126932.Foto.221633.jpg</t>
  </si>
  <si>
    <t>ITEM-1967495ec-1</t>
  </si>
  <si>
    <t>Compra de embalagens para panetone</t>
  </si>
  <si>
    <t>1967495ec</t>
  </si>
  <si>
    <t>ITEM-1df473f44-1</t>
  </si>
  <si>
    <t>1df473f44</t>
  </si>
  <si>
    <t>ITEM-1303-1</t>
  </si>
  <si>
    <t>smoothie</t>
  </si>
  <si>
    <t>ITEM-1304-1</t>
  </si>
  <si>
    <t>f33f3406</t>
  </si>
  <si>
    <t>ITEM-1305-1</t>
  </si>
  <si>
    <t>Amadelli (12/11/2025) - Compra de secos</t>
  </si>
  <si>
    <t>Notas_Images/f33f3406.Foto.204920.jpg</t>
  </si>
  <si>
    <t>ITEM-1306-1</t>
  </si>
  <si>
    <t>Notas_Images/f33f3406.Foto 1.204920.jpg</t>
  </si>
  <si>
    <t>5562bb30</t>
  </si>
  <si>
    <t>ITEM-1307-1</t>
  </si>
  <si>
    <t>Amadelli (11/11/2025) - Compra de gelados</t>
  </si>
  <si>
    <t>Notas_Images/5562bb30.Foto.183147.jpg</t>
  </si>
  <si>
    <t>Compra de gelados</t>
  </si>
  <si>
    <t>ITEM-1308-1</t>
  </si>
  <si>
    <t>2ded84cb</t>
  </si>
  <si>
    <t>ITEM-190bc18ed-1</t>
  </si>
  <si>
    <t>190bc18ed</t>
  </si>
  <si>
    <t>Notas_Images/2ded84cb.Foto.210852.jpg</t>
  </si>
  <si>
    <t>ITEM-1f3ae0ba9-1</t>
  </si>
  <si>
    <t>1f3ae0ba9</t>
  </si>
  <si>
    <t>1500un</t>
  </si>
  <si>
    <t>ITEM-1316-1</t>
  </si>
  <si>
    <t>ITEM-101fe43f0-1</t>
  </si>
  <si>
    <t>Pix para Marcos..ele ira dar entrada no cx do valor e fazer uma sangria</t>
  </si>
  <si>
    <t>101fe43f0</t>
  </si>
  <si>
    <t>ITEM-1b70eacdd-1</t>
  </si>
  <si>
    <t>1b70eacdd</t>
  </si>
  <si>
    <t>1° parcela 13°</t>
  </si>
  <si>
    <t>ITEM-1d7d19b25-1</t>
  </si>
  <si>
    <t>1d7d19b25</t>
  </si>
  <si>
    <t>2° parcela 13°</t>
  </si>
  <si>
    <t>ITEM-1e243a591-1</t>
  </si>
  <si>
    <t>1e243a591</t>
  </si>
  <si>
    <t>ITEM-1321-1</t>
  </si>
  <si>
    <t>ITEM-1322-1</t>
  </si>
  <si>
    <t>ITEM-1323-1</t>
  </si>
  <si>
    <t>ITEM-1324-1</t>
  </si>
  <si>
    <t>ITEM-1325-1</t>
  </si>
  <si>
    <t>ITEM-15a7a7726-1</t>
  </si>
  <si>
    <t>15a7a7726</t>
  </si>
  <si>
    <t>ITEM-1338-1</t>
  </si>
  <si>
    <t>ITEM-1339-1</t>
  </si>
  <si>
    <t>ITEM-1340-1</t>
  </si>
  <si>
    <t>ITEM-1341-1</t>
  </si>
  <si>
    <t>ITEM-127b1d123-1</t>
  </si>
  <si>
    <t>127b1d123</t>
  </si>
  <si>
    <t>ITEM-1345-1</t>
  </si>
  <si>
    <t>ITEM-1346-1</t>
  </si>
  <si>
    <t>341958a0</t>
  </si>
  <si>
    <t>ITEM-1343-1</t>
  </si>
  <si>
    <t>Queluz supermercados (19/11/2025) - Compra de frutas para loja.</t>
  </si>
  <si>
    <t>Notas_Images/341958a0.Foto.164652.jpg</t>
  </si>
  <si>
    <t>Compra de frutas para loja.</t>
  </si>
  <si>
    <t>ITEM-1ab57995d-1</t>
  </si>
  <si>
    <t>1ab57995d</t>
  </si>
  <si>
    <t>896acc49</t>
  </si>
  <si>
    <t>ITEM-1fcb9f709-1</t>
  </si>
  <si>
    <t>1fcb9f709</t>
  </si>
  <si>
    <t>fd22b20a</t>
  </si>
  <si>
    <t>Queluz supermercados (20/11/2025) - Lanche para funcionários da loja.</t>
  </si>
  <si>
    <t>Notas_Images/896acc49.Foto.165039.jpg</t>
  </si>
  <si>
    <t>ITEM-1c3b619be-1</t>
  </si>
  <si>
    <t>1c3b619be</t>
  </si>
  <si>
    <t>bd427432</t>
  </si>
  <si>
    <t>ITEM-1b3705f9b-1</t>
  </si>
  <si>
    <t>1b3705f9b</t>
  </si>
  <si>
    <t>Queluz mercado (19/11/2025) - Compra de lanche e frutas</t>
  </si>
  <si>
    <t>Notas_Images/bd427432.Foto.213805.jpg</t>
  </si>
  <si>
    <t>ITEM-162e0b6b9-1</t>
  </si>
  <si>
    <t>162e0b6b9</t>
  </si>
  <si>
    <t>ITEM-1353-1</t>
  </si>
  <si>
    <t>ITEM-171bc6079-1</t>
  </si>
  <si>
    <t>171bc6079</t>
  </si>
  <si>
    <t>ITEM-1347-1</t>
  </si>
  <si>
    <t>ITEM-1348-1</t>
  </si>
  <si>
    <t>ITEM-1349-1</t>
  </si>
  <si>
    <t>ITEM-1350-1</t>
  </si>
  <si>
    <t>ITEM-1351-1</t>
  </si>
  <si>
    <t>ITEM-1352-1</t>
  </si>
  <si>
    <t>ITEM-1b5255a5e-1</t>
  </si>
  <si>
    <t>1b5255a5e</t>
  </si>
  <si>
    <t>c1060fa5</t>
  </si>
  <si>
    <t>Pedido 92722</t>
  </si>
  <si>
    <t>ITEM-1feea0781-1</t>
  </si>
  <si>
    <t>1feea0781</t>
  </si>
  <si>
    <t>ITEM-1362-1</t>
  </si>
  <si>
    <t>8b26399b</t>
  </si>
  <si>
    <t>ITEM-1366-1</t>
  </si>
  <si>
    <t>Queluz supermercados (13/11/2025) - Compra de frutas para loja.</t>
  </si>
  <si>
    <t>Notas_Images/8b26399b.Foto.165937.jpg</t>
  </si>
  <si>
    <t>ITEM-1368-1</t>
  </si>
  <si>
    <t>73935feb</t>
  </si>
  <si>
    <t>ITEM-1369-1</t>
  </si>
  <si>
    <t>Passarela Center via atacadista (19/11/2025) - Compra de frutas e produtos para loja.</t>
  </si>
  <si>
    <t>Notas_Images/73935feb.Foto.170140.jpg</t>
  </si>
  <si>
    <t>Compra de frutas e produtos para loja.</t>
  </si>
  <si>
    <t>ITEM-1f12402a9-1</t>
  </si>
  <si>
    <t>1f12402a9</t>
  </si>
  <si>
    <t>ac7d4885</t>
  </si>
  <si>
    <t>ITEM-1374-1</t>
  </si>
  <si>
    <t>720fe2b4</t>
  </si>
  <si>
    <t>Passarela Center via atacadista (14/11/2025) - Compra de frutas e produtos para loja.</t>
  </si>
  <si>
    <t>Notas_Images/720fe2b4.Foto.170247.jpg</t>
  </si>
  <si>
    <t>ITEM-1382-1</t>
  </si>
  <si>
    <t>84f947f7</t>
  </si>
  <si>
    <t>ITEM-1380-1</t>
  </si>
  <si>
    <t>Passarela Center via atacadista (10/11/2025) - Compra de frutas e produtos para loja.</t>
  </si>
  <si>
    <t>Notas_Images/84f947f7.Foto.170400.jpg</t>
  </si>
  <si>
    <t>ITEM-1381-1</t>
  </si>
  <si>
    <t>153dbfb4</t>
  </si>
  <si>
    <t>ITEM-1383-1</t>
  </si>
  <si>
    <t>85183076</t>
  </si>
  <si>
    <t>Passarela Center via atacadista (21/11/2025) - Compra de frutas e produtos para.loja.</t>
  </si>
  <si>
    <t>Notas_Images/153dbfb4.Foto.003436.jpg</t>
  </si>
  <si>
    <t>ITEM-1f261332a-1</t>
  </si>
  <si>
    <t>Compra de frutas e produtos para.loja.</t>
  </si>
  <si>
    <t>1f261332a</t>
  </si>
  <si>
    <t>ITEM-1388-1</t>
  </si>
  <si>
    <t>ac06836e</t>
  </si>
  <si>
    <t>1766349</t>
  </si>
  <si>
    <t>Queluz mercado (23/11/2025) - Pão e banana</t>
  </si>
  <si>
    <t>ITEM-1326-1</t>
  </si>
  <si>
    <t>Notas_Images/ac06836e.Foto.002430.jpg</t>
  </si>
  <si>
    <t>Pão e banana</t>
  </si>
  <si>
    <t>ITEM-1327-1</t>
  </si>
  <si>
    <t>ITEM-1197d27d8-1</t>
  </si>
  <si>
    <t>1197d27d8</t>
  </si>
  <si>
    <t>Pedido 96924 Nota de serviço</t>
  </si>
  <si>
    <t>ITEM-14c673e6f-1</t>
  </si>
  <si>
    <t>1766356</t>
  </si>
  <si>
    <t>14c673e6f</t>
  </si>
  <si>
    <t>d0a75485</t>
  </si>
  <si>
    <t>ITEM-16209627a-1</t>
  </si>
  <si>
    <t>16209627a</t>
  </si>
  <si>
    <t>JN EMBALAGENS (24/11/2025) - Compra de saco de lixo e papel toalha</t>
  </si>
  <si>
    <t>Notas_Images/d0a75485.Foto.171642.jpg</t>
  </si>
  <si>
    <t>ITEM-1392-1</t>
  </si>
  <si>
    <t>Compra de saco de lixo e papel toalha</t>
  </si>
  <si>
    <t>1766351</t>
  </si>
  <si>
    <t>a71f6e3b</t>
  </si>
  <si>
    <t>ITEM-1393-1</t>
  </si>
  <si>
    <t>Santa Clara pros limpeza (24/11/2025) - Compra de produtos de limpeza</t>
  </si>
  <si>
    <t>Notas_Images/a71f6e3b.Foto.174753.jpg</t>
  </si>
  <si>
    <t>ITEM-1400-1</t>
  </si>
  <si>
    <t>Compra de produtos de limpeza</t>
  </si>
  <si>
    <t>c9e2a6ca</t>
  </si>
  <si>
    <t>1767833</t>
  </si>
  <si>
    <t>FO-BRAN (24/11/2025) - Compra de bebidas para loja</t>
  </si>
  <si>
    <t>Notas_Images/c9e2a6ca.Foto.180428.jpg</t>
  </si>
  <si>
    <t>ITEM-174304d5e-1</t>
  </si>
  <si>
    <t>174304d5e</t>
  </si>
  <si>
    <t>42433421</t>
  </si>
  <si>
    <t>78a11b7d</t>
  </si>
  <si>
    <t>ITEM-19db29d06-1</t>
  </si>
  <si>
    <t>19db29d06</t>
  </si>
  <si>
    <t>Big lojas (24/11/2025) - Compra de produtos para loja</t>
  </si>
  <si>
    <t>Notas_Images/78a11b7d.Foto.191429.jpg</t>
  </si>
  <si>
    <t>Compra de produtos para loja</t>
  </si>
  <si>
    <t>ITEM-1cc639aa5-1</t>
  </si>
  <si>
    <t>1767837</t>
  </si>
  <si>
    <t>1cc639aa5</t>
  </si>
  <si>
    <t>274c0db6</t>
  </si>
  <si>
    <t>SC COPIAS (24/11/2025) - Compra de materiais para loja</t>
  </si>
  <si>
    <t>ITEM-19540d279-1</t>
  </si>
  <si>
    <t>Notas_Images/274c0db6.Foto.191537.jpg</t>
  </si>
  <si>
    <t>19540d279</t>
  </si>
  <si>
    <t>Compra de materiais para loja</t>
  </si>
  <si>
    <t>ITEM-182a50317-1</t>
  </si>
  <si>
    <t>182a50317</t>
  </si>
  <si>
    <t>22aedd85</t>
  </si>
  <si>
    <t>Toldo</t>
  </si>
  <si>
    <t>ITEM-1d2b2dc5c-1</t>
  </si>
  <si>
    <t>1d2b2dc5c</t>
  </si>
  <si>
    <t>2eb75b34</t>
  </si>
  <si>
    <t>2f14b26a</t>
  </si>
  <si>
    <t>ITEM-1ba34c8c3-1</t>
  </si>
  <si>
    <t>Atelier e festas (25/11/2025) - Compra de balões</t>
  </si>
  <si>
    <t>1ba34c8c3</t>
  </si>
  <si>
    <t>Notas_Images/2eb75b34.Foto.222541.jpg</t>
  </si>
  <si>
    <t>Compra de balões</t>
  </si>
  <si>
    <t>ITEM-161c1539d-1</t>
  </si>
  <si>
    <t>586f3cf7</t>
  </si>
  <si>
    <t>161c1539d</t>
  </si>
  <si>
    <t>Mais morangos vacaria (25/11/2025) - Compra de morangos</t>
  </si>
  <si>
    <t>Notas_Images/586f3cf7.Foto.234927.jpg</t>
  </si>
  <si>
    <t>ITEM-1c443a0be-1</t>
  </si>
  <si>
    <t>1c443a0be</t>
  </si>
  <si>
    <t>0a5cdf42</t>
  </si>
  <si>
    <t>Amadelli (24/11/2025) - Carga seca</t>
  </si>
  <si>
    <t>Notas_Images/0a5cdf42.Foto.183909.jpg</t>
  </si>
  <si>
    <t>ITEM-14504663b-1</t>
  </si>
  <si>
    <t>14504663b</t>
  </si>
  <si>
    <t>3cb37d4e</t>
  </si>
  <si>
    <t>ITEM-12785f514-1</t>
  </si>
  <si>
    <t>Amadelli (21/11/2025) - Carga seca</t>
  </si>
  <si>
    <t>12785f514</t>
  </si>
  <si>
    <t>Notas_Images/3cb37d4e.Foto.184224.jpg</t>
  </si>
  <si>
    <t>558d2e64</t>
  </si>
  <si>
    <t>ITEM-1d4b8bcb8-1</t>
  </si>
  <si>
    <t>1d4b8bcb8</t>
  </si>
  <si>
    <t>Queluz mercado (26/11/2025) - Compra de banana</t>
  </si>
  <si>
    <t>Notas_Images/558d2e64.Foto.014923.jpg</t>
  </si>
  <si>
    <t>ITEM-19e09331e-1</t>
  </si>
  <si>
    <t>19e09331e</t>
  </si>
  <si>
    <t>ITEM-1394-1</t>
  </si>
  <si>
    <t>ITEM-1395-1</t>
  </si>
  <si>
    <t>ADIANTAMENTO</t>
  </si>
  <si>
    <t>ITEM-1396-1</t>
  </si>
  <si>
    <t>ITEM-1397-1</t>
  </si>
  <si>
    <t>ITEM-1398-1</t>
  </si>
  <si>
    <t>ITEM-1399-1</t>
  </si>
  <si>
    <t>b023e9a0</t>
  </si>
  <si>
    <t>ITEM-1800db217-1</t>
  </si>
  <si>
    <t>47af56ae</t>
  </si>
  <si>
    <t>1800db217</t>
  </si>
  <si>
    <t>Eletrecista residências e precial (25/11/2025) - Pagamento mao de obra pisca pisca</t>
  </si>
  <si>
    <t>Notas_Images/b023e9a0.Foto.152758.jpg</t>
  </si>
  <si>
    <t>Pagamento mao de obra pisca pisca</t>
  </si>
  <si>
    <t>ITEM-1406-1</t>
  </si>
  <si>
    <t>ITEM-19511fb6d-1</t>
  </si>
  <si>
    <t>19511fb6d</t>
  </si>
  <si>
    <t>4f4b3852</t>
  </si>
  <si>
    <t>Amadelli (25/11/2025) - Carga gelada</t>
  </si>
  <si>
    <t>ITEM-1422-1</t>
  </si>
  <si>
    <t>Notas_Images/4f4b3852.Foto.153150.jpg</t>
  </si>
  <si>
    <t>Notas_Images/4f4b3852.Foto 1.153150.jpg</t>
  </si>
  <si>
    <t>ITEM-1424-1</t>
  </si>
  <si>
    <t>c65e23d5</t>
  </si>
  <si>
    <t>ITEM-1425-1</t>
  </si>
  <si>
    <t>f8129b5e</t>
  </si>
  <si>
    <t>L.L (25/11/2025) - Mão de obra do pisca pisca</t>
  </si>
  <si>
    <t>Notas_Images/c65e23d5.Foto.005106.jpg</t>
  </si>
  <si>
    <t>Mão de obra do pisca pisca</t>
  </si>
  <si>
    <t>ITEM-1a2e6fa5d-1</t>
  </si>
  <si>
    <t>1a2e6fa5d</t>
  </si>
  <si>
    <t>5d518666</t>
  </si>
  <si>
    <t>ITEM-1b8749f30-1</t>
  </si>
  <si>
    <t>1b8749f30</t>
  </si>
  <si>
    <t>Passarela Center via atacadista (25/11/2025) - Compra de frutas e produtos para loja</t>
  </si>
  <si>
    <t>ITEM-1cb68f3e7-1</t>
  </si>
  <si>
    <t>Notas_Images/5d518666.Foto.011824.jpg</t>
  </si>
  <si>
    <t>1cb68f3e7</t>
  </si>
  <si>
    <t>Compra de frutas e produtos para loja</t>
  </si>
  <si>
    <t>ITEM-1375-1</t>
  </si>
  <si>
    <t>02627cf0</t>
  </si>
  <si>
    <t>ITEM-1376-1</t>
  </si>
  <si>
    <t>Passarela Center via atacadista (28/11/2025) - Compra de frutas e produtos para loja</t>
  </si>
  <si>
    <t>Notas_Images/02627cf0.Foto.011950.jpg</t>
  </si>
  <si>
    <t>ITEM-1377-1</t>
  </si>
  <si>
    <t>ITEM-1432-1</t>
  </si>
  <si>
    <t>a7ce6d5d</t>
  </si>
  <si>
    <t>ITEM-1d4b02fb8-1</t>
  </si>
  <si>
    <t>1d4b02fb8</t>
  </si>
  <si>
    <t>cb09eaf4</t>
  </si>
  <si>
    <t>ITEM-1440-1</t>
  </si>
  <si>
    <t>152004d3</t>
  </si>
  <si>
    <t>Princesa do lar (29/11/2025) - Compra de boleira</t>
  </si>
  <si>
    <t>Notas_Images/cb09eaf4.Foto.234403.jpg</t>
  </si>
  <si>
    <t>ITEM-1c832d957-1</t>
  </si>
  <si>
    <t>1c832d957</t>
  </si>
  <si>
    <t>Compra de boleira</t>
  </si>
  <si>
    <t>ITEM-11f46700d-1</t>
  </si>
  <si>
    <t>11f46700d</t>
  </si>
  <si>
    <t>1774259</t>
  </si>
  <si>
    <t>eae86453</t>
  </si>
  <si>
    <t>ITEM-103249a15-1</t>
  </si>
  <si>
    <t>1e79ecf9</t>
  </si>
  <si>
    <t>103249a15</t>
  </si>
  <si>
    <t>Dezzu (29/11/2025) - Compra de toalha natalina</t>
  </si>
  <si>
    <t>Notas_Images/eae86453.Foto.234611.jpg</t>
  </si>
  <si>
    <t>Compra de toalha natalina</t>
  </si>
  <si>
    <t>ITEM-1ab0d306b-1</t>
  </si>
  <si>
    <t>1ab0d306b</t>
  </si>
  <si>
    <t>ITEM-1439-1</t>
  </si>
  <si>
    <t>4017040a</t>
  </si>
  <si>
    <t>1774233</t>
  </si>
  <si>
    <t>ITEM-1441-1</t>
  </si>
  <si>
    <t>Passarela Center via atacadista (25/11/2025) - Compra de uva</t>
  </si>
  <si>
    <t>Notas_Images/4017040a.Foto.234700.jpg</t>
  </si>
  <si>
    <t>ITEM-1912e5a99-1</t>
  </si>
  <si>
    <t>1912e5a99</t>
  </si>
  <si>
    <t>e6cda67c</t>
  </si>
  <si>
    <t>ITEM-115dadc03-1</t>
  </si>
  <si>
    <t>115dadc03</t>
  </si>
  <si>
    <t>1774060</t>
  </si>
  <si>
    <t>Passarela Center via atacadista (25/11/2025) - Compra cabo de vassoura</t>
  </si>
  <si>
    <t>ITEM-1a1261a50-1</t>
  </si>
  <si>
    <t>Notas_Images/e6cda67c.Foto.234807.jpg</t>
  </si>
  <si>
    <t>1a1261a50</t>
  </si>
  <si>
    <t>Compra cabo de vassoura</t>
  </si>
  <si>
    <t>ITEM-1448-1</t>
  </si>
  <si>
    <t>50b74e08</t>
  </si>
  <si>
    <t>Passarela Center via atacadista (28/11/2025) - Compra de lanche para funcionários</t>
  </si>
  <si>
    <t>Notas_Images/50b74e08.Foto.234913.jpg</t>
  </si>
  <si>
    <t>ITEM-1b7682c61-1</t>
  </si>
  <si>
    <t>Compra de lanche para funcionários</t>
  </si>
  <si>
    <t>1b7682c61</t>
  </si>
  <si>
    <t>1774250</t>
  </si>
  <si>
    <t>8fb9c9ae</t>
  </si>
  <si>
    <t>ITEM-1433-1</t>
  </si>
  <si>
    <t>ITEM-1434-1</t>
  </si>
  <si>
    <t>ITEM-1435-1</t>
  </si>
  <si>
    <t>1774257</t>
  </si>
  <si>
    <t>ITEM-1438-1</t>
  </si>
  <si>
    <t>ITEM-1449-1</t>
  </si>
  <si>
    <t>ITEM-1450-1</t>
  </si>
  <si>
    <t>1774234</t>
  </si>
  <si>
    <t>ITEM-1e9c111f0-1</t>
  </si>
  <si>
    <t>1e9c111f0</t>
  </si>
  <si>
    <t>ITEM-15029e3c7-1</t>
  </si>
  <si>
    <t>15029e3c7</t>
  </si>
  <si>
    <t>121aabaf</t>
  </si>
  <si>
    <t>ITEM-1461-1</t>
  </si>
  <si>
    <t>Passarela Center via atacadista (29/11/2025) - Compra de frutas e produtos para loja</t>
  </si>
  <si>
    <t>1776048</t>
  </si>
  <si>
    <t>Notas_Images/121aabaf.Foto.235022.jpg</t>
  </si>
  <si>
    <t>ITEM-1c74e535e-1</t>
  </si>
  <si>
    <t>1c74e535e</t>
  </si>
  <si>
    <t>ITEM-1e060393c-1</t>
  </si>
  <si>
    <t>6b245c3c</t>
  </si>
  <si>
    <t>1e060393c</t>
  </si>
  <si>
    <t>Queluz supermercados (30/11/2025) - Lanche para funcionários da loja</t>
  </si>
  <si>
    <t>ITEM-1ccd59247-1</t>
  </si>
  <si>
    <t>Notas_Images/6b245c3c.Foto.003345.jpg</t>
  </si>
  <si>
    <t>1ccd59247</t>
  </si>
  <si>
    <t>1775961</t>
  </si>
  <si>
    <t>ITEM-1455-1</t>
  </si>
  <si>
    <t>ITEM-1456-1</t>
  </si>
  <si>
    <t>33635a03</t>
  </si>
  <si>
    <t>ITEM-1457-1</t>
  </si>
  <si>
    <t>Mercado livre (09/11/2025) - Gelo reutilizável para o buffet, valor total dos gelos 27,53 , porém o marcos teve que pagar o frete. No valor de 7,99.</t>
  </si>
  <si>
    <t>Notas_Images/33635a03.Foto.152443.jpg</t>
  </si>
  <si>
    <t>ITEM-1458-1</t>
  </si>
  <si>
    <t>Gelo reutilizável para o buffet, valor total dos gelos 27,53 , porém o marcos teve que pagar o frete. No valor de 7,99.</t>
  </si>
  <si>
    <t>Notas_Images/33635a03.Foto 1.152443.jpg</t>
  </si>
  <si>
    <t>ITEM-1459-1</t>
  </si>
  <si>
    <t>205cefa9</t>
  </si>
  <si>
    <t>ITEM-1460-1</t>
  </si>
  <si>
    <t>Queluz supermercados (01/12/2025) - Suco para loja.</t>
  </si>
  <si>
    <t>Notas_Images/205cefa9.Foto.152748.jpg</t>
  </si>
  <si>
    <t>ITEM-1468-1</t>
  </si>
  <si>
    <t>Suco para loja.</t>
  </si>
  <si>
    <t>ef0a0b49</t>
  </si>
  <si>
    <t>ITEM-1471-1</t>
  </si>
  <si>
    <t>Amadelli (21/11/2025) - Chocolate Premium</t>
  </si>
  <si>
    <t>ITEM-1472-1</t>
  </si>
  <si>
    <t>Notas_Images/ef0a0b49.Foto.175555.jpg</t>
  </si>
  <si>
    <t>Chocolate Premium</t>
  </si>
  <si>
    <t>ITEM-1358d9175-1</t>
  </si>
  <si>
    <t>eee031d1</t>
  </si>
  <si>
    <t>1358d9175</t>
  </si>
  <si>
    <t>Amadelli (28/11/2025) - Pedido seco</t>
  </si>
  <si>
    <t>Notas_Images/eee031d1.Foto.135654.jpg</t>
  </si>
  <si>
    <t>ITEM-135b9adfb-1</t>
  </si>
  <si>
    <t>135b9adfb</t>
  </si>
  <si>
    <t>Notas_Images/eee031d1.Foto 1.135654.jpg</t>
  </si>
  <si>
    <t>ITEM-1f289add4-1</t>
  </si>
  <si>
    <t>4ec5fa81</t>
  </si>
  <si>
    <t>1f289add4</t>
  </si>
  <si>
    <t>b1151d85</t>
  </si>
  <si>
    <t>Suco prats (01/12/2025) - Compra de sucos e água de Coco para loja.</t>
  </si>
  <si>
    <t>Notas_Images/4ec5fa81.Foto.160822.jpg</t>
  </si>
  <si>
    <t>ITEM-1f2c1d8e4-1</t>
  </si>
  <si>
    <t>Compra de sucos e água de Coco para loja.</t>
  </si>
  <si>
    <t>1f2c1d8e4</t>
  </si>
  <si>
    <t>e6a1b25f</t>
  </si>
  <si>
    <t>ca36cad8</t>
  </si>
  <si>
    <t>ITEM-167964bc5-1</t>
  </si>
  <si>
    <t>167964bc5</t>
  </si>
  <si>
    <t>Casa Fagundes embalagens (01/12/2025) - Compra de toucas brancas.</t>
  </si>
  <si>
    <t>Notas_Images/ca36cad8.Foto.161153.jpg</t>
  </si>
  <si>
    <t>ITEM-1ed3dc2cd-1</t>
  </si>
  <si>
    <t>Compra de toucas brancas.</t>
  </si>
  <si>
    <t>1ed3dc2cd</t>
  </si>
  <si>
    <t>822e3fc6</t>
  </si>
  <si>
    <t>ITEM-1478-1</t>
  </si>
  <si>
    <t>Amadelli (25/11/2025) - Chocotone normal.</t>
  </si>
  <si>
    <t>Notas_Images/822e3fc6.Foto.161738.jpg</t>
  </si>
  <si>
    <t>ITEM-1479-1</t>
  </si>
  <si>
    <t>Chocotone normal.</t>
  </si>
  <si>
    <t>b0b8605e</t>
  </si>
  <si>
    <t>ITEM-1480-1</t>
  </si>
  <si>
    <t>2c75f544</t>
  </si>
  <si>
    <t>Uniformes Sônia. (20/10/2025) - Uniformes para equipe.</t>
  </si>
  <si>
    <t>Notas_Images/b0b8605e.Foto.162018.jpg</t>
  </si>
  <si>
    <t>Uniformes para equipe.</t>
  </si>
  <si>
    <t>ITEM-1481-1</t>
  </si>
  <si>
    <t>246fa573</t>
  </si>
  <si>
    <t>ITEM-1f120eddf-1</t>
  </si>
  <si>
    <t>1f120eddf</t>
  </si>
  <si>
    <t>Amadelli (27/11/2025) - Itens para loja, chaveiros, copos e adesivos.</t>
  </si>
  <si>
    <t>Notas_Images/246fa573.Foto.162729.jpg</t>
  </si>
  <si>
    <t>Itens para loja, chaveiros, copos e adesivos.</t>
  </si>
  <si>
    <t>ITEM-1493-1</t>
  </si>
  <si>
    <t>6364a819</t>
  </si>
  <si>
    <t>ITEM-1494-1</t>
  </si>
  <si>
    <t>Mais morangos vacaria (01/12/2025) - Pagamento de morangos</t>
  </si>
  <si>
    <t>Notas_Images/6364a819.Foto.163931.jpg</t>
  </si>
  <si>
    <t>ITEM-1495-1</t>
  </si>
  <si>
    <t>28f404c7</t>
  </si>
  <si>
    <t>ITEM-127894cb1-1</t>
  </si>
  <si>
    <t>127894cb1</t>
  </si>
  <si>
    <t>FO-BRAN (02/12/2025) - Pagamento de bebidas</t>
  </si>
  <si>
    <t>Notas_Images/28f404c7.Foto.184135.jpg</t>
  </si>
  <si>
    <t>ITEM-102f7bed3-1</t>
  </si>
  <si>
    <t>102f7bed3</t>
  </si>
  <si>
    <t>fee9a0fc</t>
  </si>
  <si>
    <t>ITEM-1dfd3fcd9-1</t>
  </si>
  <si>
    <t>1dfd3fcd9</t>
  </si>
  <si>
    <t>Amadelli (28/11/2025) - Carga seca</t>
  </si>
  <si>
    <t>Notas_Images/fee9a0fc.Foto.193601.jpg</t>
  </si>
  <si>
    <t>ITEM-1504-1</t>
  </si>
  <si>
    <t>ITEM-1b3e13fa5-1</t>
  </si>
  <si>
    <t>1b3e13fa5</t>
  </si>
  <si>
    <t>ITEM-15d96278c-1</t>
  </si>
  <si>
    <t>a3725b10</t>
  </si>
  <si>
    <t>15d96278c</t>
  </si>
  <si>
    <t>Thipograf (03/12/2025) - Adesivos para loja</t>
  </si>
  <si>
    <t>ITEM-1492-1</t>
  </si>
  <si>
    <t>Notas_Images/a3725b10.Foto.165129.jpg</t>
  </si>
  <si>
    <t>ITEM-1a52e2118-1</t>
  </si>
  <si>
    <t>d79c8f7a</t>
  </si>
  <si>
    <t>1a52e2118</t>
  </si>
  <si>
    <t>FO-BRAN BEBIDAS (03/12/2025) - Pagamento de bebidas</t>
  </si>
  <si>
    <t>Notas_Images/d79c8f7a.Foto.210427.jpg</t>
  </si>
  <si>
    <t>ITEM-1750e23c1-1</t>
  </si>
  <si>
    <t>1750e23c1</t>
  </si>
  <si>
    <t>a448dec2</t>
  </si>
  <si>
    <t>ITEM-1510-1</t>
  </si>
  <si>
    <t>FO-BRAN BEBIDAS (03/12/2025) - Pagamento de bebidas.</t>
  </si>
  <si>
    <t>Notas_Images/a448dec2.Foto.210631.jpg</t>
  </si>
  <si>
    <t>ITEM-1511-1</t>
  </si>
  <si>
    <t>1778665</t>
  </si>
  <si>
    <t>cefe6671</t>
  </si>
  <si>
    <t>ITEM-1513-1</t>
  </si>
  <si>
    <t>Queluz supermercados (03/12/2025) - Frutas para loja</t>
  </si>
  <si>
    <t>Notas_Images/cefe6671.Foto.210729.jpg</t>
  </si>
  <si>
    <t>ITEM-1514-1</t>
  </si>
  <si>
    <t>e4f4f3b9</t>
  </si>
  <si>
    <t>1778662</t>
  </si>
  <si>
    <t>ITEM-1515-1</t>
  </si>
  <si>
    <t>ProFood (03/12/2025) - Embalagens</t>
  </si>
  <si>
    <t>Notas_Images/e4f4f3b9.Foto.192526.jpg</t>
  </si>
  <si>
    <t>ITEM-1516-1</t>
  </si>
  <si>
    <t>Notas_Images/e4f4f3b9.Foto 1.192526.jpg</t>
  </si>
  <si>
    <t>97060cad</t>
  </si>
  <si>
    <t>ITEM-1517-1</t>
  </si>
  <si>
    <t>e451b67f</t>
  </si>
  <si>
    <t>Monouso (03/12/2025) - Copos</t>
  </si>
  <si>
    <t>1778282</t>
  </si>
  <si>
    <t>Notas_Images/97060cad.Foto.194740.jpg</t>
  </si>
  <si>
    <t>Copos</t>
  </si>
  <si>
    <t>ITEM-1518-1</t>
  </si>
  <si>
    <t>16497346</t>
  </si>
  <si>
    <t>Notas_Images/97060cad.Foto 1.194740.jpg</t>
  </si>
  <si>
    <t>ITEM-1519-1</t>
  </si>
  <si>
    <t>7bcf0954</t>
  </si>
  <si>
    <t>Passarela Center via atacadista (04/12/2025) - Compra de frutas e produtos para loja.</t>
  </si>
  <si>
    <t>ITEM-1520-1</t>
  </si>
  <si>
    <t>1768713</t>
  </si>
  <si>
    <t>Notas_Images/7bcf0954.Foto.003934.jpg</t>
  </si>
  <si>
    <t>ITEM-1524-1</t>
  </si>
  <si>
    <t>52ca2278</t>
  </si>
  <si>
    <t>47db1711</t>
  </si>
  <si>
    <t>ITEM-1525-1</t>
  </si>
  <si>
    <t>Casa das Embalagens (04/12/2025) - Compra de papéis toalha para loja.</t>
  </si>
  <si>
    <t>Notas_Images/52ca2278.Foto.004134.jpg</t>
  </si>
  <si>
    <t>Compra de papéis toalha para loja.</t>
  </si>
  <si>
    <t>1776829</t>
  </si>
  <si>
    <t>ITEM-1526-1</t>
  </si>
  <si>
    <t>bd5ba9d6</t>
  </si>
  <si>
    <t>ITEM-1b1ef92a6-1</t>
  </si>
  <si>
    <t>Copiadora taliana (04/12/2025) - Impressões para loja</t>
  </si>
  <si>
    <t>1b1ef92a6</t>
  </si>
  <si>
    <t>Notas_Images/bd5ba9d6.Foto.004232.jpg</t>
  </si>
  <si>
    <t>ITEM-1f9d01418-1</t>
  </si>
  <si>
    <t>1f9d01418</t>
  </si>
  <si>
    <t>5a35be42</t>
  </si>
  <si>
    <t>8bb21b4c</t>
  </si>
  <si>
    <t>Mallu quintand (04/12/2025) - Compra de sucos para loja</t>
  </si>
  <si>
    <t>ITEM-1c850368e-1</t>
  </si>
  <si>
    <t>Notas_Images/5a35be42.Foto.004350.jpg</t>
  </si>
  <si>
    <t>1c850368e</t>
  </si>
  <si>
    <t>Compra de sucos para loja</t>
  </si>
  <si>
    <t>a1ca8a2e</t>
  </si>
  <si>
    <t>ITEM-10fd34ff7-1</t>
  </si>
  <si>
    <t>10fd34ff7</t>
  </si>
  <si>
    <t>Casa Fagundes embalagens (04/12/2025) - Produtos de higiene para loja</t>
  </si>
  <si>
    <t>Notas_Images/a1ca8a2e.Foto.004616.jpg</t>
  </si>
  <si>
    <t>ITEM-15861aefa-1</t>
  </si>
  <si>
    <t>15861aefa</t>
  </si>
  <si>
    <t>ITEM-13c02e801-1</t>
  </si>
  <si>
    <t>13c02e801</t>
  </si>
  <si>
    <t>Salario Joice</t>
  </si>
  <si>
    <t>037dc6df</t>
  </si>
  <si>
    <t>ITEM-12739c0cd-1</t>
  </si>
  <si>
    <t>12739c0cd</t>
  </si>
  <si>
    <t>Passarela Center via atacadista (04/12/2025) - Compra de frutas e produtos para loja</t>
  </si>
  <si>
    <t>1779187</t>
  </si>
  <si>
    <t>ITEM-15303de47-1</t>
  </si>
  <si>
    <t>Notas_Images/26659946.Foto.224224.jpg</t>
  </si>
  <si>
    <t>15303de47</t>
  </si>
  <si>
    <t>ITEM-1533-1</t>
  </si>
  <si>
    <t>a62e7068</t>
  </si>
  <si>
    <t>Queluz supermercados (06/12/2025) - Lanche para funcionários da loja</t>
  </si>
  <si>
    <t>ITEM-1534-1</t>
  </si>
  <si>
    <t>Notas_Images/a62e7068.Foto.005146.jpg</t>
  </si>
  <si>
    <t>1780576</t>
  </si>
  <si>
    <t>ITEM-1535-1</t>
  </si>
  <si>
    <t>ded74e6b</t>
  </si>
  <si>
    <t>Passarela Center via atacadista (05/12/2025) - Frutas para loja.</t>
  </si>
  <si>
    <t>ITEM-1532-1</t>
  </si>
  <si>
    <t>Notas_Images/ded74e6b.Foto.005256.jpg</t>
  </si>
  <si>
    <t>ITEM-1537-1</t>
  </si>
  <si>
    <t>ITEM-1538-1</t>
  </si>
  <si>
    <t>ITEM-1539-1</t>
  </si>
  <si>
    <t>FO-BRAN BEBIDAS (08/12/2025) - Pagamento de bebidas</t>
  </si>
  <si>
    <t>Notas_Images/88614977.Foto.181049.jpg</t>
  </si>
  <si>
    <t>ITEM-1540-1</t>
  </si>
  <si>
    <t>b4c0b35d</t>
  </si>
  <si>
    <t>ITEM-1e1a1f32e-1</t>
  </si>
  <si>
    <t>1e1a1f32e</t>
  </si>
  <si>
    <t>Celesc Curitibanos (08/12/2025) - Conta de luz</t>
  </si>
  <si>
    <t>Notas_Images/b4c0b35d.Foto.003756.jpg</t>
  </si>
  <si>
    <t>ITEM-1554-1</t>
  </si>
  <si>
    <t>ITEM-153e601b8-1</t>
  </si>
  <si>
    <t>153e601b8</t>
  </si>
  <si>
    <t>Pedido 97581 nota de serviço</t>
  </si>
  <si>
    <t>ITEM-1ded96876-1</t>
  </si>
  <si>
    <t>1782949</t>
  </si>
  <si>
    <t>1ded96876</t>
  </si>
  <si>
    <t>Pedido 98426 nota de serviço</t>
  </si>
  <si>
    <t>ITEM-143a65264-1</t>
  </si>
  <si>
    <t>143a65264</t>
  </si>
  <si>
    <t>ITEM-144845451-1</t>
  </si>
  <si>
    <t>1783266</t>
  </si>
  <si>
    <t>ITEM-12c4e98ed-1</t>
  </si>
  <si>
    <t>12c4e98ed</t>
  </si>
  <si>
    <t>ITEM-1557-1</t>
  </si>
  <si>
    <t>ITEM-183b3e034-1</t>
  </si>
  <si>
    <t>honorário mais 13</t>
  </si>
  <si>
    <t>183b3e034</t>
  </si>
  <si>
    <t>1784714</t>
  </si>
  <si>
    <t>ITEM-1561-1</t>
  </si>
  <si>
    <t>Pedido 96771 nota de serviço</t>
  </si>
  <si>
    <t>ITEM-1562-1</t>
  </si>
  <si>
    <t>ITEM-1563-1</t>
  </si>
  <si>
    <t>Pedido 97583 nota de serviço</t>
  </si>
  <si>
    <t>1784728</t>
  </si>
  <si>
    <t>ITEM-1564-1</t>
  </si>
  <si>
    <t>Pedido 98426 copos, chaveiros, pegador</t>
  </si>
  <si>
    <t>ITEM-1565-1</t>
  </si>
  <si>
    <t>1784721</t>
  </si>
  <si>
    <t>ITEM-1566-1</t>
  </si>
  <si>
    <t>Taxa</t>
  </si>
  <si>
    <t>ITEM-181b0d7ae-1</t>
  </si>
  <si>
    <t>181b0d7ae</t>
  </si>
  <si>
    <t>a43e1b1b</t>
  </si>
  <si>
    <t>publicidade</t>
  </si>
  <si>
    <t>ITEM-1567-1</t>
  </si>
  <si>
    <t>1784734</t>
  </si>
  <si>
    <t>ITEM-1568-1</t>
  </si>
  <si>
    <t>7ee51177</t>
  </si>
  <si>
    <t>ITEM-19be2e9de-1</t>
  </si>
  <si>
    <t>19be2e9de</t>
  </si>
  <si>
    <t>1784706</t>
  </si>
  <si>
    <t>Passarela Center via atacadista (09/12/2025) - Compra de frutas para loja</t>
  </si>
  <si>
    <t>Notas_Images/77994130.Foto.154401.jpg</t>
  </si>
  <si>
    <t>ITEM-1577-1</t>
  </si>
  <si>
    <t>Compra de frutas para loja</t>
  </si>
  <si>
    <t>ITEM-1575-1</t>
  </si>
  <si>
    <t>f3aafcf7</t>
  </si>
  <si>
    <t>1784696</t>
  </si>
  <si>
    <t>ITEM-1578-1</t>
  </si>
  <si>
    <t>Amadelli (09/12/2025) - Pedido gelado/ veio a outra caixa de kiwi</t>
  </si>
  <si>
    <t>Notas_Images/f3aafcf7.Foto.194706.jpg</t>
  </si>
  <si>
    <t>Pedido gelado/ veio a outra caixa de kiwi</t>
  </si>
  <si>
    <t>ITEM-11ab33e3e-1</t>
  </si>
  <si>
    <t>Notas_Images/f3aafcf7.Foto 1.194706.jpg</t>
  </si>
  <si>
    <t>11ab33e3e</t>
  </si>
  <si>
    <t>c3a7c9bf</t>
  </si>
  <si>
    <t>ITEM-1f7adadf4-1</t>
  </si>
  <si>
    <t>1f7adadf4</t>
  </si>
  <si>
    <t>Passarela Center via atacadista (08/12/2025) - Compra de frutas</t>
  </si>
  <si>
    <t>Notas_Images/c3a7c9bf.Foto.232102.jpg</t>
  </si>
  <si>
    <t>1786224</t>
  </si>
  <si>
    <t>ITEM-1c20c0696-1</t>
  </si>
  <si>
    <t>1c20c0696</t>
  </si>
  <si>
    <t>3cf00b0b</t>
  </si>
  <si>
    <t>ITEM-11b073acc-1</t>
  </si>
  <si>
    <t>11b073acc</t>
  </si>
  <si>
    <t>Queluz supermercados (08/12/2025) - Compra de panettone</t>
  </si>
  <si>
    <t>Notas_Images/3cf00b0b.Foto.232226.jpg</t>
  </si>
  <si>
    <t>Compra de panettone</t>
  </si>
  <si>
    <t>ITEM-11666561c-1</t>
  </si>
  <si>
    <t>11666561c</t>
  </si>
  <si>
    <t>fffa8b71</t>
  </si>
  <si>
    <t>ITEM-1581-1</t>
  </si>
  <si>
    <t>Queluz mercado (08/12/2025) - Compra de paes</t>
  </si>
  <si>
    <t>Notas_Images/fffa8b71.Foto.232433.jpg</t>
  </si>
  <si>
    <t>Compra de paes</t>
  </si>
  <si>
    <t>ITEM-1582-1</t>
  </si>
  <si>
    <t>d825af91</t>
  </si>
  <si>
    <t>ITEM-1583-1</t>
  </si>
  <si>
    <t>Queluz mercado (07/12/2025) - Compra de lanche e frutas</t>
  </si>
  <si>
    <t>Notas_Images/d825af91.Foto.232622.jpg</t>
  </si>
  <si>
    <t>ITEM-1584-1</t>
  </si>
  <si>
    <t>ITEM-162aa366f-1</t>
  </si>
  <si>
    <t>162aa366f</t>
  </si>
  <si>
    <t>c67d251c</t>
  </si>
  <si>
    <t>668cb798</t>
  </si>
  <si>
    <t>Simples Nacional guia complementar</t>
  </si>
  <si>
    <t>ITEM-11f505761-1</t>
  </si>
  <si>
    <t>11f505761</t>
  </si>
  <si>
    <t>dc03d759</t>
  </si>
  <si>
    <t>ITEM-132398cf9-1</t>
  </si>
  <si>
    <t>Hospedagem confraternização</t>
  </si>
  <si>
    <t>132398cf9</t>
  </si>
  <si>
    <t>ITEM-1576-1</t>
  </si>
  <si>
    <t>99f10088</t>
  </si>
  <si>
    <t>Confraternização</t>
  </si>
  <si>
    <t>ITEM-1591-1</t>
  </si>
  <si>
    <t>d50eb9d4</t>
  </si>
  <si>
    <t>ITEM-12f45474b-1</t>
  </si>
  <si>
    <t>Cesta Natal equipe</t>
  </si>
  <si>
    <t>12f45474b</t>
  </si>
  <si>
    <t>c9501a8a</t>
  </si>
  <si>
    <t>ITEM-1596-1</t>
  </si>
  <si>
    <t>Mais morangos vacaria (09/12/2025) - Pagamento de morangos. 10kg</t>
  </si>
  <si>
    <t>Notas_Images/c9501a8a.Foto.174355.jpg</t>
  </si>
  <si>
    <t>Pagamento de morangos. 10kg</t>
  </si>
  <si>
    <t>Funcionários</t>
  </si>
  <si>
    <t>ITEM-169e24bd7-1</t>
  </si>
  <si>
    <t>169e24bd7</t>
  </si>
  <si>
    <t>831f3481</t>
  </si>
  <si>
    <t>ITEM-178f8d046-1</t>
  </si>
  <si>
    <t>Mais morangos vacaria (05/12/2025) - Pagamento de morangos. 28kg</t>
  </si>
  <si>
    <t>178f8d046</t>
  </si>
  <si>
    <t>Notas_Images/831f3481.Foto.175054.jpg</t>
  </si>
  <si>
    <t>Pagamento de morangos. 28kg</t>
  </si>
  <si>
    <t>ITEM-174ba2cc1-1</t>
  </si>
  <si>
    <t>174ba2cc1</t>
  </si>
  <si>
    <t>1792857</t>
  </si>
  <si>
    <t>Consumos e Adiantamentos</t>
  </si>
  <si>
    <t>Pedido 90431 nota de serviço</t>
  </si>
  <si>
    <t>ITEM-14605a5ab-1</t>
  </si>
  <si>
    <t>14605a5ab</t>
  </si>
  <si>
    <t>7093ba60</t>
  </si>
  <si>
    <t>ITEM-1a05c89a3-1</t>
  </si>
  <si>
    <t>1a05c89a3</t>
  </si>
  <si>
    <t>62769cd4</t>
  </si>
  <si>
    <t>Passarela Center via atacadista (12/12/2025) - Compra de produtos e frutas.</t>
  </si>
  <si>
    <t>Notas_Images/7093ba60.Foto.013507.jpg</t>
  </si>
  <si>
    <t>Cadastro</t>
  </si>
  <si>
    <t>Compra de produtos e frutas.</t>
  </si>
  <si>
    <t>ITEM-1b54ddbd6-1</t>
  </si>
  <si>
    <t>1b54ddbd6</t>
  </si>
  <si>
    <t>65c6a7cf</t>
  </si>
  <si>
    <t>014f3ca7</t>
  </si>
  <si>
    <t>5ee64f39</t>
  </si>
  <si>
    <t>a4e44c17</t>
  </si>
  <si>
    <t>6ccc6d53</t>
  </si>
  <si>
    <t>b6d4f68c</t>
  </si>
  <si>
    <t>7e0bbbef</t>
  </si>
  <si>
    <t>77050fb8</t>
  </si>
  <si>
    <t>12539885</t>
  </si>
  <si>
    <t>b8a58aa6</t>
  </si>
  <si>
    <t>71e2bfeb</t>
  </si>
  <si>
    <t>012005a2</t>
  </si>
  <si>
    <t>27828f76</t>
  </si>
  <si>
    <t>7f4f97d2</t>
  </si>
  <si>
    <t>9f43304d</t>
  </si>
  <si>
    <t>Suco prats (15/12/2025) - Compra de agua de coco e sucos</t>
  </si>
  <si>
    <t>Notas_Images/012005a2.Foto.195442.jpg</t>
  </si>
  <si>
    <t>c007ad74</t>
  </si>
  <si>
    <t>Compra de agua de coco e sucos</t>
  </si>
  <si>
    <t>823faea8</t>
  </si>
  <si>
    <t>ab1e9eb8</t>
  </si>
  <si>
    <t>FO-BRAN (15/12/2025) - Pagamento de bebidas</t>
  </si>
  <si>
    <t>Notas_Images/823faea8.Foto.195822.jpg</t>
  </si>
  <si>
    <t>dcfd531d</t>
  </si>
  <si>
    <t>0ae5808e</t>
  </si>
  <si>
    <t>23fbf78c</t>
  </si>
  <si>
    <t>092d0071</t>
  </si>
  <si>
    <t>c554773f</t>
  </si>
  <si>
    <t>Franciosi (15/12/2025) - Compra de banana pra loja</t>
  </si>
  <si>
    <t>Notas_Images/23fbf78c.Foto.200048.jpg</t>
  </si>
  <si>
    <t>Compra de banana pra loja</t>
  </si>
  <si>
    <t>5cb84017</t>
  </si>
  <si>
    <t>842d55d3</t>
  </si>
  <si>
    <t>e55be267</t>
  </si>
  <si>
    <t>1cada31c</t>
  </si>
  <si>
    <t>Queluz mercado (15/12/2025) - Compra de frutas e produtos para loja.</t>
  </si>
  <si>
    <t>3ad1af65</t>
  </si>
  <si>
    <t>Notas_Images/e55be267.Foto.200253.jpg</t>
  </si>
  <si>
    <t>245f39e4</t>
  </si>
  <si>
    <t>acd15a12</t>
  </si>
  <si>
    <t>e24faab8</t>
  </si>
  <si>
    <t>c5d88aea</t>
  </si>
  <si>
    <t>8f7a624b</t>
  </si>
  <si>
    <t>Mais morangos vacaria (12/12/2025) - Pagamento de morangos</t>
  </si>
  <si>
    <t>Notas_Images/e24faab8.Foto.205219.jpg</t>
  </si>
  <si>
    <t>7d762e5f</t>
  </si>
  <si>
    <t>2127a72e</t>
  </si>
  <si>
    <t>Marcos</t>
  </si>
  <si>
    <t>ca5edc83</t>
  </si>
  <si>
    <t>FO-BRAN BEBIDAS (15/12/2025) - Pagamento de bebidas</t>
  </si>
  <si>
    <t>Notas_Images/2127a72e.Foto.205636.jpg</t>
  </si>
  <si>
    <t>80d20499</t>
  </si>
  <si>
    <t>7f3594aa</t>
  </si>
  <si>
    <t>903ddbb3</t>
  </si>
  <si>
    <t>Mais morangos vacaria (28/11/2025) - Pagamento de morangos</t>
  </si>
  <si>
    <t>b75ee6a7</t>
  </si>
  <si>
    <t>f01dc7d5</t>
  </si>
  <si>
    <t>Notas_Images/7f3594aa.Foto.205914.jpg</t>
  </si>
  <si>
    <t>105d9e61</t>
  </si>
  <si>
    <t>b93e887f</t>
  </si>
  <si>
    <t>56528f71</t>
  </si>
  <si>
    <t>Mais morangos vacaria (16/12/2025) - Pagamento de morangos</t>
  </si>
  <si>
    <t>Notas_Images/36262462.Foto.210012.jpg</t>
  </si>
  <si>
    <t>dce28b9a</t>
  </si>
  <si>
    <t>b8bbf436</t>
  </si>
  <si>
    <t>545cf1c8</t>
  </si>
  <si>
    <t>b04c3da6</t>
  </si>
  <si>
    <t>3176367f</t>
  </si>
  <si>
    <t>9aa36ce2</t>
  </si>
  <si>
    <t>8df22bbc</t>
  </si>
  <si>
    <t>Queluz supermercados (17/12/2025) - Compra de frutas para loja</t>
  </si>
  <si>
    <t>Notas_Images/b04c3da6.Foto.165806.jpg</t>
  </si>
  <si>
    <t>2accea24</t>
  </si>
  <si>
    <t>c3628dca</t>
  </si>
  <si>
    <t>Amadelli (13/12/2025) - Carga seca</t>
  </si>
  <si>
    <t>Notas_Images/2accea24.Foto.201301.jpg</t>
  </si>
  <si>
    <t>1791604</t>
  </si>
  <si>
    <t>Notas_Images/2accea24.Foto 1.201301.jpg</t>
  </si>
  <si>
    <t>c8c464f5</t>
  </si>
  <si>
    <t>59f71552</t>
  </si>
  <si>
    <t>0657bbab</t>
  </si>
  <si>
    <t>9a439027</t>
  </si>
  <si>
    <t>Notas_Images/59f71552.Foto.202037.jpg</t>
  </si>
  <si>
    <t>18554656</t>
  </si>
  <si>
    <t>e7a21511</t>
  </si>
  <si>
    <t>bacfffad</t>
  </si>
  <si>
    <t>1797338</t>
  </si>
  <si>
    <t>7c096a18</t>
  </si>
  <si>
    <t>Santa Clara pros limpeza (18/12/2025) - Compra de saco de lixo</t>
  </si>
  <si>
    <t>1605-A</t>
  </si>
  <si>
    <t>Notas_Images/bacfffad.Foto.190924.jpg</t>
  </si>
  <si>
    <t>Compra de saco de lixo</t>
  </si>
  <si>
    <t>825cf9da</t>
  </si>
  <si>
    <t>1606-A</t>
  </si>
  <si>
    <t>Passarela Center via atacadista (18/12/2025) - Compra de produtos para loja.</t>
  </si>
  <si>
    <t>Notas_Images/825cf9da.Foto.012217.jpg</t>
  </si>
  <si>
    <t>1798068</t>
  </si>
  <si>
    <t>Compra de produtos para loja.</t>
  </si>
  <si>
    <t>60571cf1</t>
  </si>
  <si>
    <t>bb63f222</t>
  </si>
  <si>
    <t>75375964</t>
  </si>
  <si>
    <t>60382933</t>
  </si>
  <si>
    <t>8068def3</t>
  </si>
  <si>
    <t>fff77ec3</t>
  </si>
  <si>
    <t>4213f209</t>
  </si>
  <si>
    <t>bacd8933</t>
  </si>
  <si>
    <t>b59bc6fe</t>
  </si>
  <si>
    <t>9a9687a1</t>
  </si>
  <si>
    <t>4a937fbe</t>
  </si>
  <si>
    <t>90043c85</t>
  </si>
  <si>
    <t>d726a318</t>
  </si>
  <si>
    <t>a3c5b19b</t>
  </si>
  <si>
    <t>e18d42b6</t>
  </si>
  <si>
    <t>bd334263</t>
  </si>
  <si>
    <t>cd74dd17</t>
  </si>
  <si>
    <t>bbb9a72b</t>
  </si>
  <si>
    <t>13°</t>
  </si>
  <si>
    <t>f22ee7f8</t>
  </si>
  <si>
    <t>fb7e654f</t>
  </si>
  <si>
    <t>c05a6e32</t>
  </si>
  <si>
    <t>16ddbee9</t>
  </si>
  <si>
    <t>ce079cba</t>
  </si>
  <si>
    <t>Inss</t>
  </si>
  <si>
    <t>6429bcf0</t>
  </si>
  <si>
    <t>43a9b924</t>
  </si>
  <si>
    <t>c6738b4e</t>
  </si>
  <si>
    <t>Pedido 100081 nota de serviço</t>
  </si>
  <si>
    <t>2138544e</t>
  </si>
  <si>
    <t>68a2fb36</t>
  </si>
  <si>
    <t>9174e3b9</t>
  </si>
  <si>
    <t>dda itau</t>
  </si>
  <si>
    <t>683f0fe0</t>
  </si>
  <si>
    <t>64926f62</t>
  </si>
  <si>
    <t>b4323f39</t>
  </si>
  <si>
    <t>Custo mensal do escritório</t>
  </si>
  <si>
    <t>44e96f56</t>
  </si>
  <si>
    <t>375dbf0f</t>
  </si>
  <si>
    <t>0e0723b3</t>
  </si>
  <si>
    <t>Rayana</t>
  </si>
  <si>
    <t>Pedido 100090 nota de serviço</t>
  </si>
  <si>
    <t>1805101</t>
  </si>
  <si>
    <t>82d1ff9e</t>
  </si>
  <si>
    <t>Consumo</t>
  </si>
  <si>
    <t>06 açai tradicional</t>
  </si>
  <si>
    <t>36328df1</t>
  </si>
  <si>
    <t>151ec59f</t>
  </si>
  <si>
    <t>2c14e9dc</t>
  </si>
  <si>
    <t>75da60cf</t>
  </si>
  <si>
    <t>1803636</t>
  </si>
  <si>
    <t>134b6d96</t>
  </si>
  <si>
    <t>0dc130e6</t>
  </si>
  <si>
    <t>0e72ed25</t>
  </si>
  <si>
    <t>8610af32</t>
  </si>
  <si>
    <t>c7515d9b</t>
  </si>
  <si>
    <t>1803637</t>
  </si>
  <si>
    <t>f6f32f42</t>
  </si>
  <si>
    <t>87e98dee</t>
  </si>
  <si>
    <t>5b759f83</t>
  </si>
  <si>
    <t>Morangos de vacaria (19/12/2025) - 15kg morango</t>
  </si>
  <si>
    <t>72d7bba3</t>
  </si>
  <si>
    <t>c7b5ef34</t>
  </si>
  <si>
    <t>Notas_Images/f6f32f42.Foto.163412.jpg</t>
  </si>
  <si>
    <t>bf80084e</t>
  </si>
  <si>
    <t>15kg morango</t>
  </si>
  <si>
    <t>318994b4</t>
  </si>
  <si>
    <t>1804741</t>
  </si>
  <si>
    <t>f2512b1b</t>
  </si>
  <si>
    <t>FO-BRAN BEBIDAS (19/12/2025) - Pagamento de bebidas</t>
  </si>
  <si>
    <t>Notas_Images/f2512b1b.Foto.010451.jpg</t>
  </si>
  <si>
    <t>1f542171</t>
  </si>
  <si>
    <t>04d62a52</t>
  </si>
  <si>
    <t>1804819</t>
  </si>
  <si>
    <t>50c317c9</t>
  </si>
  <si>
    <t>df6b3171</t>
  </si>
  <si>
    <t>3cadd9c8</t>
  </si>
  <si>
    <t>Erick</t>
  </si>
  <si>
    <t>c34e59c4</t>
  </si>
  <si>
    <t>c2bed2fa</t>
  </si>
  <si>
    <t>cde8003a</t>
  </si>
  <si>
    <t>c9bd7663</t>
  </si>
  <si>
    <t>Consumo Líquido</t>
  </si>
  <si>
    <t>fd63fd43</t>
  </si>
  <si>
    <t>1c85e716</t>
  </si>
  <si>
    <t>kopus (10/12/2025) - Copos de 300ml e 500ml</t>
  </si>
  <si>
    <t>Notas_Images/fd63fd43.Foto.191847.jpg</t>
  </si>
  <si>
    <t>6a5b2847</t>
  </si>
  <si>
    <t>Copos de 300ml e 500ml</t>
  </si>
  <si>
    <t>79dee185</t>
  </si>
  <si>
    <t>61da36b9</t>
  </si>
  <si>
    <t>FO-BRAN BEBIDAS (22/12/2025) - Compra de água</t>
  </si>
  <si>
    <t>Notas_Images/79dee185.Foto.204852.jpg</t>
  </si>
  <si>
    <t>Compra de água</t>
  </si>
  <si>
    <t>2c5b0e13</t>
  </si>
  <si>
    <t>bff5d0e3</t>
  </si>
  <si>
    <t>8d63207c</t>
  </si>
  <si>
    <t>Passarela Center via atacadista (22/12/2025) - Compra de frutas e produtos para loja</t>
  </si>
  <si>
    <t>7d133915</t>
  </si>
  <si>
    <t>Notas_Images/bff5d0e3.Foto.211304.jpg</t>
  </si>
  <si>
    <t>5867e7da</t>
  </si>
  <si>
    <t>9d19398d</t>
  </si>
  <si>
    <t>85357fca</t>
  </si>
  <si>
    <t>ef11a331</t>
  </si>
  <si>
    <t>5ac2039c</t>
  </si>
  <si>
    <t>899a4a13</t>
  </si>
  <si>
    <t>990e1a1e</t>
  </si>
  <si>
    <t>55864797</t>
  </si>
  <si>
    <t>Sal Adm</t>
  </si>
  <si>
    <t>2757d815</t>
  </si>
  <si>
    <t>0a23099b</t>
  </si>
  <si>
    <t>dec6d522</t>
  </si>
  <si>
    <t>agua</t>
  </si>
  <si>
    <t>8cb94f5f</t>
  </si>
  <si>
    <t>6e7cba38</t>
  </si>
  <si>
    <t>d972237f</t>
  </si>
  <si>
    <t>8ce10208</t>
  </si>
  <si>
    <t>Passarela Center via atacadista (26/12/2025) - Compra de frutas para loja</t>
  </si>
  <si>
    <t>20094545</t>
  </si>
  <si>
    <t>Notas_Images/d972237f.Foto.195641.jpg</t>
  </si>
  <si>
    <t>46aa5382</t>
  </si>
  <si>
    <t>6b787912</t>
  </si>
  <si>
    <t>5d50e089</t>
  </si>
  <si>
    <t>a08001c8</t>
  </si>
  <si>
    <t>Notas_Images/6b787912.Foto.195901.jpg</t>
  </si>
  <si>
    <t>200e6efd</t>
  </si>
  <si>
    <t>f989596f</t>
  </si>
  <si>
    <t>d808ea2f</t>
  </si>
  <si>
    <t>3500 PF bradesco / 3000PJ bradesco / 1000 Itau</t>
  </si>
  <si>
    <t>23866dda</t>
  </si>
  <si>
    <t>d0480a26</t>
  </si>
  <si>
    <t>102f7338</t>
  </si>
  <si>
    <t>8111f4b4</t>
  </si>
  <si>
    <t>37c43a99</t>
  </si>
  <si>
    <t>6751d781</t>
  </si>
  <si>
    <t>126ae0f8</t>
  </si>
  <si>
    <t>4a195587</t>
  </si>
  <si>
    <t>Carolina</t>
  </si>
  <si>
    <t>Queluz supermercados (27/12/2025) - Compra de frutas e produtos para loja.</t>
  </si>
  <si>
    <t>Notas_Images/126ae0f8.Foto.024200.jpg</t>
  </si>
  <si>
    <t>Empréstimo</t>
  </si>
  <si>
    <t>f9644906</t>
  </si>
  <si>
    <t>fd8e415c</t>
  </si>
  <si>
    <t>c96ac6c9</t>
  </si>
  <si>
    <t>Amadelli (22/12/2025) - Compra de gelados</t>
  </si>
  <si>
    <t>afc91d3f</t>
  </si>
  <si>
    <t>Notas_Images/c96ac6c9.Foto.205531.jpg</t>
  </si>
  <si>
    <t>f0693601</t>
  </si>
  <si>
    <t>9cca4a2c</t>
  </si>
  <si>
    <t>24a46042</t>
  </si>
  <si>
    <t>Amadelli (22/12/2025) - Pedido gelado</t>
  </si>
  <si>
    <t>1e63b5fd</t>
  </si>
  <si>
    <t>Notas_Images/9cca4a2c.Foto.205854.jpg</t>
  </si>
  <si>
    <t>Notas_Images/9cca4a2c.Foto 1.205854.jpg</t>
  </si>
  <si>
    <t>Notas_Images/9cca4a2c.Foto 2.205854.jpg</t>
  </si>
  <si>
    <t>bcfdb3e4</t>
  </si>
  <si>
    <t>d9b83259</t>
  </si>
  <si>
    <t>52b575d3</t>
  </si>
  <si>
    <t>FO-BRAN BEBIDAS (29/12/2025) - Pagamento de bebidas</t>
  </si>
  <si>
    <t>Notas_Images/d9b83259.Foto.193913.jpg</t>
  </si>
  <si>
    <t>f656c30f</t>
  </si>
  <si>
    <t>91616249</t>
  </si>
  <si>
    <t>45e1f71a</t>
  </si>
  <si>
    <t>515877a7</t>
  </si>
  <si>
    <t>SC COPIAS (23/12/2025) - Compra de embalagens</t>
  </si>
  <si>
    <t>Notas_Images/45e1f71a.Foto.225816.jpg</t>
  </si>
  <si>
    <t>Compra de embalagens</t>
  </si>
  <si>
    <t>80a4ea2e</t>
  </si>
  <si>
    <t>Sabrine</t>
  </si>
  <si>
    <t>443bf5ca</t>
  </si>
  <si>
    <t>Parcela</t>
  </si>
  <si>
    <t>003047a7</t>
  </si>
  <si>
    <t>e4ab6515</t>
  </si>
  <si>
    <t>4405a39c</t>
  </si>
  <si>
    <t>abb8b6c6</t>
  </si>
  <si>
    <t>70a7beda</t>
  </si>
  <si>
    <t>7f25e00a</t>
  </si>
  <si>
    <t>df35779e</t>
  </si>
  <si>
    <t>3a3cecd6</t>
  </si>
  <si>
    <t>c31ea422</t>
  </si>
  <si>
    <t>dc068b91</t>
  </si>
  <si>
    <t>8e7f3a20</t>
  </si>
  <si>
    <t>7721df1e</t>
  </si>
  <si>
    <t>Passarela Center via atacadista (30/12/2025) - Compra de frutas para loja</t>
  </si>
  <si>
    <t>5f68e2ac</t>
  </si>
  <si>
    <t>Notas_Images/7721df1e.Foto.150950.jpg</t>
  </si>
  <si>
    <t>f86cbc3c</t>
  </si>
  <si>
    <t>cff31178</t>
  </si>
  <si>
    <t>fa6a4d40</t>
  </si>
  <si>
    <t>Passarela Center via atacadista (30/12/2025) - Compra de frutas e produtos para loja.</t>
  </si>
  <si>
    <t>Notas_Images/f86cbc3c.Foto.151105.jpg</t>
  </si>
  <si>
    <t>edad405f</t>
  </si>
  <si>
    <t>Morangos França (02/01/2026) - Pagamento de morangos</t>
  </si>
  <si>
    <t>Notas_Images/71e2bfeb.Foto.192718.jpg</t>
  </si>
  <si>
    <t>f5fa43ca</t>
  </si>
  <si>
    <t>c1d902d4</t>
  </si>
  <si>
    <t>8131cb78</t>
  </si>
  <si>
    <t>b57e9e8c</t>
  </si>
  <si>
    <t>Via atacado (02/01/2026) - Frutas e produtos de limpeza</t>
  </si>
  <si>
    <t>Notas_Images/7f4f97d2.Foto.004839.jpg</t>
  </si>
  <si>
    <t>Frutas e produtos de limpeza</t>
  </si>
  <si>
    <t>b76c443c</t>
  </si>
  <si>
    <t>9e8865ce</t>
  </si>
  <si>
    <t>2c374f14</t>
  </si>
  <si>
    <t>Via atacado (03/01/2026) - Frutas e lanches</t>
  </si>
  <si>
    <t>f5bed4e5</t>
  </si>
  <si>
    <t>Notas_Images/842d55d3.Foto.005045.jpg</t>
  </si>
  <si>
    <t>Frutas e lanches</t>
  </si>
  <si>
    <t>fbda77c6</t>
  </si>
  <si>
    <t>d8d6953c</t>
  </si>
  <si>
    <t>5cbf1d62</t>
  </si>
  <si>
    <t>Via atacado (04/01/2026) - Frutas e lanche</t>
  </si>
  <si>
    <t>Notas_Images/8f7a624b.Foto.005154.jpg</t>
  </si>
  <si>
    <t>Frutas e lanche</t>
  </si>
  <si>
    <t>127f86fb</t>
  </si>
  <si>
    <t>db52fe5d</t>
  </si>
  <si>
    <t>126d942a</t>
  </si>
  <si>
    <t>42e4041a</t>
  </si>
  <si>
    <t>Amadelli (29/12/2025) - Pedido seco</t>
  </si>
  <si>
    <t>cf3ffe78</t>
  </si>
  <si>
    <t>Notas_Images/db52fe5d.Foto.213649.jpg</t>
  </si>
  <si>
    <t>1808024</t>
  </si>
  <si>
    <t>Notas_Images/db52fe5d.Foto 1.213649.jpg</t>
  </si>
  <si>
    <t>bd4b6e3a</t>
  </si>
  <si>
    <t>00d32a7c</t>
  </si>
  <si>
    <t>59e51fc0</t>
  </si>
  <si>
    <t>Pro food (30/12/2025) - Embalagens</t>
  </si>
  <si>
    <t>68cd0d06</t>
  </si>
  <si>
    <t>Notas_Images/00d32a7c.Foto.214823.jpg</t>
  </si>
  <si>
    <t>caf38849</t>
  </si>
  <si>
    <t>1808031</t>
  </si>
  <si>
    <t>27966d5e</t>
  </si>
  <si>
    <t>Pedido 102124 nota de serviço</t>
  </si>
  <si>
    <t>8efabd87</t>
  </si>
  <si>
    <t>1806708</t>
  </si>
  <si>
    <t>a9a68aa3</t>
  </si>
  <si>
    <t>4dbce022</t>
  </si>
  <si>
    <t>Pedido 102609 nota de serviço</t>
  </si>
  <si>
    <t>0620e7e0</t>
  </si>
  <si>
    <t>dc67d0e5</t>
  </si>
  <si>
    <t>3fa9e0c7</t>
  </si>
  <si>
    <t>Queluz supermercados (28/12/2025) - Compra de lanche para funcionários.</t>
  </si>
  <si>
    <t>Notas_Images/5ee64f39.Foto.181737.jpg</t>
  </si>
  <si>
    <t>Compra de lanche para funcionários.</t>
  </si>
  <si>
    <t>4666e97e</t>
  </si>
  <si>
    <t>00c3cd19</t>
  </si>
  <si>
    <t>Mais morangos vacaria (30/12/2025) - Pagamento de morangos</t>
  </si>
  <si>
    <t>Notas_Images/77050fb8.Foto.182150.jpg</t>
  </si>
  <si>
    <t>fa06ede6</t>
  </si>
  <si>
    <t>5f4bdf4d</t>
  </si>
  <si>
    <t>cfbef07b</t>
  </si>
  <si>
    <t>5d00d134</t>
  </si>
  <si>
    <t>Embalagens LTDA (06/01/2026) - Compra de produtos de higiene para loja.</t>
  </si>
  <si>
    <t>Notas_Images/b75ee6a7.Foto.183514.jpg</t>
  </si>
  <si>
    <t>2f5b44a8</t>
  </si>
  <si>
    <t>Embalagens LTDA (06/01/2026) - Compra de canudos para loja.</t>
  </si>
  <si>
    <t>cd992bd3</t>
  </si>
  <si>
    <t>Notas_Images/545cf1c8.Foto.183800.jpg</t>
  </si>
  <si>
    <t>bdae48a7</t>
  </si>
  <si>
    <t>Compra de canudos para loja.</t>
  </si>
  <si>
    <t>b7ef9060</t>
  </si>
  <si>
    <t>c3d4dae9</t>
  </si>
  <si>
    <t>8174e02a</t>
  </si>
  <si>
    <t>31c338e0</t>
  </si>
  <si>
    <t>FO-BRAN (07/01/2026) - Compra de bebidas</t>
  </si>
  <si>
    <t>e4fa8aa2</t>
  </si>
  <si>
    <t>Notas_Images/bb63f222.Foto.205410.jpg</t>
  </si>
  <si>
    <t>3f468d45</t>
  </si>
  <si>
    <t>Compra de bebidas</t>
  </si>
  <si>
    <t>bdea7665</t>
  </si>
  <si>
    <t>Passarela Center via atacadista (07/01/2026) - Compra de produtos para loja.</t>
  </si>
  <si>
    <t>Notas_Images/d726a318.Foto.015119.jpg</t>
  </si>
  <si>
    <t>6dc1ebfc</t>
  </si>
  <si>
    <t>Queluz supermercados (07/01/2026) - Compra de frutas.</t>
  </si>
  <si>
    <t>e4e6fa07</t>
  </si>
  <si>
    <t>Notas_Images/375dbf0f.Foto.015217.jpg</t>
  </si>
  <si>
    <t>Compra de frutas.</t>
  </si>
  <si>
    <t>9ae36cf0</t>
  </si>
  <si>
    <t>Amadelli (06/01/2026) - Carga gelada.</t>
  </si>
  <si>
    <t>Notas_Images/8df22bbc.Foto.113637.jpg</t>
  </si>
  <si>
    <t>Carga gelada.</t>
  </si>
  <si>
    <t>9ec34883</t>
  </si>
  <si>
    <t>36c709ce</t>
  </si>
  <si>
    <t>Notas_Images/8df22bbc.Foto 1.113637.jpg</t>
  </si>
  <si>
    <t>cf918f3f</t>
  </si>
  <si>
    <t>Notas_Images/8df22bbc.Foto 2.113637.jpg</t>
  </si>
  <si>
    <t>1812523</t>
  </si>
  <si>
    <t>Mais morangos vacaria (06/01/2026) - Pagamento de morangos</t>
  </si>
  <si>
    <t>Notas_Images/18554656.Foto.114434.jpg</t>
  </si>
  <si>
    <t>da1a1cdf</t>
  </si>
  <si>
    <t>6cd0f1f9</t>
  </si>
  <si>
    <t>1812536</t>
  </si>
  <si>
    <t>cbd46581</t>
  </si>
  <si>
    <t>Celesc Curitibanos (08/01/2026) - Conta de luz.</t>
  </si>
  <si>
    <t>Notas_Images/0dc130e6.Foto.162126.jpg</t>
  </si>
  <si>
    <t>a03e849f</t>
  </si>
  <si>
    <t>Conta de luz.</t>
  </si>
  <si>
    <t>2bcf5d5d</t>
  </si>
  <si>
    <t>6e06c205</t>
  </si>
  <si>
    <t>560c77d6</t>
  </si>
  <si>
    <t>965ea555</t>
  </si>
  <si>
    <t>ProFood (04/02/2026) - Embalagens</t>
  </si>
  <si>
    <t>1812548</t>
  </si>
  <si>
    <t>07f5fc66</t>
  </si>
  <si>
    <t>Notas_Images/560c77d6.Foto.211750.jpg</t>
  </si>
  <si>
    <t>022bac68</t>
  </si>
  <si>
    <t>2616237d</t>
  </si>
  <si>
    <t>6b597739</t>
  </si>
  <si>
    <t>ProFood (18/02/2026) - Embalagens</t>
  </si>
  <si>
    <t>Notas_Images/2616237d.Foto.212312.jpg</t>
  </si>
  <si>
    <t>3c95d06a</t>
  </si>
  <si>
    <t>1812530</t>
  </si>
  <si>
    <t>79f322e1</t>
  </si>
  <si>
    <t>cb11b315</t>
  </si>
  <si>
    <t>2061fbd4</t>
  </si>
  <si>
    <t>Chaveiro (08/01/2026) - Copia de chave</t>
  </si>
  <si>
    <t>Notas_Images/8610af32.Foto.220921.jpg</t>
  </si>
  <si>
    <t>Copia de chave</t>
  </si>
  <si>
    <t>1ad00a1b</t>
  </si>
  <si>
    <t>1814661</t>
  </si>
  <si>
    <t>a46cbf64</t>
  </si>
  <si>
    <t>6416af55</t>
  </si>
  <si>
    <t>3b43b654</t>
  </si>
  <si>
    <t>Passarela Center via atacadista (08/01/2026) - Compra de mangas</t>
  </si>
  <si>
    <t>Notas_Images/5b759f83.Foto.221034.jpg</t>
  </si>
  <si>
    <t>Compra de mangas</t>
  </si>
  <si>
    <t>54f0bfd9</t>
  </si>
  <si>
    <t>10462229</t>
  </si>
  <si>
    <t>1817112</t>
  </si>
  <si>
    <t>c0e97a69</t>
  </si>
  <si>
    <t>Passarela Center via atacadista (08/01/2026) - Compra de frutas e produtos para loja</t>
  </si>
  <si>
    <t>Notas_Images/c7b5ef34.Foto.221147.jpg</t>
  </si>
  <si>
    <t>5c05b72d</t>
  </si>
  <si>
    <t>15fd6432</t>
  </si>
  <si>
    <t>6ab465ee</t>
  </si>
  <si>
    <t>Morangos França (08/01/2026) - Compra de morangos</t>
  </si>
  <si>
    <t>Notas_Images/7c096a18.Foto.011038.jpg</t>
  </si>
  <si>
    <t>51b5855f</t>
  </si>
  <si>
    <t>93d1a802</t>
  </si>
  <si>
    <t>Copiadora taliana (08/01/2026) - Impressões para loja</t>
  </si>
  <si>
    <t>Notas_Images/7d133915.Foto.201054.jpg</t>
  </si>
  <si>
    <t>9347519a</t>
  </si>
  <si>
    <t>0dfe9700</t>
  </si>
  <si>
    <t>f941c697</t>
  </si>
  <si>
    <t>Papelaria lux (08/01/2026) - Produtos para loja</t>
  </si>
  <si>
    <t>1818125</t>
  </si>
  <si>
    <t>Notas_Images/85357fca.Foto.201224.jpg</t>
  </si>
  <si>
    <t>522cd131</t>
  </si>
  <si>
    <t>ded83872</t>
  </si>
  <si>
    <t>4ce484cd</t>
  </si>
  <si>
    <t>FO-BRAN BEBIDAS (09/01/2026) - Pagamento de bebidas</t>
  </si>
  <si>
    <t>Notas_Images/0a23099b.Foto.201407.jpg</t>
  </si>
  <si>
    <t>3e792ad2</t>
  </si>
  <si>
    <t>1818163</t>
  </si>
  <si>
    <t>ec4ea759</t>
  </si>
  <si>
    <t>e5f5e742</t>
  </si>
  <si>
    <t>Casa global (09/01/2026) - Produtos para loja.</t>
  </si>
  <si>
    <t>Notas_Images/20094545.Foto.202144.jpg</t>
  </si>
  <si>
    <t>5af9c1ed</t>
  </si>
  <si>
    <t>1818207</t>
  </si>
  <si>
    <t>092f1550</t>
  </si>
  <si>
    <t>98e1a141</t>
  </si>
  <si>
    <t>Doces e sensações (09/01/2026) - Lanche para funcionários</t>
  </si>
  <si>
    <t>Notas_Images/23866dda.Foto.202358.jpg</t>
  </si>
  <si>
    <t>1ce1ae7b</t>
  </si>
  <si>
    <t>690ddb7a</t>
  </si>
  <si>
    <t>1818350</t>
  </si>
  <si>
    <t>a4e4de73</t>
  </si>
  <si>
    <t>ccd99929</t>
  </si>
  <si>
    <t>13 fgts</t>
  </si>
  <si>
    <t>1818352</t>
  </si>
  <si>
    <t>6457921d</t>
  </si>
  <si>
    <t>eb2a689f</t>
  </si>
  <si>
    <t>e2b4771c</t>
  </si>
  <si>
    <t>5a06f290</t>
  </si>
  <si>
    <t>d373b20f</t>
  </si>
  <si>
    <t>3ff0a378</t>
  </si>
  <si>
    <t>318beddc</t>
  </si>
  <si>
    <t>1820360</t>
  </si>
  <si>
    <t>Queluz supermercados (11/01/2026) - Frutas para loja</t>
  </si>
  <si>
    <t>Notas_Images/f0693601.Foto.170417.jpg</t>
  </si>
  <si>
    <t>99afbbaa</t>
  </si>
  <si>
    <t>c5cfcf04</t>
  </si>
  <si>
    <t>b365e1d7</t>
  </si>
  <si>
    <t>f6a49422</t>
  </si>
  <si>
    <t>Amadelli (08/01/2026) - Carga seca</t>
  </si>
  <si>
    <t>Notas_Images/899a4a13.Foto.210849.jpg</t>
  </si>
  <si>
    <t>7cf8d671</t>
  </si>
  <si>
    <t>Notas_Images/899a4a13.Foto 1.210850.jpg</t>
  </si>
  <si>
    <t>4ee3c2c8</t>
  </si>
  <si>
    <t>Suco prats (12/01/2026) - Compra sucos e aguas de coco</t>
  </si>
  <si>
    <t>Notas_Images/1e63b5fd.Foto.214210.jpg</t>
  </si>
  <si>
    <t>ec225aa2</t>
  </si>
  <si>
    <t>Compra sucos e aguas de coco</t>
  </si>
  <si>
    <t>1819875</t>
  </si>
  <si>
    <t>a1929007</t>
  </si>
  <si>
    <t>f83e99f2</t>
  </si>
  <si>
    <t>b0ad54f6</t>
  </si>
  <si>
    <t>FO-BRAN BEBIDAS (12/01/2026) - Pagamento de bebidas</t>
  </si>
  <si>
    <t>Notas_Images/91616249.Foto.214302.jpg</t>
  </si>
  <si>
    <t>4d8eb2eb</t>
  </si>
  <si>
    <t>ec4f45e2</t>
  </si>
  <si>
    <t>e87e2be9</t>
  </si>
  <si>
    <t>3004cf4d</t>
  </si>
  <si>
    <t>b1859b9e</t>
  </si>
  <si>
    <t>2c1f9068</t>
  </si>
  <si>
    <t>Via atacado (13/01/2026) - Frutas e produtos de limpeza</t>
  </si>
  <si>
    <t>Notas_Images/e4ab6515.Foto.010053.jpg</t>
  </si>
  <si>
    <t>65ef6f1e</t>
  </si>
  <si>
    <t>1822602</t>
  </si>
  <si>
    <t>2f986907</t>
  </si>
  <si>
    <t>Myata supermercado (10/01/2026) - Frutas e lanche</t>
  </si>
  <si>
    <t>Notas_Images/6751d781.Foto.010106.jpg</t>
  </si>
  <si>
    <t>63b1ba98</t>
  </si>
  <si>
    <t>3a439b47</t>
  </si>
  <si>
    <t>b283f93e</t>
  </si>
  <si>
    <t>Roberto José morangos (15/01/2026) - Pagamento de morangos 18kg.</t>
  </si>
  <si>
    <t>Notas_Images/b57e9e8c.Foto.204253.jpg</t>
  </si>
  <si>
    <t>863beaf5</t>
  </si>
  <si>
    <t>Pagamento de morangos 18kg.</t>
  </si>
  <si>
    <t>2b7e1145</t>
  </si>
  <si>
    <t>Casa Fagundes embalagens (15/01/2026) - Produtos para loja</t>
  </si>
  <si>
    <t>Notas_Images/9e8865ce.Foto.204318.jpg</t>
  </si>
  <si>
    <t>93fdc580</t>
  </si>
  <si>
    <t>22298733</t>
  </si>
  <si>
    <t>89894cf7</t>
  </si>
  <si>
    <t>Supermercados myata (15/01/2026) - Compra de frutas para loja</t>
  </si>
  <si>
    <t>Notas_Images/d8d6953c.Foto.205752.jpg</t>
  </si>
  <si>
    <t>914097b0</t>
  </si>
  <si>
    <t>078ec452</t>
  </si>
  <si>
    <t>658c8440</t>
  </si>
  <si>
    <t>Caixas</t>
  </si>
  <si>
    <t>Passarela Center via atacadista (15/01/2026) - Frutas para loja.</t>
  </si>
  <si>
    <t>b39b48fd</t>
  </si>
  <si>
    <t>Notas_Images/42e4041a.Foto.213428.jpg</t>
  </si>
  <si>
    <t>Custos</t>
  </si>
  <si>
    <t>76d9a2c5</t>
  </si>
  <si>
    <t>c0e1d0cd</t>
  </si>
  <si>
    <t>Aplicativos</t>
  </si>
  <si>
    <t>Amadelli (13/01/2026) - Pedido gelado</t>
  </si>
  <si>
    <t>b600bb86</t>
  </si>
  <si>
    <t>Notas_Images/fa6a4d40.Foto.224243.jpg</t>
  </si>
  <si>
    <t>63866dd2</t>
  </si>
  <si>
    <t>1822600</t>
  </si>
  <si>
    <t>a5588348</t>
  </si>
  <si>
    <t>eb94bcd1</t>
  </si>
  <si>
    <t>8e1004c1</t>
  </si>
  <si>
    <t>f74e22cc</t>
  </si>
  <si>
    <t>bb15e819</t>
  </si>
  <si>
    <t>Copiadora Tatiana LTDA ME. (19/01/2026) - Impressões para loja</t>
  </si>
  <si>
    <t>Notas_Images/bdae48a7.Foto.183904.jpg</t>
  </si>
  <si>
    <t>84a0a9d4</t>
  </si>
  <si>
    <t>Caixa Sangrias</t>
  </si>
  <si>
    <t>b7b5b175</t>
  </si>
  <si>
    <t>dce013cf</t>
  </si>
  <si>
    <t>Casa Fagundes embalagens (19/01/2026) - Papel film para loja</t>
  </si>
  <si>
    <t>1f3e86d1</t>
  </si>
  <si>
    <t>Notas_Images/c3d4dae9.Foto.184004.jpg</t>
  </si>
  <si>
    <t>Papel film para loja</t>
  </si>
  <si>
    <t>d122bef9</t>
  </si>
  <si>
    <t>ecd7198a</t>
  </si>
  <si>
    <t>4607806b</t>
  </si>
  <si>
    <t>Queluz supermercados (18/01/2026) - Compra de frutas e lanches</t>
  </si>
  <si>
    <t>1826377</t>
  </si>
  <si>
    <t>Notas_Images/5f4bdf4d.Foto.233210.jpg</t>
  </si>
  <si>
    <t>037165c4</t>
  </si>
  <si>
    <t>Compra Moedas</t>
  </si>
  <si>
    <t>Cortesias</t>
  </si>
  <si>
    <t>a8768d78</t>
  </si>
  <si>
    <t>Passarela Center via atacadista (17/01/2026) - Compra de frutas e lanches</t>
  </si>
  <si>
    <t>Notas_Images/68cd0d06.Foto.233323.jpg</t>
  </si>
  <si>
    <t>1826370</t>
  </si>
  <si>
    <t>Incentivos</t>
  </si>
  <si>
    <t>22783077</t>
  </si>
  <si>
    <t>a2e4b743</t>
  </si>
  <si>
    <t>Passarela Center via atacadista (19/01/2026) - Compra de frutas e produtos</t>
  </si>
  <si>
    <t>Notas_Images/e4fa8aa2.Foto.233415.jpg</t>
  </si>
  <si>
    <t>Compra de frutas e produtos</t>
  </si>
  <si>
    <t>87ac97e6</t>
  </si>
  <si>
    <t>9502efc9</t>
  </si>
  <si>
    <t>06eafddc</t>
  </si>
  <si>
    <t>d3eb1827</t>
  </si>
  <si>
    <t>08667c0a</t>
  </si>
  <si>
    <t>64f16372</t>
  </si>
  <si>
    <t>1828511</t>
  </si>
  <si>
    <t>edf33da5</t>
  </si>
  <si>
    <t>bb982844</t>
  </si>
  <si>
    <t>8905042d</t>
  </si>
  <si>
    <t>1828510</t>
  </si>
  <si>
    <t>Big lojas (20/01/2026) - Utensílios de jardinagem para loja</t>
  </si>
  <si>
    <t>87ff663a</t>
  </si>
  <si>
    <t>Notas_Images/36c709ce.Foto.173008.jpg</t>
  </si>
  <si>
    <t>Utensílios de jardinagem para loja</t>
  </si>
  <si>
    <t>b844273c</t>
  </si>
  <si>
    <t>d8e38700</t>
  </si>
  <si>
    <t>89b3e467</t>
  </si>
  <si>
    <t>bd3c39d9</t>
  </si>
  <si>
    <t>Smart TV concertos (20/01/2026) - Fonte para placa da loja.</t>
  </si>
  <si>
    <t>Notas_Images/6e06c205.Foto.181835.jpg</t>
  </si>
  <si>
    <t>Fonte para placa da loja.</t>
  </si>
  <si>
    <t>1828508</t>
  </si>
  <si>
    <t>efa907ff</t>
  </si>
  <si>
    <t>Pedido 104359 nota de serviço</t>
  </si>
  <si>
    <t>e90fe63d</t>
  </si>
  <si>
    <t>ee923dc5</t>
  </si>
  <si>
    <t>Início</t>
  </si>
  <si>
    <t>Mais morangos vacaria (13/01/2026) - Pagamento de morangos</t>
  </si>
  <si>
    <t>Notas_Images/c1d902d4.Foto.155209.jpg</t>
  </si>
  <si>
    <t>c6c56ece</t>
  </si>
  <si>
    <t>1828492</t>
  </si>
  <si>
    <t>aa2b69e9</t>
  </si>
  <si>
    <t>6cf09a20</t>
  </si>
  <si>
    <t>FO-BRAN BEBIDAS (21/01/2026) - Pagamento de bebidas.</t>
  </si>
  <si>
    <t>Notas_Images/15fd6432.Foto.210530.jpg</t>
  </si>
  <si>
    <t>f7435af3</t>
  </si>
  <si>
    <t>1828491</t>
  </si>
  <si>
    <t>ee9bb9d7</t>
  </si>
  <si>
    <t>Amadelli (20/01/2026) - Carga gelada</t>
  </si>
  <si>
    <t>Notas_Images/022bac68.Foto.155241.jpg</t>
  </si>
  <si>
    <t>Notas_Images/022bac68.Foto 1.155242.jpg</t>
  </si>
  <si>
    <t>Ifood</t>
  </si>
  <si>
    <t>9187c625</t>
  </si>
  <si>
    <t>26b3bfd8</t>
  </si>
  <si>
    <t>1828486</t>
  </si>
  <si>
    <t>3ff09158</t>
  </si>
  <si>
    <t>Notas_Images/cb11b315.Foto.155634.jpg</t>
  </si>
  <si>
    <t>47a7a3b4</t>
  </si>
  <si>
    <t>1831607</t>
  </si>
  <si>
    <t>8cd6bc4d</t>
  </si>
  <si>
    <t>faa2261f</t>
  </si>
  <si>
    <t>Ferraz detetiazadora (20/01/2026) - Pagamento de detetizacao</t>
  </si>
  <si>
    <t>29e9e140</t>
  </si>
  <si>
    <t>Notas_Images/6416af55.Foto.201140.jpg</t>
  </si>
  <si>
    <t>017db0aa</t>
  </si>
  <si>
    <t>Pagamento de detetizacao</t>
  </si>
  <si>
    <t>c8b68384</t>
  </si>
  <si>
    <t>b36e4f25</t>
  </si>
  <si>
    <t>Amadelli (20/01/2026) - Carga seca.</t>
  </si>
  <si>
    <t>Notas_Images/10462229.Foto.201550.jpg</t>
  </si>
  <si>
    <t>Carga seca.</t>
  </si>
  <si>
    <t>Notas_Images/10462229.Foto 1.201550.jpg</t>
  </si>
  <si>
    <t>0079d793</t>
  </si>
  <si>
    <t>7c579776</t>
  </si>
  <si>
    <t>d8f6dbbb</t>
  </si>
  <si>
    <t>f7e8aee7</t>
  </si>
  <si>
    <t>1832842</t>
  </si>
  <si>
    <t>5ff0bd1f</t>
  </si>
  <si>
    <t>Passarela Center via atacadista (22/01/2026) - Compra dr frutas</t>
  </si>
  <si>
    <t>eb98d4cd</t>
  </si>
  <si>
    <t>Notas_Images/4ce484cd.Foto.003727.jpg</t>
  </si>
  <si>
    <t>890e6e0c</t>
  </si>
  <si>
    <t>Compra dr frutas</t>
  </si>
  <si>
    <t>b0d0dcb3</t>
  </si>
  <si>
    <t>1832854</t>
  </si>
  <si>
    <t>c1dcf203</t>
  </si>
  <si>
    <t>Queluz mercado (21/01/2026) - Banana para loja</t>
  </si>
  <si>
    <t>Notas_Images/f941c697.Foto.003826.jpg</t>
  </si>
  <si>
    <t>Banana para loja</t>
  </si>
  <si>
    <t>b00b9824</t>
  </si>
  <si>
    <t>6fae239a</t>
  </si>
  <si>
    <t>Entradas</t>
  </si>
  <si>
    <t>c2acb24f</t>
  </si>
  <si>
    <t>e99ccb8b</t>
  </si>
  <si>
    <t>7dd608d6</t>
  </si>
  <si>
    <t>e583188f</t>
  </si>
  <si>
    <t>Roberto José morangos (23/01/2026) - 10kg de morango</t>
  </si>
  <si>
    <t>Notas_Images/318beddc.Foto.204547.jpg</t>
  </si>
  <si>
    <t>10kg de morango</t>
  </si>
  <si>
    <t>c594cff2</t>
  </si>
  <si>
    <t>1833526</t>
  </si>
  <si>
    <t>Aiqfome</t>
  </si>
  <si>
    <t>989acd87</t>
  </si>
  <si>
    <t>Morangos França (23/01/2026) - Pagamento de morangos.</t>
  </si>
  <si>
    <t>876030a1</t>
  </si>
  <si>
    <t>Notas_Images/c5cfcf04.Foto.003452.jpg</t>
  </si>
  <si>
    <t>532e27a6</t>
  </si>
  <si>
    <t>8c7e5772</t>
  </si>
  <si>
    <t>bc73fa78</t>
  </si>
  <si>
    <t>be6d9f14</t>
  </si>
  <si>
    <t>1833561</t>
  </si>
  <si>
    <t>66193f0a</t>
  </si>
  <si>
    <t>2226a1cc</t>
  </si>
  <si>
    <t>caixa de copo descartavel/reembolso RN</t>
  </si>
  <si>
    <t>a4dd1470</t>
  </si>
  <si>
    <t>451ed19c</t>
  </si>
  <si>
    <t>Queluz supermercados (24/01/2026) - Compra de frutas para loja</t>
  </si>
  <si>
    <t>Notas_Images/f6a49422.Foto.164814.jpg</t>
  </si>
  <si>
    <t>439ee803</t>
  </si>
  <si>
    <t>99f09a9d</t>
  </si>
  <si>
    <t>8ab5d718</t>
  </si>
  <si>
    <t>Mais morangos vacaria (22/01/2026) - Pagamento de morangos</t>
  </si>
  <si>
    <t>Notas_Images/d373b20f.Foto.184224.jpg</t>
  </si>
  <si>
    <t>Saídas</t>
  </si>
  <si>
    <t>7b15b0a7</t>
  </si>
  <si>
    <t>185c66a1</t>
  </si>
  <si>
    <t>adf4043c</t>
  </si>
  <si>
    <t>Suco prats (26/01/2026) - Compra de suco.</t>
  </si>
  <si>
    <t>ac6df1b6</t>
  </si>
  <si>
    <t>Notas_Images/3004cf4d.Foto.201426.jpg</t>
  </si>
  <si>
    <t>b84afbd9</t>
  </si>
  <si>
    <t>Compra de suco.</t>
  </si>
  <si>
    <t>32abe790</t>
  </si>
  <si>
    <t>Outros Pagamentos</t>
  </si>
  <si>
    <t>531c512b</t>
  </si>
  <si>
    <t>dde9849f</t>
  </si>
  <si>
    <t>be558bf1</t>
  </si>
  <si>
    <t>Delivery Much</t>
  </si>
  <si>
    <t>12fd0c6d</t>
  </si>
  <si>
    <t>1832961</t>
  </si>
  <si>
    <t>6672aee1</t>
  </si>
  <si>
    <t>c7c1e8e8</t>
  </si>
  <si>
    <t>a37ef219</t>
  </si>
  <si>
    <t>Passarela Center via atacadista (26/01/2026) - Compra de produtos e frutas para loja( data colocada errada, data da cmp 26/01)</t>
  </si>
  <si>
    <t>Notas_Images/2c1f9068.Foto.200447.jpg</t>
  </si>
  <si>
    <t>Compra de produtos e frutas para loja( data colocada errada, data da cmp 26/01)</t>
  </si>
  <si>
    <t>5e1ac4bc</t>
  </si>
  <si>
    <t>5a72fa66</t>
  </si>
  <si>
    <t>1835120</t>
  </si>
  <si>
    <t>4eeaff4a</t>
  </si>
  <si>
    <t>Queluz supermercados (25/01/2026) - Lanche para funcionários.</t>
  </si>
  <si>
    <t>Notas_Images/f83e99f2.Foto.200723.jpg</t>
  </si>
  <si>
    <t>ffa25080</t>
  </si>
  <si>
    <t>559bf200</t>
  </si>
  <si>
    <t>Movientações das Sangrias</t>
  </si>
  <si>
    <t>6ccd01d1</t>
  </si>
  <si>
    <t>37bc3bb4</t>
  </si>
  <si>
    <t>0b652656</t>
  </si>
  <si>
    <t>31a30479</t>
  </si>
  <si>
    <t>ca852ab8</t>
  </si>
  <si>
    <t>c32f64f5</t>
  </si>
  <si>
    <t>Aiboo</t>
  </si>
  <si>
    <t>1836736</t>
  </si>
  <si>
    <t>06b1ddd7</t>
  </si>
  <si>
    <t>Morangos vacaria (29/01/2026) - Compra de morangos</t>
  </si>
  <si>
    <t>Notas_Images/c0e1d0cd.Foto.155517.jpg</t>
  </si>
  <si>
    <t>3c926544</t>
  </si>
  <si>
    <t>08b9483c</t>
  </si>
  <si>
    <t>1836977</t>
  </si>
  <si>
    <t>05b03bd7</t>
  </si>
  <si>
    <t>e598fd26</t>
  </si>
  <si>
    <t>21331564</t>
  </si>
  <si>
    <t>8842c6d5</t>
  </si>
  <si>
    <t>279241ea</t>
  </si>
  <si>
    <t>Queluz supermercados (31/01/2026) - Compra de lanche para funcionários</t>
  </si>
  <si>
    <t>1836987</t>
  </si>
  <si>
    <t>Notas_Images/63866dd2.Foto.160241.jpg</t>
  </si>
  <si>
    <t>Caixa Atendimento</t>
  </si>
  <si>
    <t>703ed3fb</t>
  </si>
  <si>
    <t>cc460de0</t>
  </si>
  <si>
    <t>Queluz mercado (01/02/2026) - Compra de frutas e lanches</t>
  </si>
  <si>
    <t>Notas_Images/8e1004c1.Foto.172119.jpg</t>
  </si>
  <si>
    <t>e8f01fe4</t>
  </si>
  <si>
    <t>1837478</t>
  </si>
  <si>
    <t>Inadimplência</t>
  </si>
  <si>
    <t>2cd9bc76</t>
  </si>
  <si>
    <t>f9453717</t>
  </si>
  <si>
    <t>Pedidos 10</t>
  </si>
  <si>
    <t>56b76ced</t>
  </si>
  <si>
    <t>a30c29a2</t>
  </si>
  <si>
    <t>65728785</t>
  </si>
  <si>
    <t>ad6b2bce</t>
  </si>
  <si>
    <t>504a0d6d</t>
  </si>
  <si>
    <t>9eddc687</t>
  </si>
  <si>
    <t>57b41fbb</t>
  </si>
  <si>
    <t>d9b23ff8</t>
  </si>
  <si>
    <t>Depositada</t>
  </si>
  <si>
    <t>b64656ce</t>
  </si>
  <si>
    <t>797220b8</t>
  </si>
  <si>
    <t>4eb08140</t>
  </si>
  <si>
    <t>9b52952a</t>
  </si>
  <si>
    <t>992ca07f</t>
  </si>
  <si>
    <t>1838933</t>
  </si>
  <si>
    <t>4414867f</t>
  </si>
  <si>
    <t>Troll (02/02/2026) - Impressões de notas,devolução panetone.</t>
  </si>
  <si>
    <t>Notas_Images/1f3e86d1.Foto.193028.jpg</t>
  </si>
  <si>
    <t>Impressões de notas,devolução panetone.</t>
  </si>
  <si>
    <t>2f1f2093</t>
  </si>
  <si>
    <t>626ea59e</t>
  </si>
  <si>
    <t>759971c4</t>
  </si>
  <si>
    <t>827cadaf</t>
  </si>
  <si>
    <t>1838929</t>
  </si>
  <si>
    <t>Passarela Center via atacadista (02/02/2026) - Pagamento de produtos para loja.</t>
  </si>
  <si>
    <t>Notas_Images/ecd7198a.Foto.193715.jpg</t>
  </si>
  <si>
    <t>Pagamento de produtos para loja.</t>
  </si>
  <si>
    <t>533cfc73</t>
  </si>
  <si>
    <t>0f6a66d2</t>
  </si>
  <si>
    <t>Pro food (02/02/2026) - Embalagens</t>
  </si>
  <si>
    <t>1839905</t>
  </si>
  <si>
    <t>b02a9a5f</t>
  </si>
  <si>
    <t>Notas_Images/8905042d.Foto.205827.jpg</t>
  </si>
  <si>
    <t>f9eec48b</t>
  </si>
  <si>
    <t>e178b4dd</t>
  </si>
  <si>
    <t>1839902</t>
  </si>
  <si>
    <t>f0641c46</t>
  </si>
  <si>
    <t>FO-BRAN BEBIDAS (03/02/2026) - Pagamento de bebidas</t>
  </si>
  <si>
    <t>Notas_Images/ee923dc5.Foto.210923.jpg</t>
  </si>
  <si>
    <t>0525f2de</t>
  </si>
  <si>
    <t>f4d19e22</t>
  </si>
  <si>
    <t>1839898</t>
  </si>
  <si>
    <t>Queluz supermercados (28/01/2026) - Frutas para loja.</t>
  </si>
  <si>
    <t>Notas_Images/078ec452.Foto.211303.jpg</t>
  </si>
  <si>
    <t>83f5ffd1</t>
  </si>
  <si>
    <t>Movimentações de Caixa</t>
  </si>
  <si>
    <t>84d66a52</t>
  </si>
  <si>
    <t>7839493d</t>
  </si>
  <si>
    <t>4ac994e6</t>
  </si>
  <si>
    <t>Mais morangos vacaria (03/02/2026) - Compra de morangos</t>
  </si>
  <si>
    <t>Notas_Images/26b3bfd8.Foto.005205.jpg</t>
  </si>
  <si>
    <t>26659946</t>
  </si>
  <si>
    <t>80401711</t>
  </si>
  <si>
    <t>476f30fc</t>
  </si>
  <si>
    <t>Etiquetas gelados Frozen</t>
  </si>
  <si>
    <t>1841768</t>
  </si>
  <si>
    <t>Casa Fagundes embalagens (04/02/2026) - Compra de produtos</t>
  </si>
  <si>
    <t>Notas_Images/29e9e140.Foto.183419.jpg</t>
  </si>
  <si>
    <t>Compra de produtos</t>
  </si>
  <si>
    <t>1cde5798</t>
  </si>
  <si>
    <t>019df6e7</t>
  </si>
  <si>
    <t>1844579</t>
  </si>
  <si>
    <t>Loja do 7,99 (04/02/2026) - Compra de produtos</t>
  </si>
  <si>
    <t>de6d509f</t>
  </si>
  <si>
    <t>Notas_Images/7c579776.Foto.183529.jpg</t>
  </si>
  <si>
    <t>9888b7d6</t>
  </si>
  <si>
    <t>1844568</t>
  </si>
  <si>
    <t>Local da Sangria</t>
  </si>
  <si>
    <t>fec74944</t>
  </si>
  <si>
    <t>Amadelli (02/02/2026) - Carga gelada.</t>
  </si>
  <si>
    <t>Notas_Images/d8e38700.Foto.221556.jpg</t>
  </si>
  <si>
    <t>Notas_Images/d8e38700.Foto 1.221556.jpg</t>
  </si>
  <si>
    <t>8436340e</t>
  </si>
  <si>
    <t>cd0e1ffc</t>
  </si>
  <si>
    <t>88614977</t>
  </si>
  <si>
    <t>abcd8141</t>
  </si>
  <si>
    <t>29dbb509</t>
  </si>
  <si>
    <t>1849282</t>
  </si>
  <si>
    <t>Myata supermercado (06/02/2026) - Compra de uvas.</t>
  </si>
  <si>
    <t>7123d354</t>
  </si>
  <si>
    <t>Notas_Images/bc73fa78.Foto.210701.jpg</t>
  </si>
  <si>
    <t>fcc4f4f3</t>
  </si>
  <si>
    <t>Compra de uvas.</t>
  </si>
  <si>
    <t>sangria Jairo</t>
  </si>
  <si>
    <t>f93a04fa</t>
  </si>
  <si>
    <t>c27397d9</t>
  </si>
  <si>
    <t>Passarela Center via atacadista (06/02/2026) - Compra de frutas.</t>
  </si>
  <si>
    <t>Notas_Images/876030a1.Foto.210807.jpg</t>
  </si>
  <si>
    <t>5f56437c</t>
  </si>
  <si>
    <t>Sangria</t>
  </si>
  <si>
    <t>71c71bdf</t>
  </si>
  <si>
    <t>9e84410b</t>
  </si>
  <si>
    <t>873bb1cd</t>
  </si>
  <si>
    <t>Passarela Center via atacadista (05/02/2026) - Compra de sucos kapos.</t>
  </si>
  <si>
    <t>1284bda8</t>
  </si>
  <si>
    <t>Notas_Images/890e6e0c.Foto.210907.jpg</t>
  </si>
  <si>
    <t>Compra de sucos kapos.</t>
  </si>
  <si>
    <t>fe605139</t>
  </si>
  <si>
    <t>37d9b3f8</t>
  </si>
  <si>
    <t>Queluz supermercados (06/02/2026) - Compra de frutas para loja</t>
  </si>
  <si>
    <t>Notas_Images/99f09a9d.Foto.011455.jpg</t>
  </si>
  <si>
    <t>1c905d6e</t>
  </si>
  <si>
    <t>f4bbb079</t>
  </si>
  <si>
    <t>Queluz supermercados (07/02/2026) - Paes</t>
  </si>
  <si>
    <t>3070acd7</t>
  </si>
  <si>
    <t>Notas_Images/185c66a1.Foto.011557.jpg</t>
  </si>
  <si>
    <t>Paes</t>
  </si>
  <si>
    <t>a0da8c59</t>
  </si>
  <si>
    <t>617db10b</t>
  </si>
  <si>
    <t>9d85603a</t>
  </si>
  <si>
    <t>7d554725</t>
  </si>
  <si>
    <t>1ed9a2b5</t>
  </si>
  <si>
    <t>1ef12a64</t>
  </si>
  <si>
    <t>8957fab9</t>
  </si>
  <si>
    <t>a91d43a8</t>
  </si>
  <si>
    <t>8c444ac5</t>
  </si>
  <si>
    <t>fa1f3684</t>
  </si>
  <si>
    <t>33adb3ca</t>
  </si>
  <si>
    <t>1a01382f</t>
  </si>
  <si>
    <t>Suco prats (09/02/2026) - Compra de sucos e águas.</t>
  </si>
  <si>
    <t>Notas_Images/ac6df1b6.Foto.194926.jpg</t>
  </si>
  <si>
    <t>Compra de sucos e águas.</t>
  </si>
  <si>
    <t>f442041e</t>
  </si>
  <si>
    <t>9459db20</t>
  </si>
  <si>
    <t>FO-BRAN BEBIDAS (09/02/2026) - Pagamento de bebidas</t>
  </si>
  <si>
    <t>Notas_Images/dde9849f.Foto.195043.jpg</t>
  </si>
  <si>
    <t>d19c6b1f</t>
  </si>
  <si>
    <t>c6f1f844</t>
  </si>
  <si>
    <t>Copiadora taliana (09/02/2026) - Impressões para loja</t>
  </si>
  <si>
    <t>Notas_Images/a37ef219.Foto.195200.jpg</t>
  </si>
  <si>
    <t>5b9b5a06</t>
  </si>
  <si>
    <t>dbc3623b</t>
  </si>
  <si>
    <t>Amadelli (05/02/2026) - Carga seca.</t>
  </si>
  <si>
    <t>684f999a</t>
  </si>
  <si>
    <t>Notas_Images/6fae239a.Foto.195515.jpg</t>
  </si>
  <si>
    <t>cdc66ab2</t>
  </si>
  <si>
    <t>fb8b1757</t>
  </si>
  <si>
    <t>R$ 82,00</t>
  </si>
  <si>
    <t>df9e2ec5</t>
  </si>
  <si>
    <t>pizza para equipe</t>
  </si>
  <si>
    <t>bba821e6</t>
  </si>
  <si>
    <t>c052762e</t>
  </si>
  <si>
    <t>Mais morangos vacaria (04/02/2026) - Pagamento de morangos</t>
  </si>
  <si>
    <t>Notas_Images/5ff0bd1f.Foto.160743.jpg</t>
  </si>
  <si>
    <t>f23f7ecd</t>
  </si>
  <si>
    <t>aa81f582</t>
  </si>
  <si>
    <t>393533ff</t>
  </si>
  <si>
    <t>3b3444a1</t>
  </si>
  <si>
    <t>JN EMBALAGENS (10/02/2026) - Produtos para loja.</t>
  </si>
  <si>
    <t>Notas_Images/279241ea.Foto.173818.jpg</t>
  </si>
  <si>
    <t>c61c966c</t>
  </si>
  <si>
    <t>6daff66f</t>
  </si>
  <si>
    <t>77994130</t>
  </si>
  <si>
    <t>4b9eb16e</t>
  </si>
  <si>
    <t>de7abb3e</t>
  </si>
  <si>
    <t>48f3479b</t>
  </si>
  <si>
    <t>Passarela Center via atacadista (10/02/2026) - Frutas para loja.</t>
  </si>
  <si>
    <t>Notas_Images/f9453717.Foto.211341.jpg</t>
  </si>
  <si>
    <t>e9848172</t>
  </si>
  <si>
    <t>95fc3e41</t>
  </si>
  <si>
    <t>1852315</t>
  </si>
  <si>
    <t>8f6d9702</t>
  </si>
  <si>
    <t>R$ 110,50</t>
  </si>
  <si>
    <t>7a21463d</t>
  </si>
  <si>
    <t>Passarela Center via atacadista (09/02/2026) - Compra de produtos para loja.</t>
  </si>
  <si>
    <t>Grátis ANA 8h30</t>
  </si>
  <si>
    <t>Notas_Images/5a72fa66.Foto.211438.jpg</t>
  </si>
  <si>
    <t>6732cfdd</t>
  </si>
  <si>
    <t>Freelancer</t>
  </si>
  <si>
    <t>3749932b</t>
  </si>
  <si>
    <t>082ab581</t>
  </si>
  <si>
    <t>Casa Fagundes embalagens (10/02/2026) - Compra de produtos para loja.</t>
  </si>
  <si>
    <t>Notas_Images/ad6b2bce.Foto.211557.jpg</t>
  </si>
  <si>
    <t>a653e9ab</t>
  </si>
  <si>
    <t>d119d1f4</t>
  </si>
  <si>
    <t>1855072</t>
  </si>
  <si>
    <t>Amadelli (05/02/2026) - Carga seca</t>
  </si>
  <si>
    <t>Notas_Images/7dd608d6.Foto.211858.jpg</t>
  </si>
  <si>
    <t>2f03ac22</t>
  </si>
  <si>
    <t>0c8bc5a5</t>
  </si>
  <si>
    <t>e87a0c81</t>
  </si>
  <si>
    <t>Passarela Center via atacadista (11/02/2026) - Compra de kiwi</t>
  </si>
  <si>
    <t>1855071</t>
  </si>
  <si>
    <t>Notas_Images/9b52952a.Foto.213505.jpg</t>
  </si>
  <si>
    <t>Compra de kiwi</t>
  </si>
  <si>
    <t>fbcb5f43</t>
  </si>
  <si>
    <t>f5a718d8</t>
  </si>
  <si>
    <t>6d7b8eb4</t>
  </si>
  <si>
    <t>0f657603</t>
  </si>
  <si>
    <t>Pricila grátis 10h</t>
  </si>
  <si>
    <t>alvara</t>
  </si>
  <si>
    <t>ebeb2ccb</t>
  </si>
  <si>
    <t>1855070</t>
  </si>
  <si>
    <t>Copiadora taliana (12/02/2026) - Impressões ref a parceria com academia AD3.</t>
  </si>
  <si>
    <t>9e59eacc</t>
  </si>
  <si>
    <t>Notas_Images/626ea59e.Foto.211945.jpg</t>
  </si>
  <si>
    <t>Impressões ref a parceria com academia AD3.</t>
  </si>
  <si>
    <t>4583da2d</t>
  </si>
  <si>
    <t>775d1fe7</t>
  </si>
  <si>
    <t>1855058</t>
  </si>
  <si>
    <t>8b2a654e</t>
  </si>
  <si>
    <t>Passarela Center via atacadista (12/02/2026) - Compra de produtos e frutas para loja.</t>
  </si>
  <si>
    <t>Notas_Images/827cadaf.Foto.212102.jpg</t>
  </si>
  <si>
    <t>Compra de produtos e frutas para loja.</t>
  </si>
  <si>
    <t>d9ba4aa8</t>
  </si>
  <si>
    <t>75f71359</t>
  </si>
  <si>
    <t>Passarela Center via atacadista (12/02/2026) - Compra de 6kgs de kiwi. Porém a notinha foi esquecida.</t>
  </si>
  <si>
    <t>Notas_Images/84d66a52.Foto.212315.jpg</t>
  </si>
  <si>
    <t>Compra de 6kgs de kiwi. Porém a notinha foi esquecida.</t>
  </si>
  <si>
    <t>c93e984f</t>
  </si>
  <si>
    <t>a52746d8</t>
  </si>
  <si>
    <t>R$ 38,00</t>
  </si>
  <si>
    <t>Troco</t>
  </si>
  <si>
    <t>0537b357</t>
  </si>
  <si>
    <t>FO-BRAN BEBIDAS (13/02/2026) - Pagamento de bebidas.</t>
  </si>
  <si>
    <t>a30eeac0</t>
  </si>
  <si>
    <t>Notas_Images/4ac994e6.Foto.204746.jpg</t>
  </si>
  <si>
    <t>Caixa Troco</t>
  </si>
  <si>
    <t>1956cfda</t>
  </si>
  <si>
    <t>d1776da3</t>
  </si>
  <si>
    <t>c07664b3</t>
  </si>
  <si>
    <t>e8486464</t>
  </si>
  <si>
    <t>a5ac70e6</t>
  </si>
  <si>
    <t>6e6507cd</t>
  </si>
  <si>
    <t>Passarela Center via atacadista (16/02/2026) - Compra de produtos para loja.</t>
  </si>
  <si>
    <t>47ac4ac7</t>
  </si>
  <si>
    <t>Notas_Images/019df6e7.Foto.200253.jpg</t>
  </si>
  <si>
    <t>24c270d8</t>
  </si>
  <si>
    <t>R$ 78,00</t>
  </si>
  <si>
    <t>b6504133</t>
  </si>
  <si>
    <t>f30eefc1</t>
  </si>
  <si>
    <t>Colombo (17/02/2026) - Compra de jarra elétrica</t>
  </si>
  <si>
    <t>Notas_Images/71c71bdf.Foto.203838.jpg</t>
  </si>
  <si>
    <t>Compra de jarra elétrica</t>
  </si>
  <si>
    <t>31e8c979</t>
  </si>
  <si>
    <t>302c7329</t>
  </si>
  <si>
    <t>1851747</t>
  </si>
  <si>
    <t>ef8be259</t>
  </si>
  <si>
    <t>8ed47ecd</t>
  </si>
  <si>
    <t>dfc22d7d</t>
  </si>
  <si>
    <t>1842296</t>
  </si>
  <si>
    <t>a4818be9</t>
  </si>
  <si>
    <t>R$ 1.000,00</t>
  </si>
  <si>
    <t>b010a61f</t>
  </si>
  <si>
    <t>Saída para uso em compras Marcos</t>
  </si>
  <si>
    <t>b3eb2bba</t>
  </si>
  <si>
    <t>Compra de Mercadorias</t>
  </si>
  <si>
    <t>9a55e285</t>
  </si>
  <si>
    <t>962199b4</t>
  </si>
  <si>
    <t>c2cb23ab</t>
  </si>
  <si>
    <t>1862211</t>
  </si>
  <si>
    <t>ef8483ae</t>
  </si>
  <si>
    <t>c830aa6e</t>
  </si>
  <si>
    <t>R$ 2.350,00</t>
  </si>
  <si>
    <t>341a053e</t>
  </si>
  <si>
    <t>cd78029f</t>
  </si>
  <si>
    <t>fd3b8376</t>
  </si>
  <si>
    <t>Casa Fagundes embalagens (18/02/2026) - Compra de agenda.</t>
  </si>
  <si>
    <t>dc4cf84b</t>
  </si>
  <si>
    <t>Notas_Images/3070acd7.Foto.205429.jpg</t>
  </si>
  <si>
    <t>Compra de agenda.</t>
  </si>
  <si>
    <t>84d90b08</t>
  </si>
  <si>
    <t>c21d7679</t>
  </si>
  <si>
    <t>9290009f</t>
  </si>
  <si>
    <t>Morangos de vacaria (13/02/2026) - Compra de morangos</t>
  </si>
  <si>
    <t>a56222ae</t>
  </si>
  <si>
    <t>Notas_Images/476f30fc.Foto.001045.jpg</t>
  </si>
  <si>
    <t>e733ec4a</t>
  </si>
  <si>
    <t>bb32929c</t>
  </si>
  <si>
    <t>Morangos de vacaria (10/02/2026) - Compra de morangos</t>
  </si>
  <si>
    <t>ffc5aeba</t>
  </si>
  <si>
    <t>Notas_Images/797220b8.Foto.001242.jpg</t>
  </si>
  <si>
    <t>d3850062</t>
  </si>
  <si>
    <t>Freelancer Sabrina 13as23</t>
  </si>
  <si>
    <t>c13f0a13</t>
  </si>
  <si>
    <t>b010b831</t>
  </si>
  <si>
    <t>Morangos de vacaria (18/02/2026) - Compra de morangos</t>
  </si>
  <si>
    <t>6dc5f4bd</t>
  </si>
  <si>
    <t>Notas_Images/617db10b.Foto.001450.jpg</t>
  </si>
  <si>
    <t>da90b3f3</t>
  </si>
  <si>
    <t>1863809</t>
  </si>
  <si>
    <t>5687bb6a</t>
  </si>
  <si>
    <t>2890cd49</t>
  </si>
  <si>
    <t>Queluz supermercados (19/02/2026) - Compra de banana</t>
  </si>
  <si>
    <t>Notas_Images/7d554725.Foto.211019.jpg</t>
  </si>
  <si>
    <t>4f097268</t>
  </si>
  <si>
    <t>14d06877</t>
  </si>
  <si>
    <t>R$ 85,00</t>
  </si>
  <si>
    <t>61a3be2f</t>
  </si>
  <si>
    <t>Amadelli (16/02/2026) - Carga gelada..</t>
  </si>
  <si>
    <t>freelancers Janaina 6,5h</t>
  </si>
  <si>
    <t>c5df38b2</t>
  </si>
  <si>
    <t>Notas_Images/fcc4f4f3.Foto.211508.jpg</t>
  </si>
  <si>
    <t>cccd798d</t>
  </si>
  <si>
    <t>Carga gelada..</t>
  </si>
  <si>
    <t>Notas_Images/fcc4f4f3.Foto 1.211508.jpg</t>
  </si>
  <si>
    <t>a27ca690</t>
  </si>
  <si>
    <t>dafac047</t>
  </si>
  <si>
    <t>274db0a0</t>
  </si>
  <si>
    <t>1599-A</t>
  </si>
  <si>
    <t>1863835</t>
  </si>
  <si>
    <t>1600-A</t>
  </si>
  <si>
    <t>1601-A</t>
  </si>
  <si>
    <t>Amadelli (17/02/2026) - Carga seca</t>
  </si>
  <si>
    <t>Notas_Images/1284bda8.Foto.212055.jpg</t>
  </si>
  <si>
    <t>1602-A</t>
  </si>
  <si>
    <t>Notas_Images/1284bda8.Foto 1.212055.jpg</t>
  </si>
  <si>
    <t>1863874</t>
  </si>
  <si>
    <t>Freelancer Priscila 8h</t>
  </si>
  <si>
    <t>1603-A</t>
  </si>
  <si>
    <t>1604-A</t>
  </si>
  <si>
    <t>a7fa464b</t>
  </si>
  <si>
    <t>742bdb42</t>
  </si>
  <si>
    <t>FO-BRAN BEBIDAS (20/02/2026) - Compra de bebidas.</t>
  </si>
  <si>
    <t>1856225</t>
  </si>
  <si>
    <t>Notas_Images/1ef12a64.Foto.192000.jpg</t>
  </si>
  <si>
    <t>Compra de bebidas.</t>
  </si>
  <si>
    <t>3b57ee42</t>
  </si>
  <si>
    <t>86fccf3d</t>
  </si>
  <si>
    <t>11c89e11</t>
  </si>
  <si>
    <t>0560582a</t>
  </si>
  <si>
    <t>Passarela Center via atacadista (20/02/2026) - Frutas e lanche</t>
  </si>
  <si>
    <t>1863656</t>
  </si>
  <si>
    <t>f2c07fb4</t>
  </si>
  <si>
    <t>Notas_Images/33adb3ca.Foto.002043.jpg</t>
  </si>
  <si>
    <t>43c9099c</t>
  </si>
  <si>
    <t>R$ 150,00</t>
  </si>
  <si>
    <t>RETIRADO TROCO PARA ARMÁRIO</t>
  </si>
  <si>
    <t>5968c1d6</t>
  </si>
  <si>
    <t>Myata supermercado (21/02/2026) - Compra de pão</t>
  </si>
  <si>
    <t>e10527f2</t>
  </si>
  <si>
    <t>Notas_Images/3b3444a1.Foto.002213.jpg</t>
  </si>
  <si>
    <t>Compra de pão</t>
  </si>
  <si>
    <t>1826122</t>
  </si>
  <si>
    <t>d18ad321</t>
  </si>
  <si>
    <t>36262462</t>
  </si>
  <si>
    <t>c4501c83</t>
  </si>
  <si>
    <t>a6b6b036</t>
  </si>
  <si>
    <t>Supermercados myata (22/02/2026) - Compra de pão francês</t>
  </si>
  <si>
    <t>aeef8342</t>
  </si>
  <si>
    <t>Notas_Images/6daff66f.Foto.162515.jpg</t>
  </si>
  <si>
    <t>Compra de pão francês</t>
  </si>
  <si>
    <t>ef70b58b</t>
  </si>
  <si>
    <t>4069fea7</t>
  </si>
  <si>
    <t>a3abc3cb</t>
  </si>
  <si>
    <t>1865377</t>
  </si>
  <si>
    <t>ProFood (07/01/2026) - Embalagens</t>
  </si>
  <si>
    <t>Jaque grátis 16h às 22h30</t>
  </si>
  <si>
    <t>a74f3197</t>
  </si>
  <si>
    <t>Notas_Images/2c14e9dc.Foto.161408.jpg</t>
  </si>
  <si>
    <t>5076878d</t>
  </si>
  <si>
    <t>6c2e3d30</t>
  </si>
  <si>
    <t>299512ef</t>
  </si>
  <si>
    <t>Loja queen (23/02/2026) - Compra de amarrador</t>
  </si>
  <si>
    <t>876724f4</t>
  </si>
  <si>
    <t>Notas_Images/de7abb3e.Foto.205838.jpg</t>
  </si>
  <si>
    <t>e2a3257d</t>
  </si>
  <si>
    <t>Compra de amarrador</t>
  </si>
  <si>
    <t>1867238</t>
  </si>
  <si>
    <t>f9a2e6f8</t>
  </si>
  <si>
    <t>6f0079df</t>
  </si>
  <si>
    <t>ba4f4cdb</t>
  </si>
  <si>
    <t>R$ 117,00</t>
  </si>
  <si>
    <t>Sabrine grátis 13h30 às 22h30</t>
  </si>
  <si>
    <t>1b2372ff</t>
  </si>
  <si>
    <t>FO-BRAN (24/02/2026) - Pagamento de bebidas</t>
  </si>
  <si>
    <t>Notas_Images/082ab581.Foto.192741.jpg</t>
  </si>
  <si>
    <t>68128701</t>
  </si>
  <si>
    <t>38a2a939</t>
  </si>
  <si>
    <t>Santa Clara pros limpeza (24/02/2026) - Pagamento de produtos de limpeza</t>
  </si>
  <si>
    <t>Notas_Images/e87a0c81.Foto.211428.jpg</t>
  </si>
  <si>
    <t>Pagamento de produtos de limpeza</t>
  </si>
  <si>
    <t>fe6860ce</t>
  </si>
  <si>
    <t>81cd500e</t>
  </si>
  <si>
    <t>2f53c5dd</t>
  </si>
  <si>
    <t>1869207</t>
  </si>
  <si>
    <t>R$ 1.650,00</t>
  </si>
  <si>
    <t>sangria 14/07 marcos</t>
  </si>
  <si>
    <t>0c30db87</t>
  </si>
  <si>
    <t>9dc2c2f0</t>
  </si>
  <si>
    <t>Pedido 110541 nota de serviço</t>
  </si>
  <si>
    <t>3ea665c5</t>
  </si>
  <si>
    <t>1870314</t>
  </si>
  <si>
    <t>45b47f45</t>
  </si>
  <si>
    <t>Pedido 110544 nota de serviço</t>
  </si>
  <si>
    <t>f3bd381e</t>
  </si>
  <si>
    <t>Pedido 110929 nota de serviço</t>
  </si>
  <si>
    <t>90bab0e9</t>
  </si>
  <si>
    <t>d9eb5879</t>
  </si>
  <si>
    <t>6c71a48b</t>
  </si>
  <si>
    <t>pagamento suco prats 14/07</t>
  </si>
  <si>
    <t>a862efa5</t>
  </si>
  <si>
    <t>2138ce97</t>
  </si>
  <si>
    <t>11825af2</t>
  </si>
  <si>
    <t>f6679385</t>
  </si>
  <si>
    <t>2d63713a</t>
  </si>
  <si>
    <t>6aa677d8</t>
  </si>
  <si>
    <t>370a4fb2</t>
  </si>
  <si>
    <t>4561e5c3</t>
  </si>
  <si>
    <t>36bbbe8f</t>
  </si>
  <si>
    <t>7bf77464</t>
  </si>
  <si>
    <t>Pedido 104370 nota de serviço</t>
  </si>
  <si>
    <t>41efc58d</t>
  </si>
  <si>
    <t>9ae70c64</t>
  </si>
  <si>
    <t>01372a83</t>
  </si>
  <si>
    <t>314cccde</t>
  </si>
  <si>
    <t>Pedido 105197 nota de serviço</t>
  </si>
  <si>
    <t>dad1d975</t>
  </si>
  <si>
    <t>R$ 12,85</t>
  </si>
  <si>
    <t>compra de banana</t>
  </si>
  <si>
    <t>c3f64be7</t>
  </si>
  <si>
    <t>f00e67fd</t>
  </si>
  <si>
    <t>Pedido 107610 nota de serviço</t>
  </si>
  <si>
    <t>4bb1d49b</t>
  </si>
  <si>
    <t>8b4ee993</t>
  </si>
  <si>
    <t>2381c7cc</t>
  </si>
  <si>
    <t>3aa9c1dc</t>
  </si>
  <si>
    <t>Pedido 107767 nota de serviço</t>
  </si>
  <si>
    <t>dec0ddb4</t>
  </si>
  <si>
    <t>9be51c61</t>
  </si>
  <si>
    <t>36b523cf</t>
  </si>
  <si>
    <t>reembolso de pagamento com a conta PF</t>
  </si>
  <si>
    <t>6389ec89</t>
  </si>
  <si>
    <t>R$ 1.950,00</t>
  </si>
  <si>
    <t>Passarela Center via atacadista (24/02/2026) - Compra de produtos para loja</t>
  </si>
  <si>
    <t>Notas_Images/0f657603.Foto.222513.jpg</t>
  </si>
  <si>
    <t>Sangria Marcos 15/07</t>
  </si>
  <si>
    <t>ab0065f2</t>
  </si>
  <si>
    <t>ec97700e</t>
  </si>
  <si>
    <t>c2d43518</t>
  </si>
  <si>
    <t>Queluz supermercados (23/02/2026) - Compra de frutas</t>
  </si>
  <si>
    <t>Notas_Images/7a21463d.Foto.222625.jpg</t>
  </si>
  <si>
    <t>c646e3b5</t>
  </si>
  <si>
    <t>f34793a7</t>
  </si>
  <si>
    <t>47dd7e09</t>
  </si>
  <si>
    <t>a50b7954</t>
  </si>
  <si>
    <t>a52af83a</t>
  </si>
  <si>
    <t>3de7ea61</t>
  </si>
  <si>
    <t>Queluz supermercados (25/02/2026) - Compra de frutas</t>
  </si>
  <si>
    <t>Notas_Images/47ac4ac7.Foto.222718.jpg</t>
  </si>
  <si>
    <t>b66e03e6</t>
  </si>
  <si>
    <t>65fe7930</t>
  </si>
  <si>
    <t>5982800d</t>
  </si>
  <si>
    <t>R$ 83,75</t>
  </si>
  <si>
    <t>fca3e7c7</t>
  </si>
  <si>
    <t>6ee46e26</t>
  </si>
  <si>
    <t>compra de luvas para a loja</t>
  </si>
  <si>
    <t>6dd1f0a5</t>
  </si>
  <si>
    <t>2b64ebd7</t>
  </si>
  <si>
    <t>d7e54a81</t>
  </si>
  <si>
    <t>a7475eb5</t>
  </si>
  <si>
    <t>9c8821db</t>
  </si>
  <si>
    <t>9f023613</t>
  </si>
  <si>
    <t>e1552590</t>
  </si>
  <si>
    <t>fc91ccc8</t>
  </si>
  <si>
    <t>c06dcdec</t>
  </si>
  <si>
    <t>6a8d4a8c</t>
  </si>
  <si>
    <t>0a475267</t>
  </si>
  <si>
    <t>b2fd7226</t>
  </si>
  <si>
    <t>Amadelli (24/02/2026) - Coisas para Páscoa</t>
  </si>
  <si>
    <t>Notas_Images/a30eeac0.Foto.160919.jpg</t>
  </si>
  <si>
    <t>Coisas para Páscoa</t>
  </si>
  <si>
    <t>f0b66316</t>
  </si>
  <si>
    <t>3b51f364</t>
  </si>
  <si>
    <t>Amadelli (24/02/2026) - Carga gelada</t>
  </si>
  <si>
    <t>Notas_Images/c07664b3.Foto.161405.jpg</t>
  </si>
  <si>
    <t>6b130dab</t>
  </si>
  <si>
    <t>00e5147d</t>
  </si>
  <si>
    <t>Notas_Images/c07664b3.Foto 1.161405.jpg</t>
  </si>
  <si>
    <t>663bfa0a</t>
  </si>
  <si>
    <t>Notas_Images/c07664b3.Foto 2.161405.jpg</t>
  </si>
  <si>
    <t>26c5ccdd</t>
  </si>
  <si>
    <t>32b8b95e</t>
  </si>
  <si>
    <t>3d97b438</t>
  </si>
  <si>
    <t>para pagamento de bebidas</t>
  </si>
  <si>
    <t>88e864fd</t>
  </si>
  <si>
    <t>f00af2fe</t>
  </si>
  <si>
    <t>c0cfb57e</t>
  </si>
  <si>
    <t>6738b18c</t>
  </si>
  <si>
    <t>88aa22e8</t>
  </si>
  <si>
    <t>Passarela Center via atacadista (27/02/2026) - Compra de frutas e produtos para loja</t>
  </si>
  <si>
    <t>Notas_Images/302c7329.Foto.214615.jpg</t>
  </si>
  <si>
    <t>d40f0538</t>
  </si>
  <si>
    <t>Queluz mercado (27/02/2026) - Compra de frutas</t>
  </si>
  <si>
    <t>a634729e</t>
  </si>
  <si>
    <t>Notas_Images/fd3b8376.Foto.214714.jpg</t>
  </si>
  <si>
    <t>7f281660</t>
  </si>
  <si>
    <t>96a970f2</t>
  </si>
  <si>
    <t>salario</t>
  </si>
  <si>
    <t>1f3e49ad</t>
  </si>
  <si>
    <t>bf19ac4c</t>
  </si>
  <si>
    <t>cc4b6783</t>
  </si>
  <si>
    <t>Queluz supermercados (28/02/2026) - Compra de pães</t>
  </si>
  <si>
    <t>Notas_Images/d3850062.Foto.164756.jpg</t>
  </si>
  <si>
    <t>Compra de pães</t>
  </si>
  <si>
    <t>9acb0ce9</t>
  </si>
  <si>
    <t>98faa0a7</t>
  </si>
  <si>
    <t>438da001</t>
  </si>
  <si>
    <t>entrada de 1650,00 do envelope de sangria do dia 14/07</t>
  </si>
  <si>
    <t>7704aa47</t>
  </si>
  <si>
    <t>483cf753</t>
  </si>
  <si>
    <t>1870898</t>
  </si>
  <si>
    <t>A/F de Caixa</t>
  </si>
  <si>
    <t>Queluz mercado (01/03/2026) - Compra de lanche e pão</t>
  </si>
  <si>
    <t>64e30ad3</t>
  </si>
  <si>
    <t>Notas_Images/b010b831.Foto.005924.jpg</t>
  </si>
  <si>
    <t>65aa817d</t>
  </si>
  <si>
    <t>Compra de lanche e pão</t>
  </si>
  <si>
    <t>862bb91f</t>
  </si>
  <si>
    <t>b7d31907</t>
  </si>
  <si>
    <t>Queluz supermercados (02/03/2026) - Compra de frutas</t>
  </si>
  <si>
    <t>3d6194d0</t>
  </si>
  <si>
    <t>Notas_Images/14d06877.Foto.193104.jpg</t>
  </si>
  <si>
    <t>316a905d</t>
  </si>
  <si>
    <t>1872081</t>
  </si>
  <si>
    <t>78c426b5</t>
  </si>
  <si>
    <t>8828d310</t>
  </si>
  <si>
    <t>Queluz supermercados (03/03/2026) - Compra de bananas.</t>
  </si>
  <si>
    <t>Notas_Images/742bdb42.Foto.193946.jpg</t>
  </si>
  <si>
    <t>3478a111</t>
  </si>
  <si>
    <t>Compra de bananas.</t>
  </si>
  <si>
    <t>1149d2f2</t>
  </si>
  <si>
    <t>41d2a755</t>
  </si>
  <si>
    <t>fa585c6f</t>
  </si>
  <si>
    <t>R$ 644,50</t>
  </si>
  <si>
    <t>e74ea9cd</t>
  </si>
  <si>
    <t>0dd050bc</t>
  </si>
  <si>
    <t>pagamentos de bebidas 16/07</t>
  </si>
  <si>
    <t>Loja 3,99 (02/03/2026) - Compra de ovos para colorir</t>
  </si>
  <si>
    <t>Notas_Images/c5df38b2.Foto.232857.jpg</t>
  </si>
  <si>
    <t>Compra de ovos para colorir</t>
  </si>
  <si>
    <t>326fc975</t>
  </si>
  <si>
    <t>87852f5f</t>
  </si>
  <si>
    <t>f7556625</t>
  </si>
  <si>
    <t>Krichenko (02/03/2026) - Compra de tecidos para loja</t>
  </si>
  <si>
    <t>2da1e7b8</t>
  </si>
  <si>
    <t>aa8c0836</t>
  </si>
  <si>
    <t>Notas_Images/dafac047.Foto.233009.jpg</t>
  </si>
  <si>
    <t>Compra de tecidos para loja</t>
  </si>
  <si>
    <t>7ea31a58</t>
  </si>
  <si>
    <t>6c28094c</t>
  </si>
  <si>
    <t>4e392f48</t>
  </si>
  <si>
    <t>Amadelli (27/02/2026) - Embalagens para Páscoa</t>
  </si>
  <si>
    <t>c3589c57</t>
  </si>
  <si>
    <t>Notas_Images/c21d7679.Foto.174829.jpg</t>
  </si>
  <si>
    <t>Embalagens para Páscoa</t>
  </si>
  <si>
    <t>eb0dab77</t>
  </si>
  <si>
    <t>1879896</t>
  </si>
  <si>
    <t>51d35a94</t>
  </si>
  <si>
    <t>bd808325</t>
  </si>
  <si>
    <t>R$ 625,00</t>
  </si>
  <si>
    <t>compra de morangos 25kg</t>
  </si>
  <si>
    <t>215f59a0</t>
  </si>
  <si>
    <t>ce6bb38e</t>
  </si>
  <si>
    <t>1880015</t>
  </si>
  <si>
    <t>4ddb9d3a</t>
  </si>
  <si>
    <t>Mais morangos vacaria (27/02/2026) - Compra de morangos</t>
  </si>
  <si>
    <t>f37caa2f</t>
  </si>
  <si>
    <t>Notas_Images/bb32929c.Foto.175419.jpg</t>
  </si>
  <si>
    <t>2a2eea5a</t>
  </si>
  <si>
    <t>ad9ade47</t>
  </si>
  <si>
    <t>Amadelli (03/03/2026) - Pedido gelado</t>
  </si>
  <si>
    <t>Notas_Images/86fccf3d.Foto.004901.jpg</t>
  </si>
  <si>
    <t>53e0ee9a</t>
  </si>
  <si>
    <t>Notas_Images/86fccf3d.Foto 1.004901.jpg</t>
  </si>
  <si>
    <t>d14d157d</t>
  </si>
  <si>
    <t>e383208f</t>
  </si>
  <si>
    <t>37b4ef34</t>
  </si>
  <si>
    <t>R$ 332,98</t>
  </si>
  <si>
    <t>CPMPRAS de frutas e produtos de mercado do dia15/07</t>
  </si>
  <si>
    <t>a8fc2622</t>
  </si>
  <si>
    <t>a9c809ba</t>
  </si>
  <si>
    <t>e3fc0eca</t>
  </si>
  <si>
    <t>11bb7590</t>
  </si>
  <si>
    <t>af942ccb</t>
  </si>
  <si>
    <t>796d9be6</t>
  </si>
  <si>
    <t>1886462</t>
  </si>
  <si>
    <t>c1c34cf8</t>
  </si>
  <si>
    <t>0c13294b</t>
  </si>
  <si>
    <t>1886469</t>
  </si>
  <si>
    <t>e0fb4dad</t>
  </si>
  <si>
    <t>a62eb156</t>
  </si>
  <si>
    <t>985ed8ae</t>
  </si>
  <si>
    <t>pagamento gratuito sabrine do dia 15/07 das 13h30 às 22h</t>
  </si>
  <si>
    <t>Pedido 112367 nota de serviço</t>
  </si>
  <si>
    <t>d2719cf4</t>
  </si>
  <si>
    <t>76ecd6cc</t>
  </si>
  <si>
    <t>592e335c</t>
  </si>
  <si>
    <t>2d4aab21</t>
  </si>
  <si>
    <t>HE</t>
  </si>
  <si>
    <t>d86f55d3</t>
  </si>
  <si>
    <t>617f1e79</t>
  </si>
  <si>
    <t>64df94c5</t>
  </si>
  <si>
    <t>FO-BRAN BEBIDAS (05/03/2026) - Pagamento de bebidas</t>
  </si>
  <si>
    <t>1ca7b447</t>
  </si>
  <si>
    <t>Notas_Images/43c9099c.Foto.174354.jpg</t>
  </si>
  <si>
    <t>1a50b5bb</t>
  </si>
  <si>
    <t>1891138</t>
  </si>
  <si>
    <t>Pagamento gratuito Sabrine das 13h30 às 22h30</t>
  </si>
  <si>
    <t>cce2ff51</t>
  </si>
  <si>
    <t>SC COPIAS (05/03/2026) - Chapa e celofone</t>
  </si>
  <si>
    <t>e8f5bdf7</t>
  </si>
  <si>
    <t>Notas_Images/c4501c83.Foto.174532.jpg</t>
  </si>
  <si>
    <t>Chapa e celofone</t>
  </si>
  <si>
    <t>41325c2d</t>
  </si>
  <si>
    <t>8b810c87</t>
  </si>
  <si>
    <t>e3baad42</t>
  </si>
  <si>
    <t>Farmácia joaçaba (06/03/2026) - Compra de remédios.</t>
  </si>
  <si>
    <t>Notas_Images/2138ce97.Foto.155915.jpg</t>
  </si>
  <si>
    <t>Compra de remédios.</t>
  </si>
  <si>
    <t>11c3b50f</t>
  </si>
  <si>
    <t>313e68f4</t>
  </si>
  <si>
    <t>b0ad08d3</t>
  </si>
  <si>
    <t>Divina mulher (06/03/2026) - Compra de luvas de limpeza</t>
  </si>
  <si>
    <t>Notas_Images/2d63713a.Foto.160025.jpg</t>
  </si>
  <si>
    <t>Compra de luvas de limpeza</t>
  </si>
  <si>
    <t>a3a15892</t>
  </si>
  <si>
    <t>7da1a1d1</t>
  </si>
  <si>
    <t>Supermercados myata (05/03/2026) - Compra de frutas</t>
  </si>
  <si>
    <t>R$ 1.500,00</t>
  </si>
  <si>
    <t>Notas_Images/a3abc3cb.Foto.171419.jpg</t>
  </si>
  <si>
    <t>7a405988</t>
  </si>
  <si>
    <t>Sangria Marcos 16/07</t>
  </si>
  <si>
    <t>dc20859b</t>
  </si>
  <si>
    <t>Queluz supermercados (05/03/2026) - Compra de frutas</t>
  </si>
  <si>
    <t>213b33c8</t>
  </si>
  <si>
    <t>Notas_Images/6c2e3d30.Foto.171554.jpg</t>
  </si>
  <si>
    <t>d46f852c</t>
  </si>
  <si>
    <t>02e60bcd</t>
  </si>
  <si>
    <t>f48c7a51</t>
  </si>
  <si>
    <t>Passarela Center via atacadista (05/03/2026) - Compra de frutas para loja</t>
  </si>
  <si>
    <t>Notas_Images/e2a3257d.Foto.171650.jpg</t>
  </si>
  <si>
    <t>1895109</t>
  </si>
  <si>
    <t>8b06f1cd</t>
  </si>
  <si>
    <t>615fde5a</t>
  </si>
  <si>
    <t>636c7969</t>
  </si>
  <si>
    <t>4e4c7bde</t>
  </si>
  <si>
    <t>OBoticário (06/03/2026) - Presente dia das mulheres para funcionárias</t>
  </si>
  <si>
    <t>Notas_Images/370a4fb2.Foto.225958.jpg</t>
  </si>
  <si>
    <t>Presente dia das mulheres para funcionárias</t>
  </si>
  <si>
    <t>d35675cc</t>
  </si>
  <si>
    <t>4f5694d0</t>
  </si>
  <si>
    <t>1895893</t>
  </si>
  <si>
    <t>R$ 104,00</t>
  </si>
  <si>
    <t>ac31e4fa</t>
  </si>
  <si>
    <t>free jana dia 15/07 obs- não tinha dinheiro no caixa no dia</t>
  </si>
  <si>
    <t>5ab8fd6a</t>
  </si>
  <si>
    <t>SC COPIAS (06/03/2026) - Impressões para dias das mulheres</t>
  </si>
  <si>
    <t>Notas_Images/7bf77464.Foto.230120.jpg</t>
  </si>
  <si>
    <t>Impressões para dias das mulheres</t>
  </si>
  <si>
    <t>808648d3</t>
  </si>
  <si>
    <t>162c5d9e</t>
  </si>
  <si>
    <t>a3b28dbf</t>
  </si>
  <si>
    <t>5eb88411</t>
  </si>
  <si>
    <t>Passarela Center via atacadista (07/03/2026) - Compra de bombom para dia das mulheres</t>
  </si>
  <si>
    <t>Notas_Images/dad1d975.Foto.003846.jpg</t>
  </si>
  <si>
    <t>Compra de bombom para dia das mulheres</t>
  </si>
  <si>
    <t>b168fc9d</t>
  </si>
  <si>
    <t>212ea2e7</t>
  </si>
  <si>
    <t>92532de4</t>
  </si>
  <si>
    <t>Morangos de vacaria (07/03/2026) - Compra de morangos</t>
  </si>
  <si>
    <t>Notas_Images/8b4ee993.Foto.010310.jpg</t>
  </si>
  <si>
    <t>e29e86f8</t>
  </si>
  <si>
    <t>a30f782a</t>
  </si>
  <si>
    <t>Big lojas (08/03/2026) - Compra de itens para pascoa</t>
  </si>
  <si>
    <t>R$ 596,73</t>
  </si>
  <si>
    <t>Notas_Images/3aa9c1dc.Foto.225243.jpg</t>
  </si>
  <si>
    <t>Compra de itens para pascoa</t>
  </si>
  <si>
    <t>139bf6e6</t>
  </si>
  <si>
    <t>compras de mercado</t>
  </si>
  <si>
    <t>832386d7</t>
  </si>
  <si>
    <t>Passarela Center via atacadista (08/03/2026) - Produtos para loja.</t>
  </si>
  <si>
    <t>Notas_Images/9be51c61.Foto.225411.jpg</t>
  </si>
  <si>
    <t>2b9a5113</t>
  </si>
  <si>
    <t>bce84ae2</t>
  </si>
  <si>
    <t>08728ff3</t>
  </si>
  <si>
    <t>Amadelli (05/03/2026) - Carga seca.</t>
  </si>
  <si>
    <t>Notas_Images/d9eb5879.Foto.202722.jpg</t>
  </si>
  <si>
    <t>5ec96ea3</t>
  </si>
  <si>
    <t>Notas_Images/d9eb5879.Foto 1.202722.jpg</t>
  </si>
  <si>
    <t>55f5c9f8</t>
  </si>
  <si>
    <t>215b9949</t>
  </si>
  <si>
    <t>a2b3a145</t>
  </si>
  <si>
    <t>R$ 136,90</t>
  </si>
  <si>
    <t>compras de guardanapo de delivery</t>
  </si>
  <si>
    <t>977a3d5a</t>
  </si>
  <si>
    <t>de30048c</t>
  </si>
  <si>
    <t>8fb6c10f</t>
  </si>
  <si>
    <t>Suco prats (09/03/2026) - Compra de sucos</t>
  </si>
  <si>
    <t>3c8f0a0f</t>
  </si>
  <si>
    <t>Notas_Images/c2d43518.Foto.204734.jpg</t>
  </si>
  <si>
    <t>bca5fc0b</t>
  </si>
  <si>
    <t>a58b0d66</t>
  </si>
  <si>
    <t>Loja do 7,99 (06/03/2026) - Objetos para Páscoa</t>
  </si>
  <si>
    <t>Notas_Images/9ae70c64.Foto.204831.jpg</t>
  </si>
  <si>
    <t>Objetos para Páscoa</t>
  </si>
  <si>
    <t>29a502cf</t>
  </si>
  <si>
    <t>1899448</t>
  </si>
  <si>
    <t>4a21f473</t>
  </si>
  <si>
    <t>7b75d495</t>
  </si>
  <si>
    <t>38e92d56</t>
  </si>
  <si>
    <t>R$ 124,50</t>
  </si>
  <si>
    <t>Casa Fagundes embalagens (09/03/2026) - Pistola cola quente</t>
  </si>
  <si>
    <t>2f2a6c7f</t>
  </si>
  <si>
    <t>Notas_Images/f34793a7.Foto.205002.jpg</t>
  </si>
  <si>
    <t>Pistola cola quente</t>
  </si>
  <si>
    <t>compras de granulado casa fagundes</t>
  </si>
  <si>
    <t>1d129a0b</t>
  </si>
  <si>
    <t>26554ebf</t>
  </si>
  <si>
    <t>4791c74f</t>
  </si>
  <si>
    <t>1899447</t>
  </si>
  <si>
    <t>Passarela Center via atacadista (09/03/2026) - Compra de válvula</t>
  </si>
  <si>
    <t>Notas_Images/a52af83a.Foto.233854.jpg</t>
  </si>
  <si>
    <t>Compra de válvula</t>
  </si>
  <si>
    <t>985c5318</t>
  </si>
  <si>
    <t>2182385e</t>
  </si>
  <si>
    <t>05c31ede</t>
  </si>
  <si>
    <t>1901900</t>
  </si>
  <si>
    <t>32f75bd5</t>
  </si>
  <si>
    <t>SC COPIAS (10/03/2026) - Produtos para loja.</t>
  </si>
  <si>
    <t>Notas_Images/65fe7930.Foto.162827.jpg</t>
  </si>
  <si>
    <t>dd729f48</t>
  </si>
  <si>
    <t>694b11c9</t>
  </si>
  <si>
    <t>1908938</t>
  </si>
  <si>
    <t>Casa Fagundes embalagens (10/03/2026) - Produtos para Páscoa</t>
  </si>
  <si>
    <t>Notas_Images/9f023613.Foto.162948.jpg</t>
  </si>
  <si>
    <t>4f8031b2</t>
  </si>
  <si>
    <t>Produtos para Páscoa</t>
  </si>
  <si>
    <t>489203bf</t>
  </si>
  <si>
    <t>ea7cb4d7</t>
  </si>
  <si>
    <t>1908934</t>
  </si>
  <si>
    <t>R$ 204,00</t>
  </si>
  <si>
    <t>806a40d7</t>
  </si>
  <si>
    <t>compra de lanches e frutas</t>
  </si>
  <si>
    <t>FO-BRAN (10/03/2026) - Pagamento de bebidas</t>
  </si>
  <si>
    <t>Notas_Images/c06dcdec.Foto.202229.jpg</t>
  </si>
  <si>
    <t>1908931</t>
  </si>
  <si>
    <t>d5a84a72</t>
  </si>
  <si>
    <t>0557f89b</t>
  </si>
  <si>
    <t>f07e6249</t>
  </si>
  <si>
    <t>9ea50d59</t>
  </si>
  <si>
    <t>741552ed</t>
  </si>
  <si>
    <t>e068df05</t>
  </si>
  <si>
    <t>0f5617c1</t>
  </si>
  <si>
    <t>f4dac82d</t>
  </si>
  <si>
    <t>e7784fc9</t>
  </si>
  <si>
    <t>R$ 8,75</t>
  </si>
  <si>
    <t>Impressoes |</t>
  </si>
  <si>
    <t>Farmacia (11/03/2026) - Compra de torsilax</t>
  </si>
  <si>
    <t>66f762b5</t>
  </si>
  <si>
    <t>Notas_Images/00e5147d.Foto.215444.jpg</t>
  </si>
  <si>
    <t>Compra de torsilax</t>
  </si>
  <si>
    <t>95cc14f1</t>
  </si>
  <si>
    <t>0ed276c1</t>
  </si>
  <si>
    <t>e9b9194e</t>
  </si>
  <si>
    <t>Thipograf gráfica (12/03/2026) - Etiquetas para a loja</t>
  </si>
  <si>
    <t>74fb20fc</t>
  </si>
  <si>
    <t>Notas_Images/88e864fd.Foto.200757.jpg</t>
  </si>
  <si>
    <t>4d1316f2</t>
  </si>
  <si>
    <t>Etiquetas para a loja</t>
  </si>
  <si>
    <t>b4c0d958</t>
  </si>
  <si>
    <t>d7f20c44</t>
  </si>
  <si>
    <t>14c04da1</t>
  </si>
  <si>
    <t>2717cd36</t>
  </si>
  <si>
    <t>Conta Água</t>
  </si>
  <si>
    <t>e40af465</t>
  </si>
  <si>
    <t>32a3ed9f</t>
  </si>
  <si>
    <t>pagamento grátis priscila das 13h às 23h</t>
  </si>
  <si>
    <t>FO-BRAN (13/03/2026) - Bebidas/agua</t>
  </si>
  <si>
    <t>9f38ed0b</t>
  </si>
  <si>
    <t>Notas_Images/7704aa47.Foto.205513.jpg</t>
  </si>
  <si>
    <t>Bebidas/agua</t>
  </si>
  <si>
    <t>75f4e5a5</t>
  </si>
  <si>
    <t>Morangos de vacaria (13/03/2026) - 21kg de morango</t>
  </si>
  <si>
    <t>33795a5c</t>
  </si>
  <si>
    <t>Notas_Images/65aa817d.Foto.220300.jpg</t>
  </si>
  <si>
    <t>21kg de morango</t>
  </si>
  <si>
    <t>fb85d851</t>
  </si>
  <si>
    <t>1893210</t>
  </si>
  <si>
    <t>46168593</t>
  </si>
  <si>
    <t>Queluz mercado (15/03/2026) - Compra de pães e frutas</t>
  </si>
  <si>
    <t>3f2cbcfd</t>
  </si>
  <si>
    <t>Notas_Images/fa585c6f.Foto.205022.jpg</t>
  </si>
  <si>
    <t>Compra de pães e frutas</t>
  </si>
  <si>
    <t>13fb2d1e</t>
  </si>
  <si>
    <t>8b3d5fac</t>
  </si>
  <si>
    <t>1899880</t>
  </si>
  <si>
    <t>a613528d</t>
  </si>
  <si>
    <t>Passarela Center via atacadista (13/03/2026) - Compra de frutas para loja</t>
  </si>
  <si>
    <t>1d17228e</t>
  </si>
  <si>
    <t>Notas_Images/b7d31907.Foto.205115.jpg</t>
  </si>
  <si>
    <t>2f122c31</t>
  </si>
  <si>
    <t>R$ 124,00</t>
  </si>
  <si>
    <t>Pagamento grátis Jaqueline das 13h30 às 23h00</t>
  </si>
  <si>
    <t>ba3896e1</t>
  </si>
  <si>
    <t>ee5592ea</t>
  </si>
  <si>
    <t>1912392</t>
  </si>
  <si>
    <t>9ee26d44</t>
  </si>
  <si>
    <t>Passarela Center via atacadista (12/03/2026) - Compra de frutas</t>
  </si>
  <si>
    <t>Notas_Images/c0cfb57e.Foto.205215.jpg</t>
  </si>
  <si>
    <t>1bfe034c</t>
  </si>
  <si>
    <t>b22a0a1f</t>
  </si>
  <si>
    <t>1912399</t>
  </si>
  <si>
    <t>02944c49</t>
  </si>
  <si>
    <t>alterado data</t>
  </si>
  <si>
    <t>9f1fdb6a</t>
  </si>
  <si>
    <t>1914490</t>
  </si>
  <si>
    <t>Sangria Rayanna 19/07</t>
  </si>
  <si>
    <t>c386b9a3</t>
  </si>
  <si>
    <t>c6edd094</t>
  </si>
  <si>
    <t>1915967</t>
  </si>
  <si>
    <t>70a6342c</t>
  </si>
  <si>
    <t>Pedido 116074 nota de serviço</t>
  </si>
  <si>
    <t>6b89ccec</t>
  </si>
  <si>
    <t>3bf4d037</t>
  </si>
  <si>
    <t>1915962</t>
  </si>
  <si>
    <t>e7da490f</t>
  </si>
  <si>
    <t>PAGAMENTO FREE DA PRISCILA DA 13H AS 21H</t>
  </si>
  <si>
    <t>Mais morangos vacaria (11/03/2026) - Pagamento de morangos</t>
  </si>
  <si>
    <t>Notas_Images/32b8b95e.Foto.160520.jpg</t>
  </si>
  <si>
    <t>b37f6f71</t>
  </si>
  <si>
    <t>8ee59208</t>
  </si>
  <si>
    <t>b5ace8a0</t>
  </si>
  <si>
    <t>0e7d5701</t>
  </si>
  <si>
    <t>Casa Fagundes embalagens (17/03/2026) - Compra de produtos para loja</t>
  </si>
  <si>
    <t>Notas_Images/4e392f48.Foto.193135.jpg</t>
  </si>
  <si>
    <t>1f515c72</t>
  </si>
  <si>
    <t>a8076a8b</t>
  </si>
  <si>
    <t>1a96ed5c</t>
  </si>
  <si>
    <t>1912255</t>
  </si>
  <si>
    <t>Queluz supermercados (16/03/2026) - Compra de frutas para loja.</t>
  </si>
  <si>
    <t>Notas_Images/aa8c0836.Foto.193242.jpg</t>
  </si>
  <si>
    <t>1ed436be</t>
  </si>
  <si>
    <t>R$ 194,18</t>
  </si>
  <si>
    <t>84cf40dc</t>
  </si>
  <si>
    <t>COMPRAS DE LANCHE E UVA</t>
  </si>
  <si>
    <t>7a2cfa7d</t>
  </si>
  <si>
    <t>JN EMBALAGENS (18/03/2026) - Pagamento de produtos para loja.</t>
  </si>
  <si>
    <t>Notas_Images/796d9be6.Foto.171744.jpg</t>
  </si>
  <si>
    <t>1762bbda</t>
  </si>
  <si>
    <t>b4436439</t>
  </si>
  <si>
    <t>Copiadora Tatiana LTDA ME. (18/03/2026) - Impressões para loja.</t>
  </si>
  <si>
    <t>Notas_Images/985ed8ae.Foto.210558.jpg</t>
  </si>
  <si>
    <t>82da8428</t>
  </si>
  <si>
    <t>Impressões para loja.</t>
  </si>
  <si>
    <t>d9fc48c6</t>
  </si>
  <si>
    <t>7bc24bad</t>
  </si>
  <si>
    <t>06381df7</t>
  </si>
  <si>
    <t>Amadelli (17/03/2026) - Pedido gelado</t>
  </si>
  <si>
    <t>R$ 91,00</t>
  </si>
  <si>
    <t>Notas_Images/51d35a94.Foto.225056.jpg</t>
  </si>
  <si>
    <t>PAGAMENTO GRATUITO DA VITÓRIA DAS 14H ÀS 21H</t>
  </si>
  <si>
    <t>af5723fc</t>
  </si>
  <si>
    <t>Notas_Images/51d35a94.Foto 1.225056.jpg</t>
  </si>
  <si>
    <t>8afb83f3</t>
  </si>
  <si>
    <t>a6c71685</t>
  </si>
  <si>
    <t>1917376</t>
  </si>
  <si>
    <t>206aac8a</t>
  </si>
  <si>
    <t>65aada42</t>
  </si>
  <si>
    <t>Pedido 112355 nota de serviço</t>
  </si>
  <si>
    <t>a84c7486</t>
  </si>
  <si>
    <t>1917377</t>
  </si>
  <si>
    <t>03bd1cec</t>
  </si>
  <si>
    <t>73818d18</t>
  </si>
  <si>
    <t>Pedido 113744 nota de serviço</t>
  </si>
  <si>
    <t>0ed182b6</t>
  </si>
  <si>
    <t>Pedido 115293 nota de serviço</t>
  </si>
  <si>
    <t>b9d43009</t>
  </si>
  <si>
    <t>5aca6914</t>
  </si>
  <si>
    <t>33fa4aab</t>
  </si>
  <si>
    <t>Pedido 114416 nota de serviço</t>
  </si>
  <si>
    <t>4af1d881</t>
  </si>
  <si>
    <t>1917381</t>
  </si>
  <si>
    <t>ef03585e</t>
  </si>
  <si>
    <t>413f2954</t>
  </si>
  <si>
    <t>aeaffc45</t>
  </si>
  <si>
    <t>R$ 17,19</t>
  </si>
  <si>
    <t>47970b2a</t>
  </si>
  <si>
    <t>COMPRA DE BANANA</t>
  </si>
  <si>
    <t>1917881</t>
  </si>
  <si>
    <t>0bdd51c6</t>
  </si>
  <si>
    <t>Pedido 116075 nota de serviço</t>
  </si>
  <si>
    <t>2febb45e</t>
  </si>
  <si>
    <t>Pedido 106739 nota de serviço</t>
  </si>
  <si>
    <t>c806d224</t>
  </si>
  <si>
    <t>1919209</t>
  </si>
  <si>
    <t>0fe54ebe</t>
  </si>
  <si>
    <t>91d184bc</t>
  </si>
  <si>
    <t>Pedido 107615 nota de serviço</t>
  </si>
  <si>
    <t>b07b7e9b</t>
  </si>
  <si>
    <t>b1b453fd</t>
  </si>
  <si>
    <t>1919213</t>
  </si>
  <si>
    <t>a9d0d580</t>
  </si>
  <si>
    <t>fa8524d9</t>
  </si>
  <si>
    <t>384231dd</t>
  </si>
  <si>
    <t>FO-BRAN (19/03/2026) - Compra de bebidas</t>
  </si>
  <si>
    <t>fc5f89f4</t>
  </si>
  <si>
    <t>Notas_Images/76ecd6cc.Foto.182155.jpg</t>
  </si>
  <si>
    <t>1919136</t>
  </si>
  <si>
    <t>6da82638</t>
  </si>
  <si>
    <t>44006b24</t>
  </si>
  <si>
    <t>ce4f9b19</t>
  </si>
  <si>
    <t>Passarela Center via atacadista (17/03/2026) - Compra de produtos para loja</t>
  </si>
  <si>
    <t>Notas_Images/4ddb9d3a.Foto.191628.jpg</t>
  </si>
  <si>
    <t>230a3006</t>
  </si>
  <si>
    <t>8dbd96f2</t>
  </si>
  <si>
    <t>1919437</t>
  </si>
  <si>
    <t>aa16b499</t>
  </si>
  <si>
    <t>Myata supermercado (20/03/2026) - Compra de uva</t>
  </si>
  <si>
    <t>Notas_Images/1ca7b447.Foto.191855.jpg</t>
  </si>
  <si>
    <t>PAGAMENTO GRÁTIS JAQUE DAS 14H ÁS 22H</t>
  </si>
  <si>
    <t>4a9e42d0</t>
  </si>
  <si>
    <t>1919439</t>
  </si>
  <si>
    <t>d17201de</t>
  </si>
  <si>
    <t>f4e62ed5</t>
  </si>
  <si>
    <t>Tag qr code</t>
  </si>
  <si>
    <t>566f3ac2</t>
  </si>
  <si>
    <t>566af6ee</t>
  </si>
  <si>
    <t>Passarela Center via atacadista (20/03/2026) - Compra de produtos para loja</t>
  </si>
  <si>
    <t>Notas_Images/e8f5bdf7.Foto.200522.jpg</t>
  </si>
  <si>
    <t>3efaf13c</t>
  </si>
  <si>
    <t>d4b463ee</t>
  </si>
  <si>
    <t>Queluz supermercados (21/03/2026) - Compra de lanche para funcionários</t>
  </si>
  <si>
    <t>Notas_Images/4f5694d0.Foto.200619.jpg</t>
  </si>
  <si>
    <t>378d2cc5</t>
  </si>
  <si>
    <t>fc38df4f</t>
  </si>
  <si>
    <t>R$ 3.150,00</t>
  </si>
  <si>
    <t>Morangos de vacaria (20/03/2026) - 21kg de morango</t>
  </si>
  <si>
    <t>Notas_Images/636c7969.Foto.225802.jpg</t>
  </si>
  <si>
    <t>SANGRIA SABRINA 20/07</t>
  </si>
  <si>
    <t>61a641f2</t>
  </si>
  <si>
    <t>44dda8d8</t>
  </si>
  <si>
    <t>Queluz mercado (22/03/2026) - Compra de pão</t>
  </si>
  <si>
    <t>Notas_Images/162c5d9e.Foto.233344.jpg</t>
  </si>
  <si>
    <t>621abfc1</t>
  </si>
  <si>
    <t>2835ef9b</t>
  </si>
  <si>
    <t>2b0ae7da</t>
  </si>
  <si>
    <t>Copiadora Tatiana LTDA ME. (23/03/2026) - Impressões para loja</t>
  </si>
  <si>
    <t>Notas_Images/5eb88411.Foto.202301.jpg</t>
  </si>
  <si>
    <t>6c9181f0</t>
  </si>
  <si>
    <t>7f3f7ade</t>
  </si>
  <si>
    <t>ded80a2f</t>
  </si>
  <si>
    <t>Amadelli (17/03/2026) - Carga seca</t>
  </si>
  <si>
    <t>Notas_Images/e3fc0eca.Foto.230648.jpg</t>
  </si>
  <si>
    <t>6cf65834</t>
  </si>
  <si>
    <t>76901091</t>
  </si>
  <si>
    <t>Notas_Images/e3fc0eca.Foto 1.230648.jpg</t>
  </si>
  <si>
    <t>6e3c5683</t>
  </si>
  <si>
    <t>Sangria Sabrina 21/07</t>
  </si>
  <si>
    <t>1923700</t>
  </si>
  <si>
    <t>c4b31bb7</t>
  </si>
  <si>
    <t>ebb6e587</t>
  </si>
  <si>
    <t>0cb8050b</t>
  </si>
  <si>
    <t>8d617bbf</t>
  </si>
  <si>
    <t>938003a9</t>
  </si>
  <si>
    <t>3eecb6c6</t>
  </si>
  <si>
    <t>4ee4a5fb</t>
  </si>
  <si>
    <t>1927654</t>
  </si>
  <si>
    <t>b5806650</t>
  </si>
  <si>
    <t>b4010179</t>
  </si>
  <si>
    <t>c6505e4d</t>
  </si>
  <si>
    <t>R$ 560,00</t>
  </si>
  <si>
    <t>1927653</t>
  </si>
  <si>
    <t>Pagamento de grátis Sabrina Terça 13h/22h Quarta 13h30/22h Quinta 13h30/21h40 Sexta 9h/12h e a tarde 17h30 às 21h40 Domingo 13h às 22h</t>
  </si>
  <si>
    <t>969693df</t>
  </si>
  <si>
    <t>b0771221</t>
  </si>
  <si>
    <t>ecf6f5dd</t>
  </si>
  <si>
    <t>Casa global (09/01/2026) - Compra de matérias de construção para loja.</t>
  </si>
  <si>
    <t>Compra de matérias de construção para loja.</t>
  </si>
  <si>
    <t>Notas_Images/ecf6f5dd.Foto.164051.jpg</t>
  </si>
  <si>
    <t>Pedido 118197 nota de serviço</t>
  </si>
  <si>
    <t>1920415</t>
  </si>
  <si>
    <t>e92e7685</t>
  </si>
  <si>
    <t>c480ab5e</t>
  </si>
  <si>
    <t>Pedido 118200</t>
  </si>
  <si>
    <t>45b05b44</t>
  </si>
  <si>
    <t>ef4f9169</t>
  </si>
  <si>
    <t>7167eaf5</t>
  </si>
  <si>
    <t>3d7c3ee5</t>
  </si>
  <si>
    <t>ee6bd939</t>
  </si>
  <si>
    <t>1931651</t>
  </si>
  <si>
    <t>R$ 42,43</t>
  </si>
  <si>
    <t>CONSUMO ANA</t>
  </si>
  <si>
    <t>8aa87e75</t>
  </si>
  <si>
    <t>Passarela Center via atacadista (26/03/2026) - Produtos para loja</t>
  </si>
  <si>
    <t>e100df90</t>
  </si>
  <si>
    <t>Notas_Images/212ea2e7.Foto.010237.jpg</t>
  </si>
  <si>
    <t>16367609</t>
  </si>
  <si>
    <t>0356d46f</t>
  </si>
  <si>
    <t>43ec6eff</t>
  </si>
  <si>
    <t>Queluz mercado (26/03/2026) - Compra de produtos para loja</t>
  </si>
  <si>
    <t>Notas_Images/a2b3a145.Foto.010334.jpg</t>
  </si>
  <si>
    <t>000a818a</t>
  </si>
  <si>
    <t>1931650</t>
  </si>
  <si>
    <t>4e71b574</t>
  </si>
  <si>
    <t>3baeba5e</t>
  </si>
  <si>
    <t>FO-BRAN (27/03/2026) - Compra de bebidas</t>
  </si>
  <si>
    <t>Notas_Images/8fb6c10f.Foto.185021.jpg</t>
  </si>
  <si>
    <t>5bbebd8f</t>
  </si>
  <si>
    <t>a8285980</t>
  </si>
  <si>
    <t>9315edf2</t>
  </si>
  <si>
    <t>1933477</t>
  </si>
  <si>
    <t>6e66eeab</t>
  </si>
  <si>
    <t>Mais morangos vacaria (27/03/2026) - Pagamento de morangos</t>
  </si>
  <si>
    <t>Notas_Images/7b75d495.Foto.222043.jpg</t>
  </si>
  <si>
    <t>R$ 44,22</t>
  </si>
  <si>
    <t>a98d90d0</t>
  </si>
  <si>
    <t>1729b772</t>
  </si>
  <si>
    <t>CONSUMO RAYANNA</t>
  </si>
  <si>
    <t>e1a58a1b</t>
  </si>
  <si>
    <t>1933512</t>
  </si>
  <si>
    <t>FO-BRAN BEBIDAS (27/03/2026) - Pagamento de bebidas</t>
  </si>
  <si>
    <t>Notas_Images/2f2a6c7f.Foto.222740.jpg</t>
  </si>
  <si>
    <t>1444353a</t>
  </si>
  <si>
    <t>8e02141e</t>
  </si>
  <si>
    <t>46d79396</t>
  </si>
  <si>
    <t>3921a243</t>
  </si>
  <si>
    <t>1933514</t>
  </si>
  <si>
    <t>Supermercados franciosi (28/03/2026) - Produtos para loja.</t>
  </si>
  <si>
    <t>Notas_Images/2182385e.Foto.172335.jpg</t>
  </si>
  <si>
    <t>3970b82a</t>
  </si>
  <si>
    <t>f61902b9</t>
  </si>
  <si>
    <t>d620e118</t>
  </si>
  <si>
    <t>FO-BRAN (27/03/2026) - Embalagens</t>
  </si>
  <si>
    <t>Notas_Images/26554ebf.Foto.182355.jpg</t>
  </si>
  <si>
    <t>1933482</t>
  </si>
  <si>
    <t>1a91c766</t>
  </si>
  <si>
    <t>5f605eaa</t>
  </si>
  <si>
    <t>Notas_Images/26554ebf.Foto 1.182355.jpg</t>
  </si>
  <si>
    <t>2c4c0b6e</t>
  </si>
  <si>
    <t>07152c87</t>
  </si>
  <si>
    <t>R$ 48,44</t>
  </si>
  <si>
    <t>d15588b8</t>
  </si>
  <si>
    <t>CONSUMO SABRINA</t>
  </si>
  <si>
    <t>fef7163e</t>
  </si>
  <si>
    <t>f57c7632</t>
  </si>
  <si>
    <t>Mais morangos vacaria (31/03/2026) - Pagamento de morangos</t>
  </si>
  <si>
    <t>Notas_Images/0557f89b.Foto.205821.jpg</t>
  </si>
  <si>
    <t>d7c7ebd8</t>
  </si>
  <si>
    <t>1e5d1c83</t>
  </si>
  <si>
    <t>a5150b61</t>
  </si>
  <si>
    <t>dc25e279</t>
  </si>
  <si>
    <t>4465bf73</t>
  </si>
  <si>
    <t>a6071f73</t>
  </si>
  <si>
    <t>f037a8fe</t>
  </si>
  <si>
    <t>R$ 19,04</t>
  </si>
  <si>
    <t>0f6b0a62</t>
  </si>
  <si>
    <t>CONSUMO ERICK</t>
  </si>
  <si>
    <t>FO-BRAN (01/04/2026) - Bebidas</t>
  </si>
  <si>
    <t>1942872</t>
  </si>
  <si>
    <t>Notas_Images/14c04da1.Foto.004914.jpg</t>
  </si>
  <si>
    <t>Bebidas</t>
  </si>
  <si>
    <t>43b2eb21</t>
  </si>
  <si>
    <t>ce8304e0</t>
  </si>
  <si>
    <t>FO-BRAN (01/04/2026) - Bebida guaraná</t>
  </si>
  <si>
    <t>Notas_Images/3f2cbcfd.Foto.005037.jpg</t>
  </si>
  <si>
    <t>1942875</t>
  </si>
  <si>
    <t>eb0472e0</t>
  </si>
  <si>
    <t>Bebida guaraná</t>
  </si>
  <si>
    <t>d65feeae</t>
  </si>
  <si>
    <t>Via atacado (01/04/2026) - Bebida energético</t>
  </si>
  <si>
    <t>Notas_Images/8b3d5fac.Foto.005433.jpg</t>
  </si>
  <si>
    <t>fe16516a</t>
  </si>
  <si>
    <t>Bebida energético</t>
  </si>
  <si>
    <t>1943529</t>
  </si>
  <si>
    <t>56717563</t>
  </si>
  <si>
    <t>Queluz mercado (01/04/2026) - Pão equipe 29/03</t>
  </si>
  <si>
    <t>Notas_Images/1d17228e.Foto.005725.jpg</t>
  </si>
  <si>
    <t>fb5fea44</t>
  </si>
  <si>
    <t>Pão equipe 29/03</t>
  </si>
  <si>
    <t>R$ 113,80</t>
  </si>
  <si>
    <t>1943535</t>
  </si>
  <si>
    <t>COMPRAS DE CABO DE REDE INTERNET</t>
  </si>
  <si>
    <t>738b5216</t>
  </si>
  <si>
    <t>Amadelli (31/03/2026) - Bolas para copa</t>
  </si>
  <si>
    <t>0c7cbb2f</t>
  </si>
  <si>
    <t>Notas_Images/9ea50d59.Foto.152025.jpg</t>
  </si>
  <si>
    <t>Bolas para copa</t>
  </si>
  <si>
    <t>1943530</t>
  </si>
  <si>
    <t>39d0f6a4</t>
  </si>
  <si>
    <t>c444efa1</t>
  </si>
  <si>
    <t>Amadelli (31/03/2026) - Carga gelada</t>
  </si>
  <si>
    <t>Notas_Images/f4dac82d.Foto.152637.jpg</t>
  </si>
  <si>
    <t>cea5e17a</t>
  </si>
  <si>
    <t>Unable to load image data. Image may be missing or upload size may be too large for this device.</t>
  </si>
  <si>
    <t>4ddabb3e</t>
  </si>
  <si>
    <t>0f9590a6</t>
  </si>
  <si>
    <t>dc13f0d2</t>
  </si>
  <si>
    <t>R$ 2,00</t>
  </si>
  <si>
    <t>COMPRAS DE IMPRESSÃO COLORIDA</t>
  </si>
  <si>
    <t>92df23e8</t>
  </si>
  <si>
    <t>Copiadora taliana (02/04/2026) - Impressões para loja.</t>
  </si>
  <si>
    <t>b762fa05</t>
  </si>
  <si>
    <t>Notas_Images/8ee59208.Foto.153207.jpg</t>
  </si>
  <si>
    <t>922c95b2</t>
  </si>
  <si>
    <t>34b10f63</t>
  </si>
  <si>
    <t>345ac4c6</t>
  </si>
  <si>
    <t>Cacau show (02/04/2026) - Presente para os funcionários de Páscoa</t>
  </si>
  <si>
    <t>ea5fdb28</t>
  </si>
  <si>
    <t>Notas_Images/0e7d5701.Foto.175915.jpg</t>
  </si>
  <si>
    <t>Presente para os funcionários de Páscoa</t>
  </si>
  <si>
    <t>2c8fcaec</t>
  </si>
  <si>
    <t>b8b2ffb9</t>
  </si>
  <si>
    <t>5ae57e9c</t>
  </si>
  <si>
    <t>R$ 129,57</t>
  </si>
  <si>
    <t>8f8ee464</t>
  </si>
  <si>
    <t>COMPRAS DE KIWI</t>
  </si>
  <si>
    <t>1944638</t>
  </si>
  <si>
    <t>4b441016</t>
  </si>
  <si>
    <t>3685b63d</t>
  </si>
  <si>
    <t>444054f7</t>
  </si>
  <si>
    <t>bd2f45e2</t>
  </si>
  <si>
    <t>e382ffd3</t>
  </si>
  <si>
    <t>e353f9dc</t>
  </si>
  <si>
    <t>1944740</t>
  </si>
  <si>
    <t>baa57c1d</t>
  </si>
  <si>
    <t>320b0b22</t>
  </si>
  <si>
    <t>d5f3064f</t>
  </si>
  <si>
    <t>R$ 189,32</t>
  </si>
  <si>
    <t>COMPRAS DE UVA, MANGA, BANANA</t>
  </si>
  <si>
    <t>f5292897</t>
  </si>
  <si>
    <t>d396e2bd</t>
  </si>
  <si>
    <t>65c70492</t>
  </si>
  <si>
    <t>1eb0698e</t>
  </si>
  <si>
    <t>1928910</t>
  </si>
  <si>
    <t>2ca28cee</t>
  </si>
  <si>
    <t>283c9ecd</t>
  </si>
  <si>
    <t>808c67a6</t>
  </si>
  <si>
    <t>Queluz mercado (30/03/2026) - Compra de banana</t>
  </si>
  <si>
    <t>89f4bbe8</t>
  </si>
  <si>
    <t>Notas_Images/ea7cb4d7.Foto.213118.jpg</t>
  </si>
  <si>
    <t>1946890</t>
  </si>
  <si>
    <t>0f7c4c70</t>
  </si>
  <si>
    <t>38086095</t>
  </si>
  <si>
    <t>bf084acd</t>
  </si>
  <si>
    <t>Queluz mercado (31/03/2026) - Compra de banana</t>
  </si>
  <si>
    <t>3ba880ec</t>
  </si>
  <si>
    <t>R$ 750,00</t>
  </si>
  <si>
    <t>Notas_Images/0ed276c1.Foto.213227.jpg</t>
  </si>
  <si>
    <t>SANGRIA DE 750 REAIS SABRINA</t>
  </si>
  <si>
    <t>255e4a5c</t>
  </si>
  <si>
    <t>5d35bb2e</t>
  </si>
  <si>
    <t>b3e8f736</t>
  </si>
  <si>
    <t>Queluz mercado (03/04/2026) - Compra de lanche para funcionários</t>
  </si>
  <si>
    <t>23bce36b</t>
  </si>
  <si>
    <t>Notas_Images/7a2cfa7d.Foto.213347.jpg</t>
  </si>
  <si>
    <t>e89e13d1</t>
  </si>
  <si>
    <t>5d1cb4fe</t>
  </si>
  <si>
    <t>6829c7cd</t>
  </si>
  <si>
    <t>Passarela Center via atacadista (02/04/2026) - Compra de produtos para loja</t>
  </si>
  <si>
    <t>Notas_Images/a8076a8b.Foto.213447.jpg</t>
  </si>
  <si>
    <t>e48d185a</t>
  </si>
  <si>
    <t>1947502</t>
  </si>
  <si>
    <t>45ee45d0</t>
  </si>
  <si>
    <t>Passarela Center via atacadista (01/04/2026) - Compra de produtos</t>
  </si>
  <si>
    <t>Notas_Images/ee5592ea.Foto.213534.jpg</t>
  </si>
  <si>
    <t>f6db4df9</t>
  </si>
  <si>
    <t>e70ba9bf</t>
  </si>
  <si>
    <t>Myata supermercado (04/04/2026) - Compra de produtos para loja</t>
  </si>
  <si>
    <t>Notas_Images/d9fc48c6.Foto.221128.jpg</t>
  </si>
  <si>
    <t>61477826</t>
  </si>
  <si>
    <t>ad2749f1</t>
  </si>
  <si>
    <t>R$ 63,92</t>
  </si>
  <si>
    <t>19e7dc9a</t>
  </si>
  <si>
    <t>Conta de Agua</t>
  </si>
  <si>
    <t>CAIXAS ORGANIZADORAS</t>
  </si>
  <si>
    <t>Notas_Images/ad2749f1.Foto.201611.jpg</t>
  </si>
  <si>
    <t>3a752305</t>
  </si>
  <si>
    <t>Notas_Images/ad2749f1.Foto 1.201611.jpg</t>
  </si>
  <si>
    <t>Copiadora taliana (07/04/2026) - Impressões</t>
  </si>
  <si>
    <t>Notas_Images/5aca6914.Foto.195810.jpg</t>
  </si>
  <si>
    <t>360f9fb2</t>
  </si>
  <si>
    <t>Impressões</t>
  </si>
  <si>
    <t>1414a3a2</t>
  </si>
  <si>
    <t>Suco prats (06/04/2026) - Pagamentos de sucos</t>
  </si>
  <si>
    <t>Notas_Images/73818d18.Foto.195903.jpg</t>
  </si>
  <si>
    <t>49e01b55</t>
  </si>
  <si>
    <t>Pagamentos de sucos</t>
  </si>
  <si>
    <t>1949211</t>
  </si>
  <si>
    <t>1a0e747f</t>
  </si>
  <si>
    <t>Passarela Center via atacadista (07/04/2026) - Compra de banana</t>
  </si>
  <si>
    <t>Notas_Images/4af1d881.Foto.233852.jpg</t>
  </si>
  <si>
    <t>51febc6e</t>
  </si>
  <si>
    <t>1b80492d</t>
  </si>
  <si>
    <t>1949214</t>
  </si>
  <si>
    <t>e6e28b78</t>
  </si>
  <si>
    <t>e013673c</t>
  </si>
  <si>
    <t>Passarela Center via atacadista (07/04/2026) - Compra de produtos para loja</t>
  </si>
  <si>
    <t>Notas_Images/413f2954.Foto.234005.jpg</t>
  </si>
  <si>
    <t>2e3ad8ce</t>
  </si>
  <si>
    <t>R$ 23,77</t>
  </si>
  <si>
    <t>271ffc12</t>
  </si>
  <si>
    <t>Queluz supermercados (04/04/2026) - Compra de frutas</t>
  </si>
  <si>
    <t>Notas_Images/65aada42.Foto.234205.jpg</t>
  </si>
  <si>
    <t>989957c9</t>
  </si>
  <si>
    <t>b0ac9e9b</t>
  </si>
  <si>
    <t>afe34b72</t>
  </si>
  <si>
    <t>25bc2975</t>
  </si>
  <si>
    <t>8c5cbe54</t>
  </si>
  <si>
    <t>Rescisão Janaina</t>
  </si>
  <si>
    <t>292dc8ea</t>
  </si>
  <si>
    <t>b790998d</t>
  </si>
  <si>
    <t>1950061</t>
  </si>
  <si>
    <t>fec0a3ea</t>
  </si>
  <si>
    <t>5a546cd0</t>
  </si>
  <si>
    <t>53a096db</t>
  </si>
  <si>
    <t>Amadelli (31/03/2026) - Carga seca</t>
  </si>
  <si>
    <t>Notas_Images/4d1316f2.Foto.195704.jpg</t>
  </si>
  <si>
    <t>Notas_Images/4d1316f2.Foto 1.195704.jpg</t>
  </si>
  <si>
    <t>8c40208d</t>
  </si>
  <si>
    <t>1950763</t>
  </si>
  <si>
    <t>ab956099</t>
  </si>
  <si>
    <t>R$ 48,69</t>
  </si>
  <si>
    <t>7fe40293</t>
  </si>
  <si>
    <t>48691f1e</t>
  </si>
  <si>
    <t>90dea005</t>
  </si>
  <si>
    <t>ca0cffbe</t>
  </si>
  <si>
    <t>Laboratório biolab (08/04/2026) - Realização de exames admissional da funcionária jaara. Dinheiro entregue ontem porém exames foram realizados hoje.</t>
  </si>
  <si>
    <t>Notas_Images/fa8524d9.Foto.200537.jpg</t>
  </si>
  <si>
    <t>b796d717</t>
  </si>
  <si>
    <t>Realização de exames admissional da funcionária jaara. Dinheiro entregue ontem porém exames foram realizados hoje.</t>
  </si>
  <si>
    <t>1d6c80ed</t>
  </si>
  <si>
    <t>Notas_Images/fa8524d9.Foto 2.200537.jpg</t>
  </si>
  <si>
    <t>4e183f42</t>
  </si>
  <si>
    <t>7b075c0c</t>
  </si>
  <si>
    <t>Rescisão</t>
  </si>
  <si>
    <t>33b13d22</t>
  </si>
  <si>
    <t>3849f79a</t>
  </si>
  <si>
    <t>Copiadora Tatiana LTDA ME. (09/04/2026) - Impressões</t>
  </si>
  <si>
    <t>Notas_Images/fc5f89f4.Foto.215114.jpg</t>
  </si>
  <si>
    <t>5988c79c</t>
  </si>
  <si>
    <t>2fe77df4</t>
  </si>
  <si>
    <t>212c9662</t>
  </si>
  <si>
    <t>R$ 21,49</t>
  </si>
  <si>
    <t>2e8ae71f</t>
  </si>
  <si>
    <t>Queluz mercado (09/04/2026) - Compra de frutas</t>
  </si>
  <si>
    <t>Notas_Images/44006b24.Foto.215218.jpg</t>
  </si>
  <si>
    <t>d0c7f81e</t>
  </si>
  <si>
    <t>97ebd70e</t>
  </si>
  <si>
    <t>1951921</t>
  </si>
  <si>
    <t>c385d12f</t>
  </si>
  <si>
    <t>Morangos de vacaria (07/04/2026) - Compra de morangos</t>
  </si>
  <si>
    <t>Notas_Images/b1b453fd.Foto.191458.jpg</t>
  </si>
  <si>
    <t>39490d01</t>
  </si>
  <si>
    <t>c19256af</t>
  </si>
  <si>
    <t>1948224</t>
  </si>
  <si>
    <t>7d2fefcd</t>
  </si>
  <si>
    <t>Passarela Center via atacadista (10/04/2026) - Compra de produtos para loja</t>
  </si>
  <si>
    <t>Notas_Images/8dbd96f2.Foto.201403.jpg</t>
  </si>
  <si>
    <t>c8f96dbe</t>
  </si>
  <si>
    <t>6361aa3a</t>
  </si>
  <si>
    <t>e6ab43b0</t>
  </si>
  <si>
    <t>1957757</t>
  </si>
  <si>
    <t>Mais morangos vacaria (10/04/2026) - Compra de morangos</t>
  </si>
  <si>
    <t>Notas_Images/ded80a2f.Foto.003811.jpg</t>
  </si>
  <si>
    <t>30eb0d6a</t>
  </si>
  <si>
    <t>SANGRIA 23/07 SABRINA</t>
  </si>
  <si>
    <t>563bc8f3</t>
  </si>
  <si>
    <t>Queluz supermercados (11/04/2026) - Compra de produtos para loja.</t>
  </si>
  <si>
    <t>Notas_Images/938003a9.Foto.220320.jpg</t>
  </si>
  <si>
    <t>3d5b15c3</t>
  </si>
  <si>
    <t>effa574d</t>
  </si>
  <si>
    <t>23d1c3d6</t>
  </si>
  <si>
    <t>ProFood (10/04/2026) - Embalagens</t>
  </si>
  <si>
    <t>Notas_Images/76901091.Foto.184249.jpg</t>
  </si>
  <si>
    <t>38019c18</t>
  </si>
  <si>
    <t>0df85669</t>
  </si>
  <si>
    <t>cffdc4bc</t>
  </si>
  <si>
    <t>R$ 65,82</t>
  </si>
  <si>
    <t>1b1b11c7</t>
  </si>
  <si>
    <t>consumo da Ana</t>
  </si>
  <si>
    <t>1e18dfd8</t>
  </si>
  <si>
    <t>Pedido 119578 nota de serviço</t>
  </si>
  <si>
    <t>adb9d173</t>
  </si>
  <si>
    <t>Pedido 121471 nota de serviço</t>
  </si>
  <si>
    <t>21f0c808</t>
  </si>
  <si>
    <t>3a71e9d5</t>
  </si>
  <si>
    <t>Pedido 121506 nota de serviço</t>
  </si>
  <si>
    <t>875afa88</t>
  </si>
  <si>
    <t>f63227e2</t>
  </si>
  <si>
    <t>bdeaa041</t>
  </si>
  <si>
    <t>1959815</t>
  </si>
  <si>
    <t>905bdf96</t>
  </si>
  <si>
    <t>R$ 82,05</t>
  </si>
  <si>
    <t>69cd81bd</t>
  </si>
  <si>
    <t>ddbd37c1</t>
  </si>
  <si>
    <t>consumo Rayanna</t>
  </si>
  <si>
    <t>35000587</t>
  </si>
  <si>
    <t>1959820</t>
  </si>
  <si>
    <t>d0ba8990</t>
  </si>
  <si>
    <t>001310af</t>
  </si>
  <si>
    <t>FO-BRAN BEBIDAS (29/01/2026) - Pagamento de bebidas</t>
  </si>
  <si>
    <t>d33dfcaf</t>
  </si>
  <si>
    <t>80799c2a</t>
  </si>
  <si>
    <t>Notas_Images/d0ba8990.Foto.191746.jpg</t>
  </si>
  <si>
    <t>1964456</t>
  </si>
  <si>
    <t>9662b8ca</t>
  </si>
  <si>
    <t>40ca7a7d</t>
  </si>
  <si>
    <t>5697bd3a</t>
  </si>
  <si>
    <t>0d254b56</t>
  </si>
  <si>
    <t>6404ca34</t>
  </si>
  <si>
    <t>R$ 55,59</t>
  </si>
  <si>
    <t>f915d016</t>
  </si>
  <si>
    <t>consumo sabrina</t>
  </si>
  <si>
    <t>7376a40f</t>
  </si>
  <si>
    <t>3f3adf9c</t>
  </si>
  <si>
    <t>0b4d2c22</t>
  </si>
  <si>
    <t>338f6c1f</t>
  </si>
  <si>
    <t>f26f9ed4</t>
  </si>
  <si>
    <t>408362b5</t>
  </si>
  <si>
    <t>e948d3f5</t>
  </si>
  <si>
    <t>Ref a func Jaara</t>
  </si>
  <si>
    <t>91e4984e</t>
  </si>
  <si>
    <t>045ebebe</t>
  </si>
  <si>
    <t>1964670</t>
  </si>
  <si>
    <t>9bf1f063</t>
  </si>
  <si>
    <t>kopus (10/04/2026) - Embalagens</t>
  </si>
  <si>
    <t>33d98513</t>
  </si>
  <si>
    <t>df5c0702</t>
  </si>
  <si>
    <t>Notas_Images/ebb6e587.Foto.210122.jpg</t>
  </si>
  <si>
    <t>164ca49b</t>
  </si>
  <si>
    <t>a82bb215</t>
  </si>
  <si>
    <t>Banco do Brasil (30/01/2026) - Imposto predial</t>
  </si>
  <si>
    <t>R$ 19,55</t>
  </si>
  <si>
    <t>Imposto predial</t>
  </si>
  <si>
    <t>4018df6c</t>
  </si>
  <si>
    <t>consumo erick</t>
  </si>
  <si>
    <t>Notas_Images/df5c0702.Foto.160059.jpg</t>
  </si>
  <si>
    <t>69e5a710</t>
  </si>
  <si>
    <t>cc0e68be</t>
  </si>
  <si>
    <t>f1c0fda9</t>
  </si>
  <si>
    <t>36abda44</t>
  </si>
  <si>
    <t>Princesa do lar (14/04/2026) - Compra de produtos para uso da loja</t>
  </si>
  <si>
    <t>Notas_Images/b0771221.Foto.214117.jpg</t>
  </si>
  <si>
    <t>Compra de produtos para uso da loja</t>
  </si>
  <si>
    <t>21505a56</t>
  </si>
  <si>
    <t>40a5bc2d</t>
  </si>
  <si>
    <t>1968075</t>
  </si>
  <si>
    <t>d57fea45</t>
  </si>
  <si>
    <t>Passarela Center via atacadista (14/04/2026) - Compra de frutas</t>
  </si>
  <si>
    <t>Notas_Images/3d7c3ee5.Foto.214310.jpg</t>
  </si>
  <si>
    <t>14436839</t>
  </si>
  <si>
    <t>d1056677</t>
  </si>
  <si>
    <t>11eecccc</t>
  </si>
  <si>
    <t>ec50a62a</t>
  </si>
  <si>
    <t>1970673</t>
  </si>
  <si>
    <t>a5943b19</t>
  </si>
  <si>
    <t>Queluz mercado (13/04/2026) - Compra de frutas</t>
  </si>
  <si>
    <t>R$ 15,25</t>
  </si>
  <si>
    <t>e707802d</t>
  </si>
  <si>
    <t>Notas_Images/b4010179.Foto.214424.jpg</t>
  </si>
  <si>
    <t>a0391f6b</t>
  </si>
  <si>
    <t>compra de produtos de limpeza</t>
  </si>
  <si>
    <t>552c9b91</t>
  </si>
  <si>
    <t>1f7111a1</t>
  </si>
  <si>
    <t>5f0d8fb9</t>
  </si>
  <si>
    <t>d333ede7</t>
  </si>
  <si>
    <t>Big lojas (14/04/2026) - Compra de produtos para loja</t>
  </si>
  <si>
    <t>Notas_Images/e100df90.Foto.214540.jpg</t>
  </si>
  <si>
    <t>7f5f5710</t>
  </si>
  <si>
    <t>4f1efb6e</t>
  </si>
  <si>
    <t>fa69f7f1</t>
  </si>
  <si>
    <t>e1be9ce4</t>
  </si>
  <si>
    <t>6d5b3039</t>
  </si>
  <si>
    <t>319bf278</t>
  </si>
  <si>
    <t>0de4b250</t>
  </si>
  <si>
    <t>R$ 477,63</t>
  </si>
  <si>
    <t>compra de frutas para buffet</t>
  </si>
  <si>
    <t>27b5d101</t>
  </si>
  <si>
    <t>ea41f252</t>
  </si>
  <si>
    <t>3ec16f7a</t>
  </si>
  <si>
    <t>29103b71</t>
  </si>
  <si>
    <t>Morangos de vacaria (15/04/2026) - Compra de morangos</t>
  </si>
  <si>
    <t>Notas_Images/d620e118.Foto.183411.jpg</t>
  </si>
  <si>
    <t>7215f6c4</t>
  </si>
  <si>
    <t>33984f57</t>
  </si>
  <si>
    <t>Adiantamentos feitos pela Conta Corrente</t>
  </si>
  <si>
    <t>Amadelli (14/04/2026) - Carga gelada</t>
  </si>
  <si>
    <t>Notas_Images/1729b772.Foto.193416.jpg</t>
  </si>
  <si>
    <t>69674522</t>
  </si>
  <si>
    <t>Notas_Images/1729b772.Foto 1.193416.jpg</t>
  </si>
  <si>
    <t>cd733784</t>
  </si>
  <si>
    <t>c1b880c0</t>
  </si>
  <si>
    <t>73a82039</t>
  </si>
  <si>
    <t>1973775</t>
  </si>
  <si>
    <t>be65f4f2</t>
  </si>
  <si>
    <t>Queluz mercado (16/04/2026) - Compra de suco para reunião</t>
  </si>
  <si>
    <t>Notas_Images/5f605eaa.Foto.221503.jpg</t>
  </si>
  <si>
    <t>Compra de suco para reunião</t>
  </si>
  <si>
    <t>2052970f</t>
  </si>
  <si>
    <t>a36f285d</t>
  </si>
  <si>
    <t>sangria de 500 reais sabrina</t>
  </si>
  <si>
    <t>99199960</t>
  </si>
  <si>
    <t>e2093df3</t>
  </si>
  <si>
    <t>FO-BRAN (17/04/2026) - Pagamento de bebidas</t>
  </si>
  <si>
    <t>1973795</t>
  </si>
  <si>
    <t>Notas_Images/07152c87.Foto.185633.jpg</t>
  </si>
  <si>
    <t>90a1d2e0</t>
  </si>
  <si>
    <t>6819d71c</t>
  </si>
  <si>
    <t>Queluz mercado (17/04/2026) - Compra de frutas e produtos para loja</t>
  </si>
  <si>
    <t>Notas_Images/a5150b61.Foto.223007.jpg</t>
  </si>
  <si>
    <t>80a66fa4</t>
  </si>
  <si>
    <t>c89c8ea4</t>
  </si>
  <si>
    <t>86a6a81f</t>
  </si>
  <si>
    <t>6791a76f</t>
  </si>
  <si>
    <t>b7f16dd4</t>
  </si>
  <si>
    <t>Amadelli (14/04/2026) - Pedido seco</t>
  </si>
  <si>
    <t>Notas_Images/86a6a81f.Foto.210209.jpg</t>
  </si>
  <si>
    <t>Notas_Images/3921a243.Foto.003042.jpg</t>
  </si>
  <si>
    <t>a58e4ff5</t>
  </si>
  <si>
    <t>f6c2e690</t>
  </si>
  <si>
    <t>b7b7d439</t>
  </si>
  <si>
    <t>Notas_Images/3921a243.Foto 1.003042.jpg</t>
  </si>
  <si>
    <t>9594b81e</t>
  </si>
  <si>
    <t>c9fea812</t>
  </si>
  <si>
    <t>361a2ece</t>
  </si>
  <si>
    <t>1975528</t>
  </si>
  <si>
    <t>8d9dc6a1</t>
  </si>
  <si>
    <t>Passarela Center via atacadista (18/04/2026) - Compra de frutas e produtos para loja</t>
  </si>
  <si>
    <t>Notas_Images/f037a8fe.Foto.004124.jpg</t>
  </si>
  <si>
    <t>e9168120</t>
  </si>
  <si>
    <t>1975704</t>
  </si>
  <si>
    <t>96cda195</t>
  </si>
  <si>
    <t>6a289ad9</t>
  </si>
  <si>
    <t>Queluz mercado (18/04/2026) - Compra de lanche para funcionários</t>
  </si>
  <si>
    <t>Notas_Images/c444efa1.Foto.004350.jpg</t>
  </si>
  <si>
    <t>a9710bc0</t>
  </si>
  <si>
    <t>Código Func</t>
  </si>
  <si>
    <t>97b32bbf</t>
  </si>
  <si>
    <t>1976028</t>
  </si>
  <si>
    <t>c5976d3f</t>
  </si>
  <si>
    <t>f2eec31c</t>
  </si>
  <si>
    <t>0e4b6e97</t>
  </si>
  <si>
    <t>Franciosi (19/04/2026) - Lanche para funcionários</t>
  </si>
  <si>
    <t>3eedb7d7</t>
  </si>
  <si>
    <t>Notas_Images/dc13f0d2.Foto.174441.jpg</t>
  </si>
  <si>
    <t>6dd73808</t>
  </si>
  <si>
    <t>c3e381eb</t>
  </si>
  <si>
    <t>d7f36961</t>
  </si>
  <si>
    <t>Passarela Center via atacadista (20/04/2026) - Compra de produtos para loja</t>
  </si>
  <si>
    <t>5ab25cf5</t>
  </si>
  <si>
    <t>Notas_Images/922c95b2.Foto.174736.jpg</t>
  </si>
  <si>
    <t>1977158</t>
  </si>
  <si>
    <t>5007bc2c</t>
  </si>
  <si>
    <t>0ccc17ca</t>
  </si>
  <si>
    <t>6ff00bbd</t>
  </si>
  <si>
    <t>e85f533d</t>
  </si>
  <si>
    <t>Suco prats (20/04/2026) - Compra de suco</t>
  </si>
  <si>
    <t>Notas_Images/444054f7.Foto.174944.jpg</t>
  </si>
  <si>
    <t>Compra de suco</t>
  </si>
  <si>
    <t>666f801f</t>
  </si>
  <si>
    <t>18b68572</t>
  </si>
  <si>
    <t>1977169</t>
  </si>
  <si>
    <t>1965259f</t>
  </si>
  <si>
    <t>5ffc89ad</t>
  </si>
  <si>
    <t>13d7efd3</t>
  </si>
  <si>
    <t>Myata supermercado (20/04/2026) - Compra de lanche para funcionários</t>
  </si>
  <si>
    <t>Notas_Images/e382ffd3.Foto.175233.jpg</t>
  </si>
  <si>
    <t>e9eaef3c</t>
  </si>
  <si>
    <t>2c54077f</t>
  </si>
  <si>
    <t>FO-BRAN BEBIDAS (22/04/2026) - Pagamento de bebidas</t>
  </si>
  <si>
    <t>Notas_Images/65c70492.Foto.191015.jpg</t>
  </si>
  <si>
    <t>d5440997</t>
  </si>
  <si>
    <t>dcc76bae</t>
  </si>
  <si>
    <t>984f4842</t>
  </si>
  <si>
    <t>86bf9de2</t>
  </si>
  <si>
    <t>1c36a425</t>
  </si>
  <si>
    <t>Celesc Curitibanos (06/02/2026) - Conta de luz</t>
  </si>
  <si>
    <t>c59e5301</t>
  </si>
  <si>
    <t>FO-BRAN (22/04/2026) - Águas</t>
  </si>
  <si>
    <t>Notas_Images/86bf9de2.Foto.154733.jpg</t>
  </si>
  <si>
    <t>Notas_Images/283c9ecd.Foto.214340.jpg</t>
  </si>
  <si>
    <t>Águas</t>
  </si>
  <si>
    <t>7739c696</t>
  </si>
  <si>
    <t>7ed24f98</t>
  </si>
  <si>
    <t>Queluz mercado (21/04/2026) - Lanche do feriado</t>
  </si>
  <si>
    <t>Notas_Images/d5f3064f.Foto.215252.jpg</t>
  </si>
  <si>
    <t>Lanche do feriado</t>
  </si>
  <si>
    <t>1981760</t>
  </si>
  <si>
    <t>b5981150</t>
  </si>
  <si>
    <t>b7e2faa6</t>
  </si>
  <si>
    <t>Mais morangos vacaria (24/04/2026) - Compra de morangos</t>
  </si>
  <si>
    <t>Notas_Images/3ba880ec.Foto.210848.jpg</t>
  </si>
  <si>
    <t>66f8b9c2</t>
  </si>
  <si>
    <t>1981763</t>
  </si>
  <si>
    <t>96d1945f</t>
  </si>
  <si>
    <t>Pedido 124906 nota de serviço</t>
  </si>
  <si>
    <t>91bae383</t>
  </si>
  <si>
    <t>Pedido 124910 nota de serviço</t>
  </si>
  <si>
    <t>46bc80d6</t>
  </si>
  <si>
    <t>1981768</t>
  </si>
  <si>
    <t>2c99d1d8</t>
  </si>
  <si>
    <t>e7dc61cb</t>
  </si>
  <si>
    <t>1987781</t>
  </si>
  <si>
    <t>1cef3d54</t>
  </si>
  <si>
    <t>3cefc49f</t>
  </si>
  <si>
    <t>4105c814</t>
  </si>
  <si>
    <t>bdc0ba14</t>
  </si>
  <si>
    <t>Loja 3,99 (23/04/2026) - Compra de produtos para loja</t>
  </si>
  <si>
    <t>1987772</t>
  </si>
  <si>
    <t>bc7454a7</t>
  </si>
  <si>
    <t>Notas_Images/89f4bbe8.Foto.181144.jpg</t>
  </si>
  <si>
    <t>98bb7fb3</t>
  </si>
  <si>
    <t>8f685dec</t>
  </si>
  <si>
    <t>3082cf52</t>
  </si>
  <si>
    <t>8b0041a2</t>
  </si>
  <si>
    <t>1e7fb091</t>
  </si>
  <si>
    <t>Queluz supermercados (24/04/2026) - Compra de uvas</t>
  </si>
  <si>
    <t>Notas_Images/5d35bb2e.Foto.181256.jpg</t>
  </si>
  <si>
    <t>Compra de uvas</t>
  </si>
  <si>
    <t>beedf2b0</t>
  </si>
  <si>
    <t>9c892477</t>
  </si>
  <si>
    <t>9d2709cd</t>
  </si>
  <si>
    <t>Passarela Center via atacadista (24/04/2026) - Compra de produtos para loja</t>
  </si>
  <si>
    <t>Notas_Images/23bce36b.Foto.181406.jpg</t>
  </si>
  <si>
    <t>1ac92a95</t>
  </si>
  <si>
    <t>0b9f982c</t>
  </si>
  <si>
    <t>Queluz mercado (26/04/2026) - Compra de lanche para funcionários</t>
  </si>
  <si>
    <t>44edf634</t>
  </si>
  <si>
    <t>Notas_Images/25bc2975.Foto.181523.jpg</t>
  </si>
  <si>
    <t>42b4af05</t>
  </si>
  <si>
    <t>d74963dc</t>
  </si>
  <si>
    <t>4d9f3d2b</t>
  </si>
  <si>
    <t>f386d2dd</t>
  </si>
  <si>
    <t>Passarela Center via atacadista (24/04/2026) - Compra de frutas e produtos para loja</t>
  </si>
  <si>
    <t>4a24de1a</t>
  </si>
  <si>
    <t>Notas_Images/6829c7cd.Foto.181629.jpg</t>
  </si>
  <si>
    <t>c6350f06</t>
  </si>
  <si>
    <t>Queluz mercado (25/04/2026) - Compra de lanche para funcionários</t>
  </si>
  <si>
    <t>726fee77</t>
  </si>
  <si>
    <t>1988943</t>
  </si>
  <si>
    <t>Notas_Images/b0ac9e9b.Foto.181721.jpg</t>
  </si>
  <si>
    <t>06cdea18</t>
  </si>
  <si>
    <t>314c457b</t>
  </si>
  <si>
    <t>25cf8d7a</t>
  </si>
  <si>
    <t>Chaveiro (23/04/2026) - Compra de chave</t>
  </si>
  <si>
    <t>035931b3</t>
  </si>
  <si>
    <t>Notas_Images/38086095.Foto.181811.jpg</t>
  </si>
  <si>
    <t>Compra de chave</t>
  </si>
  <si>
    <t>1988930</t>
  </si>
  <si>
    <t>0e8c4c9d</t>
  </si>
  <si>
    <t>b68d5d14</t>
  </si>
  <si>
    <t>f98ec7c6</t>
  </si>
  <si>
    <t>CT produtos de limpeza (27/04/2026) - Compra de produtos</t>
  </si>
  <si>
    <t>Notas_Images/b790998d.Foto.195239.jpg</t>
  </si>
  <si>
    <t>66b953f6</t>
  </si>
  <si>
    <t>4080debd</t>
  </si>
  <si>
    <t>1988928</t>
  </si>
  <si>
    <t>Morangos de vacaria (28/04/2026) - Compra de morangos</t>
  </si>
  <si>
    <t>Notas_Images/1d6c80ed.Foto.204942.jpg</t>
  </si>
  <si>
    <t>bfa0572e</t>
  </si>
  <si>
    <t>e6a95e6a</t>
  </si>
  <si>
    <t>26cc7c25</t>
  </si>
  <si>
    <t xml:space="preserve"> (28/04/2026) - Pedido gelado</t>
  </si>
  <si>
    <t>Notas_Images/7b075c0c.Foto.000340.jpg</t>
  </si>
  <si>
    <t>fa364214</t>
  </si>
  <si>
    <t>d8fc70a6</t>
  </si>
  <si>
    <t>Notas_Images/7b075c0c.Foto 1.000340.jpg</t>
  </si>
  <si>
    <t>Notas_Images/7b075c0c.Foto 2.000340.jpg</t>
  </si>
  <si>
    <t>19a09cab</t>
  </si>
  <si>
    <t>Notas_Images/d8fc70a6.Foto.160501.jpg</t>
  </si>
  <si>
    <t>6da84b3c</t>
  </si>
  <si>
    <t xml:space="preserve"> (28/04/2026) - Suporte para as bolas da copa</t>
  </si>
  <si>
    <t>Notas_Images/2fe77df4.Foto.000809.jpg</t>
  </si>
  <si>
    <t>Suporte para as bolas da copa</t>
  </si>
  <si>
    <t>7272ee34</t>
  </si>
  <si>
    <t>383a2109</t>
  </si>
  <si>
    <t>1977783</t>
  </si>
  <si>
    <t>23584c3e</t>
  </si>
  <si>
    <t>Notas_Images/97ebd70e.Foto.001440.jpg</t>
  </si>
  <si>
    <t>14ea9315</t>
  </si>
  <si>
    <t>66254b05</t>
  </si>
  <si>
    <t>f4f8043f</t>
  </si>
  <si>
    <t>1990488</t>
  </si>
  <si>
    <t>48267ba1</t>
  </si>
  <si>
    <t>a226dbb3</t>
  </si>
  <si>
    <t>4c527fed</t>
  </si>
  <si>
    <t>5ed42bb0</t>
  </si>
  <si>
    <t>98204a20</t>
  </si>
  <si>
    <t>1990828</t>
  </si>
  <si>
    <t>d16dacc8</t>
  </si>
  <si>
    <t>8c7c9b9d</t>
  </si>
  <si>
    <t>7b201e8e</t>
  </si>
  <si>
    <t>e1b4e670</t>
  </si>
  <si>
    <t>4554ca37</t>
  </si>
  <si>
    <t>1990824</t>
  </si>
  <si>
    <t>6b795383</t>
  </si>
  <si>
    <t>93b878d8</t>
  </si>
  <si>
    <t>5fdb5ca5</t>
  </si>
  <si>
    <t>0c66c1e6</t>
  </si>
  <si>
    <t>f3db1374</t>
  </si>
  <si>
    <t>1990823</t>
  </si>
  <si>
    <t>d4a984ad</t>
  </si>
  <si>
    <t>a2ca8ff5</t>
  </si>
  <si>
    <t>b9c085be</t>
  </si>
  <si>
    <t>89bd41b5</t>
  </si>
  <si>
    <t>e8dfa8cc</t>
  </si>
  <si>
    <t>0470b83b</t>
  </si>
  <si>
    <t xml:space="preserve"> (28/04/2026) - Carga seca</t>
  </si>
  <si>
    <t>Notas_Images/c19256af.Foto.220836.jpg</t>
  </si>
  <si>
    <t>49f375fb</t>
  </si>
  <si>
    <t>Notas_Images/c19256af.Foto 1.220836.jpg</t>
  </si>
  <si>
    <t>1b78e394</t>
  </si>
  <si>
    <t>ebc798c3</t>
  </si>
  <si>
    <t>1993059</t>
  </si>
  <si>
    <t>4f66c890</t>
  </si>
  <si>
    <t>bf9e8980</t>
  </si>
  <si>
    <t>57240299</t>
  </si>
  <si>
    <t>Queluz supermercados (01/05/2026) - Compra de lanche para funcionário</t>
  </si>
  <si>
    <t>Notas_Images/5697bd3a.Foto.225138.jpg</t>
  </si>
  <si>
    <t>155cb136</t>
  </si>
  <si>
    <t>Compra de lanche para funcionário</t>
  </si>
  <si>
    <t>42b4a0de</t>
  </si>
  <si>
    <t>Via atacado (28/04/2026) - Compra para a loja</t>
  </si>
  <si>
    <t>9f7e1f05</t>
  </si>
  <si>
    <t>Notas_Images/6361aa3a.Foto.000938.jpg</t>
  </si>
  <si>
    <t>Compra para a loja</t>
  </si>
  <si>
    <t>dc0a54de</t>
  </si>
  <si>
    <t>1994949</t>
  </si>
  <si>
    <t>d587bfd5</t>
  </si>
  <si>
    <t>Casa Fagundes embalagens (27/04/2026) - Touca branca e luvas</t>
  </si>
  <si>
    <t>Notas_Images/53a096db.Foto.001405.jpg</t>
  </si>
  <si>
    <t>Touca branca e luvas</t>
  </si>
  <si>
    <t>6b3a03e7</t>
  </si>
  <si>
    <t>cdf697df</t>
  </si>
  <si>
    <t>ff1a722c</t>
  </si>
  <si>
    <t>1994946</t>
  </si>
  <si>
    <t>Queluz mercado (03/05/2026) - Compra de pão</t>
  </si>
  <si>
    <t>Notas_Images/0b4d2c22.Foto.212542.jpg</t>
  </si>
  <si>
    <t>cb3cb0d8</t>
  </si>
  <si>
    <t>0f9dcf05</t>
  </si>
  <si>
    <t>db151023</t>
  </si>
  <si>
    <t>3773048c</t>
  </si>
  <si>
    <t>Queluz mercado (02/05/2026) - Compra de frutas para loja</t>
  </si>
  <si>
    <t>Notas_Images/6404ca34.Foto.212654.jpg</t>
  </si>
  <si>
    <t>1994944</t>
  </si>
  <si>
    <t>419b449d</t>
  </si>
  <si>
    <t>0ffd1137</t>
  </si>
  <si>
    <t>a6b0a3d7</t>
  </si>
  <si>
    <t>d9e2918f</t>
  </si>
  <si>
    <t>Passarela Center via atacadista (27/04/2026) - Compra de manga</t>
  </si>
  <si>
    <t>Notas_Images/90dea005.Foto.213103.jpg</t>
  </si>
  <si>
    <t>Compra de manga</t>
  </si>
  <si>
    <t>926be8ed</t>
  </si>
  <si>
    <t>1996773</t>
  </si>
  <si>
    <t>9906a4a2</t>
  </si>
  <si>
    <t>1bc00dcc</t>
  </si>
  <si>
    <t>Queluz mercado (28/04/2026) - Compra de frutas para loja</t>
  </si>
  <si>
    <t>Notas_Images/f63227e2.Foto.213218.jpg</t>
  </si>
  <si>
    <t>c2c3a03d</t>
  </si>
  <si>
    <t>929c2b63</t>
  </si>
  <si>
    <t>c690c9c2</t>
  </si>
  <si>
    <t>Thipograf gráfica (05/05/2026) - Compra de adesivos para loja</t>
  </si>
  <si>
    <t>Notas_Images/f26f9ed4.Foto.204434.jpg</t>
  </si>
  <si>
    <t>Compra de adesivos para loja</t>
  </si>
  <si>
    <t>f29533d3</t>
  </si>
  <si>
    <t>8bac2a48</t>
  </si>
  <si>
    <t>68d95295</t>
  </si>
  <si>
    <t>4bffdb0b</t>
  </si>
  <si>
    <t>ea352a16</t>
  </si>
  <si>
    <t>2006944</t>
  </si>
  <si>
    <t>c4876852</t>
  </si>
  <si>
    <t>c27e5904</t>
  </si>
  <si>
    <t>63f7a46c</t>
  </si>
  <si>
    <t>2007091</t>
  </si>
  <si>
    <t>8caa81be</t>
  </si>
  <si>
    <t>Pedido 125320 nota de serviço</t>
  </si>
  <si>
    <t>5af3c26b</t>
  </si>
  <si>
    <t>Pedido 12637 nota de serviço</t>
  </si>
  <si>
    <t>ed21d010</t>
  </si>
  <si>
    <t>518f3a04</t>
  </si>
  <si>
    <t>FO-BRAN (28/04/2026) - Pagamento de bebidas</t>
  </si>
  <si>
    <t>Notas_Images/ddbd37c1.Foto.165106.jpg</t>
  </si>
  <si>
    <t>ef756c85</t>
  </si>
  <si>
    <t>1ec5022c</t>
  </si>
  <si>
    <t>Morangos vacaria (08/05/2026) - Pagamento de morangos</t>
  </si>
  <si>
    <t>Notas_Images/1f7111a1.Foto.192905.jpg</t>
  </si>
  <si>
    <t>c3f5e381</t>
  </si>
  <si>
    <t>7710edbf</t>
  </si>
  <si>
    <t>74f0ffb8</t>
  </si>
  <si>
    <t>639ddf28</t>
  </si>
  <si>
    <t>Myata supermercado (05/05/2026) - Compra de lanche para a equipe do dia do trabalhador</t>
  </si>
  <si>
    <t>8ec65189</t>
  </si>
  <si>
    <t>Notas_Images/045ebebe.Foto.203452.jpg</t>
  </si>
  <si>
    <t>Compra de lanche para a equipe do dia do trabalhador</t>
  </si>
  <si>
    <t>d8d4ed27</t>
  </si>
  <si>
    <t>119ca1ca</t>
  </si>
  <si>
    <t>1b3309ad</t>
  </si>
  <si>
    <t>f0d548a2</t>
  </si>
  <si>
    <t>Suprema informática (08/05/2026) - Impressão de planilha</t>
  </si>
  <si>
    <t>c7cc2156</t>
  </si>
  <si>
    <t>Notas_Images/d333ede7.Foto.203613.jpg</t>
  </si>
  <si>
    <t>Impressão de planilha</t>
  </si>
  <si>
    <t>f50f9d28</t>
  </si>
  <si>
    <t>cb130aa4</t>
  </si>
  <si>
    <t>Amadelli (02/02/2026) - Pedido gelado</t>
  </si>
  <si>
    <t>4606cea9</t>
  </si>
  <si>
    <t>Myata supermercado (09/05/2026) - Pão para equipe</t>
  </si>
  <si>
    <t>Notas_Images/be65f4f2.Foto.210849.jpg</t>
  </si>
  <si>
    <t>Notas_Images/f50f9d28.Foto.131214.jpg</t>
  </si>
  <si>
    <t>Pão para equipe</t>
  </si>
  <si>
    <t>6cb2257d</t>
  </si>
  <si>
    <t>Notas_Images/f50f9d28.Foto 1.131214.jpg</t>
  </si>
  <si>
    <t>f5059217</t>
  </si>
  <si>
    <t>65338c92</t>
  </si>
  <si>
    <t>Amadelli (05/02/2026) - Pedido seco</t>
  </si>
  <si>
    <t>Queluz mercado (07/05/2026) - Banana</t>
  </si>
  <si>
    <t>Notas_Images/ec50a62a.Foto.211155.jpg</t>
  </si>
  <si>
    <t>Banana</t>
  </si>
  <si>
    <t>Notas_Images/f5059217.Foto.131614.jpg</t>
  </si>
  <si>
    <t>f45fb91b</t>
  </si>
  <si>
    <t>125798c1</t>
  </si>
  <si>
    <t>3b225978</t>
  </si>
  <si>
    <t>Franciosi (10/05/2026) - Compra de pão</t>
  </si>
  <si>
    <t>Notas_Images/a36f285d.Foto.210331.jpg</t>
  </si>
  <si>
    <t>Notas_Images/125798c1.Foto.131843.jpg</t>
  </si>
  <si>
    <t>f6edbc28</t>
  </si>
  <si>
    <t>e11608bf</t>
  </si>
  <si>
    <t>fe3a794c</t>
  </si>
  <si>
    <t>2009646</t>
  </si>
  <si>
    <t>6beda303</t>
  </si>
  <si>
    <t>Pedido 128164 nota de serviço</t>
  </si>
  <si>
    <t>ca5c6ddf</t>
  </si>
  <si>
    <t>Pedido 128179 nota de serviço</t>
  </si>
  <si>
    <t>094d1f05</t>
  </si>
  <si>
    <t>1996334</t>
  </si>
  <si>
    <t>59a91daf</t>
  </si>
  <si>
    <t>Copiadora taliana (07/05/2026) - Panfletos para loja</t>
  </si>
  <si>
    <t>f7d938af</t>
  </si>
  <si>
    <t>Notas_Images/e707802d.Foto.201240.jpg</t>
  </si>
  <si>
    <t>e654e849</t>
  </si>
  <si>
    <t>Panfletos para loja</t>
  </si>
  <si>
    <t>1b521ba8</t>
  </si>
  <si>
    <t>c33e5a81</t>
  </si>
  <si>
    <t>1990474</t>
  </si>
  <si>
    <t>adiant</t>
  </si>
  <si>
    <t>3ef18b6b</t>
  </si>
  <si>
    <t>0b62c692</t>
  </si>
  <si>
    <t>b063c158</t>
  </si>
  <si>
    <t>ea20c9de</t>
  </si>
  <si>
    <t>2009513</t>
  </si>
  <si>
    <t>aab35056</t>
  </si>
  <si>
    <t>e6322fa9</t>
  </si>
  <si>
    <t>2011701</t>
  </si>
  <si>
    <t>abadd242</t>
  </si>
  <si>
    <t xml:space="preserve"> (12/05/2026) - Sorvete 5L</t>
  </si>
  <si>
    <t>Notas_Images/e2093df3.Foto.201714.jpg</t>
  </si>
  <si>
    <t>Sorvete 5L</t>
  </si>
  <si>
    <t>9f4b23cb</t>
  </si>
  <si>
    <t>3248412f</t>
  </si>
  <si>
    <t xml:space="preserve"> (12/05/2026) - Kit festa</t>
  </si>
  <si>
    <t>Notas_Images/c89c8ea4.Foto.202213.jpg</t>
  </si>
  <si>
    <t>cd2ad558</t>
  </si>
  <si>
    <t>930f54ea</t>
  </si>
  <si>
    <t>Kit festa</t>
  </si>
  <si>
    <t>abb6a34d</t>
  </si>
  <si>
    <t>Amadelli (16/02/2026) - Carga gelada</t>
  </si>
  <si>
    <t>Notas_Images/930f54ea.Foto.211722.jpg</t>
  </si>
  <si>
    <t>a2d2bacd</t>
  </si>
  <si>
    <t xml:space="preserve"> (12/05/2026) - Petit gateau</t>
  </si>
  <si>
    <t>311386ee</t>
  </si>
  <si>
    <t>Notas_Images/f6c2e690.Foto.202634.jpg</t>
  </si>
  <si>
    <t>Notas_Images/930f54ea.Foto 1.211722.jpg</t>
  </si>
  <si>
    <t>Petit gateau</t>
  </si>
  <si>
    <t>Notas_Images/930f54ea.Foto 2.211722.jpg</t>
  </si>
  <si>
    <t>0f735e52</t>
  </si>
  <si>
    <t>c5cbce69</t>
  </si>
  <si>
    <t>2565d112</t>
  </si>
  <si>
    <t xml:space="preserve"> (12/05/2026) - Sorvetes açais e bites</t>
  </si>
  <si>
    <t>Notas_Images/361a2ece.Foto.203120.jpg</t>
  </si>
  <si>
    <t>Sorvetes açais e bites</t>
  </si>
  <si>
    <t>Notas_Images/361a2ece.Foto 1.203120.jpg</t>
  </si>
  <si>
    <t>ff683cab</t>
  </si>
  <si>
    <t>8ed78c8f</t>
  </si>
  <si>
    <t>4a9c87e9</t>
  </si>
  <si>
    <t>e77e9096</t>
  </si>
  <si>
    <t>c1994465</t>
  </si>
  <si>
    <t>75e45db8</t>
  </si>
  <si>
    <t>22db9c2b</t>
  </si>
  <si>
    <t>Notas_Images/4a9c87e9.Foto.212257.jpg</t>
  </si>
  <si>
    <t>c5a6d933</t>
  </si>
  <si>
    <t>Notas_Images/4a9c87e9.Foto 1.212257.jpg</t>
  </si>
  <si>
    <t>b504c04e</t>
  </si>
  <si>
    <t>0c63522b</t>
  </si>
  <si>
    <t>dd5e2af7</t>
  </si>
  <si>
    <t>2013331</t>
  </si>
  <si>
    <t>aaab07f3</t>
  </si>
  <si>
    <t>fe1b365b</t>
  </si>
  <si>
    <t>6b0c86c9</t>
  </si>
  <si>
    <t>002fd0e2</t>
  </si>
  <si>
    <t>64f480cc</t>
  </si>
  <si>
    <t>2016279</t>
  </si>
  <si>
    <t>Copiadora taliana (14/05/2026) - Impressão para loja</t>
  </si>
  <si>
    <t>d2726289</t>
  </si>
  <si>
    <t>Notas_Images/5ab25cf5.Foto.210329.jpg</t>
  </si>
  <si>
    <t>Impressão para loja</t>
  </si>
  <si>
    <t>eb505f8c</t>
  </si>
  <si>
    <t>49f46dc5</t>
  </si>
  <si>
    <t>f4a9ade7</t>
  </si>
  <si>
    <t>Queluz mercado (14/05/2026) - Banana</t>
  </si>
  <si>
    <t>2014938</t>
  </si>
  <si>
    <t>209f3aa2</t>
  </si>
  <si>
    <t>Notas_Images/0ccc17ca.Foto.210727.jpg</t>
  </si>
  <si>
    <t>e785bcb0</t>
  </si>
  <si>
    <t>6ab77126</t>
  </si>
  <si>
    <t>86be0031</t>
  </si>
  <si>
    <t>Copiadora taliana (15/05/2026) - Impressões</t>
  </si>
  <si>
    <t>834c4da0</t>
  </si>
  <si>
    <t>Notas_Images/e85f533d.Foto.200228.jpg</t>
  </si>
  <si>
    <t>2017372</t>
  </si>
  <si>
    <t>1e374aac</t>
  </si>
  <si>
    <t>da8872cf</t>
  </si>
  <si>
    <t>Pedacinho de arte (15/05/2026) - Elástico</t>
  </si>
  <si>
    <t>3ba301eb</t>
  </si>
  <si>
    <t>Notas_Images/18b68572.Foto.200529.jpg</t>
  </si>
  <si>
    <t>Elástico</t>
  </si>
  <si>
    <t>ea190614</t>
  </si>
  <si>
    <t>42450298</t>
  </si>
  <si>
    <t>Passarela Center via atacadista (08/05/2026) - Compras para loja</t>
  </si>
  <si>
    <t>Notas_Images/4f1efb6e.Foto.200955.jpg</t>
  </si>
  <si>
    <t>Compras para loja</t>
  </si>
  <si>
    <t>24ec5810</t>
  </si>
  <si>
    <t>2020865</t>
  </si>
  <si>
    <t>81c8a8d8</t>
  </si>
  <si>
    <t>FO-BRAN (15/05/2026) - Pagamento de bebidas</t>
  </si>
  <si>
    <t>Notas_Images/13d7efd3.Foto.201131.jpg</t>
  </si>
  <si>
    <t>6884fcfc</t>
  </si>
  <si>
    <t>2022283</t>
  </si>
  <si>
    <t>fc7595eb</t>
  </si>
  <si>
    <t>a93998fd</t>
  </si>
  <si>
    <t xml:space="preserve"> (28/04/2026) - Acai light</t>
  </si>
  <si>
    <t>Notas_Images/80799c2a.Foto.202459.jpg</t>
  </si>
  <si>
    <t>Acai light</t>
  </si>
  <si>
    <t>e9b4556b</t>
  </si>
  <si>
    <t>65aa6e39</t>
  </si>
  <si>
    <t>2022514</t>
  </si>
  <si>
    <t>ad66b6db</t>
  </si>
  <si>
    <t>2f869501</t>
  </si>
  <si>
    <t>82b4bb48</t>
  </si>
  <si>
    <t>52afa005</t>
  </si>
  <si>
    <t>Passarela Center via atacadista (15/05/2026) - Compra de produtos para loja</t>
  </si>
  <si>
    <t>Notas_Images/984f4842.Foto.202445.jpg</t>
  </si>
  <si>
    <t>fb313641</t>
  </si>
  <si>
    <t>b2f1192f</t>
  </si>
  <si>
    <t>bcd98c53</t>
  </si>
  <si>
    <t>Myata supermercado (17/05/2026) - Lanche para funcionários</t>
  </si>
  <si>
    <t>Notas_Images/bdc0ba14.Foto.202547.jpg</t>
  </si>
  <si>
    <t>64a6238d</t>
  </si>
  <si>
    <t>c53d2775</t>
  </si>
  <si>
    <t>fc819fb2</t>
  </si>
  <si>
    <t>Copiadora taliana (18/05/2026) - Impressões para loja</t>
  </si>
  <si>
    <t>ffb645cc</t>
  </si>
  <si>
    <t>Notas_Images/98bb7fb3.Foto.202650.jpg</t>
  </si>
  <si>
    <t>6562c394</t>
  </si>
  <si>
    <t>301fbd78</t>
  </si>
  <si>
    <t>Casa Fagundes embalagens (18/05/2026) - Compra de bandejas para loja</t>
  </si>
  <si>
    <t>d9a46796</t>
  </si>
  <si>
    <t>Notas_Images/3082cf52.Foto.202822.jpg</t>
  </si>
  <si>
    <t>Compra de bandejas para loja</t>
  </si>
  <si>
    <t>0dd85cf5</t>
  </si>
  <si>
    <t>b2d03f8a</t>
  </si>
  <si>
    <t>Morangos vacaria (18/05/2026) - 10 kg morangos</t>
  </si>
  <si>
    <t>a039f71d</t>
  </si>
  <si>
    <t>Notas_Images/1e7fb091.Foto.212823.jpg</t>
  </si>
  <si>
    <t>10 kg morangos</t>
  </si>
  <si>
    <t>d59d1be4</t>
  </si>
  <si>
    <t>03f6208d</t>
  </si>
  <si>
    <t>3be855f6</t>
  </si>
  <si>
    <t>5a9e9246</t>
  </si>
  <si>
    <t>Queluz mercado (19/05/2026) - Banana e manga</t>
  </si>
  <si>
    <t>Notas_Images/9c892477.Foto.204457.jpg</t>
  </si>
  <si>
    <t>Banana e manga</t>
  </si>
  <si>
    <t>9a002b54</t>
  </si>
  <si>
    <t>18283946</t>
  </si>
  <si>
    <t>8b731fa6</t>
  </si>
  <si>
    <t>167518d8</t>
  </si>
  <si>
    <t>9ca1cfb9</t>
  </si>
  <si>
    <t>15ab4f2c</t>
  </si>
  <si>
    <t>fd79f7a9</t>
  </si>
  <si>
    <t>273e5a7b</t>
  </si>
  <si>
    <t>a0a2112d</t>
  </si>
  <si>
    <t>Ferreira Ferreira equipamentos (13/05/2026) - Maquina casquinha</t>
  </si>
  <si>
    <t>Notas_Images/3eedb7d7.Foto.163542.jpg</t>
  </si>
  <si>
    <t>Maquina casquinha</t>
  </si>
  <si>
    <t>c07dadd1</t>
  </si>
  <si>
    <t>d4164148</t>
  </si>
  <si>
    <t>Tintas Curitibanos (20/05/2026) - Tinta para parede</t>
  </si>
  <si>
    <t>Notas_Images/42b4af05.Foto.205359.jpg</t>
  </si>
  <si>
    <t>e67b2caa</t>
  </si>
  <si>
    <t>Tinta para parede</t>
  </si>
  <si>
    <t>e2963510</t>
  </si>
  <si>
    <t>971ecc66</t>
  </si>
  <si>
    <t>4c9834bc</t>
  </si>
  <si>
    <t>a6b10000</t>
  </si>
  <si>
    <t>91b2ae60</t>
  </si>
  <si>
    <t>8d2039a0</t>
  </si>
  <si>
    <t>4bb9b9db</t>
  </si>
  <si>
    <t>4b8a60e7</t>
  </si>
  <si>
    <t>c2e7fdea</t>
  </si>
  <si>
    <t xml:space="preserve"> (12/05/2026) - Açaí light</t>
  </si>
  <si>
    <t>Notas_Images/6a289ad9.Foto.225507.jpg</t>
  </si>
  <si>
    <t>Açaí light</t>
  </si>
  <si>
    <t>f644d930</t>
  </si>
  <si>
    <t>156a959d</t>
  </si>
  <si>
    <t>5ef6320a</t>
  </si>
  <si>
    <t>5f1b6683</t>
  </si>
  <si>
    <t>5fa90943</t>
  </si>
  <si>
    <t>2024272</t>
  </si>
  <si>
    <t>599507b9</t>
  </si>
  <si>
    <t>7c5ef9f6</t>
  </si>
  <si>
    <t>Morangos vacaria (22/05/2026) - Compra de morangos</t>
  </si>
  <si>
    <t>Notas_Images/0b9f982c.Foto.175302.jpg</t>
  </si>
  <si>
    <t>de6f2bd1</t>
  </si>
  <si>
    <t>3c930ace</t>
  </si>
  <si>
    <t>2024273</t>
  </si>
  <si>
    <t>971d1b64</t>
  </si>
  <si>
    <t>Casa Fagundes embalagens (22/05/2026) - Embalagens para o Petit Gateau</t>
  </si>
  <si>
    <t>c5c31a96</t>
  </si>
  <si>
    <t>Notas_Images/06cdea18.Foto.212418.jpg</t>
  </si>
  <si>
    <t>Embalagens para o Petit Gateau</t>
  </si>
  <si>
    <t>2024275</t>
  </si>
  <si>
    <t>1a6358a4</t>
  </si>
  <si>
    <t>Queluz mercado (24/05/2026) - Compra de coca para funcionários</t>
  </si>
  <si>
    <t>6d805bf0</t>
  </si>
  <si>
    <t>Notas_Images/a226dbb3.Foto.182655.jpg</t>
  </si>
  <si>
    <t>Compra de coca para funcionários</t>
  </si>
  <si>
    <t>97267767</t>
  </si>
  <si>
    <t>b2491676</t>
  </si>
  <si>
    <t>Queluz mercado (24/05/2026) - Compra de lanche para funcionários</t>
  </si>
  <si>
    <t>Notas_Images/5ed42bb0.Foto.182830.jpg</t>
  </si>
  <si>
    <t>66d4d4cc</t>
  </si>
  <si>
    <t>dd2a087c</t>
  </si>
  <si>
    <t>c9e08d03</t>
  </si>
  <si>
    <t>Passarela Center via atacadista (22/05/2026) - Compra de produtos para loja</t>
  </si>
  <si>
    <t>Notas_Images/25cf8d7a.Foto.211051.jpg</t>
  </si>
  <si>
    <t>245506db</t>
  </si>
  <si>
    <t>1ad522ce</t>
  </si>
  <si>
    <t>Passarela Center via atacadista (23/05/2026) - Compra de pao</t>
  </si>
  <si>
    <t>Notas_Images/f4f8043f.Foto.211202.jpg</t>
  </si>
  <si>
    <t>Compra de pao</t>
  </si>
  <si>
    <t>62309118</t>
  </si>
  <si>
    <t>aa2c0f7c</t>
  </si>
  <si>
    <t>Thipograf gráfica (25/05/2026) - Compra de adesivos para loja</t>
  </si>
  <si>
    <t>Notas_Images/8c7c9b9d.Foto.211305.jpg</t>
  </si>
  <si>
    <t>629417d6</t>
  </si>
  <si>
    <t>19de1487</t>
  </si>
  <si>
    <t>a5d1922c</t>
  </si>
  <si>
    <t>128fafd0</t>
  </si>
  <si>
    <t>a0c8d1e8</t>
  </si>
  <si>
    <t>0580499a</t>
  </si>
  <si>
    <t>c36e23ea</t>
  </si>
  <si>
    <t>ebd8c17e</t>
  </si>
  <si>
    <t>ad54102c</t>
  </si>
  <si>
    <t>Posto de gasolina (16/05/2026) - Daniel pegou para abastecer</t>
  </si>
  <si>
    <t>Notas_Images/3cefc49f.Foto.171846.jpg</t>
  </si>
  <si>
    <t>Daniel pegou para abastecer</t>
  </si>
  <si>
    <t>70b7c59e</t>
  </si>
  <si>
    <t>5fc11e52</t>
  </si>
  <si>
    <t>Amadelli (20/05/2026) - Sorvetes novos Copa</t>
  </si>
  <si>
    <t>Notas_Images/f386d2dd.Foto.173532.jpg</t>
  </si>
  <si>
    <t>Sorvetes novos Copa</t>
  </si>
  <si>
    <t>675c403b</t>
  </si>
  <si>
    <t>88a1158e</t>
  </si>
  <si>
    <t>a8f04735</t>
  </si>
  <si>
    <t>Notas_Images/88a1158e.Foto.161922.jpg</t>
  </si>
  <si>
    <t>1a55c9f5</t>
  </si>
  <si>
    <t>Notas_Images/88a1158e.Foto 1.161922.jpg</t>
  </si>
  <si>
    <t>Nicopel (22/05/2026) - Embalagens</t>
  </si>
  <si>
    <t>Notas_Images/88a1158e.Foto 2.161922.jpg</t>
  </si>
  <si>
    <t>Notas_Images/23584c3e.Foto.193100.jpg</t>
  </si>
  <si>
    <t>Notas_Images/88a1158e.Foto 3.161926.jpg</t>
  </si>
  <si>
    <t>fabd703b</t>
  </si>
  <si>
    <t>1527eeec</t>
  </si>
  <si>
    <t>Amadelli (24/02/2026) - Coisas para pascoa</t>
  </si>
  <si>
    <t>6ba59a6c</t>
  </si>
  <si>
    <t>Coisas para pascoa</t>
  </si>
  <si>
    <t>Notas_Images/1527eeec.Foto.162051.jpg</t>
  </si>
  <si>
    <t>cec1af17</t>
  </si>
  <si>
    <t>Notas_Images/1527eeec.Foto 1.162051.jpg</t>
  </si>
  <si>
    <t>Santa Clara pros limpeza (26/05/2026) - Produtos de limpeza</t>
  </si>
  <si>
    <t>Notas_Images/e1b4e670.Foto.211027.jpg</t>
  </si>
  <si>
    <t>Produtos de limpeza</t>
  </si>
  <si>
    <t>3c39db9f</t>
  </si>
  <si>
    <t>36617081</t>
  </si>
  <si>
    <t>2027551</t>
  </si>
  <si>
    <t>19128593</t>
  </si>
  <si>
    <t>5ca3d93a</t>
  </si>
  <si>
    <t>Experto informática (26/05/2026) - Impressora</t>
  </si>
  <si>
    <t>Notas_Images/93b878d8.Foto.211254.jpg</t>
  </si>
  <si>
    <t>Impressora</t>
  </si>
  <si>
    <t>1ea02488</t>
  </si>
  <si>
    <t>265eba66</t>
  </si>
  <si>
    <t>2027545</t>
  </si>
  <si>
    <t>Copiadora taliana (27/05/2026) - Impressões para loja</t>
  </si>
  <si>
    <t>Notas_Images/a2ca8ff5.Foto.205133.jpg</t>
  </si>
  <si>
    <t>5cc9bef7</t>
  </si>
  <si>
    <t>d53e106e</t>
  </si>
  <si>
    <t>4d2f7ddc</t>
  </si>
  <si>
    <t>Queluz supermercados (27/05/2026) - Banana para loja.</t>
  </si>
  <si>
    <t>Notas_Images/89bd41b5.Foto.205316.jpg</t>
  </si>
  <si>
    <t>96e780fc</t>
  </si>
  <si>
    <t>7a34b24e</t>
  </si>
  <si>
    <t>1380a782</t>
  </si>
  <si>
    <t>Passarela Center via atacadista (26/05/2026) - Panos para loja.</t>
  </si>
  <si>
    <t>Notas_Images/f3db1374.Foto.205456.jpg</t>
  </si>
  <si>
    <t>Panos para loja.</t>
  </si>
  <si>
    <t>5c35ccc5</t>
  </si>
  <si>
    <t>2028738</t>
  </si>
  <si>
    <t>6de54d95</t>
  </si>
  <si>
    <t>Queluz mercado (27/05/2026) - Compra de lanche para funcionários</t>
  </si>
  <si>
    <t>Notas_Images/0470b83b.Foto.214906.jpg</t>
  </si>
  <si>
    <t>650fd956</t>
  </si>
  <si>
    <t>2257088</t>
  </si>
  <si>
    <t>29830873</t>
  </si>
  <si>
    <t>9fc4e9bd</t>
  </si>
  <si>
    <t>Pedido 128913 nota de serviço</t>
  </si>
  <si>
    <t>2032838</t>
  </si>
  <si>
    <t>Pedido 131001 nota de serviço</t>
  </si>
  <si>
    <t>49701b52</t>
  </si>
  <si>
    <t>Pedido 131813 nota de serviço</t>
  </si>
  <si>
    <t>2034450</t>
  </si>
  <si>
    <t>e08e3e33</t>
  </si>
  <si>
    <t>cd1bc7f6</t>
  </si>
  <si>
    <t>Pedido 131817 nota de serviço</t>
  </si>
  <si>
    <t>b9d17d15</t>
  </si>
  <si>
    <t>bec94aeb</t>
  </si>
  <si>
    <t>6485d9c7</t>
  </si>
  <si>
    <t>Pedido 131817</t>
  </si>
  <si>
    <t>ec2c0aeb</t>
  </si>
  <si>
    <t>2036397</t>
  </si>
  <si>
    <t>ceb48588</t>
  </si>
  <si>
    <t>Mais morangos vacaria (28/05/2026) - Pagamento de morangos</t>
  </si>
  <si>
    <t>Notas_Images/4f66c890.Foto.144233.jpg</t>
  </si>
  <si>
    <t>043de606</t>
  </si>
  <si>
    <t>d08c333e</t>
  </si>
  <si>
    <t>2757090</t>
  </si>
  <si>
    <t>FO-BRAN (29/05/2026) - PAGAMENTO de bebidas</t>
  </si>
  <si>
    <t>Notas_Images/9f7e1f05.Foto.161640.jpg</t>
  </si>
  <si>
    <t>PAGAMENTO de bebidas</t>
  </si>
  <si>
    <t>e7adb7e2</t>
  </si>
  <si>
    <t>2037094</t>
  </si>
  <si>
    <t>2254583</t>
  </si>
  <si>
    <t>4a24bf25</t>
  </si>
  <si>
    <t>a5a36ec6</t>
  </si>
  <si>
    <t xml:space="preserve"> (12/05/2026) - Carga seca</t>
  </si>
  <si>
    <t>Notas_Images/c5976d3f.Foto.175607.jpg</t>
  </si>
  <si>
    <t>1bc2158f</t>
  </si>
  <si>
    <t>2037090</t>
  </si>
  <si>
    <t>5cfe6524</t>
  </si>
  <si>
    <t>1c9022cfd-A</t>
  </si>
  <si>
    <t>1c9022cfd</t>
  </si>
  <si>
    <t>1af7a4658-A</t>
  </si>
  <si>
    <t>1af7a4658</t>
  </si>
  <si>
    <t>1320d3180-A</t>
  </si>
  <si>
    <t>1320d3180</t>
  </si>
  <si>
    <t>f6c6affe</t>
  </si>
  <si>
    <t>Amadelli (27/02/2026) - Embalagens para pascoa</t>
  </si>
  <si>
    <t>abbc6cce</t>
  </si>
  <si>
    <t>Embalagens para pascoa</t>
  </si>
  <si>
    <t>Notas_Images/f6c6affe.Foto.175039.jpg</t>
  </si>
  <si>
    <t>a11434ce</t>
  </si>
  <si>
    <t>Notas_Images/f6c6affe.Foto 1.175039.jpg</t>
  </si>
  <si>
    <t>fe3c32cd</t>
  </si>
  <si>
    <t>8b9e6e8e</t>
  </si>
  <si>
    <t>2027559</t>
  </si>
  <si>
    <t>fd14766e</t>
  </si>
  <si>
    <t>5aeab780</t>
  </si>
  <si>
    <t>Sem id</t>
  </si>
  <si>
    <t>1616-A</t>
  </si>
  <si>
    <t>Casa Fagundes embalagens (29/05/2026) - Compra de produtos para loja</t>
  </si>
  <si>
    <t>Notas_Images/cdf697df.Foto.235755.jpg</t>
  </si>
  <si>
    <t>cff19e1f</t>
  </si>
  <si>
    <t>1621-A</t>
  </si>
  <si>
    <t>1622-A</t>
  </si>
  <si>
    <t>Passarela Center via atacadista (29/05/2026) - Compra de frutas para loja</t>
  </si>
  <si>
    <t>Notas_Images/cff19e1f.Foto.005104.jpg</t>
  </si>
  <si>
    <t>Notas_Images/68d95295.Foto.000017.jpg</t>
  </si>
  <si>
    <t>Notas_Images/cff19e1f.Foto 1.005103.jpg</t>
  </si>
  <si>
    <t>1abbfc775-A</t>
  </si>
  <si>
    <t>1abbfc775</t>
  </si>
  <si>
    <t>9885d2af</t>
  </si>
  <si>
    <t>Franciosi (30/05/2026) - Compra de pão</t>
  </si>
  <si>
    <t>Notas_Images/3773048c.Foto.000345.jpg</t>
  </si>
  <si>
    <t>683bc5ad</t>
  </si>
  <si>
    <t>1e5356de3-A</t>
  </si>
  <si>
    <t>1e5356de3</t>
  </si>
  <si>
    <t>Queluz mercado (01/06/2026) - Compra de frutas para loja</t>
  </si>
  <si>
    <t>Notas_Images/d9e2918f.Foto.211812.jpg</t>
  </si>
  <si>
    <t>1908e3b62-A</t>
  </si>
  <si>
    <t>1908e3b62</t>
  </si>
  <si>
    <t>a5b37173</t>
  </si>
  <si>
    <t>4d480bf2</t>
  </si>
  <si>
    <t>Férias 01/06 a 30/06 Marcos (formalizado do dia 01/07 a 30/07)</t>
  </si>
  <si>
    <t>31bd0fac</t>
  </si>
  <si>
    <t>4ea95b31</t>
  </si>
  <si>
    <t>a4910e69</t>
  </si>
  <si>
    <t>46296 1/10</t>
  </si>
  <si>
    <t>64d25b98</t>
  </si>
  <si>
    <t>Passarela Center via atacadista (02/06/2026) - Produtos para loja</t>
  </si>
  <si>
    <t>Notas_Images/929c2b63.Foto.181840.jpg</t>
  </si>
  <si>
    <t>0366ca3b</t>
  </si>
  <si>
    <t>e736784a</t>
  </si>
  <si>
    <t>Thipograf gráfica (02/06/2026) - Adesivos para copa</t>
  </si>
  <si>
    <t>Notas_Images/8ec65189.Foto.182004.jpg</t>
  </si>
  <si>
    <t>Adesivos para copa</t>
  </si>
  <si>
    <t>ba5ebbbc</t>
  </si>
  <si>
    <t>29f24a22</t>
  </si>
  <si>
    <t>Suco prats (01/06/2026) - Compra de sucos</t>
  </si>
  <si>
    <t>Notas_Images/1bc00dcc.Foto.182229.jpg</t>
  </si>
  <si>
    <t>3b2698b6</t>
  </si>
  <si>
    <t>961e26fc</t>
  </si>
  <si>
    <t>ProFood (28/05/2026) - Embalagens</t>
  </si>
  <si>
    <t>Notas_Images/57240299.Foto.182834.jpg</t>
  </si>
  <si>
    <t>fd1d0e95</t>
  </si>
  <si>
    <t>dc49af59</t>
  </si>
  <si>
    <t>fa08186e</t>
  </si>
  <si>
    <t>Mais morangos vacaria (02/06/2026) - Compra de morangos</t>
  </si>
  <si>
    <t>Notas_Images/119ca1ca.Foto.201231.jpg</t>
  </si>
  <si>
    <t>dbbe881d</t>
  </si>
  <si>
    <t>c277523f</t>
  </si>
  <si>
    <t>a28c085b</t>
  </si>
  <si>
    <t>Supermercados myata (31/05/2026) - Pães</t>
  </si>
  <si>
    <t>455405b5</t>
  </si>
  <si>
    <t>Notas_Images/0ffd1137.Foto.205104.jpg</t>
  </si>
  <si>
    <t>Pães</t>
  </si>
  <si>
    <t>67a5b5e9</t>
  </si>
  <si>
    <t>Pedido 132205 nota de serviço</t>
  </si>
  <si>
    <t>3ad185ca</t>
  </si>
  <si>
    <t>af495502</t>
  </si>
  <si>
    <t>d352b5d8</t>
  </si>
  <si>
    <t>33032dec</t>
  </si>
  <si>
    <t>2039975</t>
  </si>
  <si>
    <t>bffb91fc</t>
  </si>
  <si>
    <t>5c18c9fa</t>
  </si>
  <si>
    <t>Passarela Center via atacadista (05/06/2026) - Produtos para loja</t>
  </si>
  <si>
    <t>Notas_Images/c7cc2156.Foto.211551.jpg</t>
  </si>
  <si>
    <t>d15c5fe0</t>
  </si>
  <si>
    <t>8bf12591</t>
  </si>
  <si>
    <t>c0f06ace</t>
  </si>
  <si>
    <t>Queluz mercado (05/06/2026) - Compra de kiwi</t>
  </si>
  <si>
    <t>2040000</t>
  </si>
  <si>
    <t>Notas_Images/e654e849.Foto.211915.jpg</t>
  </si>
  <si>
    <t>1833da110-A</t>
  </si>
  <si>
    <t>1833da110</t>
  </si>
  <si>
    <t>130220a45-A</t>
  </si>
  <si>
    <t>130220a45</t>
  </si>
  <si>
    <t>Passarela Center via atacadista (08/06/2026) - Compra de produtos para loja</t>
  </si>
  <si>
    <t>Notas_Images/0b62c692.Foto.202100.jpg</t>
  </si>
  <si>
    <t>11c90fd63-A</t>
  </si>
  <si>
    <t>11c90fd63</t>
  </si>
  <si>
    <t>1efdcc15</t>
  </si>
  <si>
    <t>2041830</t>
  </si>
  <si>
    <t>1627-A</t>
  </si>
  <si>
    <t>Supermercados myata (07/06/2026) - Compra de pães</t>
  </si>
  <si>
    <t>Notas_Images/c33e5a81.Foto.204056.jpg</t>
  </si>
  <si>
    <t>1628-A</t>
  </si>
  <si>
    <t>1629-A</t>
  </si>
  <si>
    <t>2041829</t>
  </si>
  <si>
    <t>1630-A</t>
  </si>
  <si>
    <t>186aa5a49-A</t>
  </si>
  <si>
    <t>Copiadora taliana (10/06/2026) - Impressões para loja</t>
  </si>
  <si>
    <t>186aa5a49</t>
  </si>
  <si>
    <t>Notas_Images/311386ee.Foto.214654.jpg</t>
  </si>
  <si>
    <t>2041940</t>
  </si>
  <si>
    <t>19b7aec55-A</t>
  </si>
  <si>
    <t>19b7aec55</t>
  </si>
  <si>
    <t>116462ee5-A</t>
  </si>
  <si>
    <t>116462ee5</t>
  </si>
  <si>
    <t>68d1e680</t>
  </si>
  <si>
    <t>2041943</t>
  </si>
  <si>
    <t>0d753838</t>
  </si>
  <si>
    <t>e5739477</t>
  </si>
  <si>
    <t>ad</t>
  </si>
  <si>
    <t>361d5f76</t>
  </si>
  <si>
    <t>2041939</t>
  </si>
  <si>
    <t>ae402683</t>
  </si>
  <si>
    <t>00c665d6</t>
  </si>
  <si>
    <t>8c2cf13b</t>
  </si>
  <si>
    <t>852ca7d2</t>
  </si>
  <si>
    <t>2042962</t>
  </si>
  <si>
    <t>014496c9</t>
  </si>
  <si>
    <t>4046d3f5</t>
  </si>
  <si>
    <t>a8d97793</t>
  </si>
  <si>
    <t>Loja do 7,99 (11/06/2026) - Compra de produtos para loja</t>
  </si>
  <si>
    <t>2042967</t>
  </si>
  <si>
    <t>Notas_Images/8ed78c8f.Foto.201736.jpg</t>
  </si>
  <si>
    <t>3ad1cb4f</t>
  </si>
  <si>
    <t>41513fbe</t>
  </si>
  <si>
    <t>87a5b661</t>
  </si>
  <si>
    <t>1589b37f</t>
  </si>
  <si>
    <t>Laffame (11/06/2026) - Produtos para loja</t>
  </si>
  <si>
    <t>Notas_Images/75e45db8.Foto.201939.jpg</t>
  </si>
  <si>
    <t>2045604</t>
  </si>
  <si>
    <t>19338e9b</t>
  </si>
  <si>
    <t>23167f24</t>
  </si>
  <si>
    <t>Notas_Images/fe1b365b.Foto.202055.jpg</t>
  </si>
  <si>
    <t>467f7cbc</t>
  </si>
  <si>
    <t>2044402</t>
  </si>
  <si>
    <t>d69aa564</t>
  </si>
  <si>
    <t>Supermercados myata (12/06/2026) - Compra de frutas para loja</t>
  </si>
  <si>
    <t>Notas_Images/e785bcb0.Foto.190514.jpg</t>
  </si>
  <si>
    <t>a014026a</t>
  </si>
  <si>
    <t>2047869</t>
  </si>
  <si>
    <t>212ca6c7</t>
  </si>
  <si>
    <t>Passarela Center via atacadista (12/06/2026) - Compra de produtos para loja</t>
  </si>
  <si>
    <t>Notas_Images/86be0031.Foto.190612.jpg</t>
  </si>
  <si>
    <t>b5a690b3</t>
  </si>
  <si>
    <t>9f3b3118</t>
  </si>
  <si>
    <t>2047913</t>
  </si>
  <si>
    <t>Queluz supermercados (12/06/2026) - Compra de produtos de limpeza</t>
  </si>
  <si>
    <t>Notas_Images/b2f1192f.Foto.190708.jpg</t>
  </si>
  <si>
    <t>130d4482</t>
  </si>
  <si>
    <t>c9d385ef</t>
  </si>
  <si>
    <t>4475ccba</t>
  </si>
  <si>
    <t>4e76928d</t>
  </si>
  <si>
    <t>FO-BRAN (12/06/2026) - Pagamento de bebidas</t>
  </si>
  <si>
    <t>Notas_Images/c53d2775.Foto.190804.jpg</t>
  </si>
  <si>
    <t>8bc8ea4b</t>
  </si>
  <si>
    <t>130bc498</t>
  </si>
  <si>
    <t>Amadelli (05/03/2026) - Carga seca</t>
  </si>
  <si>
    <t>Notas_Images/8bc8ea4b.Foto.203132.jpg</t>
  </si>
  <si>
    <t>SC COPIAS (11/06/2026) - Compra de decorações para loja</t>
  </si>
  <si>
    <t>Notas_Images/002fd0e2.Foto.000047.jpg</t>
  </si>
  <si>
    <t>Compra de decorações para loja</t>
  </si>
  <si>
    <t>59656113</t>
  </si>
  <si>
    <t>Notas_Images/8bc8ea4b.Foto 1.203132.jpg</t>
  </si>
  <si>
    <t>Notas_Images/8bc8ea4b.Foto 2.203132.jpg</t>
  </si>
  <si>
    <t>1633-A</t>
  </si>
  <si>
    <t>Notas_Images/eb505f8c.Foto.000305.jpg</t>
  </si>
  <si>
    <t>1634-A</t>
  </si>
  <si>
    <t>2050132</t>
  </si>
  <si>
    <t>2892c152</t>
  </si>
  <si>
    <t>Big lojas (11/06/2026) - Compra de decoração para loja</t>
  </si>
  <si>
    <t>Notas_Images/f4a9ade7.Foto.000419.jpg</t>
  </si>
  <si>
    <t>a11b86d3</t>
  </si>
  <si>
    <t>Compra de decoração para loja</t>
  </si>
  <si>
    <t>2050135</t>
  </si>
  <si>
    <t>1632-A</t>
  </si>
  <si>
    <t>Big lojas (13/06/2026) - Fita dupla face</t>
  </si>
  <si>
    <t>Notas_Images/d9a46796.Foto.164838.jpg</t>
  </si>
  <si>
    <t>1637-A</t>
  </si>
  <si>
    <t>Fita dupla face</t>
  </si>
  <si>
    <t>44d4f183</t>
  </si>
  <si>
    <t>2050138</t>
  </si>
  <si>
    <t>Supermercados myata (14/06/2026) - Compra de pão</t>
  </si>
  <si>
    <t>Notas_Images/a039f71d.Foto.001411.jpg</t>
  </si>
  <si>
    <t>eef20fdf</t>
  </si>
  <si>
    <t>4c528660</t>
  </si>
  <si>
    <t>Supermercados myata (16/06/2026) - Compra de kiwi</t>
  </si>
  <si>
    <t>46b95bb3</t>
  </si>
  <si>
    <t>Notas_Images/03f6208d.Foto.190846.jpg</t>
  </si>
  <si>
    <t>2050425</t>
  </si>
  <si>
    <t>791bafb0</t>
  </si>
  <si>
    <t>ef172c6d</t>
  </si>
  <si>
    <t>FO-BRAN (24/06/2026) - Embalagens</t>
  </si>
  <si>
    <t>98e043a6</t>
  </si>
  <si>
    <t>Notas_Images/5f1b6683.Foto.210403.jpg</t>
  </si>
  <si>
    <t>23883204</t>
  </si>
  <si>
    <t>eced7a94</t>
  </si>
  <si>
    <t>ProFood (10/06/2026) - Embalagens</t>
  </si>
  <si>
    <t>79f1a18e</t>
  </si>
  <si>
    <t>Notas_Images/c5cbce69.Foto.210933.jpg</t>
  </si>
  <si>
    <t>2051257</t>
  </si>
  <si>
    <t>1643-A</t>
  </si>
  <si>
    <t>1651-A</t>
  </si>
  <si>
    <t>12654e09a-A</t>
  </si>
  <si>
    <t>12654e09a</t>
  </si>
  <si>
    <t>2051255</t>
  </si>
  <si>
    <t>Morangos França (16/06/2026) - Compra de morangos</t>
  </si>
  <si>
    <t>Notas_Images/5a9e9246.Foto.211431.jpg</t>
  </si>
  <si>
    <t>17b1bde56-A</t>
  </si>
  <si>
    <t>d501694f</t>
  </si>
  <si>
    <t>17b1bde56</t>
  </si>
  <si>
    <t>Celesc Curitibanos (10/03/2026) - Conta de luz</t>
  </si>
  <si>
    <t>895ebe57</t>
  </si>
  <si>
    <t>Notas_Images/d501694f.Foto.163346.jpg</t>
  </si>
  <si>
    <t>alugueel</t>
  </si>
  <si>
    <t>d69f61c0</t>
  </si>
  <si>
    <t>f45c3750</t>
  </si>
  <si>
    <t>dee98c4c</t>
  </si>
  <si>
    <t>2051678</t>
  </si>
  <si>
    <t>1650-A</t>
  </si>
  <si>
    <t>6cb71661</t>
  </si>
  <si>
    <t>62cf489d</t>
  </si>
  <si>
    <t>a7f0ebc1</t>
  </si>
  <si>
    <t>090b4bdb</t>
  </si>
  <si>
    <t>a1b54746</t>
  </si>
  <si>
    <t>uniformes</t>
  </si>
  <si>
    <t>2f0e8059</t>
  </si>
  <si>
    <t>Ferias</t>
  </si>
  <si>
    <t>577f99a3</t>
  </si>
  <si>
    <t>2f90b978</t>
  </si>
  <si>
    <t>ad003d93</t>
  </si>
  <si>
    <t>Passarela Center via atacadista (19/06/2026) - Compra de produtos para loja</t>
  </si>
  <si>
    <t>Notas_Images/15ab4f2c.Foto.151321.jpg</t>
  </si>
  <si>
    <t>d279e5bd</t>
  </si>
  <si>
    <t>9cfcbee0</t>
  </si>
  <si>
    <t>418cf7fc</t>
  </si>
  <si>
    <t>2053516</t>
  </si>
  <si>
    <t>d3acca27</t>
  </si>
  <si>
    <t>Passarela Center via atacadista (19/06/2026) - Cabo de vassoura</t>
  </si>
  <si>
    <t>Notas_Images/18283946.Foto.151450.jpg</t>
  </si>
  <si>
    <t>Cabo de vassoura</t>
  </si>
  <si>
    <t>e098e72b</t>
  </si>
  <si>
    <t>79a18e48</t>
  </si>
  <si>
    <t>Franciosi (19/06/2026) - Compra de pão</t>
  </si>
  <si>
    <t>2054589</t>
  </si>
  <si>
    <t>Notas_Images/167518d8.Foto.151551.jpg</t>
  </si>
  <si>
    <t>debfc6ce</t>
  </si>
  <si>
    <t>Férias</t>
  </si>
  <si>
    <t>d97121c2</t>
  </si>
  <si>
    <t>28a2a405</t>
  </si>
  <si>
    <t>4d52241c</t>
  </si>
  <si>
    <t>Agua, escritório informa o valor</t>
  </si>
  <si>
    <t>bf93bece</t>
  </si>
  <si>
    <t>1bbf65b5</t>
  </si>
  <si>
    <t>af2f4139</t>
  </si>
  <si>
    <t>a7b4a040</t>
  </si>
  <si>
    <t>Transferencia</t>
  </si>
  <si>
    <t>8b0285e6</t>
  </si>
  <si>
    <t>2056246</t>
  </si>
  <si>
    <t>46305  9/10</t>
  </si>
  <si>
    <t>d3a8a1f9</t>
  </si>
  <si>
    <t>2b1906fe</t>
  </si>
  <si>
    <t>d6a22693</t>
  </si>
  <si>
    <t>Royaltys</t>
  </si>
  <si>
    <t>7b702f92</t>
  </si>
  <si>
    <t>Marketing</t>
  </si>
  <si>
    <t>9c4bc413</t>
  </si>
  <si>
    <t>92a94a3b</t>
  </si>
  <si>
    <t>2056880</t>
  </si>
  <si>
    <t>0ea273c6</t>
  </si>
  <si>
    <t>Sistema</t>
  </si>
  <si>
    <t>345641f0</t>
  </si>
  <si>
    <t>ebbaf9f9</t>
  </si>
  <si>
    <t>2061363</t>
  </si>
  <si>
    <t>5a6b6232</t>
  </si>
  <si>
    <t>Passarela Center via atacadista (25/06/2026) - Compra de produtos para loja</t>
  </si>
  <si>
    <t>Notas_Images/7c5ef9f6.Foto.224258.jpg</t>
  </si>
  <si>
    <t>4a28cba5</t>
  </si>
  <si>
    <t>076f8312</t>
  </si>
  <si>
    <t>2061503</t>
  </si>
  <si>
    <t>Supermercados franciosi (25/06/2026) - Compra de kiwi</t>
  </si>
  <si>
    <t>dda90016</t>
  </si>
  <si>
    <t>Notas_Images/19de1487.Foto.224355.jpg</t>
  </si>
  <si>
    <t>abb44126</t>
  </si>
  <si>
    <t>2061496</t>
  </si>
  <si>
    <t>fadb1cec</t>
  </si>
  <si>
    <t>c4319060</t>
  </si>
  <si>
    <t>0344dfb7</t>
  </si>
  <si>
    <t>101391cc</t>
  </si>
  <si>
    <t>3dc9ef9e</t>
  </si>
  <si>
    <t>6d1c26c8</t>
  </si>
  <si>
    <t>JOICE 2/</t>
  </si>
  <si>
    <t>adfc1a97</t>
  </si>
  <si>
    <t>7059be8e</t>
  </si>
  <si>
    <t>CERTIFICADO DIGITAL</t>
  </si>
  <si>
    <t>5fe9e149</t>
  </si>
  <si>
    <t>6e24da36</t>
  </si>
  <si>
    <t>Supermercados myata (28/06/2026) - Compra de pão</t>
  </si>
  <si>
    <t>Notas_Images/a0c8d1e8.Foto.161846.jpg</t>
  </si>
  <si>
    <t>6c6586c7</t>
  </si>
  <si>
    <t>7ac4c217</t>
  </si>
  <si>
    <t>Passarela Center via atacadista (30/06/2026) - Compra de produtos para loja</t>
  </si>
  <si>
    <t>Notas_Images/c36e23ea.Foto.201433.jpg</t>
  </si>
  <si>
    <t>4d92f613</t>
  </si>
  <si>
    <t>3e1a7cf4</t>
  </si>
  <si>
    <t>Mais morangos vacaria (01/07/2026) - 7 kg de morango</t>
  </si>
  <si>
    <t>Notas de Compras_Images/be61ba6e.Foto.202933.jpg</t>
  </si>
  <si>
    <t>23f40985</t>
  </si>
  <si>
    <t>7 kg de morango</t>
  </si>
  <si>
    <t>9fc189d6</t>
  </si>
  <si>
    <t>2250623</t>
  </si>
  <si>
    <t>0d4f20f1</t>
  </si>
  <si>
    <t>ffacc83a</t>
  </si>
  <si>
    <t>5e75cbdb</t>
  </si>
  <si>
    <t>4a149972</t>
  </si>
  <si>
    <t>2052954</t>
  </si>
  <si>
    <t>0c749c9c</t>
  </si>
  <si>
    <t>FO-BRAN BEBIDAS (02/07/2026) - Bebidas para loja</t>
  </si>
  <si>
    <t>Notas de Compras_Images/15d59f9d.Foto.173112.jpg</t>
  </si>
  <si>
    <t>5c2ce8c7</t>
  </si>
  <si>
    <t>2251727</t>
  </si>
  <si>
    <t>19d7ff25</t>
  </si>
  <si>
    <t>2066464</t>
  </si>
  <si>
    <t>Copiadora taliana (02/07/2026) - Compra de cópias</t>
  </si>
  <si>
    <t>Notas de Compras_Images/4d2f7ddc.Foto.230152.jpg</t>
  </si>
  <si>
    <t>Compra de cópias</t>
  </si>
  <si>
    <t>1649a2941-A</t>
  </si>
  <si>
    <t>1649a2941</t>
  </si>
  <si>
    <t>2252123</t>
  </si>
  <si>
    <t>1617-A</t>
  </si>
  <si>
    <t>Casa Fagundes embalagens (02/07/2026) - Compra de produtos para loja</t>
  </si>
  <si>
    <t>2066463</t>
  </si>
  <si>
    <t>Notas de Compras_Images/6950f10d.Foto.230325.jpg</t>
  </si>
  <si>
    <t>1635-A</t>
  </si>
  <si>
    <t>2252135</t>
  </si>
  <si>
    <t>1644-A</t>
  </si>
  <si>
    <t>Myata supermercado (02/07/2026) - Compra de detergente</t>
  </si>
  <si>
    <t>1645-A</t>
  </si>
  <si>
    <t>Notas de Compras_Images/9795be70.Foto.230437.jpg</t>
  </si>
  <si>
    <t>2067998</t>
  </si>
  <si>
    <t>Compra de detergente</t>
  </si>
  <si>
    <t>1646-A</t>
  </si>
  <si>
    <t>2252136</t>
  </si>
  <si>
    <t>1647-A</t>
  </si>
  <si>
    <t>2068565</t>
  </si>
  <si>
    <t>1648-A</t>
  </si>
  <si>
    <t>1649-A</t>
  </si>
  <si>
    <t>1658-A</t>
  </si>
  <si>
    <t>f1867af1</t>
  </si>
  <si>
    <t>1660-A</t>
  </si>
  <si>
    <t>1661-A</t>
  </si>
  <si>
    <t>Notas_Images/f1867af1.Foto.225323.jpg</t>
  </si>
  <si>
    <t>0dfdaa8d</t>
  </si>
  <si>
    <t>Notas_Images/f1867af1.Foto 1.225323.jpg</t>
  </si>
  <si>
    <t>f8647cc7</t>
  </si>
  <si>
    <t>Supermercados franciosi (04/07/2026) - Compra de pão</t>
  </si>
  <si>
    <t>Notas de Compras_Images/2254583.Foto.182844.jpg</t>
  </si>
  <si>
    <t>Notas de Compras_Images/2254583.Foto 1.182843.jpg</t>
  </si>
  <si>
    <t>Passarela Center via atacadista (03/07/2026) - Compras para loja</t>
  </si>
  <si>
    <t>Notas de Compras_Images/2257088.Foto.000816.jpg</t>
  </si>
  <si>
    <t>Copiadora taliana (03/07/2026) - Copias para o aniversário da loja</t>
  </si>
  <si>
    <t>Notas de Compras_Images/2757090.Foto.000939.jpg</t>
  </si>
  <si>
    <t>Copias para o aniversário da loja</t>
  </si>
  <si>
    <t>2257090</t>
  </si>
  <si>
    <t>1b4a92b3</t>
  </si>
  <si>
    <t>Salus Comercial Ltda (03/07/2026) - Acrílico para folha A4</t>
  </si>
  <si>
    <t>Notas de Compras_Images/2260147.Foto.231315.jpg</t>
  </si>
  <si>
    <t>Acrílico para folha A4</t>
  </si>
  <si>
    <t>Salus Comercial Ltda (31/05/2026) - Acrílico para folha A4 (total foram 3)</t>
  </si>
  <si>
    <t>Notas de Compras_Images/2260144.Foto.231617.jpg</t>
  </si>
  <si>
    <t>Acrílico para folha A4 (total foram 3)</t>
  </si>
  <si>
    <t>Casa Fagundes embalagens (08/07/2026) - Touca branca para funcionários</t>
  </si>
  <si>
    <t>Notas de Compras_Images/2261126.Foto.193813.jpg</t>
  </si>
  <si>
    <t>Touca branca para funcionários</t>
  </si>
  <si>
    <t>Laffame (08/07/2026) - Elásticos de cabelo para clientes</t>
  </si>
  <si>
    <t>2070057</t>
  </si>
  <si>
    <t>Notas de Compras_Images/2261123.Foto.194041.jpg</t>
  </si>
  <si>
    <t>Elásticos de cabelo para clientes</t>
  </si>
  <si>
    <t>Casa Fagundes embalagens (08/07/2026) - Saquinhos de geladinho para colher de delivery</t>
  </si>
  <si>
    <t>2072054</t>
  </si>
  <si>
    <t>Notas de Compras_Images/2261120.Foto.194226.jpg</t>
  </si>
  <si>
    <t>Saquinhos de geladinho para colher de delivery</t>
  </si>
  <si>
    <t>Santa Clara pros limpeza (08/07/2026) - Saco de lixo para loja</t>
  </si>
  <si>
    <t>2072061</t>
  </si>
  <si>
    <t>Notas de Compras_Images/2261107.Foto.194921.jpg</t>
  </si>
  <si>
    <t>Saco de lixo para loja</t>
  </si>
  <si>
    <t xml:space="preserve"> (10/08/2026) - Conta de luz</t>
  </si>
  <si>
    <t>Notas de Compras_Images/Sem id.Foto.200640.jpg</t>
  </si>
  <si>
    <t>2074449</t>
  </si>
  <si>
    <t>Pedido 137524 nota de serviço</t>
  </si>
  <si>
    <t>2074453</t>
  </si>
  <si>
    <t>Pedido 137524 VO 2765,65 desconto 781,45</t>
  </si>
  <si>
    <t>2072633</t>
  </si>
  <si>
    <t>Pedido 133577</t>
  </si>
  <si>
    <t>2078166</t>
  </si>
  <si>
    <t>2080296</t>
  </si>
  <si>
    <t>941c1c4e</t>
  </si>
  <si>
    <t>Notas_Images/941c1c4e.Foto.231041.jpg</t>
  </si>
  <si>
    <t>Notas_Images/941c1c4e.Foto 1.231041.jpg</t>
  </si>
  <si>
    <t>Mais morangos vacaria (10/07/2026) - 6 kg de morango</t>
  </si>
  <si>
    <t>Notas de Compras_Images/3af19228.Foto.174731.jpg</t>
  </si>
  <si>
    <t>6 kg de morango</t>
  </si>
  <si>
    <t>2264059</t>
  </si>
  <si>
    <t>Queluz mercado (10/07/2026) - Uvas para loja</t>
  </si>
  <si>
    <t>Notas de Compras_Images/ffbe03b4.Foto.175403.jpg</t>
  </si>
  <si>
    <t>Uvas para loja</t>
  </si>
  <si>
    <t>2264066</t>
  </si>
  <si>
    <t>Férias 13/07 a 02/08 Ana (20 dias)</t>
  </si>
  <si>
    <t>2d184de9</t>
  </si>
  <si>
    <t>Doces e cia (13/07/2026) - Desmoldante para maquina de casquinha</t>
  </si>
  <si>
    <t>Notas de Compras_Images/bbcad3a6.Foto.181644.jpg</t>
  </si>
  <si>
    <t>Desmoldante para maquina de casquinha</t>
  </si>
  <si>
    <t>2269705</t>
  </si>
  <si>
    <t>Big lojas (13/07/2026) - Potes para loja</t>
  </si>
  <si>
    <t>Notas de Compras_Images/e33b66cf.Foto.181942.jpg</t>
  </si>
  <si>
    <t>Potes para loja</t>
  </si>
  <si>
    <t>2269703</t>
  </si>
  <si>
    <t>Via atacado (10/07/2026) - Compra para loja</t>
  </si>
  <si>
    <t>Notas de Compras_Images/4d480bf2.Foto.200116.jpg</t>
  </si>
  <si>
    <t>Compra para loja</t>
  </si>
  <si>
    <t>2268418</t>
  </si>
  <si>
    <t>Queluz mercado (13/07/2026) - Lanche de domingo</t>
  </si>
  <si>
    <t>Notas de Compras_Images/af495502.Foto.200230.jpg</t>
  </si>
  <si>
    <t>Lanche de domingo</t>
  </si>
  <si>
    <t>2268420</t>
  </si>
  <si>
    <t>Pedido 138030</t>
  </si>
  <si>
    <t>Pedido 138030 nota de serviço</t>
  </si>
  <si>
    <t>Queluz mercado (14/07/2026) - Compra.de manteiga</t>
  </si>
  <si>
    <t>Notas de Compras_Images/9d33f2fe.Foto.234752.jpg</t>
  </si>
  <si>
    <t>Compra.de manteiga</t>
  </si>
  <si>
    <t>2271558</t>
  </si>
  <si>
    <t>Casa global (14/07/2026) - Compra de adaptador de tomada</t>
  </si>
  <si>
    <t>Notas de Compras_Images/fd9fde95.Foto.234907.jpg</t>
  </si>
  <si>
    <t>Compra de adaptador de tomada</t>
  </si>
  <si>
    <t>2271559</t>
  </si>
  <si>
    <t>Franciosi (14/07/2026) - Compra.de pão</t>
  </si>
  <si>
    <t>2086217</t>
  </si>
  <si>
    <t>Notas de Compras_Images/c0f06ace.Foto.235040.jpg</t>
  </si>
  <si>
    <t>Compra.de pão</t>
  </si>
  <si>
    <t>2266334</t>
  </si>
  <si>
    <t>FO-BRAN BEBIDAS (15/07/2026) - Bebidas</t>
  </si>
  <si>
    <t>Notas de Compras_Images/70cf65dd.Foto.174633.jpg</t>
  </si>
  <si>
    <t>Notas de Compras_Images/70cf65dd.Foto 1.174633.jpg</t>
  </si>
  <si>
    <t>2272648</t>
  </si>
  <si>
    <t>2086224</t>
  </si>
  <si>
    <t>Pedido 137858</t>
  </si>
  <si>
    <t>Pedido 137858 nota de serviço</t>
  </si>
  <si>
    <t>2087257</t>
  </si>
  <si>
    <t>Pedido 132953</t>
  </si>
  <si>
    <t>2087924</t>
  </si>
  <si>
    <t>2087932</t>
  </si>
  <si>
    <t>2089401</t>
  </si>
  <si>
    <t>a8349afb</t>
  </si>
  <si>
    <t>Notas_Images/a8349afb.Foto.182909.jpg</t>
  </si>
  <si>
    <t>0513f23c</t>
  </si>
  <si>
    <t>ProFood (07/07/2026) - Embalagens</t>
  </si>
  <si>
    <t>Notas de Compras_Images/8c2cf13b.Foto.185612.jpg</t>
  </si>
  <si>
    <t>Notas_Images/0513f23c.Foto.183452.jpg</t>
  </si>
  <si>
    <t>Mais morangos vacaria (16/07/2026) - Morangos o kg está 35 reais</t>
  </si>
  <si>
    <t>Notas de Compras_Images/de83c16b.Foto.190857.jpg</t>
  </si>
  <si>
    <t>Morangos o kg está 35 reais</t>
  </si>
  <si>
    <t>2274341</t>
  </si>
  <si>
    <t>2098104</t>
  </si>
  <si>
    <t>JN EMBALAGENS (16/07/2026) - Compra de materiais para uso da loja</t>
  </si>
  <si>
    <t>Notas de Compras_Images/a9fb78d1.Foto.214735.jpg</t>
  </si>
  <si>
    <t>Compra de materiais para uso da loja</t>
  </si>
  <si>
    <t>2274724</t>
  </si>
  <si>
    <t>Mercado pago (17/07/2026) - Compra de pano perflex</t>
  </si>
  <si>
    <t>Notas de Compras_Images/bb0a822b.Foto.215745.jpg</t>
  </si>
  <si>
    <t>Compra de pano perflex</t>
  </si>
  <si>
    <t>2276732</t>
  </si>
  <si>
    <t>735d151c</t>
  </si>
  <si>
    <t>Facebook (17/07/2026) - Propaganda paga para nosso sorteio</t>
  </si>
  <si>
    <t>Notas de Compras_Images/4f82b4be.Foto.215953.jpg</t>
  </si>
  <si>
    <t>Propaganda paga para nosso sorteio</t>
  </si>
  <si>
    <t>2276739</t>
  </si>
  <si>
    <t>Passarela Center via atacadista (17/07/2026) - Compras para loja</t>
  </si>
  <si>
    <t>Notas de Compras_Images/8aa6b56f.Foto.220200.jpg</t>
  </si>
  <si>
    <t>2276748</t>
  </si>
  <si>
    <t>2100468</t>
  </si>
  <si>
    <t>Myata supermercado (19/07/2026) - Lanche / pão</t>
  </si>
  <si>
    <t>Notas de Compras_Images/fa7ae388.Foto.230811.jpg</t>
  </si>
  <si>
    <t>Lanche / pão</t>
  </si>
  <si>
    <t>2100477</t>
  </si>
  <si>
    <t>2281518</t>
  </si>
  <si>
    <t>2100501</t>
  </si>
  <si>
    <t>FO-BRAN BEBIDAS (21/07/2026) - Bebidas</t>
  </si>
  <si>
    <t>Notas de Compras_Images/2c7bca24.Foto.192620.jpg</t>
  </si>
  <si>
    <t>Notas de Compras_Images/2c7bca24.Foto 1.190903.jpg</t>
  </si>
  <si>
    <t>2285033</t>
  </si>
  <si>
    <t>2100505</t>
  </si>
  <si>
    <t>Amadelli (22/07/2026) - Pedido seco</t>
  </si>
  <si>
    <t>Notas de Compras_Images/ef172c6d.Foto.184010.jpg</t>
  </si>
  <si>
    <t>Morangos de vacaria (22/07/2026) - 12 kg de morangos</t>
  </si>
  <si>
    <t>Notas de Compras_Images/387f3b5f.Foto.190745.jpg</t>
  </si>
  <si>
    <t>12 kg de morangos</t>
  </si>
  <si>
    <t>2286811</t>
  </si>
  <si>
    <t>86121710</t>
  </si>
  <si>
    <t>Casa da segurança (24/07/2026) - Compra de luva para uso da máquina de casquinha</t>
  </si>
  <si>
    <t>Notas de Compras_Images/3ec17019.Foto.114534.jpg</t>
  </si>
  <si>
    <t>Compra de luva para uso da máquina de casquinha</t>
  </si>
  <si>
    <t>2289656</t>
  </si>
  <si>
    <t>22714b53</t>
  </si>
  <si>
    <t>6d45ffc5</t>
  </si>
  <si>
    <t>Ferraz dedetização e sanitizacao (24/07/2026) - Dedetizacao da loja</t>
  </si>
  <si>
    <t>Notas de Compras_Images/79f1a18e.Foto.171401.jpg</t>
  </si>
  <si>
    <t>Dedetizacao da loja</t>
  </si>
  <si>
    <t>Notas_Images/22714b53.Foto.152907.jpg</t>
  </si>
  <si>
    <t>2290341</t>
  </si>
  <si>
    <t>Notas_Images/22714b53.Foto 1.152907.jpg</t>
  </si>
  <si>
    <t>Notas_Images/22714b53.Foto 2.152907.jpg</t>
  </si>
  <si>
    <t>Myata supermercado (26/07/2026) - Lanche de domingo</t>
  </si>
  <si>
    <t>0d203a4d</t>
  </si>
  <si>
    <t>Notas de Compras_Images/f45c3750.Foto.193635.jpg</t>
  </si>
  <si>
    <t>2294354</t>
  </si>
  <si>
    <t>Notas_Images/0d203a4d.Foto.153036.jpg</t>
  </si>
  <si>
    <t>Notas_Images/0d203a4d.Foto 1.153036.jpg</t>
  </si>
  <si>
    <t>2101062</t>
  </si>
  <si>
    <t>2101305</t>
  </si>
  <si>
    <t>Boleto simples ( malha )</t>
  </si>
  <si>
    <t>Mercado VIA (23/07/2026) - Compra para a loja</t>
  </si>
  <si>
    <t>Notas de Compras_Images/8ddaa8a5.Foto.232634.jpg</t>
  </si>
  <si>
    <t>2298202</t>
  </si>
  <si>
    <t>Mercado VIA (27/07/2026) - Compras para loja</t>
  </si>
  <si>
    <t>Notas de Compras_Images/0ff90e1a.Foto.232902.jpg</t>
  </si>
  <si>
    <t>2298193</t>
  </si>
  <si>
    <t>Amadelli (29/07/2026) - Pedido gelado</t>
  </si>
  <si>
    <t>Notas de Compras_Images/92a94a3b.Foto.203917.jpg</t>
  </si>
  <si>
    <t>Notas de Compras_Images/92a94a3b.Foto 1.203917.jpg</t>
  </si>
  <si>
    <t>Notas de Compras_Images/92a94a3b.Foto 2.203917.jpg</t>
  </si>
  <si>
    <t>eac9210a</t>
  </si>
  <si>
    <t>Simão Perovano Ltda (29/07/2026) - Compra de bebidas</t>
  </si>
  <si>
    <t>Notas de Compras_Images/870087be.Foto.231338.jpg</t>
  </si>
  <si>
    <t>2300077</t>
  </si>
  <si>
    <t>Myata supermercado (29/07/2026) - Compra de uva</t>
  </si>
  <si>
    <t>Notas de Compras_Images/25d02d47.Foto.200052.jpg</t>
  </si>
  <si>
    <t>2301264</t>
  </si>
  <si>
    <t>FO-BRAN BEBIDAS (31/07/2026) - Bebidas</t>
  </si>
  <si>
    <t>Notas de Compras_Images/d3a631cc.Foto.220954.jpg</t>
  </si>
  <si>
    <t>2303441</t>
  </si>
  <si>
    <t>Franciosi (31/07/2026) - Manga</t>
  </si>
  <si>
    <t>Notas de Compras_Images/9be069a9.Foto.221142.jpg</t>
  </si>
  <si>
    <t>Manga</t>
  </si>
  <si>
    <t>2303438</t>
  </si>
  <si>
    <t>2106614</t>
  </si>
  <si>
    <t>Casa Fagundes embalagens (31/07/2026) - Papel filme</t>
  </si>
  <si>
    <t>Notas de Compras_Images/e18b23c0.Foto.221413.jpg</t>
  </si>
  <si>
    <t>Papel filme</t>
  </si>
  <si>
    <t>2303437</t>
  </si>
  <si>
    <t>2106610</t>
  </si>
  <si>
    <t>Via atacado (31/07/2026) - Compra para loja</t>
  </si>
  <si>
    <t>Notas de Compras_Images/496e89c7.Foto.221800.jpg</t>
  </si>
  <si>
    <t>2303432</t>
  </si>
  <si>
    <t>2106663</t>
  </si>
  <si>
    <t>Via atacado (31/07/2026) - Uvas para loja</t>
  </si>
  <si>
    <t>Notas de Compras_Images/ad997357.Foto.221926.jpg</t>
  </si>
  <si>
    <t>2106658</t>
  </si>
  <si>
    <t>2303428</t>
  </si>
  <si>
    <t>Copiadora taliana (01/08/2026) - Compra de impressões para loja</t>
  </si>
  <si>
    <t>Notas de Compras_Images/cfdb5ad7.Foto.223920.jpg</t>
  </si>
  <si>
    <t>Compra de impressões para loja</t>
  </si>
  <si>
    <t>2106617</t>
  </si>
  <si>
    <t>2305736</t>
  </si>
  <si>
    <t>Casa Fagundes embalagens (01/08/2026) - Compra de produtos para loja</t>
  </si>
  <si>
    <t>Notas de Compras_Images/46c1f19a.Foto.224102.jpg</t>
  </si>
  <si>
    <t>2106669</t>
  </si>
  <si>
    <t>2305743</t>
  </si>
  <si>
    <t>Férias 10/08 a 30/08 Sabrina (20 dias)</t>
  </si>
  <si>
    <t>2112625</t>
  </si>
  <si>
    <t>Recarga celular programada ok</t>
  </si>
  <si>
    <t>2112660</t>
  </si>
  <si>
    <t>2113040</t>
  </si>
  <si>
    <t>2113039</t>
  </si>
  <si>
    <t>2113038</t>
  </si>
  <si>
    <t>8e6e0993</t>
  </si>
  <si>
    <t>Celesc (08/04/2026) - Conta de luz</t>
  </si>
  <si>
    <t>Notas_Images/8e6e0993.Foto.174504.jpg</t>
  </si>
  <si>
    <t>66aa6905</t>
  </si>
  <si>
    <t>Notas_Images/66aa6905.Foto.200109.jpg</t>
  </si>
  <si>
    <t>Notas_Images/66aa6905.Foto 1.200109.jpg</t>
  </si>
  <si>
    <t>Notas_Images/66aa6905.Foto 2.200108.jpg</t>
  </si>
  <si>
    <t>2113024</t>
  </si>
  <si>
    <t>2115691</t>
  </si>
  <si>
    <t>2115458</t>
  </si>
  <si>
    <t>2112327</t>
  </si>
  <si>
    <t>2117386</t>
  </si>
  <si>
    <t>2118011</t>
  </si>
  <si>
    <t>2118854</t>
  </si>
  <si>
    <t>96d0e3e4</t>
  </si>
  <si>
    <t>c5639477</t>
  </si>
  <si>
    <t>Pro food (10/04/2026) - Embalagens</t>
  </si>
  <si>
    <t>Notas_Images/96d0e3e4.Foto.184534.jpg</t>
  </si>
  <si>
    <t>a3cf3092</t>
  </si>
  <si>
    <t>Profood (10/04/2026) - Embalagens</t>
  </si>
  <si>
    <t>Notas_Images/a3cf3092.Foto.184922.jpg</t>
  </si>
  <si>
    <t>9075fa6b</t>
  </si>
  <si>
    <t>Notas_Images/9075fa6b.Foto.210458.jpg</t>
  </si>
  <si>
    <t>2125748</t>
  </si>
  <si>
    <t>2125745</t>
  </si>
  <si>
    <t>2125744</t>
  </si>
  <si>
    <t>2125747</t>
  </si>
  <si>
    <t>2128412</t>
  </si>
  <si>
    <t>d80dcaf7</t>
  </si>
  <si>
    <t>Notas_Images/d80dcaf7.Foto.193549.jpg</t>
  </si>
  <si>
    <t>Notas_Images/d80dcaf7.Foto 1.193549.jpg</t>
  </si>
  <si>
    <t>Notas_Images/d80dcaf7.Foto 2.193550.jpg</t>
  </si>
  <si>
    <t>2128894</t>
  </si>
  <si>
    <t>2130183</t>
  </si>
  <si>
    <t>2130811</t>
  </si>
  <si>
    <t>ae6fa07d</t>
  </si>
  <si>
    <t>Notas_Images/ae6fa07d.Foto.003359.jpg</t>
  </si>
  <si>
    <t>Notas_Images/ae6fa07d.Foto 1.003359.jpg</t>
  </si>
  <si>
    <t>2133306</t>
  </si>
  <si>
    <t>2133315</t>
  </si>
  <si>
    <t>2137970</t>
  </si>
  <si>
    <t>2137974</t>
  </si>
  <si>
    <t>2137669</t>
  </si>
  <si>
    <t>2137965</t>
  </si>
  <si>
    <t>2142124</t>
  </si>
  <si>
    <t>2142650</t>
  </si>
  <si>
    <t>2142675</t>
  </si>
  <si>
    <t>Janaina</t>
  </si>
  <si>
    <t>2145385</t>
  </si>
  <si>
    <t>2149682</t>
  </si>
  <si>
    <t>2149678</t>
  </si>
  <si>
    <t>Sangria 700 Reais Sabrina 26/07</t>
  </si>
  <si>
    <t>2149671</t>
  </si>
  <si>
    <t>2149670</t>
  </si>
  <si>
    <t>2149667</t>
  </si>
  <si>
    <t>2149662</t>
  </si>
  <si>
    <t>2149660</t>
  </si>
  <si>
    <t>2152363</t>
  </si>
  <si>
    <t>R$ 45,30</t>
  </si>
  <si>
    <t>lanche dos entregadores da amadeli |</t>
  </si>
  <si>
    <t>2153823</t>
  </si>
  <si>
    <t>Amadelli (28/04/2026) - Pedido gelado</t>
  </si>
  <si>
    <t>Amadelli (28/04/2026) - Suporte para as bolas da copa</t>
  </si>
  <si>
    <t>pagamento grátis indianara</t>
  </si>
  <si>
    <t>dae1eba0</t>
  </si>
  <si>
    <t>Notas_Images/dae1eba0.Foto.001758.jpg</t>
  </si>
  <si>
    <t>Notas_Images/dae1eba0.Foto 1.001758.jpg</t>
  </si>
  <si>
    <t>R$ 81,38</t>
  </si>
  <si>
    <t>compras de lanche para intervalo</t>
  </si>
  <si>
    <t>R$ 111,00</t>
  </si>
  <si>
    <t>pagamento grátis janaina</t>
  </si>
  <si>
    <t>Amadelli (28/04/2026) - Carga seca</t>
  </si>
  <si>
    <t>afa30a6d</t>
  </si>
  <si>
    <t>Amadelli (28/04/2026) - Carga seca a</t>
  </si>
  <si>
    <t>Carga seca a</t>
  </si>
  <si>
    <t>Notas_Images/afa30a6d.Foto.221248.jpg</t>
  </si>
  <si>
    <t>Notas_Images/afa30a6d.Foto 1.221248.jpg</t>
  </si>
  <si>
    <t>Notas_Images/afa30a6d.Foto 2.221248.jpg</t>
  </si>
  <si>
    <t>pagamento grátis jaqueline</t>
  </si>
  <si>
    <t>2158776</t>
  </si>
  <si>
    <t>2161390</t>
  </si>
  <si>
    <t>2161402</t>
  </si>
  <si>
    <t>Sangria 26/07 Sabrina</t>
  </si>
  <si>
    <t>2162791</t>
  </si>
  <si>
    <t>2162793</t>
  </si>
  <si>
    <t>2162796</t>
  </si>
  <si>
    <t>R$ 92,87</t>
  </si>
  <si>
    <t>2162799</t>
  </si>
  <si>
    <t>2166491</t>
  </si>
  <si>
    <t>R$ 65,00</t>
  </si>
  <si>
    <t>Pagamento gratuito das 14h às 19h</t>
  </si>
  <si>
    <t>R$ 11,37</t>
  </si>
  <si>
    <t>R$ 11,62</t>
  </si>
  <si>
    <t>Frutas para a loja</t>
  </si>
  <si>
    <t>2155172</t>
  </si>
  <si>
    <t>2171529</t>
  </si>
  <si>
    <t>2e1b3a48</t>
  </si>
  <si>
    <t>Celesc (05/05/2026) - Conta de luz</t>
  </si>
  <si>
    <t>Notas_Images/2e1b3a48.Foto.193500.jpg</t>
  </si>
  <si>
    <t>R$ 1.300,00</t>
  </si>
  <si>
    <t>SANGRIA 27/07 RAYANNA</t>
  </si>
  <si>
    <t>2171637</t>
  </si>
  <si>
    <t>2171638</t>
  </si>
  <si>
    <t>Pagamento janaina free das 14h às 21h</t>
  </si>
  <si>
    <t>2172766</t>
  </si>
  <si>
    <t>2173171</t>
  </si>
  <si>
    <t>2176388</t>
  </si>
  <si>
    <t>R$ 50,23</t>
  </si>
  <si>
    <t>ganhadora do sorteio do insta soyane</t>
  </si>
  <si>
    <t>Prefeitura Curitibanos (07/05/2026) - Panfletos para loja</t>
  </si>
  <si>
    <t>2178393</t>
  </si>
  <si>
    <t>R$ 22,11</t>
  </si>
  <si>
    <t>ganhadora do sorteio do insta maribel aparecida tavares lima</t>
  </si>
  <si>
    <t>Amadelli (12/05/2026) - Sorvete 5L</t>
  </si>
  <si>
    <t>Amadelli (12/05/2026) - Kit festa</t>
  </si>
  <si>
    <t>Amadelli (12/05/2026) - Petit gateau</t>
  </si>
  <si>
    <t>SANGRIA RAYANNA 29/07/2025</t>
  </si>
  <si>
    <t>Amadelli (12/05/2026) - Sorvetes açais e bites</t>
  </si>
  <si>
    <t>f411e175</t>
  </si>
  <si>
    <t>Notas_Images/f411e175.Foto.203534.jpg</t>
  </si>
  <si>
    <t>7fc8aa30</t>
  </si>
  <si>
    <t>Amadelli (12/05/2026) - Sorvetes acais bites e potes</t>
  </si>
  <si>
    <t>Sorvetes acais bites e potes</t>
  </si>
  <si>
    <t>Notas_Images/7fc8aa30.Foto.203914.jpg</t>
  </si>
  <si>
    <t>Notas_Images/7fc8aa30.Foto 1.203914.jpg</t>
  </si>
  <si>
    <t>R$ 41,74</t>
  </si>
  <si>
    <t>2b27b373</t>
  </si>
  <si>
    <t>Notas_Images/2b27b373.Foto.204613.jpg</t>
  </si>
  <si>
    <t>6ad122f5</t>
  </si>
  <si>
    <t>Amadelli (12/05/2026) - Sorvetes 5L</t>
  </si>
  <si>
    <t>Sorvetes 5L</t>
  </si>
  <si>
    <t>Notas_Images/6ad122f5.Foto.204725.jpg</t>
  </si>
  <si>
    <t>2179927</t>
  </si>
  <si>
    <t>2179929</t>
  </si>
  <si>
    <t>2181119</t>
  </si>
  <si>
    <t>2181116</t>
  </si>
  <si>
    <t>2181112</t>
  </si>
  <si>
    <t>R$ 47,16</t>
  </si>
  <si>
    <t>2181033</t>
  </si>
  <si>
    <t>Amadelli (28/04/2026) - Acai light</t>
  </si>
  <si>
    <t>R$ 71,91</t>
  </si>
  <si>
    <t>esponja pra louça e suco de abacaxi</t>
  </si>
  <si>
    <t>2186154</t>
  </si>
  <si>
    <t>2186155</t>
  </si>
  <si>
    <t>2186158</t>
  </si>
  <si>
    <t>2186156</t>
  </si>
  <si>
    <t>2186268</t>
  </si>
  <si>
    <t>2187454</t>
  </si>
  <si>
    <t>R$ 36,30</t>
  </si>
  <si>
    <t>ganhadora do sorteio do insta jaqueline alves</t>
  </si>
  <si>
    <t>2188612</t>
  </si>
  <si>
    <t>R$ 25,94</t>
  </si>
  <si>
    <t>consumo da nossa influencer(divulgar o sorteio)</t>
  </si>
  <si>
    <t>consumo ana</t>
  </si>
  <si>
    <t>Amadelli (12/05/2026) - Açaí light</t>
  </si>
  <si>
    <t>eedf8b81</t>
  </si>
  <si>
    <t>Sangria 30/07 Sabrina</t>
  </si>
  <si>
    <t>Notas_Images/eedf8b81.Foto.225818.jpg</t>
  </si>
  <si>
    <t>R$ 131,63</t>
  </si>
  <si>
    <t>compra de pano azul (o valor foi 107,64 porem teve taxa de entrega)</t>
  </si>
  <si>
    <t>2190850</t>
  </si>
  <si>
    <t>e53e77a6</t>
  </si>
  <si>
    <t>Notas_Images/e53e77a6.Foto.175544.jpg</t>
  </si>
  <si>
    <t>R$ 20,06</t>
  </si>
  <si>
    <t>R$ 19,13</t>
  </si>
  <si>
    <t>compra de frutas</t>
  </si>
  <si>
    <t>2191113</t>
  </si>
  <si>
    <t>2193456</t>
  </si>
  <si>
    <t>R$ 11,00</t>
  </si>
  <si>
    <t>2193453</t>
  </si>
  <si>
    <t>fita dupla face para loja</t>
  </si>
  <si>
    <t>R$ 500,40</t>
  </si>
  <si>
    <t>2195678</t>
  </si>
  <si>
    <t>2195676</t>
  </si>
  <si>
    <t>R$ 18,00</t>
  </si>
  <si>
    <t>impressoes para loja</t>
  </si>
  <si>
    <t>2195675</t>
  </si>
  <si>
    <t>2182142</t>
  </si>
  <si>
    <t>Sangria 31/07 Sabrina</t>
  </si>
  <si>
    <t>c673b5d2</t>
  </si>
  <si>
    <t>Notas_Images/c673b5d2.Foto.173710.jpg</t>
  </si>
  <si>
    <t>68893939</t>
  </si>
  <si>
    <t>f59223a6</t>
  </si>
  <si>
    <t>Notas_Images/f59223a6.Foto.193420.jpg</t>
  </si>
  <si>
    <t>R$ 70,46</t>
  </si>
  <si>
    <t>2196908</t>
  </si>
  <si>
    <t>R$ 300,00</t>
  </si>
  <si>
    <t>100 reais em moedas e 200 em cédulas de 5 e 2 reais trocadas com cliente</t>
  </si>
  <si>
    <t>2197022</t>
  </si>
  <si>
    <t>2198369</t>
  </si>
  <si>
    <t>100 reais em moedas e 200 reais em cédulas trocadas com clientes e guardadas no ármario</t>
  </si>
  <si>
    <t>2198367</t>
  </si>
  <si>
    <t>2198361</t>
  </si>
  <si>
    <t>R$ 31,58</t>
  </si>
  <si>
    <t>2198477</t>
  </si>
  <si>
    <t>R$ 49,71</t>
  </si>
  <si>
    <t>Sangria Sabrina 01/08</t>
  </si>
  <si>
    <t>2199270</t>
  </si>
  <si>
    <t>2200656</t>
  </si>
  <si>
    <t>Amadelli (12/05/2026) - Carga seca</t>
  </si>
  <si>
    <t>beb1064d</t>
  </si>
  <si>
    <t>Notas_Images/beb1064d.Foto.175811.jpg</t>
  </si>
  <si>
    <t>Notas_Images/beb1064d.Foto 1.175811.jpg</t>
  </si>
  <si>
    <t>R$ 46,26</t>
  </si>
  <si>
    <t>CONSUMO INFLUENCER</t>
  </si>
  <si>
    <t>R$ 155,00</t>
  </si>
  <si>
    <t>frutas para loja</t>
  </si>
  <si>
    <t>R$ 546,05</t>
  </si>
  <si>
    <t>compra de lanches, e produtos de limpeza</t>
  </si>
  <si>
    <t>R$ 50,50</t>
  </si>
  <si>
    <t>frutas e lanche da tarde</t>
  </si>
  <si>
    <t>2203061</t>
  </si>
  <si>
    <t>R$ 386,00</t>
  </si>
  <si>
    <t>compra de touca luva e papel toalha</t>
  </si>
  <si>
    <t>2203058</t>
  </si>
  <si>
    <t>SANGRIA 02/08/2025 RAYANNA</t>
  </si>
  <si>
    <t>2201150</t>
  </si>
  <si>
    <t>compra de morangos feito por pix Joice</t>
  </si>
  <si>
    <t>2206781</t>
  </si>
  <si>
    <t>R$ 47,41</t>
  </si>
  <si>
    <t>consumo rayanna</t>
  </si>
  <si>
    <t>R$ 110,00</t>
  </si>
  <si>
    <t>Priscila grátis das 14h00 às 22h30</t>
  </si>
  <si>
    <t>R$ 65,56</t>
  </si>
  <si>
    <t>2207853</t>
  </si>
  <si>
    <t>2207855</t>
  </si>
  <si>
    <t>R$ 29,39</t>
  </si>
  <si>
    <t>2206592</t>
  </si>
  <si>
    <t>Vinicius Livre 14h às 22h30</t>
  </si>
  <si>
    <t>cbc7ac86</t>
  </si>
  <si>
    <t>Notas_Images/cbc7ac86.Foto.183408.jpg</t>
  </si>
  <si>
    <t>2208078</t>
  </si>
  <si>
    <t>R$ 76,22</t>
  </si>
  <si>
    <t>2208148</t>
  </si>
  <si>
    <t>R$ 15,90</t>
  </si>
  <si>
    <t>2213534</t>
  </si>
  <si>
    <t>2213528</t>
  </si>
  <si>
    <t>2218865</t>
  </si>
  <si>
    <t>R$ 41,80</t>
  </si>
  <si>
    <t>2216295</t>
  </si>
  <si>
    <t>3cd1a143</t>
  </si>
  <si>
    <t>Celesc Curitibanos (10/06/2026) - Conta de luz</t>
  </si>
  <si>
    <t>Notas_Images/3cd1a143.Foto.144030.jpg</t>
  </si>
  <si>
    <t>R$ 72,00</t>
  </si>
  <si>
    <t>2221826</t>
  </si>
  <si>
    <t>pagamento jana grátis</t>
  </si>
  <si>
    <t>sangria sabrina 29/08</t>
  </si>
  <si>
    <t>R$ 950,00</t>
  </si>
  <si>
    <t>Sangria Sabrina 03/08</t>
  </si>
  <si>
    <t>R$ 34,38</t>
  </si>
  <si>
    <t>retirada de copo de 300ml, ref a troca de moedas</t>
  </si>
  <si>
    <t>R$ 37,45</t>
  </si>
  <si>
    <t>R$ 20,00</t>
  </si>
  <si>
    <t>2222852</t>
  </si>
  <si>
    <t>voucher ref a sorteio. autorizado pela joice a funcionarios da farmacia do andre</t>
  </si>
  <si>
    <t>R$ 37,83</t>
  </si>
  <si>
    <t>2222848</t>
  </si>
  <si>
    <t>2222850</t>
  </si>
  <si>
    <t>R$ 11,50</t>
  </si>
  <si>
    <t>placa para loja de ABERTO e FECHADO</t>
  </si>
  <si>
    <t>2223993</t>
  </si>
  <si>
    <t>SANGRIA REALIZADA POR RAYANNA DIA 30/08/25</t>
  </si>
  <si>
    <t>2223991</t>
  </si>
  <si>
    <t>2223990</t>
  </si>
  <si>
    <t>impressoes para loja |</t>
  </si>
  <si>
    <t>2223989</t>
  </si>
  <si>
    <t>Sabrina free das 14h ate as 19h30</t>
  </si>
  <si>
    <t>2223253</t>
  </si>
  <si>
    <t>R$ 6,00</t>
  </si>
  <si>
    <t>pilhas para controle |</t>
  </si>
  <si>
    <t>2223252</t>
  </si>
  <si>
    <t>223255</t>
  </si>
  <si>
    <t>R$ 416,00</t>
  </si>
  <si>
    <t>luvas, papel toalha,canudo para loja</t>
  </si>
  <si>
    <t>R$ 35,02</t>
  </si>
  <si>
    <t>2225200</t>
  </si>
  <si>
    <t>2227162</t>
  </si>
  <si>
    <t>pagamento grátis sabrina do dia 21/07</t>
  </si>
  <si>
    <t>2229156</t>
  </si>
  <si>
    <t>7808ffdd</t>
  </si>
  <si>
    <t>Pro food (10/06/2026) - Embalagens</t>
  </si>
  <si>
    <t>84653062</t>
  </si>
  <si>
    <t>Notas_Images/84653062.Foto.211053.jpg</t>
  </si>
  <si>
    <t>2229983</t>
  </si>
  <si>
    <t>R$ 30,16</t>
  </si>
  <si>
    <t>camila free das 13h30 ate as 22h30</t>
  </si>
  <si>
    <t>karina free das 13h30 as 22h30</t>
  </si>
  <si>
    <t>Sangria Sabrina 05/08</t>
  </si>
  <si>
    <t>retirada de um voucher no valor de 20,00 que foi autorizada pela dona joice para os funcionarios da farmacia do andre</t>
  </si>
  <si>
    <t>R$ 380,64</t>
  </si>
  <si>
    <t>2232525</t>
  </si>
  <si>
    <t>bebidas para loja</t>
  </si>
  <si>
    <t>saida do voucher que foi lançado de uma maneira errada no sistema</t>
  </si>
  <si>
    <t>R$ 16,10</t>
  </si>
  <si>
    <t>R$ 102,76</t>
  </si>
  <si>
    <t>compra de uva e lanche para funcionários</t>
  </si>
  <si>
    <t>pagamento free jaque</t>
  </si>
  <si>
    <t>R$ 43,00</t>
  </si>
  <si>
    <t>compra de impressões e plastificações</t>
  </si>
  <si>
    <t>R$ 39,93</t>
  </si>
  <si>
    <t>Outros</t>
  </si>
  <si>
    <t>af544d3f</t>
  </si>
  <si>
    <t>compra de impressões</t>
  </si>
  <si>
    <t>Morangos vacaria (24/06/2026) - Compra de morangos</t>
  </si>
  <si>
    <t>Notas_Images/af544d3f.Foto.173312.jpg</t>
  </si>
  <si>
    <t>2240384</t>
  </si>
  <si>
    <t>2241760</t>
  </si>
  <si>
    <t>free karina 13h as 21h15</t>
  </si>
  <si>
    <t>R$ 8,99</t>
  </si>
  <si>
    <t>compra de sifão sanfonado |</t>
  </si>
  <si>
    <t>2241761</t>
  </si>
  <si>
    <t>3f210646</t>
  </si>
  <si>
    <t>Pro food (28/05/2026) - Embalagens</t>
  </si>
  <si>
    <t>Notas_Images/3f210646.Foto.200728.jpg</t>
  </si>
  <si>
    <t>saida de *39,93* CONSUMO SABRINA</t>
  </si>
  <si>
    <t>72218afc</t>
  </si>
  <si>
    <t>Notas_Images/72218afc.Foto.201124.jpg</t>
  </si>
  <si>
    <t>free gustavo 13h as 21h30</t>
  </si>
  <si>
    <t>R$ 25,05</t>
  </si>
  <si>
    <t>R$ 2.000,00</t>
  </si>
  <si>
    <t>sangria sabrina</t>
  </si>
  <si>
    <t>2245203</t>
  </si>
  <si>
    <t>2247908</t>
  </si>
  <si>
    <t>R$ 621,73</t>
  </si>
  <si>
    <t>46d12b07</t>
  </si>
  <si>
    <t>compras de frutas para loja</t>
  </si>
  <si>
    <t>Amadelli (01/07/2026) - Pedido gelado</t>
  </si>
  <si>
    <t>Notas_Images/46d12b07.Foto.230814.jpg</t>
  </si>
  <si>
    <t>Notas_Images/46d12b07.Foto 1.230814.jpg</t>
  </si>
  <si>
    <t>2ee95875</t>
  </si>
  <si>
    <t>Amadelli (01/07/2026) - Waffle</t>
  </si>
  <si>
    <t>Waffle</t>
  </si>
  <si>
    <t>Notas_Images/2ee95875.Foto.230942.jpg</t>
  </si>
  <si>
    <t>45dbf067</t>
  </si>
  <si>
    <t>Amadelli (23/06/2026) - Pedido seco</t>
  </si>
  <si>
    <t>R$ 47,54</t>
  </si>
  <si>
    <t>consumo sabrin</t>
  </si>
  <si>
    <t>Notas_Images/45dbf067.Foto.182946.jpg</t>
  </si>
  <si>
    <t>0185dea6</t>
  </si>
  <si>
    <t>Notas_Images/0185dea6.Foto.183317.jpg</t>
  </si>
  <si>
    <t>ebc7bbfc</t>
  </si>
  <si>
    <t>Notas_Images/ebc7bbfc.Foto.183738.jpg</t>
  </si>
  <si>
    <t>Notas_Images/ebc7bbfc.Foto 1.183738.jpg</t>
  </si>
  <si>
    <t>cola universal pegamil para loja</t>
  </si>
  <si>
    <t>SANGRIA REALIZADA POR SABRINA DIA 31/08 Pega por rayanna Para pagamento de morangos.</t>
  </si>
  <si>
    <t>R$ 312,00</t>
  </si>
  <si>
    <t>produtos de limpeza para loja</t>
  </si>
  <si>
    <t>pagamento de morangos.</t>
  </si>
  <si>
    <t>SANGRIA REALIZADA POR RAYANNA DIA 01/09</t>
  </si>
  <si>
    <t>protetor de tomada para loja</t>
  </si>
  <si>
    <t>R$ 272,22</t>
  </si>
  <si>
    <t>PAGAMENTO DE BEBIDAS</t>
  </si>
  <si>
    <t>R$ 31,95</t>
  </si>
  <si>
    <t>R$ 15,34</t>
  </si>
  <si>
    <t>R$ 22,75</t>
  </si>
  <si>
    <t>R$ 22,85</t>
  </si>
  <si>
    <t>lanche para funcionarios da loja</t>
  </si>
  <si>
    <t>R$ 36,55</t>
  </si>
  <si>
    <t>R$ 17,13</t>
  </si>
  <si>
    <t>R$ 650,00</t>
  </si>
  <si>
    <t>SANGRIA MARCOS 01/09</t>
  </si>
  <si>
    <t>R$ 60,00</t>
  </si>
  <si>
    <t>Pagamento Camila grátis 13h30 às 18h00</t>
  </si>
  <si>
    <t>trocas de cédulas com cliente</t>
  </si>
  <si>
    <t>R$ 10,74</t>
  </si>
  <si>
    <t>Cosumo Rayana</t>
  </si>
  <si>
    <t>troca de cédulas com cliente guardadas no ármario</t>
  </si>
  <si>
    <t>R$ 95,00</t>
  </si>
  <si>
    <t>compra de adesivo</t>
  </si>
  <si>
    <t>a saída no valor de 5,00 está marcado como sabrina mas é para funcionar rayanna erro de digitação.</t>
  </si>
  <si>
    <t>R$ 28,75</t>
  </si>
  <si>
    <t>Ana Carolina</t>
  </si>
  <si>
    <t>R$ 38,65</t>
  </si>
  <si>
    <t>PAGAMENTO GRÁTIS CAMILA</t>
  </si>
  <si>
    <t>PAGAMENTO GRÁTIS GUSTAVO</t>
  </si>
  <si>
    <t>R$ 2.200,00</t>
  </si>
  <si>
    <t>SANGRIA 10/08 SABRINA</t>
  </si>
  <si>
    <t>R$ 37,84</t>
  </si>
  <si>
    <t>troca de moedas com cliente</t>
  </si>
  <si>
    <t>R$ 260,00</t>
  </si>
  <si>
    <t>adesivos do buffet e sorvetes para loja</t>
  </si>
  <si>
    <t>moedas trocadas com cliente guardadas no ármario</t>
  </si>
  <si>
    <t>R$ 58,29</t>
  </si>
  <si>
    <t>R$ 7,96</t>
  </si>
  <si>
    <t>sangria 03/09 sabrina</t>
  </si>
  <si>
    <t>R$ 43,80</t>
  </si>
  <si>
    <t>PAGAMENTO DE PLACA EM ACRÍLICO PARA FOLHA A4 2 UNIDADES (MERCADO LIVRE)</t>
  </si>
  <si>
    <t>SANGRIA REALIZADA POR SABRINA DIA 03/09 pega por rayanna para pagamento de morangos.</t>
  </si>
  <si>
    <t>R$ 18,57</t>
  </si>
  <si>
    <t>R$ 280,00</t>
  </si>
  <si>
    <t>copias de chave da loja</t>
  </si>
  <si>
    <t>R$ 8,67</t>
  </si>
  <si>
    <t>lanche para funcionarios.</t>
  </si>
  <si>
    <t>caneta de dinheiro para loja</t>
  </si>
  <si>
    <t>R$ 16,36</t>
  </si>
  <si>
    <t>R$ 356,92</t>
  </si>
  <si>
    <t>frutas e luvas para loja</t>
  </si>
  <si>
    <t>R$ 12,14</t>
  </si>
  <si>
    <t>R$ 17,70</t>
  </si>
  <si>
    <t>compra de bisnaga para máquina de crédito e débito</t>
  </si>
  <si>
    <t>R$ 550,00</t>
  </si>
  <si>
    <t>sangria sabrina 04/09</t>
  </si>
  <si>
    <t>R$ 30,18</t>
  </si>
  <si>
    <t>consumo rayana</t>
  </si>
  <si>
    <t>R$ 33,10</t>
  </si>
  <si>
    <t>R$ 27,22</t>
  </si>
  <si>
    <t>R$ 44,47</t>
  </si>
  <si>
    <t>R$ 400,00</t>
  </si>
  <si>
    <t>Sangria 12/08 Sabrina</t>
  </si>
  <si>
    <t>sangria 05/09 sabrina</t>
  </si>
  <si>
    <t>R$ 8,28</t>
  </si>
  <si>
    <t>cacho de banana para loja</t>
  </si>
  <si>
    <t>R$ 6,45</t>
  </si>
  <si>
    <t>lanche para os funcionarios da loja</t>
  </si>
  <si>
    <t>R$ 61,60</t>
  </si>
  <si>
    <t>SANGRIA REALIZADA POR RAYANNA DIA 06/09/25</t>
  </si>
  <si>
    <t>R$ 35,91</t>
  </si>
  <si>
    <t>PAGAMENTO FREE VINICIUS DAS 13H AS 22H30</t>
  </si>
  <si>
    <t>R$ 30,45</t>
  </si>
  <si>
    <t>pagamento free gustavo 07/09</t>
  </si>
  <si>
    <t>Sangria Sabrina 13/08</t>
  </si>
  <si>
    <t>R$ 51,09</t>
  </si>
  <si>
    <t>Cliente gabriella da silva, ganhou copo 300ml, troca de cedulas e modas.</t>
  </si>
  <si>
    <t>dinheiro pego do armario la de cima, para pagamento de morangos.</t>
  </si>
  <si>
    <t>R$ 24,03</t>
  </si>
  <si>
    <t>R$ 139,95</t>
  </si>
  <si>
    <t>R$ 330,00</t>
  </si>
  <si>
    <t>pagamento de morangos</t>
  </si>
  <si>
    <t>Sangria aberta por rayanna, no valor de 650,00 reais , sangria realizada por rayanna no dia 06/09 pega para pagamento de morangos.</t>
  </si>
  <si>
    <t>3 voucher de 20,00 reais, disponibilizado para sabrina/andre da farmacia</t>
  </si>
  <si>
    <t>R$ 57,38</t>
  </si>
  <si>
    <t>consumo da nossa influencer (gravou video hoje para loja)</t>
  </si>
  <si>
    <t>troca de cedulas e moedas</t>
  </si>
  <si>
    <t>R$ 641,00</t>
  </si>
  <si>
    <t>pago do caixa, para troca de cedulas</t>
  </si>
  <si>
    <t>pagamento para funcionaria janaina lanche feito para reunião do dia 25/09</t>
  </si>
  <si>
    <t>entrada no armário troco de 250,00 reais</t>
  </si>
  <si>
    <t>entrada de 641,00 reaiis de troco para o caixa la de cima, entrada realizada por rayanna</t>
  </si>
  <si>
    <t>R$ 100,00</t>
  </si>
  <si>
    <t>pagamento para funcionaria sabrina lanche feito para reunião do dia 25/09</t>
  </si>
  <si>
    <t>o ID 1668884 foi feito uma entrda apenas de 0,1 porem é de $650</t>
  </si>
  <si>
    <t>entrada no armário de 100reais troca com cliente</t>
  </si>
  <si>
    <t>R$ 22,00</t>
  </si>
  <si>
    <t>pagamento feito errado do free de janaina 25/09 (16h 30 as 22h30) total 78 reais porem foi pagado 56 reais</t>
  </si>
  <si>
    <t>copo de cliente troca de moedas</t>
  </si>
  <si>
    <t>compra e refri 25/09</t>
  </si>
  <si>
    <t>R$ 350,00</t>
  </si>
  <si>
    <t>sangria 08/09 sabrina</t>
  </si>
  <si>
    <t>R$ 522,47</t>
  </si>
  <si>
    <t>pagamento free flavio 14h as 20h</t>
  </si>
  <si>
    <t>pagamento free sabrina 17h as 23h</t>
  </si>
  <si>
    <t>R$ 135,00</t>
  </si>
  <si>
    <t>pagamento free janaina 14h as 23h</t>
  </si>
  <si>
    <t>R$ 19,68</t>
  </si>
  <si>
    <t>sangria sabrina 27/09</t>
  </si>
  <si>
    <t>R$ 12,65</t>
  </si>
  <si>
    <t>pagamento free flavio 14h as 19h</t>
  </si>
  <si>
    <t>R$ 225,00</t>
  </si>
  <si>
    <t>COMPRA DE MATERIAIS DE LIMPEZA</t>
  </si>
  <si>
    <t>pagamento free gustavo 13h as 22h</t>
  </si>
  <si>
    <t>Sangria 15/08 Sabrina</t>
  </si>
  <si>
    <t>sangria sabrina 28/09</t>
  </si>
  <si>
    <t>SANGRIA 09/09 SABRINA</t>
  </si>
  <si>
    <t>R$ 441,40</t>
  </si>
  <si>
    <t>R$ 62,38</t>
  </si>
  <si>
    <t>pago água do prédio</t>
  </si>
  <si>
    <t>R$ 825,00</t>
  </si>
  <si>
    <t>morangos para loja</t>
  </si>
  <si>
    <t>R$ 30,90</t>
  </si>
  <si>
    <t>R$ 256,81</t>
  </si>
  <si>
    <t>compra de frutas 09/09</t>
  </si>
  <si>
    <t>R$ 37,15</t>
  </si>
  <si>
    <t>Outros, conforme abaixo</t>
  </si>
  <si>
    <t>R$ 14,75</t>
  </si>
  <si>
    <t>compra de lanche 07/09</t>
  </si>
  <si>
    <t>Pagamento Camila grátis 14h às 21h</t>
  </si>
  <si>
    <t>R$ 382,10</t>
  </si>
  <si>
    <t>compra de frutas e produtos de limpeza 01/09</t>
  </si>
  <si>
    <t>saida de 5 reais referente CONSUMO ANA</t>
  </si>
  <si>
    <t>Vinicius GRÁTIS 14h às 22h</t>
  </si>
  <si>
    <t>R$ 224,70</t>
  </si>
  <si>
    <t>compra de frutas 05/09</t>
  </si>
  <si>
    <t>R$ 15,72</t>
  </si>
  <si>
    <t>venda lançada de uma forma errada, mas depois corrigida para forma correta</t>
  </si>
  <si>
    <t>R$ 50,35</t>
  </si>
  <si>
    <t>compra de lanche e frutas</t>
  </si>
  <si>
    <t>R$ 41,92</t>
  </si>
  <si>
    <t>R$ 11,25</t>
  </si>
  <si>
    <t>Outros (Consumo Sabrina)</t>
  </si>
  <si>
    <t>R$ 11,12</t>
  </si>
  <si>
    <t>pagamento grátis camila</t>
  </si>
  <si>
    <t>SANGRIA SABRINA 29/09</t>
  </si>
  <si>
    <t>troca de cedulas, 100,00 em cedulas de 2 reais. realizada por rayanna.</t>
  </si>
  <si>
    <t>pagamento grátis karina</t>
  </si>
  <si>
    <t>R$ 477,00</t>
  </si>
  <si>
    <t>pagamento livre arthur</t>
  </si>
  <si>
    <t>R$ 6,29</t>
  </si>
  <si>
    <t>pagamento de bebidas</t>
  </si>
  <si>
    <t>R$ 15,65</t>
  </si>
  <si>
    <t>compra de lanche</t>
  </si>
  <si>
    <t>pagamento de 18kg de morangos CASA FRANÇA</t>
  </si>
  <si>
    <t>R$ 220,00</t>
  </si>
  <si>
    <t>dinheiro pego do armario para pagamento de morangos.</t>
  </si>
  <si>
    <t>R$ 51,50</t>
  </si>
  <si>
    <t>R$ 9,97</t>
  </si>
  <si>
    <t>Sangria 17/08 Sabrina</t>
  </si>
  <si>
    <t>R$ 15,99</t>
  </si>
  <si>
    <t>R$ 645,69</t>
  </si>
  <si>
    <t>compra de frutas e produtos de limpeza</t>
  </si>
  <si>
    <t>R$ 48,52</t>
  </si>
  <si>
    <t>produtos de higiene para loja</t>
  </si>
  <si>
    <t>troca de cédulas com cliente</t>
  </si>
  <si>
    <t>R$ 25,43</t>
  </si>
  <si>
    <t>troca de dinheiro com clintes referentes a dois copos de 300 ml</t>
  </si>
  <si>
    <t>R$ 28,24</t>
  </si>
  <si>
    <t>R$ 202,00</t>
  </si>
  <si>
    <t>R$ 35,40</t>
  </si>
  <si>
    <t>copos de cliente troca de troco</t>
  </si>
  <si>
    <t>entrada de 202,85 no caixa/armário</t>
  </si>
  <si>
    <t>entrada do armario la de cima, para deposito</t>
  </si>
  <si>
    <t>troca de moedas com cliente COPIADORA TALIANA</t>
  </si>
  <si>
    <t>troca de dinheiro com cliente</t>
  </si>
  <si>
    <t>100 reais em moedas entrada armario troco</t>
  </si>
  <si>
    <t>saida para deposito</t>
  </si>
  <si>
    <t>entrada de 200 reais guardado no armário 18/08</t>
  </si>
  <si>
    <t>R$ 26,20</t>
  </si>
  <si>
    <t>R$ 17,59</t>
  </si>
  <si>
    <t>compra de banana 12/09</t>
  </si>
  <si>
    <t>compra de morango |</t>
  </si>
  <si>
    <t>compra de luva e papel toalha</t>
  </si>
  <si>
    <t>pagamento de bebidas feito pela joice no pix</t>
  </si>
  <si>
    <t>R$ 55,77</t>
  </si>
  <si>
    <t>compra de suco</t>
  </si>
  <si>
    <t>consumo janaina</t>
  </si>
  <si>
    <t>R$ 15,46</t>
  </si>
  <si>
    <t>R$ 36,17</t>
  </si>
  <si>
    <t>retirada de dois copos 300ml da troca de cedulas e moedas.</t>
  </si>
  <si>
    <t>100 reais de troca com cliente guardada no armário 20/08</t>
  </si>
  <si>
    <t>R$ 21,96</t>
  </si>
  <si>
    <t>compra de lanches</t>
  </si>
  <si>
    <t>troca de moedas e cédulas com cliente</t>
  </si>
  <si>
    <t>R$ 95,88</t>
  </si>
  <si>
    <t>compra de uva 19/08</t>
  </si>
  <si>
    <t>pagamento indianara free</t>
  </si>
  <si>
    <t>300 reais guardados no armário, moedas e cédulas de troca com cliente</t>
  </si>
  <si>
    <t>R$ 34,50</t>
  </si>
  <si>
    <t>compra de borrifadores</t>
  </si>
  <si>
    <t>PAGAMENTO FREE JANA</t>
  </si>
  <si>
    <t>R$ 54,00</t>
  </si>
  <si>
    <t>saida de 26,20 é consumo da ana carolina</t>
  </si>
  <si>
    <t>copias/placas para loja</t>
  </si>
  <si>
    <t>R$ 123,50</t>
  </si>
  <si>
    <t>PAGAMENTO FREE VINICIUS</t>
  </si>
  <si>
    <t>R$ 13,00</t>
  </si>
  <si>
    <t>R$ 211,94</t>
  </si>
  <si>
    <t>R$ 1.350,00</t>
  </si>
  <si>
    <t>compra de frutas e álcool 18/08</t>
  </si>
  <si>
    <t>SANGRIA SABRINA 13/09</t>
  </si>
  <si>
    <t>R$ 380,10</t>
  </si>
  <si>
    <t>compra de uva e materiais de limpeza</t>
  </si>
  <si>
    <t>R$ 36,19</t>
  </si>
  <si>
    <t>compra de gelos reutilizáveis para buffet (compra pelo mercado livre) na nota esta R$25,20 porem teve o frete total R$36,19</t>
  </si>
  <si>
    <t>R$ 16,33</t>
  </si>
  <si>
    <t>R$ 35,00</t>
  </si>
  <si>
    <t>almoço para os funcionários da loja</t>
  </si>
  <si>
    <t>R$ 131,00</t>
  </si>
  <si>
    <t>compra de luva e touca</t>
  </si>
  <si>
    <t>R$ 7,62</t>
  </si>
  <si>
    <t>fruta para loja |</t>
  </si>
  <si>
    <t>R$ 292,32</t>
  </si>
  <si>
    <t>R$ 84,40</t>
  </si>
  <si>
    <t>compra de morango do dia 18/08</t>
  </si>
  <si>
    <t>consumo rayanna]</t>
  </si>
  <si>
    <t>PAGAMENTO DE MORANGO</t>
  </si>
  <si>
    <t>R$ 384,00</t>
  </si>
  <si>
    <t>R$ 35,78</t>
  </si>
  <si>
    <t>compra de morango de hoje (21/08)</t>
  </si>
  <si>
    <t>pagamento free ana carolina das 13h30 as 22h30</t>
  </si>
  <si>
    <t>pagamento free vinicius das 13h30 as 22h30</t>
  </si>
  <si>
    <t>Sangria Sabrina 22/08</t>
  </si>
  <si>
    <t>R$ 55,98</t>
  </si>
  <si>
    <t>R$ 22,55</t>
  </si>
  <si>
    <t>compra de pão e água de coco</t>
  </si>
  <si>
    <t>SANGRIA REALIZADA POR RAYANNA DIA 14/09/25</t>
  </si>
  <si>
    <t>R$ 17,38</t>
  </si>
  <si>
    <t>CONSUMO JANAINA</t>
  </si>
  <si>
    <t>R$ 80,00</t>
  </si>
  <si>
    <t>Jaque grátis 14h às 20h</t>
  </si>
  <si>
    <t>pagamento grátis gustavo 13h ás 21h30</t>
  </si>
  <si>
    <t>copo de 300 ml aniversariante</t>
  </si>
  <si>
    <t>R$ 206,25</t>
  </si>
  <si>
    <t>produtos e frutas para loja</t>
  </si>
  <si>
    <t>Sangria 23/08 Sabrina</t>
  </si>
  <si>
    <t>R$ 19,19</t>
  </si>
  <si>
    <t>R$ 9,90</t>
  </si>
  <si>
    <t>Impressão e plastificão para loja</t>
  </si>
  <si>
    <t>R$ 122,00</t>
  </si>
  <si>
    <t>R$ 26,47</t>
  </si>
  <si>
    <t>pagamento free emilly 13h30 as 23h</t>
  </si>
  <si>
    <t>R$ 7,99</t>
  </si>
  <si>
    <t>cesto para loja |</t>
  </si>
  <si>
    <t>sangria sabrina 04/10</t>
  </si>
  <si>
    <t>R$ 14,00</t>
  </si>
  <si>
    <t>pagamento free rayanna 13h30 as 19h15</t>
  </si>
  <si>
    <t>R$ 21,47</t>
  </si>
  <si>
    <t>elasticos para cabelo para loja.</t>
  </si>
  <si>
    <t>R$ 38,72</t>
  </si>
  <si>
    <t>R$ 121,20</t>
  </si>
  <si>
    <t>sangria realizada por rayanna dia 05/10/2025</t>
  </si>
  <si>
    <t>sangria 07/09 sabrina</t>
  </si>
  <si>
    <t>quadro para loja</t>
  </si>
  <si>
    <t>R$ 23,90</t>
  </si>
  <si>
    <t>pagamento free janaina das 14h ate as 22h</t>
  </si>
  <si>
    <t>R$ 45,00</t>
  </si>
  <si>
    <t>pagamento free vinicius das 21h as 23h</t>
  </si>
  <si>
    <t>SANGRIA 16/09 SABRINA</t>
  </si>
  <si>
    <t>R$ 75,00</t>
  </si>
  <si>
    <t>lanche para equipe</t>
  </si>
  <si>
    <t>consumo rayanna e ana autorizado pela joice</t>
  </si>
  <si>
    <t>id 1686858 consumo erick</t>
  </si>
  <si>
    <t>dinheiro do armario para deposito.</t>
  </si>
  <si>
    <t>R$ 21,60</t>
  </si>
  <si>
    <t>copo de 300 ml patricia</t>
  </si>
  <si>
    <t>dinheiro pego do armario para deposito sangria</t>
  </si>
  <si>
    <t>consumo erick e sabrina autorizados pela Joice</t>
  </si>
  <si>
    <t>valor referente ao resgate de copos do fim de semana</t>
  </si>
  <si>
    <t>R$ 54,19</t>
  </si>
  <si>
    <t>valor referente ao copo resgatado no fim de semana</t>
  </si>
  <si>
    <t>R$ 35,65</t>
  </si>
  <si>
    <t>pagamento referente a copo de fim de semana resgatado</t>
  </si>
  <si>
    <t>sangria 17/09 sabrina</t>
  </si>
  <si>
    <t>R$ 83,00</t>
  </si>
  <si>
    <t>pagamento de sucos e agua de coco</t>
  </si>
  <si>
    <t>R$ 167,52</t>
  </si>
  <si>
    <t>pedido pago de bebidas</t>
  </si>
  <si>
    <t>R$ 355,98</t>
  </si>
  <si>
    <t>R$ 7,50</t>
  </si>
  <si>
    <t>caderno para loja</t>
  </si>
  <si>
    <t>i mpressoes para loja</t>
  </si>
  <si>
    <t>troca de cedulas com cliente</t>
  </si>
  <si>
    <t>especificando a entrada com o id 1725975, dinheiro 100,00 pego do armario para pagamento de bebidas.</t>
  </si>
  <si>
    <t>200 reais guardado no armario</t>
  </si>
  <si>
    <t>R$ 42,74</t>
  </si>
  <si>
    <t>R$ 22,36</t>
  </si>
  <si>
    <t>copo de 300ml retirado por cliente</t>
  </si>
  <si>
    <t>pagamento free janaina das 16h30 as 22h30</t>
  </si>
  <si>
    <t>adesivos para loja</t>
  </si>
  <si>
    <t>troca de cedulas e moedas que subiu para o armario.</t>
  </si>
  <si>
    <t>entrada de cedulas no valor de 200,00 reais, que foram guardadas no armario.</t>
  </si>
  <si>
    <t>pagamento free janaina</t>
  </si>
  <si>
    <t>R$ 497,17</t>
  </si>
  <si>
    <t>compra de frutas e lanches dia 18/09</t>
  </si>
  <si>
    <t>R$ 34,98</t>
  </si>
  <si>
    <t>produtos para loja</t>
  </si>
  <si>
    <t>R$ 132,75</t>
  </si>
  <si>
    <t>compra de banana e kiwi dia 17/09</t>
  </si>
  <si>
    <t>R$ 15,98</t>
  </si>
  <si>
    <t>sangria sabrina 19/09</t>
  </si>
  <si>
    <t>R$ 59,00</t>
  </si>
  <si>
    <t>pagamento free ana</t>
  </si>
  <si>
    <t>pagamento free camila</t>
  </si>
  <si>
    <t>pagamento free janaina 13h as 23h</t>
  </si>
  <si>
    <t>R$ 5,37</t>
  </si>
  <si>
    <t>sangria 20/09 sabrina</t>
  </si>
  <si>
    <t>saida feita de uma maneira errada,id 1727866. consumo rayanna</t>
  </si>
  <si>
    <t>R$ 45,50</t>
  </si>
  <si>
    <t>pagamento vincius free das 17h30 as 21h</t>
  </si>
  <si>
    <t>R$ 97,00</t>
  </si>
  <si>
    <t>pagamento emilly free 13h30 as 20h</t>
  </si>
  <si>
    <t>sangria realizada por rayanna</t>
  </si>
  <si>
    <t>saida do armario para entrada no caixa para deposito</t>
  </si>
  <si>
    <t>saida para deposito no banco, sangria dia 15/09 realizada por marcos</t>
  </si>
  <si>
    <t>R$ 20,90</t>
  </si>
  <si>
    <t>R$ 14,90</t>
  </si>
  <si>
    <t>TEK BOND para loja</t>
  </si>
  <si>
    <t>R$ 17,00</t>
  </si>
  <si>
    <t>consumo jana</t>
  </si>
  <si>
    <t>R$ 417,25</t>
  </si>
  <si>
    <t>R$ 9,66</t>
  </si>
  <si>
    <t>R$ 317,25</t>
  </si>
  <si>
    <t>frutas e sucos para loja</t>
  </si>
  <si>
    <t>R$ 39,00</t>
  </si>
  <si>
    <t>jana free 21/09 faxina</t>
  </si>
  <si>
    <t>R$ 8,20</t>
  </si>
  <si>
    <t>lanche para funcionarios</t>
  </si>
  <si>
    <t>R$ 9,25</t>
  </si>
  <si>
    <t>R$ 24,10</t>
  </si>
  <si>
    <t>pagamento free janaina 16h30 as 22h30</t>
  </si>
  <si>
    <t>R$ 21,10</t>
  </si>
  <si>
    <t>troca de cedulas que subiu pro armario no valor de 111,00.</t>
  </si>
  <si>
    <t>R$ 4,09</t>
  </si>
  <si>
    <t>troca de cedulas.</t>
  </si>
  <si>
    <t>R$ 263,93</t>
  </si>
  <si>
    <t>compra de produtos e frutas</t>
  </si>
  <si>
    <t>R$ 37,70</t>
  </si>
  <si>
    <t>R$ 13,80</t>
  </si>
  <si>
    <t>R$ 125,64</t>
  </si>
  <si>
    <t>R$ 38,47</t>
  </si>
  <si>
    <t>R$ 118,00</t>
  </si>
  <si>
    <t>saco de lixo para loja</t>
  </si>
  <si>
    <t>R$ 9,69</t>
  </si>
  <si>
    <t>magarina pra loja</t>
  </si>
  <si>
    <t>compra de balões pago pelo pix joice (R$ 170)</t>
  </si>
  <si>
    <t>termometro para loja</t>
  </si>
  <si>
    <t>200,00 reais em troca de cedulas.</t>
  </si>
  <si>
    <t>R$ 230,00</t>
  </si>
  <si>
    <t>compra de morangos</t>
  </si>
  <si>
    <t>entrada do ID 1700598 feita de maneira errada 200,00 em cedulas que subiu para o armario de troco. corrigida.</t>
  </si>
  <si>
    <t>id 1731055 consumo sabrina</t>
  </si>
  <si>
    <t>retirada de copo de 300ml troca de cedulas e moedas</t>
  </si>
  <si>
    <t>R$ 8,69</t>
  </si>
  <si>
    <t>R$ 56,00</t>
  </si>
  <si>
    <t>troca de cédulas com cliente patricia</t>
  </si>
  <si>
    <t>consumo da moça da pintura facial</t>
  </si>
  <si>
    <t>260 guardados no armário caixa troco</t>
  </si>
  <si>
    <t>pagamento camila free das 13h30 as 21h30 dia 11/10</t>
  </si>
  <si>
    <t>R$ 46,78</t>
  </si>
  <si>
    <t>copo da cliente patricia trocados por cédulas</t>
  </si>
  <si>
    <t>pagamento karina free das 13h30 as 21h30 dia 11/10</t>
  </si>
  <si>
    <t>R$ 25,09</t>
  </si>
  <si>
    <t>R$ 361,23</t>
  </si>
  <si>
    <t>produtos para loja, e lanche para funcionarios.</t>
  </si>
  <si>
    <t>saida id 1733632 feita de maneira errada. esquecido de por a data da compra. atualizando data da compra 10/10.</t>
  </si>
  <si>
    <t>R$ 69,76</t>
  </si>
  <si>
    <t>lanche para funcionarios da loja. data da compra 03/10/2025</t>
  </si>
  <si>
    <t>R$ 23,07</t>
  </si>
  <si>
    <t>lanche para funcionarios da loja. data da compra 11/10</t>
  </si>
  <si>
    <t>sangria realizada dia 11/10 por rayanna.</t>
  </si>
  <si>
    <t>pagamento moça da pintura facial.</t>
  </si>
  <si>
    <t>R$ 28,60</t>
  </si>
  <si>
    <t>copo aniversariante 300 ml</t>
  </si>
  <si>
    <t>R$120 reais guardados no armário troco de cédulas com cliente</t>
  </si>
  <si>
    <t>R$ 24,15</t>
  </si>
  <si>
    <t>copo de patricia retirado com a troca de cédulas</t>
  </si>
  <si>
    <t>ID 1734670 copo de 300ml retirado da cliente patricia (troca de cédulas, finalizei sem a descrição)</t>
  </si>
  <si>
    <t>R$ 51,37</t>
  </si>
  <si>
    <t>R$ 32,59</t>
  </si>
  <si>
    <t>ID 1735994 CONSUMO JANAINA</t>
  </si>
  <si>
    <t>SANGRIA SABRINA 12/10</t>
  </si>
  <si>
    <t>R$ 380,00</t>
  </si>
  <si>
    <t>dinheiro pego do armario para pagamento de troca de cedulas.</t>
  </si>
  <si>
    <t>pagamento de troca de cedulas.</t>
  </si>
  <si>
    <t>entrada no armario no valor de 400,00 reais, referente a troca de cedulas. dia 13/10/25</t>
  </si>
  <si>
    <t>R$ 49,08</t>
  </si>
  <si>
    <t>retirada de dois copos de 300ml , troca de cedulas</t>
  </si>
  <si>
    <t>R$ 2,90</t>
  </si>
  <si>
    <t>ID 1738145 feito errado DESCONSIDEREM</t>
  </si>
  <si>
    <t>R$ 290,00</t>
  </si>
  <si>
    <t>compra de wind banner 13/10</t>
  </si>
  <si>
    <t>sangria sabrina 13/10</t>
  </si>
  <si>
    <t>R$ 230,90</t>
  </si>
  <si>
    <t>R$ 393,24</t>
  </si>
  <si>
    <t>4]</t>
  </si>
  <si>
    <t>pagamento de bebidas para loja</t>
  </si>
  <si>
    <t>R$ 267,72</t>
  </si>
  <si>
    <t>fechamento do caixa 2</t>
  </si>
  <si>
    <t>fechamento do caixa 2 notbook</t>
  </si>
  <si>
    <t>dinheiro pego do armario para pagamento de morangos. dia 15/10</t>
  </si>
  <si>
    <t>dinheiro pego do caixa. daniel chefe pegou para abastecer o carro.</t>
  </si>
  <si>
    <t>Rayanna</t>
  </si>
  <si>
    <t>saida realizada para pagamento de troca de cedulas. dia 15/10.</t>
  </si>
  <si>
    <t>entrada no armario no valor de 200,00 reais. referente a troca de cedulas do dia 15/10.</t>
  </si>
  <si>
    <t>R$ 14,06</t>
  </si>
  <si>
    <t>copo de 300ml retirado, referente a troca de cedulas.</t>
  </si>
  <si>
    <t>sangria sabrina 15/10</t>
  </si>
  <si>
    <t>Sabrina</t>
  </si>
  <si>
    <t>sangria realizada por sabrina, aberta por rayanna para pagamento de produtos da loja.</t>
  </si>
  <si>
    <t>R$ 81,69</t>
  </si>
  <si>
    <t>lanche para funcionarios da loja.</t>
  </si>
  <si>
    <t>R$ 158,30</t>
  </si>
  <si>
    <t>frutas e sucos para loja.</t>
  </si>
  <si>
    <t>saida id 1744017 feita de maneira errada. esquecido de colocar a data da compra. 15/10/2025 data atualizada. o resto esta ok.</t>
  </si>
  <si>
    <t>saida id 1744019 feita de maneira errada. esquecido de colocar a data da compra. dia 13/10/2025. o resto esta ok.</t>
  </si>
  <si>
    <t>R$ 18,93</t>
  </si>
  <si>
    <t>lanche para funcionarios da loja. dia 12/10/2025.</t>
  </si>
  <si>
    <t>R$ 103,00</t>
  </si>
  <si>
    <t>grampeadores fita e caderno para loja. dia 14/10/2025.</t>
  </si>
  <si>
    <t>sangria sabrina 17/10</t>
  </si>
  <si>
    <t>sangria sabrina 18/10</t>
  </si>
  <si>
    <t>referente a troca de cedulas, com a ana paula da copiadora.</t>
  </si>
  <si>
    <t>pagamento de cedulas ,para ana paula da copiadora.</t>
  </si>
  <si>
    <t>R$ 4,56</t>
  </si>
  <si>
    <t>lanche para funcionarios. data da compra 18/10/2025.</t>
  </si>
  <si>
    <t>Caixa Sangria</t>
  </si>
  <si>
    <t>R$ 24,39</t>
  </si>
  <si>
    <t>frutas para loja. data da compra 19/10/2025.</t>
  </si>
  <si>
    <t>R$ 377,55</t>
  </si>
  <si>
    <t>produtos para loja. data da compra 17/10/2025.</t>
  </si>
  <si>
    <t>R$ 40,00</t>
  </si>
  <si>
    <t>pagamento free sabrina das 20h as 22h dia 19/10/2025.</t>
  </si>
  <si>
    <t>sangria realizada no dia 19/10/2025. por rayanna.</t>
  </si>
  <si>
    <t>saida realizada ref a troca de cedulas com cliente.</t>
  </si>
  <si>
    <t>entrada no armario no valor de 200,00 reais, realizada por rayanna dia 21/10/25.</t>
  </si>
  <si>
    <t>R$ 63,00</t>
  </si>
  <si>
    <t>almoço para funcionario.</t>
  </si>
  <si>
    <t>R$ 138,53</t>
  </si>
  <si>
    <t>pagamento de dois rolos de panos hiperflex valor dos panos 114,54. porem teve o valor do frete cobrado 23,99.</t>
  </si>
  <si>
    <t>retirada de copo 300ml, referente a troca de cedulas com cliente.</t>
  </si>
  <si>
    <t>R$ 28,90</t>
  </si>
  <si>
    <t>compra de balança para loja</t>
  </si>
  <si>
    <t>balança para loja e duas pilhas</t>
  </si>
  <si>
    <t>saida id 173473 feita errada foi feita novamente , por favor desconsiderar.</t>
  </si>
  <si>
    <t>R$ 34,51</t>
  </si>
  <si>
    <t>sangria sabrina 22/10</t>
  </si>
  <si>
    <t>R$ 584,95</t>
  </si>
  <si>
    <t>compra de frutas lanche e produtos</t>
  </si>
  <si>
    <t>R$ 83,76</t>
  </si>
  <si>
    <t>compra de refrigerantes</t>
  </si>
  <si>
    <t>Sangria realizada dia 17/10 por sabrina, aberta dia 24/10/25 por rayanna, para pagamento de morangos.</t>
  </si>
  <si>
    <t>compra de sacos de lixo</t>
  </si>
  <si>
    <t>retirada de um copo troca de cedulas com cliente</t>
  </si>
  <si>
    <t>saida realizada dia 21/10/2025, referente a pagamento de morangos.</t>
  </si>
  <si>
    <t>pagamento de troca de cedulas com cliente</t>
  </si>
  <si>
    <t>coisas para o caixa, e para loja.</t>
  </si>
  <si>
    <t>entrada no armario de troco 100,00 em notas</t>
  </si>
  <si>
    <t>R$ 125,00</t>
  </si>
  <si>
    <t>referente a troca de moedas, dia 24/10/2025. realizada por rayanna.</t>
  </si>
  <si>
    <t>troco de moedas no valor de 125,00, que subiu para o armario. dia 24/10/2025.</t>
  </si>
  <si>
    <t>sacos de lixo para loja</t>
  </si>
  <si>
    <t>sangria sabrina 24/10</t>
  </si>
  <si>
    <t>R$ 11,60</t>
  </si>
  <si>
    <t>pao e frutas para loja</t>
  </si>
  <si>
    <t>PAGAMENTO FREE GABRIELLE 13H30 AS 23H</t>
  </si>
  <si>
    <t>saida id 1764854 feita de maneira errada. esquecido de por a data da compra. data 27/10/2025.</t>
  </si>
  <si>
    <t>PAGAMENTO FREE WESLEY 14H AS 23H</t>
  </si>
  <si>
    <t>saida id 1764855 feita de maneira errada. esquecido de por a data da compra. dia 26/10/2025.</t>
  </si>
  <si>
    <t>R$ 1.050,00</t>
  </si>
  <si>
    <t>SANGRIA MARCOS 25/10</t>
  </si>
  <si>
    <t>R$ 19,17</t>
  </si>
  <si>
    <t>copo 300ml retirado, referente troca de cedulas com cliente.</t>
  </si>
  <si>
    <t>pagamento free rayanna 13h30 as 18h</t>
  </si>
  <si>
    <t>pagamento de troca de cedulas com cliente, realizada por rayanna dia 28/10/2025.</t>
  </si>
  <si>
    <t>R$ 1.800,00</t>
  </si>
  <si>
    <t>sangria sabrina 26/10</t>
  </si>
  <si>
    <t>entrada no armario no valor de 200,00 reais, realizada por rayanna dia 28/10/2025.</t>
  </si>
  <si>
    <t>R$ 29,52</t>
  </si>
  <si>
    <t>DESCONSIDERAR ID 1764854 JÁ FOI FEITO ONTEM!!!</t>
  </si>
  <si>
    <t>R$ 35,50</t>
  </si>
  <si>
    <t>impressoes e plastificaçao para loja. dia 29/10/2025.</t>
  </si>
  <si>
    <t>R$ 25,75</t>
  </si>
  <si>
    <t>fita dupla face para loja. dia 29/10/2025</t>
  </si>
  <si>
    <t>R$ 534,20</t>
  </si>
  <si>
    <t>produtos para loja. diaa 27/10/2025.</t>
  </si>
  <si>
    <t>R$ 12,20</t>
  </si>
  <si>
    <t>Impressao mais plastififcaçao. dia 30/10/2025.</t>
  </si>
  <si>
    <t>R$ 104,70</t>
  </si>
  <si>
    <t>pagamento de bebidas. dia 30/10/2025.</t>
  </si>
  <si>
    <t>R$ 43,32</t>
  </si>
  <si>
    <t>R$ 43,20</t>
  </si>
  <si>
    <t>ID 1768125 MARCADO ERRADO</t>
  </si>
  <si>
    <t>SANGRIA SABRINA 30/10</t>
  </si>
  <si>
    <t>R$ 17,51</t>
  </si>
  <si>
    <t>Pagamento de morangos. dia 31/10/2025.</t>
  </si>
  <si>
    <t>R$ 91,38</t>
  </si>
  <si>
    <t>id 1769453 esquecido de por que era , CONSUMO RAYANNA. AGORA ATUALIZADO.</t>
  </si>
  <si>
    <t>sangria sabrina 31/10</t>
  </si>
  <si>
    <t>R$ 18,91</t>
  </si>
  <si>
    <t>R$ 41,28</t>
  </si>
  <si>
    <t>ID 1770536 1770835 1770972 DESCONSIDERAR POIS FOI PAGO NO PIX</t>
  </si>
  <si>
    <t xml:space="preserve"> </t>
  </si>
  <si>
    <t>pagamento free karina</t>
  </si>
  <si>
    <t>R$ 21,34</t>
  </si>
  <si>
    <t>R$ 1.750,00</t>
  </si>
  <si>
    <t>sangria sabrina 01/11</t>
  </si>
  <si>
    <t>pagamento free ketty</t>
  </si>
  <si>
    <t>pagamento de troco referente a troca de cedulas com o cliente luciano longhi. dia 02/11/2025.</t>
  </si>
  <si>
    <t>entrada no armario no valor de 500,00 reais. referente a troca de cedulas com o cliente luciano longhi. dia 02/11/2025.</t>
  </si>
  <si>
    <t>R$ 16,23</t>
  </si>
  <si>
    <t>copo de 300ml, retirado por cliente, referente a troca de cedulas.</t>
  </si>
  <si>
    <t>R$ 14,26</t>
  </si>
  <si>
    <t>banana para loja. dia 02/11/2025.</t>
  </si>
  <si>
    <t>R$ 486,01</t>
  </si>
  <si>
    <t>produtos e lanches , para loja. dia 31/10/2025.</t>
  </si>
  <si>
    <t>R$ 9,64</t>
  </si>
  <si>
    <t>lanche para funcionarios. 02/11/2025.</t>
  </si>
  <si>
    <t>R$ 77,85</t>
  </si>
  <si>
    <t>produtos de limpeza para loja. dia 29/10/2025.</t>
  </si>
  <si>
    <t>Relação de Notas de Compras não enviadas</t>
  </si>
  <si>
    <t>R$ 9,28</t>
  </si>
  <si>
    <t>lanche para funcionarios da loja. dia 25/10/2025.</t>
  </si>
  <si>
    <t>R$ 76,18</t>
  </si>
  <si>
    <t>frutas para loja. dia 01/11/2025.</t>
  </si>
  <si>
    <t>pagamento karina free. das 13h30 as 21h00. dia 02/11/2025.</t>
  </si>
  <si>
    <t>pagamento kamila free das 13h30 as 21h00. dia 02/11/2025.</t>
  </si>
  <si>
    <t>R$ 52,00</t>
  </si>
  <si>
    <t>pagamento janina free das 18h30 as 22h00. dia 02/11/2025.</t>
  </si>
  <si>
    <t>pagamento de morangos. dia 03/11/2025. - DUPLICIDADE LANÇAMENTO</t>
  </si>
  <si>
    <t>entrada de sangria feita por sabrina no dia 30/10 para pagamento de cedulas para cliente (aberto por marcos)</t>
  </si>
  <si>
    <t>R$ 875,00</t>
  </si>
  <si>
    <t>saida para pagamento de ceduldas de cliente</t>
  </si>
  <si>
    <t>R$ 62,40</t>
  </si>
  <si>
    <t>pagamento do suco prats</t>
  </si>
  <si>
    <t>demos um copo de 300 ml para o moço que concertou a nossa iluminaria da cozinha</t>
  </si>
  <si>
    <t>R$ 28,00</t>
  </si>
  <si>
    <t>pagamento de 10kg de morangos França</t>
  </si>
  <si>
    <t>R$ 27,09</t>
  </si>
  <si>
    <t>retirada de copo referente a troca de notas</t>
  </si>
  <si>
    <t>saida do armario e entrada no caixa para pagamento de morangos</t>
  </si>
  <si>
    <t>R$ 345,00</t>
  </si>
  <si>
    <t>pagamento de morangos, pago com dinheiro do caixa. dia 04/11/2025.</t>
  </si>
  <si>
    <t>saida para pagamento de troca de moedas, realizada por rayanna. dia 04/11/2025.</t>
  </si>
  <si>
    <t>entrada no armario, valor de 100,00 realizada com ana paula da copiadora taliana. feita por rayanna, dia 04/11/2025.</t>
  </si>
  <si>
    <t>R$ 42,81</t>
  </si>
  <si>
    <t>R$ 53,16</t>
  </si>
  <si>
    <t>sangria marcos 04/11</t>
  </si>
  <si>
    <t>R$ 414,18</t>
  </si>
  <si>
    <t>pendrive novo para loja. dia 05/11/2025. DUPLICIDADE</t>
  </si>
  <si>
    <t>R$ 29,90</t>
  </si>
  <si>
    <t>copo de milk shake para loja. dia 05/11/2025.</t>
  </si>
  <si>
    <t>pendrive novo para loja. dia 05/1/2025.</t>
  </si>
  <si>
    <t>copo de milk shake para loja. dia 05/11/2025. DUPLICIDADE</t>
  </si>
  <si>
    <t>R$ 156,00</t>
  </si>
  <si>
    <t>compra de produtos de limpeza 05/11</t>
  </si>
  <si>
    <t>R$ 10,88</t>
  </si>
  <si>
    <t>pagamento motoboy</t>
  </si>
  <si>
    <t>Motoboy</t>
  </si>
  <si>
    <t>sangria sabrina 05/11</t>
  </si>
  <si>
    <t>ID 1780090 DESCONSIDERAR</t>
  </si>
  <si>
    <t>R$ 817,00</t>
  </si>
  <si>
    <t>compra de produtos de hiegiene para loja. 06/11/2025.</t>
  </si>
  <si>
    <t>sangria sabrina 06/11</t>
  </si>
  <si>
    <t>pagamento de morangos vacaria</t>
  </si>
  <si>
    <t>R$ 66,00</t>
  </si>
  <si>
    <t>compra de amarrador de cabelo para loja 07/11</t>
  </si>
  <si>
    <t>copo de 300ml de dois aniversariantes.</t>
  </si>
  <si>
    <t>R$ 17,98</t>
  </si>
  <si>
    <t>refrigerante para funcionarios. 06/11/2025.</t>
  </si>
  <si>
    <t>pagamento kamilla free, das 13h30 as 18h00. dia 08/11/2025.</t>
  </si>
  <si>
    <t>R$ 17,57</t>
  </si>
  <si>
    <t>lanche para funcionarios. dia 08/11/2025.</t>
  </si>
  <si>
    <t>R$ 15,50</t>
  </si>
  <si>
    <t>impressoes e plastificaçao para loja. dia 03/11/2025.</t>
  </si>
  <si>
    <t>R$ 366,96</t>
  </si>
  <si>
    <t>produtos e frutas para loja. dia 03/11/2025.</t>
  </si>
  <si>
    <t>R$ 606,70</t>
  </si>
  <si>
    <t>produtos e frutas para loja. dia 06/11/2025.</t>
  </si>
  <si>
    <t>R$ 24,50</t>
  </si>
  <si>
    <t>fita adesiva para loja. dia 04/11/2025.</t>
  </si>
  <si>
    <t>R$ 9,95</t>
  </si>
  <si>
    <t>lanche para funcionarios da loja. Dia 09/11/2025.</t>
  </si>
  <si>
    <t>Saida realizada referente a troca de moedas com a cliente jaqueline. dia 09/11/2025. troca realizada com marcos.</t>
  </si>
  <si>
    <t>entrada no armario no valor de 100,00 reais, referente a troca de moedas com a cliente jaqueline. dia 09/11/2025.</t>
  </si>
  <si>
    <t>R$ 16,87</t>
  </si>
  <si>
    <t>retirada de copo 300ml, referente a troca de moedas. dia 09/11/2025.</t>
  </si>
  <si>
    <t>R$ 113,00</t>
  </si>
  <si>
    <t>pagamento free rayanna 13h30 as 21h</t>
  </si>
  <si>
    <t>pagamento free janaina 13h30 as 22h</t>
  </si>
  <si>
    <t>R$ 98,00</t>
  </si>
  <si>
    <t>pagamento free julia 14h30 as 22h</t>
  </si>
  <si>
    <t>R$ 1.450,00</t>
  </si>
  <si>
    <t>sangria marcos 09/11</t>
  </si>
  <si>
    <t>consumo sabrina. dia 10/11/2025.</t>
  </si>
  <si>
    <t>R$ 62,24</t>
  </si>
  <si>
    <t>consumo de cliente (troca de cedulas) veio direto para o cx</t>
  </si>
  <si>
    <t>sangria marcos 10/11</t>
  </si>
  <si>
    <t>dinheiro pego do armário para pagamento de morangos 11/11</t>
  </si>
  <si>
    <t>pagamento de morangos 11/11</t>
  </si>
  <si>
    <t>CONSUMO JANA</t>
  </si>
  <si>
    <t>SANGRIA REALIZADA DIA 11/11/2025. POR RAYANNA.</t>
  </si>
  <si>
    <t>copo referente a aniversariante</t>
  </si>
  <si>
    <t>R$ 250,44</t>
  </si>
  <si>
    <t>Pagamento de bebidas. dia 12/11/2025.</t>
  </si>
  <si>
    <t>copo de aniversariante do dia. 12/11/2025.</t>
  </si>
  <si>
    <t>consumo sabrina dia 13/11/2025.</t>
  </si>
  <si>
    <t>consumo janaina. 13/11/2025.</t>
  </si>
  <si>
    <t>sangria sabrina 13/11</t>
  </si>
  <si>
    <t>sangria marcos 14/11</t>
  </si>
  <si>
    <t>morangos 10 kg vacaria</t>
  </si>
  <si>
    <t>R$ 16,90</t>
  </si>
  <si>
    <t>remédios para funcionários</t>
  </si>
  <si>
    <t>pagamento free camila 13:30 as 22:30</t>
  </si>
  <si>
    <t>pagamento free karina 13:30 as 22:30</t>
  </si>
  <si>
    <t>R$ 1.400,00</t>
  </si>
  <si>
    <t>sangria sabrina 15/11</t>
  </si>
  <si>
    <t>R$ 28,50</t>
  </si>
  <si>
    <t>R$ 58,02</t>
  </si>
  <si>
    <t>retirada de dois copos 300ml. referente a troca de moedas com a cliente patricia.</t>
  </si>
  <si>
    <t>SANGRIA REALIZADA POR RAYANNA. DIA 16/11/2025.</t>
  </si>
  <si>
    <t>SANGRIA REALIZDAA POR RAYANNA. DIA 16/11/2025.</t>
  </si>
  <si>
    <t>CONSUMO ANA DIA 16/10/2025.</t>
  </si>
  <si>
    <t>PAGAMENTO JULIA FREE DAS 13H30 AS 22H DIA 16/11/2025.</t>
  </si>
  <si>
    <t>PAGAMENTO JANAINA FREE DAS 13H30 AS 22H30. DIA 16/11/2025.</t>
  </si>
  <si>
    <t>pagamento de suco prats</t>
  </si>
  <si>
    <t>R$ 13,60</t>
  </si>
  <si>
    <t>banana para a loja</t>
  </si>
  <si>
    <t>pagamento da mão de obra do pisca pisca</t>
  </si>
  <si>
    <t>pagamento de fruta para loja</t>
  </si>
  <si>
    <t>sangria sabrina 26/11</t>
  </si>
  <si>
    <t>impressões para o the best day</t>
  </si>
  <si>
    <t>R$ 24,28</t>
  </si>
  <si>
    <t>pagamento de morangos vacaria 20kg</t>
  </si>
  <si>
    <t>id 1823629 DESCONSIDERAR</t>
  </si>
  <si>
    <t>troca de moedas com cliente 18/11</t>
  </si>
  <si>
    <t>R$ 67,73</t>
  </si>
  <si>
    <t>troca de moedas com cliente guardado no armário (100$)</t>
  </si>
  <si>
    <t>copo da influencer jenny</t>
  </si>
  <si>
    <t>R$ 28,88</t>
  </si>
  <si>
    <t>sangria sabrina 27/11</t>
  </si>
  <si>
    <t>R$ 191,66</t>
  </si>
  <si>
    <t>compra de uvas para a loja</t>
  </si>
  <si>
    <t>R$ 84,00</t>
  </si>
  <si>
    <t>pagamento free camila 14h as 20h30</t>
  </si>
  <si>
    <t>R$ 15,08</t>
  </si>
  <si>
    <t>retirada de copo troca de moedas</t>
  </si>
  <si>
    <t>R$ 375,00</t>
  </si>
  <si>
    <t>pagamento de morangos 28/11</t>
  </si>
  <si>
    <t>pagamento free janaina 17h30 as 22h30</t>
  </si>
  <si>
    <t>sangria sabrina 19/11</t>
  </si>
  <si>
    <t>compra de frutas para loja. dia 19/11/2025.</t>
  </si>
  <si>
    <t>R$ 373,00</t>
  </si>
  <si>
    <t>compra de frutas e produtos para loja</t>
  </si>
  <si>
    <t>R$ 15,87</t>
  </si>
  <si>
    <t>lanche para funcionarios da loja. Dia 20/11/2025.</t>
  </si>
  <si>
    <t>R$ 350,99</t>
  </si>
  <si>
    <t>compra de frutas e produtos para loja 25/11</t>
  </si>
  <si>
    <t>R$ 24,79</t>
  </si>
  <si>
    <t>pagamento free camila das 14h as 20h</t>
  </si>
  <si>
    <t>pagamento free camila 13h as 19h30</t>
  </si>
  <si>
    <t>R$ 58,00</t>
  </si>
  <si>
    <t>pagamento free karina das 15h30 as 20h</t>
  </si>
  <si>
    <t>R$ 41,52</t>
  </si>
  <si>
    <t>R$ 1.550,00</t>
  </si>
  <si>
    <t>sangria Sabrina 20/11</t>
  </si>
  <si>
    <t>R$ 154,97</t>
  </si>
  <si>
    <t>compra de frutas e produtos para loja 29/11</t>
  </si>
  <si>
    <t>entrada no caixa de dinheiro pessoal do marcos(gerente), joice fez pix desse valor</t>
  </si>
  <si>
    <t>R$ 40,63</t>
  </si>
  <si>
    <t>compra de lanche para funcionários 28/11</t>
  </si>
  <si>
    <t>joice fez pix desse valor para o marcos (dinheiro foi feito uma sangria)</t>
  </si>
  <si>
    <t>R$ 1,49</t>
  </si>
  <si>
    <t>compra de cabo de vassoura 25/11</t>
  </si>
  <si>
    <t>R$ 143,00</t>
  </si>
  <si>
    <t>jeara sabrina free. das 13h as 00h. 27/12/25.</t>
  </si>
  <si>
    <t>sangria sabrina 21/11</t>
  </si>
  <si>
    <t>R$ 89,90</t>
  </si>
  <si>
    <t>compra de uva 25/11</t>
  </si>
  <si>
    <t>compra de toalha natalina 29/11</t>
  </si>
  <si>
    <t>SANGRIA REALIZADA POR RAYANNA . 27/12/2025.</t>
  </si>
  <si>
    <t>R$ 69,90</t>
  </si>
  <si>
    <t>compra de boleira 29/11</t>
  </si>
  <si>
    <t>sangria aberta por rayanna dia 16/11 ( feito por rayanna)</t>
  </si>
  <si>
    <t>pagamento free karina 13h as 22h30</t>
  </si>
  <si>
    <t>DINHEIRO PARA FAZER COMPRAS AMANHA 28/12/2025 NO MERCADO. SAIDA 27/12/2025.</t>
  </si>
  <si>
    <t>R$ 15,32</t>
  </si>
  <si>
    <t>compra de frutas dia 13/11</t>
  </si>
  <si>
    <t>R$ 16,37</t>
  </si>
  <si>
    <t>EXTORNO PARA CLIENTE QUE NA MAQUINA DEU ERRO. DIA 27/12/2025.</t>
  </si>
  <si>
    <t>R$ 297,51</t>
  </si>
  <si>
    <t>compra de frutas e produtos 10/11</t>
  </si>
  <si>
    <t>sangria sabrina 29/11</t>
  </si>
  <si>
    <t>R$ 27,74</t>
  </si>
  <si>
    <t>compra de lanche de funcionarios</t>
  </si>
  <si>
    <t>R$ 489,33</t>
  </si>
  <si>
    <t>compra de frutas e produtos para loja 19/11</t>
  </si>
  <si>
    <t>R$ 522,71</t>
  </si>
  <si>
    <t>compra de frutas e produtos 14/11</t>
  </si>
  <si>
    <t>pagamento free jaara 13h as 22h30</t>
  </si>
  <si>
    <t>R$ 444,72</t>
  </si>
  <si>
    <t>produtos e frutas para loja, 21/11/2025.</t>
  </si>
  <si>
    <t>sangria / janaina/ 28/12</t>
  </si>
  <si>
    <t>pagamento camilla free das 13h as 21h30. dia 30/11/2025.</t>
  </si>
  <si>
    <t>pagamento karina free. das 13h30 as 21h00. 22/11/2025.</t>
  </si>
  <si>
    <t>R$ 104,45</t>
  </si>
  <si>
    <t>pagamento free lauri 13:20 ate 21:20</t>
  </si>
  <si>
    <t>pagamento karina free das 13h30 as 21h30. dia 30/11/2025.</t>
  </si>
  <si>
    <t>pagamento camila free. das 13h30 as 21h30. dia 22/11/2025.</t>
  </si>
  <si>
    <t>sangria realizada por rayanna. dia 22/11/2025.</t>
  </si>
  <si>
    <t>R$ 46,47</t>
  </si>
  <si>
    <t>lanche para funcionarios. dia 30/11/2025.</t>
  </si>
  <si>
    <t>R$ 34,12</t>
  </si>
  <si>
    <t>pão e banana</t>
  </si>
  <si>
    <t>R$ 23,00</t>
  </si>
  <si>
    <t>pagamento free Amanda 14h30 as 21h30</t>
  </si>
  <si>
    <t>R$ 417,96</t>
  </si>
  <si>
    <t>pagamento de bebidas. dia 29/12/2025.</t>
  </si>
  <si>
    <t>sangria realizada por rayanna. dia 30/11/2025.</t>
  </si>
  <si>
    <t>troca de cédulas com cliente ana paula 24/11</t>
  </si>
  <si>
    <t>R$ 35,52</t>
  </si>
  <si>
    <t>gelo reutilizavel para o buffet. valor toal dos gelos 27,53. porem o marcos teve que pagar o frete. no valor de 7,99. dia 09/11/2025.</t>
  </si>
  <si>
    <t>troca de cédulas com cliente guardados no armário 24/11</t>
  </si>
  <si>
    <t>R$ 2,78</t>
  </si>
  <si>
    <t>suco para loja. dia 01/12/2025.</t>
  </si>
  <si>
    <t>R$ 308,00</t>
  </si>
  <si>
    <t>compra de sacos de lixo e papel toalha 24/11</t>
  </si>
  <si>
    <t>R$ 26,00</t>
  </si>
  <si>
    <t>pagemento free vinicius 28/12 das 22h as 00h</t>
  </si>
  <si>
    <t>R$ 325,00</t>
  </si>
  <si>
    <t>pagamento de morangos. dia 01/12/2025.</t>
  </si>
  <si>
    <t>compra de produtos de limpeza 24/11</t>
  </si>
  <si>
    <t>consumo da rayanna</t>
  </si>
  <si>
    <t>R$ 16,52</t>
  </si>
  <si>
    <t>pagamento de bebidas 24/11</t>
  </si>
  <si>
    <t>dinheiro pego do armário para pagamento de bebidas 24/11</t>
  </si>
  <si>
    <t>sucos prats</t>
  </si>
  <si>
    <t>consumo d anaa</t>
  </si>
  <si>
    <t>R$ 144,98</t>
  </si>
  <si>
    <t>compra de produtos para loja 24/11</t>
  </si>
  <si>
    <t>compra de toucas brancas</t>
  </si>
  <si>
    <t>dinheiro devolvido para o caixa pois não foi preciso usar id 1891188</t>
  </si>
  <si>
    <t>R$ 23,30</t>
  </si>
  <si>
    <t>compra de materiais para loja 24/11</t>
  </si>
  <si>
    <t>pagamento para embalagens 23/12</t>
  </si>
  <si>
    <t>R$ 21,09</t>
  </si>
  <si>
    <t>sangria sabrina 29/12</t>
  </si>
  <si>
    <t>pagamento de bebidas. dia 02/12/2025.</t>
  </si>
  <si>
    <t>R$ 525,00</t>
  </si>
  <si>
    <t>pagamento de morangos. dia 25/11/2025</t>
  </si>
  <si>
    <t>R$ 14,31</t>
  </si>
  <si>
    <t>R$ 36,04</t>
  </si>
  <si>
    <t>R$ 47,50</t>
  </si>
  <si>
    <t>saida referente a extorno que nao deu certo. o dinheiro debitou na conta do cliente porem na maquina nao deu certo. do dia 30/11.</t>
  </si>
  <si>
    <t>R$ 21,21</t>
  </si>
  <si>
    <t>R$ 77,50</t>
  </si>
  <si>
    <t>compra de balões e suporte para balões 25/11</t>
  </si>
  <si>
    <t>pagamento free jaara 19h as 23h</t>
  </si>
  <si>
    <t>troca de cedulas com cliente 25/11</t>
  </si>
  <si>
    <t>R$ 850,00</t>
  </si>
  <si>
    <t>sangria marcos 30/12</t>
  </si>
  <si>
    <t>R$ 35,26</t>
  </si>
  <si>
    <t>200 reas de troca com cliente guardados no armario 25/11</t>
  </si>
  <si>
    <t>sangria sabrina 02/12</t>
  </si>
  <si>
    <t>sangria realizada dia 30/12/2025 por marcos. aberta dia 31/12/2025 por rayanna, para pagamento de notinhas.</t>
  </si>
  <si>
    <t>R$ 25,90</t>
  </si>
  <si>
    <t>COPO DE 300ML PARA ANIVERSARIANTE</t>
  </si>
  <si>
    <t>R$ 500,91</t>
  </si>
  <si>
    <t>compra de frutas e produtos para loja. dia 30/12/2025.</t>
  </si>
  <si>
    <t>R$ 58,79</t>
  </si>
  <si>
    <t>COMPRA DE LANCHE E FRUTAS 07/12</t>
  </si>
  <si>
    <t>R$ 145,00</t>
  </si>
  <si>
    <t>adesivos para loja. 03/12/2025.</t>
  </si>
  <si>
    <t>R$ 19,96</t>
  </si>
  <si>
    <t>compra de frutas para loja. dia 30/12/2025.</t>
  </si>
  <si>
    <t>R$ 5,70</t>
  </si>
  <si>
    <t>COMPRA DE PÃES 08/12</t>
  </si>
  <si>
    <t>R$ 309,48</t>
  </si>
  <si>
    <t>pagamento de bebidas. 03/12/2025.</t>
  </si>
  <si>
    <t>R$ 91,96</t>
  </si>
  <si>
    <t>COMPRA DE PANETTONE 08/12</t>
  </si>
  <si>
    <t>copo aniversriante. dia 31/12/ 2025.</t>
  </si>
  <si>
    <t>pagamento de morangos. 15kg. dia 30/12/2025.</t>
  </si>
  <si>
    <t>R$ 28,63</t>
  </si>
  <si>
    <t>pagamento de morangos. dia 02/01/2026. 15kg</t>
  </si>
  <si>
    <t>R$ 9,94</t>
  </si>
  <si>
    <t>frutas para loja. dia 03/12/2025.</t>
  </si>
  <si>
    <t>sangria sabrina 02/01</t>
  </si>
  <si>
    <t>sangria sabrina 03/12</t>
  </si>
  <si>
    <t>R$ 457,50</t>
  </si>
  <si>
    <t>compra de papel toalha para loja 04/12</t>
  </si>
  <si>
    <t>R$ 496,46</t>
  </si>
  <si>
    <t>compra de frutas e produtos para loja 01/12</t>
  </si>
  <si>
    <t>consumo da janaina</t>
  </si>
  <si>
    <t>pagamento de frutas e produtos para loja</t>
  </si>
  <si>
    <t>R$ 33,36</t>
  </si>
  <si>
    <t>retirada de copos, referente a troca de moedas e cedulas com cliente andre da farmacia.</t>
  </si>
  <si>
    <t>entrada no armario no valor de 370,00 reais,ref troca de moedas e cedulas com andre da farmacia.</t>
  </si>
  <si>
    <t>R$ 78,85</t>
  </si>
  <si>
    <t>saida de 3 copos de troca de moedas com patricia/ agora ela esta zerada de copos</t>
  </si>
  <si>
    <t>R$ 370,00</t>
  </si>
  <si>
    <t>referente a troca de cedulas com cliente, realizada por rayanna. 04/12/2025.</t>
  </si>
  <si>
    <t>R$ 92,00</t>
  </si>
  <si>
    <t>pagamento da free rosi 13h as 20h</t>
  </si>
  <si>
    <t>produtos de higiene para loja. 04/12/2025.</t>
  </si>
  <si>
    <t>R$ 74,36</t>
  </si>
  <si>
    <t>sucos para loja. 04/12/2025.</t>
  </si>
  <si>
    <t>R$ 5,50</t>
  </si>
  <si>
    <t>impressoes para loja. 04/12/2025.</t>
  </si>
  <si>
    <t>compra de frutas e lanche 04/01</t>
  </si>
  <si>
    <t>retirada de copo 300ml, ana paula da copiadora. 05/12/2025.</t>
  </si>
  <si>
    <r>
      <t xml:space="preserve">
</t>
    </r>
    <r>
      <rPr>
        <rFont val="&quot;Google Sans Mono&quot;, &quot;Google Sans&quot;, Roboto, sans-serif"/>
        <b val="0"/>
        <color rgb="FF000000"/>
        <sz val="10.0"/>
      </rPr>
      <t xml:space="preserve">  E(D75="Saída"; #REF!="Sangria");
  IFNA(
    SE(
      SOMA(
        QUERY(
          IMPORTRANGE("https://docs.google.com/spreadsheets/d/1wBSFbIXYswW2S5SMKo44LPsdTG4P4kfP5VRdAS5E_4o";
          "Movimentações de Sangrias!A:I");
          "select Col6 
           where Col7 = 'Depositada'
             and Col9 = '"&amp;K75&amp;"'
             and Col6 = "&amp;N75&amp;"
             and Col4 = date '"&amp;TEXTO(C75;"yyyy-mm-dd")&amp;"'"
        )
      )&gt;0;
      "Depositada";
      SE(
        SOMA(
          QUERY(
            IMPORTRANGE("https://docs.google.com/spreadsheets/d/1wBSFbIXYswW2S5SMKo44LPsdTG4P4kfP5VRdAS5E_4o";
            "Movimentações de Sangrias!A:I");
            "select Col6 
             where Col7 = 'Caixa Atendimento'
               and Col9 = '"&amp;K75&amp;"'
               and Col6 = "&amp;N75&amp;"
               and Col4 = date '"&amp;TEXTO(C75;"yyyy-mm-dd")&amp;"'"
          )
        )&gt;0;
        "Caixa Atendimento";
        SE(
          SOMA(
            QUERY(
              IMPORTRANGE("https://docs.google.com/spreadsheets/d/1wBSFbIXYswW2S5SMKo44LPsdTG4P4kfP5VRdAS5E_4o";
              "Movimentações de Sangrias!A:I");
              "select Col6 
               where Col7 = 'Confirmada'
                 and Col9 = '"&amp;K75&amp;"'
                 and Col6 = "&amp;N75&amp;"
                 and Col4 = date '"&amp;TEXTO(C75;"yyyy-mm-dd")&amp;"'"
            )
          )&gt;0;
          "Confirmada";
          "Caixa Sangria"
        )
      )
    );
    ""
  );
  ""
)
</t>
    </r>
  </si>
  <si>
    <t xml:space="preserve">
   SE(
      CONT.SE(ARRAYFORMULA(ARRUMAR(TIRAR(TO_TEXT(Notas!BS:BS)))); ARRUMAR(TIRAR(TO_TEXT(B75)))) &gt; 0;
      "Encontrada";
      "Não Encontrada"
   );
"")</t>
  </si>
  <si>
    <t>R$ 12,52</t>
  </si>
  <si>
    <t>R$ 38,76</t>
  </si>
  <si>
    <t>compra de frutas e lanche 03/01</t>
  </si>
  <si>
    <t>R$ 595,04</t>
  </si>
  <si>
    <t>COMPRA DE FRUTAS E PRODUTOS PARA LOJA 04/12</t>
  </si>
  <si>
    <t>R$ 264,79</t>
  </si>
  <si>
    <t>compra de frutas e produtos de limpeza 02/01</t>
  </si>
  <si>
    <t>PAGAMENTO DE MORANGO 05/12</t>
  </si>
  <si>
    <t>sangria marcos 04/01</t>
  </si>
  <si>
    <t>COMPRA DE CENTRO DE SALGADOS PARA FUNCIONÁRIOS 05/12 (não foi pego recibo)</t>
  </si>
  <si>
    <t>R$ 1.710,00</t>
  </si>
  <si>
    <t>pagamento refrente a troca de cedulas com cliente patricia. dia 05/01/2026.</t>
  </si>
  <si>
    <t>sangria realizada por sabrina dia 02/01. aberta por marcos dia 05/01/2026. para pagamento de troca de cedulas com cliente patricia.</t>
  </si>
  <si>
    <t>R$ 315,52</t>
  </si>
  <si>
    <t>compra de frutas para loja. Dia 05/12/2025.</t>
  </si>
  <si>
    <t>R$ 17,35</t>
  </si>
  <si>
    <t>lanche para funcionarios da loja. dia06/12/2025.</t>
  </si>
  <si>
    <t>sangria sabrina 05/01</t>
  </si>
  <si>
    <t>pagamento free camila. das 13h00 as 22h. dia 06/12/2025.</t>
  </si>
  <si>
    <t>R$ 264,00</t>
  </si>
  <si>
    <t>pagamento de morangos. dia 06/01/2026</t>
  </si>
  <si>
    <t>pagamento free karina. Das 13h00 as 22h. dia 06/12/2025.</t>
  </si>
  <si>
    <t>sangria realizada por marcos dia 04/01/2026. aberta por rayanna dia 06/01/2026,para pagamento de produtos para loja.</t>
  </si>
  <si>
    <t>R$ 1.700,00</t>
  </si>
  <si>
    <t>sangria realizada por rayanna dia 06/12/2025.</t>
  </si>
  <si>
    <t>saida do armario troco para entra no caixa/deposito no banco</t>
  </si>
  <si>
    <t>R$ 23,40</t>
  </si>
  <si>
    <t>saida de sangria feita por marcos retirado do armario para deposito</t>
  </si>
  <si>
    <t>R$ 991,00</t>
  </si>
  <si>
    <t>compra de produtos de higene para loja. dia 06/01/2026</t>
  </si>
  <si>
    <t>pagamento free amanda 13h as 20h30</t>
  </si>
  <si>
    <t>R$ 19,00</t>
  </si>
  <si>
    <t>compra de canudos para loja. 06/1/2026 dia</t>
  </si>
  <si>
    <t>sangria sabrina 07/12</t>
  </si>
  <si>
    <t>pagamento free camila 13h as 23h</t>
  </si>
  <si>
    <t>pagamento free karina 13h as 23h</t>
  </si>
  <si>
    <t>R$ 420,00</t>
  </si>
  <si>
    <t>troco para o caixa pego do armário</t>
  </si>
  <si>
    <t>R$ 50,00</t>
  </si>
  <si>
    <t>retirada de pisca pisca / eletricista</t>
  </si>
  <si>
    <t>R$ 307,50</t>
  </si>
  <si>
    <t>pagamento de bebidas. 08/12/2025.</t>
  </si>
  <si>
    <t>pagamento janaina free das 13h as 18h. dia 08/12/2025.</t>
  </si>
  <si>
    <t>Pagamento free camila. das 13h30 as 21h30. dia 08/12/2025.</t>
  </si>
  <si>
    <t>R$ 40,90</t>
  </si>
  <si>
    <t>consumo sabrna</t>
  </si>
  <si>
    <t>pagamento free karina. das 13h30 as 21h30. dia 08/12/2025.</t>
  </si>
  <si>
    <t>sangria sabrina 06/01</t>
  </si>
  <si>
    <t>pagamento de morangos 09/12</t>
  </si>
  <si>
    <t>R$ 61,34</t>
  </si>
  <si>
    <t>R$ 41,41</t>
  </si>
  <si>
    <t>dinheiro pego no armário para pagamento de bebidas</t>
  </si>
  <si>
    <t>R$ 272,25</t>
  </si>
  <si>
    <t>pagamento de bebidas para loja 07/01</t>
  </si>
  <si>
    <t>R$ 260,71</t>
  </si>
  <si>
    <t>compra de frutas para loja. dia 09/12/2025.</t>
  </si>
  <si>
    <t>R$ 36,68</t>
  </si>
  <si>
    <t>RETIRADA DE DOIS COPOS 300ML. ANA PAULA DA COPIADORA. 07/01/2026</t>
  </si>
  <si>
    <t>PAGAMENTO REFERENTE A TROCA DE CEDULAS COM CLIENTE PATRICIA. 07/01/2026</t>
  </si>
  <si>
    <t>Entrada no armario no valor de 100,00. refrente a troca de cedulas. dia 07/01/2026.</t>
  </si>
  <si>
    <t>copo de aniversariante</t>
  </si>
  <si>
    <t>R$ 20,45</t>
  </si>
  <si>
    <t>retirada de copo de 300ml. referente a troca de moedas com cliente.</t>
  </si>
  <si>
    <t>R$ 36,82</t>
  </si>
  <si>
    <t>frutas para loja. 07/01/2026.</t>
  </si>
  <si>
    <t>1852668 saida feita errada. consumo ana</t>
  </si>
  <si>
    <t>R$ 296,57</t>
  </si>
  <si>
    <t>produtos de hiegiene e limpeza para loja. dia 07/01/2026.</t>
  </si>
  <si>
    <t>pagamento de troca de moedas com cliente. dia 07/01/2026</t>
  </si>
  <si>
    <t>entrada no armario de 100,00 refrente a troca de moedas com cliente. dia 07/01/2026.</t>
  </si>
  <si>
    <t>R$ 147,42</t>
  </si>
  <si>
    <t>COMPRA DE FRUTAS 08/12</t>
  </si>
  <si>
    <t>sangria sabrina 11/12</t>
  </si>
  <si>
    <t>CÓPIA DE CHAVE PARA FUNCIONARIO 08/01</t>
  </si>
  <si>
    <t>R$ 25,82</t>
  </si>
  <si>
    <t>R$ 19,56</t>
  </si>
  <si>
    <t>copo de 500ml do amigo secreto</t>
  </si>
  <si>
    <t>COMPRA DE MANGA 08/01</t>
  </si>
  <si>
    <t>R$ 18,40</t>
  </si>
  <si>
    <t>R$ 195,79</t>
  </si>
  <si>
    <t>COMPRA DE FRUTAS E PRODUTOS PARA LOJA 08/01</t>
  </si>
  <si>
    <t>R$ 462,00</t>
  </si>
  <si>
    <t>pagamento de morangos 21kg. 12/12/2025.</t>
  </si>
  <si>
    <t>PAGAMENTO DE MORANGOS 08/01</t>
  </si>
  <si>
    <t>dinheiro pego do armario troco,por rayanna. dia 12/12/2025. para pagamento de morangos.</t>
  </si>
  <si>
    <t>SANGRIA SABRINA 08/01</t>
  </si>
  <si>
    <t>R$ 267,60</t>
  </si>
  <si>
    <t>PAGAMENTO DE BEBIDAS 09/01</t>
  </si>
  <si>
    <t>CÓPIAS DE AVALIAÇÃO DO GOOGLE PARA CLIENTE 8/01</t>
  </si>
  <si>
    <t>R$ 9,20</t>
  </si>
  <si>
    <t>R$ 35,80</t>
  </si>
  <si>
    <t>COMPRA DE DUPLA FACE 08/01</t>
  </si>
  <si>
    <t>R$ 77,80</t>
  </si>
  <si>
    <t>PRODUTOS PARA LOJA. 09/01/2026.</t>
  </si>
  <si>
    <t>sangria sabrina 12/12</t>
  </si>
  <si>
    <t>CAFE PARA FUNCI 09/01/2026.</t>
  </si>
  <si>
    <t>SANGRIA SABRINA 09/01</t>
  </si>
  <si>
    <t>R$ 84,90</t>
  </si>
  <si>
    <t>COMPRA DE MATERIAIS DE CONCERTO DA LOJA 09/01</t>
  </si>
  <si>
    <t>pagamento free vanessa 13h15 as 17h45</t>
  </si>
  <si>
    <t>dinheiro pego do armário para o Daniel abastecer 10/01</t>
  </si>
  <si>
    <t>compra de suco prats 26/01</t>
  </si>
  <si>
    <t>R$ 4,73</t>
  </si>
  <si>
    <t>dinheiro pego para o Daniel abastecer (não tem nf) 10/01</t>
  </si>
  <si>
    <t>adiantamento da funcionaria sabrina/ autorizado pela Aline</t>
  </si>
  <si>
    <t>R$ 115,00</t>
  </si>
  <si>
    <t>pagamento free jaara 13h30 as 22h10</t>
  </si>
  <si>
    <t>pagamento free karina 13h30 as 22h30</t>
  </si>
  <si>
    <t>R$ 27,90</t>
  </si>
  <si>
    <t>daniel pegou 50 reais para fazer compras 09/01</t>
  </si>
  <si>
    <t>sangria sabrina 13/12</t>
  </si>
  <si>
    <t>R$ 22,10</t>
  </si>
  <si>
    <t>Daniel pegou o troco dos 50 para abastecer (não tem nf) 10/01</t>
  </si>
  <si>
    <t>R$ 19,94</t>
  </si>
  <si>
    <t>pagamento free carina. das 13h30 as 22h. dia 14/12/2025.</t>
  </si>
  <si>
    <t>pagamento free Jaara 13h as 20h</t>
  </si>
  <si>
    <t>PAGAMENTO DE CEDULAS. DIA 27/01/2026.</t>
  </si>
  <si>
    <t>pagamento free camila. das 13h30 as 22h dia 14/12/2025</t>
  </si>
  <si>
    <t>R$ 29,78</t>
  </si>
  <si>
    <t>copo aniversariante</t>
  </si>
  <si>
    <t>entrada referente a troca de cedulas com cliente patricia. valor 100,00 reais. dia 27/01/2026.</t>
  </si>
  <si>
    <t>SANGRIA REALIZADA POR RAYANNA. DIA 14/12/2025.</t>
  </si>
  <si>
    <t>sangria Sabrina 10/01</t>
  </si>
  <si>
    <t>R$ 81,15</t>
  </si>
  <si>
    <t>retirada de copos, cliente patricia. 3cps de 300ml. dia 27/01/2026.</t>
  </si>
  <si>
    <t>R$ 516,65</t>
  </si>
  <si>
    <t>compra de frutas e produtos para loja. dia 12/12/2025.</t>
  </si>
  <si>
    <t>R$ 42,39</t>
  </si>
  <si>
    <t>consumo sabbrina dia 10/01/2026.</t>
  </si>
  <si>
    <t>R$ 531,24</t>
  </si>
  <si>
    <t>pagamento de bebidas. dia 15/12/2025.</t>
  </si>
  <si>
    <t>R$ 37,57</t>
  </si>
  <si>
    <t>consumo janaina. dia 10/01/2026.</t>
  </si>
  <si>
    <t>compra de suco e água de coco 15/12</t>
  </si>
  <si>
    <t>R$ 391,85</t>
  </si>
  <si>
    <t>R$ 4,43</t>
  </si>
  <si>
    <t>compra de frutas e produtos de limpeza. dia 27/01/2026.</t>
  </si>
  <si>
    <t>compra de banana pra loja. dia 15/12/2025</t>
  </si>
  <si>
    <t>R$ 12,31</t>
  </si>
  <si>
    <t>frutas para loja. dia 11/01/2026.</t>
  </si>
  <si>
    <t>R$ 202,86</t>
  </si>
  <si>
    <t>compra de frutas e produtos para loja. dia 15/12/2025.</t>
  </si>
  <si>
    <t>R$ 34,08</t>
  </si>
  <si>
    <t>compra de lanche para funcionarios. dia 25/01/2026.</t>
  </si>
  <si>
    <t>pagamento free jaara. das 13h as 22h30. dia 11/01/2026.</t>
  </si>
  <si>
    <t>sangria realizada por rayanna. dia 11/01/2026.</t>
  </si>
  <si>
    <t>sangria realizada por sabrina. dia 08/01/2026. aberta por rayanna dia 12/01/2026.</t>
  </si>
  <si>
    <t>R$ 32,08</t>
  </si>
  <si>
    <t>R$ 452,00</t>
  </si>
  <si>
    <t>pagamento para cliente patricia referente a troca de cedulas e moedas. dia 12/01/2026.</t>
  </si>
  <si>
    <t>brincadeira do amigo secreto (daniel e joice)</t>
  </si>
  <si>
    <t>entrada no armario no valor de 452,00 , realizada por cliente patricia troca de cedulas e moedas. dia 12/01/2026.</t>
  </si>
  <si>
    <t>sangria sabrina 27/01</t>
  </si>
  <si>
    <t>R$ 396,00</t>
  </si>
  <si>
    <t>pagamento de morangos. dia 16/12/2025.</t>
  </si>
  <si>
    <t>R$ 79,20</t>
  </si>
  <si>
    <t>referente a pagamento de troca de cedulas com cliente francine. dia 12/01/2026.</t>
  </si>
  <si>
    <t>R$ 7,41</t>
  </si>
  <si>
    <t>entrada no aramario no valor de 79,20, troca de moedas com cliente. 12/01/2026.</t>
  </si>
  <si>
    <t>R$ 205,32</t>
  </si>
  <si>
    <t>consumo de influencer para divulgação de panetone</t>
  </si>
  <si>
    <t>pagamento de bebidas. dia 12/01/2026.</t>
  </si>
  <si>
    <t>sangria sabrina 16/12</t>
  </si>
  <si>
    <t>compra de suco e agua de coco. 12/01/2026.</t>
  </si>
  <si>
    <t>troca de cédulas com cliente ana paula 28/01</t>
  </si>
  <si>
    <t>R$ 109,89</t>
  </si>
  <si>
    <t>compra de frutas para loja. dia17/12/2025.</t>
  </si>
  <si>
    <t>200 reais guardados no armário, troca de cédulas com cliente</t>
  </si>
  <si>
    <t>R$ 10,11</t>
  </si>
  <si>
    <t>sangria sabrina 17/12</t>
  </si>
  <si>
    <t>sangria sabrina 12/01</t>
  </si>
  <si>
    <t>sangria sabrina 28/01</t>
  </si>
  <si>
    <t>dinheiro pego do armário para troca de moedas 18/12</t>
  </si>
  <si>
    <t>pego do aramario troco para pagamento de morangos. dia 13/01/2026.</t>
  </si>
  <si>
    <t>R$ 435,12</t>
  </si>
  <si>
    <t>R$ 340,00</t>
  </si>
  <si>
    <t>pagamento de bebidas. 29/01/2026.</t>
  </si>
  <si>
    <t>troca de moedas e cédulas com cliente 18/12</t>
  </si>
  <si>
    <t>pagamento de morangos. dia 13/01/2026.</t>
  </si>
  <si>
    <t>pego do armario troco para pagar morangos. 29/01/2026.</t>
  </si>
  <si>
    <t>R$ 276,00</t>
  </si>
  <si>
    <t>pagamento de sacos de lixos 18/12</t>
  </si>
  <si>
    <t>1928953 consumo ana.</t>
  </si>
  <si>
    <t>pagamento de morangos. 29/01/2026.</t>
  </si>
  <si>
    <t>troca de cédulas com cliente 18/12</t>
  </si>
  <si>
    <t>consumo sabrina 28/01</t>
  </si>
  <si>
    <t>R$ 26,07</t>
  </si>
  <si>
    <t>430 reais guardados no armário 18/12</t>
  </si>
  <si>
    <t>sangria sabrina 13/01</t>
  </si>
  <si>
    <t>R$ 37,06</t>
  </si>
  <si>
    <t>retirada de copo 300ml da ana paula da copiadora. dia 18/12/2025.</t>
  </si>
  <si>
    <t>R$ 432,28</t>
  </si>
  <si>
    <t>compra de frutas e lanche loja 10/01</t>
  </si>
  <si>
    <t>R$ 869,87</t>
  </si>
  <si>
    <t>compra de produtos para loja. dia 18/12/2025.</t>
  </si>
  <si>
    <t>R$ 121,61</t>
  </si>
  <si>
    <t>compra de frutas e produtos de limpeza para a loja 13/01</t>
  </si>
  <si>
    <t>R$ 15,85</t>
  </si>
  <si>
    <t>pagemento de morango 15kg</t>
  </si>
  <si>
    <t>entrada pega do armario para pagamento de morangos. dia 15/01/2026.</t>
  </si>
  <si>
    <t>R$ 142,00</t>
  </si>
  <si>
    <t>saida refrente a troca de cedulas com cliente patricia. dia 19/12/2025.</t>
  </si>
  <si>
    <t>pagamento de morangos. dia 15/01/2026.</t>
  </si>
  <si>
    <t>Saida Outros: consumo rayanna</t>
  </si>
  <si>
    <t>entrada no armario dia 19/12/2025. no valor de 142,00 refrente a troca de cedulas.</t>
  </si>
  <si>
    <t>R$ 38,44</t>
  </si>
  <si>
    <t>pagamento de frutas. dia 15/01/2026.</t>
  </si>
  <si>
    <t>pagamento de bebidas. 19/12/2025.</t>
  </si>
  <si>
    <t>Saida Outros: sangria realizada por rayanna. dia 30/01/2026.</t>
  </si>
  <si>
    <t>produtos para loja. dia 15/01/2026.</t>
  </si>
  <si>
    <t>sabrina sangria 19/12</t>
  </si>
  <si>
    <t>R$ 29,00</t>
  </si>
  <si>
    <t>R$ 479,85</t>
  </si>
  <si>
    <t>frutas para loja. dia 15/01/2026.</t>
  </si>
  <si>
    <r>
      <rPr>
        <rFont val="Roboto"/>
        <color rgb="FF000000"/>
        <sz val="11.0"/>
      </rPr>
      <t>lanche para equipe e frutas para loja. obs;</t>
    </r>
    <r>
      <rPr>
        <rFont val="Roboto"/>
        <color rgb="FFFF0000"/>
        <sz val="11.0"/>
      </rPr>
      <t xml:space="preserve"> a notinha foi jogada fora sem querer. dia 20/12/2025.</t>
    </r>
  </si>
  <si>
    <t>R$ 15,45</t>
  </si>
  <si>
    <t>Saida Outros: compra de lenache para funcionarios. dia 31/01/2026.</t>
  </si>
  <si>
    <t>1933471 consumo sabrina</t>
  </si>
  <si>
    <t>pagamento free rosiane b saldanha das 13h as 19h. dia 20/12/2025.</t>
  </si>
  <si>
    <t>R$ 27,95</t>
  </si>
  <si>
    <t>pagamento free lauriete amaral. das 13h30 as 22h. dia 20/12/2025.</t>
  </si>
  <si>
    <t>Saida Outros: pagamento free nataly. 13:30 as 22:30</t>
  </si>
  <si>
    <t>sangria realizada por rayanna. dia 20/12/2025.</t>
  </si>
  <si>
    <t>consumo de 3,00 rayanna</t>
  </si>
  <si>
    <t>pagamento free daniele da silva. das 13h00 as 22h30. 20/12/2025.</t>
  </si>
  <si>
    <t>Saida Outros: pagamento free jaara 13:00 as 21;30</t>
  </si>
  <si>
    <t>pagamento free jeara. das 13h00 as 22h30. dia 20/12/2025.</t>
  </si>
  <si>
    <t>R$ 10,95</t>
  </si>
  <si>
    <t>pagamento da free daniele 13h30 as 22h30</t>
  </si>
  <si>
    <t>R$ 10,85</t>
  </si>
  <si>
    <t>Saida Outros: sangria realizada por janaina 31/01/2026</t>
  </si>
  <si>
    <t>pagamento da free gabriela 13h30 as 22h30</t>
  </si>
  <si>
    <t>R$ 9,84</t>
  </si>
  <si>
    <t>Saida Outros: compra de lanches e frutas 01/02</t>
  </si>
  <si>
    <t>Saida Outros: pagamento free jaara 13h as 20h30</t>
  </si>
  <si>
    <t>sangria marcos 21/12</t>
  </si>
  <si>
    <t>R$ 3,20</t>
  </si>
  <si>
    <t>Saida Outros: sangria sabrina 01/02</t>
  </si>
  <si>
    <t>Saida Outros: pagamento free naty 13h30 as 22h30</t>
  </si>
  <si>
    <t>pagamento free daniele do 12h as 18h</t>
  </si>
  <si>
    <r>
      <t xml:space="preserve">
</t>
    </r>
    <r>
      <rPr>
        <rFont val="&quot;Google Sans Mono&quot;, &quot;Google Sans&quot;, Roboto, sans-serif"/>
        <b val="0"/>
        <color rgb="FF000000"/>
        <sz val="10.0"/>
      </rPr>
      <t xml:space="preserve">  E(D75="Saída"; #REF!="Sangria");
  IFNA(
    SE(
      SOMA(
        QUERY(
          IMPORTRANGE("https://docs.google.com/spreadsheets/d/1wBSFbIXYswW2S5SMKo44LPsdTG4P4kfP5VRdAS5E_4o";
          "Movimentações de Sangrias!A:I");
          "select Col6 
           where Col7 = 'Depositada'
             and Col9 = '"&amp;K75&amp;"'
             and Col6 = "&amp;N75&amp;"
             and Col4 = date '"&amp;TEXTO(C75;"yyyy-mm-dd")&amp;"'"
        )
      )&gt;0;
      "Depositada";
      SE(
        SOMA(
          QUERY(
            IMPORTRANGE("https://docs.google.com/spreadsheets/d/1wBSFbIXYswW2S5SMKo44LPsdTG4P4kfP5VRdAS5E_4o";
            "Movimentações de Sangrias!A:I");
            "select Col6 
             where Col7 = 'Caixa Atendimento'
               and Col9 = '"&amp;K75&amp;"'
               and Col6 = "&amp;N75&amp;"
               and Col4 = date '"&amp;TEXTO(C75;"yyyy-mm-dd")&amp;"'"
          )
        )&gt;0;
        "Caixa Atendimento";
        SE(
          SOMA(
            QUERY(
              IMPORTRANGE("https://docs.google.com/spreadsheets/d/1wBSFbIXYswW2S5SMKo44LPsdTG4P4kfP5VRdAS5E_4o";
              "Movimentações de Sangrias!A:I");
              "select Col6 
               where Col7 = 'Confirmada'
                 and Col9 = '"&amp;K75&amp;"'
                 and Col6 = "&amp;N75&amp;"
                 and Col4 = date '"&amp;TEXTO(C75;"yyyy-mm-dd")&amp;"'"
            )
          )&gt;0;
          "Confirmada";
          "Caixa Sangria"
        )
      )
    );
    ""
  );
  ""
)
</t>
    </r>
  </si>
  <si>
    <t>R$ 55,00</t>
  </si>
  <si>
    <t>pagamento free janaina 19h as 23h</t>
  </si>
  <si>
    <t>R$ 16,00</t>
  </si>
  <si>
    <t>pagamento free sabrina 13:30 as 23h</t>
  </si>
  <si>
    <t>R$ 633,89</t>
  </si>
  <si>
    <t>compra de frutas e produtos para loja 22/12</t>
  </si>
  <si>
    <t>Saida Outros: consumo ana. 01/02 e dia 02/02</t>
  </si>
  <si>
    <t>sangria Sabrina 17/01</t>
  </si>
  <si>
    <t>R$ 18,79</t>
  </si>
  <si>
    <t>copo de 300 ml aniversariante 22/12</t>
  </si>
  <si>
    <t>Saida Outros: consumo janaina. 02/02</t>
  </si>
  <si>
    <t>sangria sabrina 22/12</t>
  </si>
  <si>
    <t>pagamento free Ana 13h30 as 19h</t>
  </si>
  <si>
    <t>Saida Outros: IMPRESSAO DE NOTAS, DEVOLUÇAO PANETONE. 02/02/2026.</t>
  </si>
  <si>
    <t>sangria sabrina 18/01</t>
  </si>
  <si>
    <t>R$ 481,50</t>
  </si>
  <si>
    <t>Saida Outros: PAGAMENTO DE PRODUTOS PARA LOJA. DIA 29/01/2026.</t>
  </si>
  <si>
    <t>R$ 355,00</t>
  </si>
  <si>
    <t>troca de moedas com cliente 23/12</t>
  </si>
  <si>
    <t>Saida Outros: CONSUMO SABRINA.</t>
  </si>
  <si>
    <t>355 reais guardados no armário de troco</t>
  </si>
  <si>
    <t>R$ 4,46</t>
  </si>
  <si>
    <t>Saida Outros: troca de moedas com cliente 02/02</t>
  </si>
  <si>
    <t>pagamento d free dani das 13hrs ate as 18:30</t>
  </si>
  <si>
    <t>R$ 27,00</t>
  </si>
  <si>
    <t>impressoes para loja. dia 19/01/2026.</t>
  </si>
  <si>
    <t>pagamento da free jaara das 15hrs ate 23hrs</t>
  </si>
  <si>
    <t>Entrada Outros: 78 reais guardados no armário, troca com cliente</t>
  </si>
  <si>
    <t>R$ 37,50</t>
  </si>
  <si>
    <t>papel film para loja. dia 19/01/2026.</t>
  </si>
  <si>
    <t>pagamento da free lauri das 18hrs ate 23hrs</t>
  </si>
  <si>
    <t>R$ 207,64</t>
  </si>
  <si>
    <t>R$ 395,00</t>
  </si>
  <si>
    <t>compra de frutas e lanche 18/01</t>
  </si>
  <si>
    <t>Saida Outros: pagamento de bebidas. 03/02/2026.</t>
  </si>
  <si>
    <t>trocas de moeda com cliente valor guardado no armario</t>
  </si>
  <si>
    <t>R$ 358,07</t>
  </si>
  <si>
    <t>compra de frutas e produtos 19/01</t>
  </si>
  <si>
    <t>R$ 33,79</t>
  </si>
  <si>
    <t>Saida Outros: compra de frutas. 28/01/2026.</t>
  </si>
  <si>
    <t>R$ 141,54</t>
  </si>
  <si>
    <t>compra de frutas e lanche 17/01</t>
  </si>
  <si>
    <t>R$ 66,91</t>
  </si>
  <si>
    <t>utensilios de jardinagem para loja. dia 20/01/2026.</t>
  </si>
  <si>
    <t>R$ 5,75</t>
  </si>
  <si>
    <t>Saida Outros: 10 kg de morangos</t>
  </si>
  <si>
    <t>R$ 57,51</t>
  </si>
  <si>
    <t>consumo de copos de troca de dinheiro</t>
  </si>
  <si>
    <t>Saida Outros: produtos para loja. 04/02/2026.</t>
  </si>
  <si>
    <t>R$ 482,00</t>
  </si>
  <si>
    <t>pagamento de troca de cedulas com cliente patricia. dia 20/01/2026.</t>
  </si>
  <si>
    <t>R$ 7,90</t>
  </si>
  <si>
    <t>entrada no armario no valor de 482,00. refrente a troca de cedulas com cliente patricia. dia 20/01/2026.</t>
  </si>
  <si>
    <t>R$ 8,52</t>
  </si>
  <si>
    <t>R$ 17,64</t>
  </si>
  <si>
    <t>Saida Outros: refrente o restante da troca de cedulas com cliente patricia. id 1974252 dia 02/02/2026. restante da troca realizada dia 04/02/2026 .$22,00</t>
  </si>
  <si>
    <t>R$ 326,04</t>
  </si>
  <si>
    <t>Entrada Outros: entrada no armario dia 04/02/2026. refrente a troca de cedulas com cliente patricia.</t>
  </si>
  <si>
    <t>consumo de aniversariante</t>
  </si>
  <si>
    <t>Entrada Outros: entrada no armario no valor de 300,00 reais refrente a troca de cedulas, com cliente patricia. dia 04/02/2026.</t>
  </si>
  <si>
    <t>saida do armario e entrada no caixa para pagamento de dedetização</t>
  </si>
  <si>
    <t>Saida Outros: 19772267 desconsiderar a entrada com esse id. foi feita de maneira errada. 04/02/2026.</t>
  </si>
  <si>
    <t>saida para pagamento de dedetização da loja dia 20/01</t>
  </si>
  <si>
    <t>pagamento de morangos. 15kg. 22/01/2026.</t>
  </si>
  <si>
    <t>Saida Outros: pagamento de morangos. 04/02/2026.</t>
  </si>
  <si>
    <t>pagamento de troca de moedas com cliente ana paula da copiadora. dia 22/01/2026.</t>
  </si>
  <si>
    <t>Saida Outros: troca de dinheiro com cliente ana paula</t>
  </si>
  <si>
    <t>entrada no armario no valor de 100,00, ref a troca de moedas com cliente ana paula da copiadora. dia 22/01/2026.</t>
  </si>
  <si>
    <t>Saida Outros: 2 copos da ana paula de troca de dinheiro</t>
  </si>
  <si>
    <t>R$ 441,17</t>
  </si>
  <si>
    <t>compra de frutas para loja 22/01</t>
  </si>
  <si>
    <t>Entrada Outros: entrada de 200,00 no armario troco</t>
  </si>
  <si>
    <t>R$ 9,87</t>
  </si>
  <si>
    <t>compra de banana 21/01</t>
  </si>
  <si>
    <t>R$ 3,96</t>
  </si>
  <si>
    <t>pagamento de morangos 23/01</t>
  </si>
  <si>
    <t>R$ 42,00</t>
  </si>
  <si>
    <t>Saida Outros: janta para funcionarios. 04/02/2026.</t>
  </si>
  <si>
    <t>dinheiro pego do armário para pagamento de morangos 23/01</t>
  </si>
  <si>
    <t>venda com voucher de 20 reais 23/01</t>
  </si>
  <si>
    <t>R$ 17,76</t>
  </si>
  <si>
    <t>troca de moedas com cliente / copo de de cliente</t>
  </si>
  <si>
    <t>entrada no armario no valor de 100,0. referente a troca de moedas com cliente. dia 23/01/2026.</t>
  </si>
  <si>
    <t>Saida Outros: desconsiderar saida referente ao id 1974252. que foi feito de maneira errada. ja corrigido na data de 04/02/2026.</t>
  </si>
  <si>
    <t>pagamento de morangos. dia 23/01/2026.</t>
  </si>
  <si>
    <t>R$ 16,49</t>
  </si>
  <si>
    <t>Saida Outros: consumo de aniversariante</t>
  </si>
  <si>
    <t>R$ 1.600,00</t>
  </si>
  <si>
    <t>sangria realizada por rayanna. 23/01/2026.</t>
  </si>
  <si>
    <t>Saida Outros: consumo janaina</t>
  </si>
  <si>
    <t>R$ 47,00</t>
  </si>
  <si>
    <t>compra de lanches e frutas. dia 24/01/2026.</t>
  </si>
  <si>
    <t>Saida Outros: sangria sabrina 05/02</t>
  </si>
  <si>
    <t>R$ 7,92</t>
  </si>
  <si>
    <t>R$ 3,71</t>
  </si>
  <si>
    <t>Saida Outros: CONSUMO RAYANNA</t>
  </si>
  <si>
    <t>pagamento free jaara. das 13h as 21h. dia 24/01/2026.</t>
  </si>
  <si>
    <t>R$ 199,80</t>
  </si>
  <si>
    <t>Saida Outros: COMPRA DE UVAS PARA LOJA. 06/02/2026.</t>
  </si>
  <si>
    <t>pagamento free natali. das 13h30 as 22h30. dia 24/01/2026.</t>
  </si>
  <si>
    <t>R$ 208,02</t>
  </si>
  <si>
    <t>Saida Outros: COMPRA DE FRUTAS PARA LOJA. 06/02/2026.</t>
  </si>
  <si>
    <t>sangria realizada por rayanna. dia 24/01/2026.</t>
  </si>
  <si>
    <t>R$ 134,16</t>
  </si>
  <si>
    <t>Saida Outros: COMPRA DE SUCOS ARA LOJA. 05/02/2026.</t>
  </si>
  <si>
    <t>pagamento free naty 13h30 as 22h30</t>
  </si>
  <si>
    <t>Saida Outros: sangria sabrina 06/02</t>
  </si>
  <si>
    <t>sangria sabrina 25/01</t>
  </si>
  <si>
    <t>Saida Outros: consumo sabrina 06/02/2026</t>
  </si>
  <si>
    <t>Saida Outros: consumo jana</t>
  </si>
  <si>
    <t>Saida Outros: pagamento free jana 13h as 22h30</t>
  </si>
  <si>
    <t>Saida Outros: sangria sabrina 07/02</t>
  </si>
  <si>
    <t>Saida Outros: pagamento free vanete 13h as 18h</t>
  </si>
  <si>
    <t>R$ 25,56</t>
  </si>
  <si>
    <t>Saida Outros: consumo sabrina. 07/02/2026.</t>
  </si>
  <si>
    <t>Saida Outros: retirada de acai utilizando voucher. no valor de 30,00. cliente morgana perdoncini</t>
  </si>
  <si>
    <t>Saida Outros: PAGAMENTO FREE NATALI. DAS 13H30 AS 22H30. DIA 08/02/2026.</t>
  </si>
  <si>
    <t>Saida Outros: PAGAMENTO FREE JAARA. DAS 13H AS 22H30. DIA 08/02/2026.</t>
  </si>
  <si>
    <t>Saida Outros: SANGRIA REALIZADA POR RAYANNA. DIA 08/02/2026</t>
  </si>
  <si>
    <t>R$ 5,42</t>
  </si>
  <si>
    <t>Saida Outros: COMPRA DE PAES. 07/02/2026.</t>
  </si>
  <si>
    <t>R$ 212,03</t>
  </si>
  <si>
    <t>Saida Outros: FRUTAS PARA LOJA. DIA 06/02/2026.</t>
  </si>
  <si>
    <t>R$ 81,50</t>
  </si>
  <si>
    <t>Saida Outros: IMPRESSOES PARA LOJA. 09/02/2026.</t>
  </si>
  <si>
    <t>R$ 377,80</t>
  </si>
  <si>
    <t>Saida Outros: PAGAMENTO DE BEBIDAS. 09/02/2026.</t>
  </si>
  <si>
    <t>Saida Outros: PAGAMENTOS DE SUCOS PRATS E AGUA DE COCO. 09/02/2026.</t>
  </si>
  <si>
    <t>Saida Outros: troca de cédulas com cliente patricia 09/02</t>
  </si>
  <si>
    <t>Entrada Outros: 200 reais guardados no armário, feito troca de cédulas com cliente 09/02</t>
  </si>
  <si>
    <t>Saida Outros: pagamento de morangos. 15kg. 09/02/2026</t>
  </si>
  <si>
    <t>Entrada Outros: entrada realizada por rayanna. dia 09/02/2026. para pagamento de produtos da loja.</t>
  </si>
  <si>
    <t>Saida Outros: pagamento de produtos para loja. 09/02/2026.</t>
  </si>
  <si>
    <t>R$ 13,55</t>
  </si>
  <si>
    <t>Saida Outros: todas as saidas com a data 09/02 foram feitas coma data errada. todas elas estao sendo realizada hoje, dia 10/02/2026. somente para correçao</t>
  </si>
  <si>
    <t>R$ 41,00</t>
  </si>
  <si>
    <t>Saida Outros: produtos para loja. 10/02/2026.</t>
  </si>
  <si>
    <t>R$ 441,42</t>
  </si>
  <si>
    <t>Saida Outros: compra de produtos de higiene para loja. dia 09/02/2026. ( esse esta com a data correta)</t>
  </si>
  <si>
    <t>R$ 29,70</t>
  </si>
  <si>
    <t>Saida Outros: frutas para loja. dia 10/02/2026.</t>
  </si>
  <si>
    <t>R$ 29,01</t>
  </si>
  <si>
    <t>Saida Outros: dinheiro pego do armario para o caixa troco. realizada por rayanna. 10/02/2026.</t>
  </si>
  <si>
    <t>R$ 18,66</t>
  </si>
  <si>
    <t>Entrada Outros: entrada do armario para o caixa troco. realizada por rayanna. 10/02/2026.</t>
  </si>
  <si>
    <t>Saida Outros: ID 1991124 DESCONSIDERAR</t>
  </si>
  <si>
    <t>Saida Outros: consumo sabrina 10/02/2026.</t>
  </si>
  <si>
    <t>Saida Outros: retirada de copo com voucher de 50,00. cliente morgana perdoncini. 11/02/2026.</t>
  </si>
  <si>
    <t>R$ 10,35</t>
  </si>
  <si>
    <t>R$ 180,65</t>
  </si>
  <si>
    <t>Saida Outros: compra de kiwi 11/02</t>
  </si>
  <si>
    <t>R$ 5,24</t>
  </si>
  <si>
    <t>Saida Outros: sangria sabrina 11/02</t>
  </si>
  <si>
    <t>R$ 45,17</t>
  </si>
  <si>
    <t>Saida Outros: consumo influencer renata rech. 12/02/2026.</t>
  </si>
  <si>
    <t>Saida Outros: 6kg de kiwis. 12/02/2026.</t>
  </si>
  <si>
    <t>R$ 282,55</t>
  </si>
  <si>
    <t>Saida Outros: compra de frutas e produtos para loja. 12/02/2026.</t>
  </si>
  <si>
    <t>R$ 37,00</t>
  </si>
  <si>
    <t>Saida Outros: impressoes referente a parceria com academia AD3. 12/02/2026.</t>
  </si>
  <si>
    <t>R$ 72,72</t>
  </si>
  <si>
    <t>Saida Outros: CONSUMO INFLUENCER</t>
  </si>
  <si>
    <t>Saida Outros: 15kgs de morangos. dia 13/02/2026.</t>
  </si>
  <si>
    <t>R$ 124,80</t>
  </si>
  <si>
    <t>Saida Outros: pagamento de bebidas 13/02</t>
  </si>
  <si>
    <t>Saida Outros: sangria sabrina 13/02</t>
  </si>
  <si>
    <t>Saida Outros: pagamento free nataly. da 13h as 22h30. 14/02/2026.</t>
  </si>
  <si>
    <t>Saida Outros: sangria rayanna. dia 14/02/2026.</t>
  </si>
  <si>
    <t>R$ 4,47</t>
  </si>
  <si>
    <t>Saida Outros: pagamento free jana 13h as 16h</t>
  </si>
  <si>
    <t>R$ 14,95</t>
  </si>
  <si>
    <t>Saida Outros: copo de troca de moedas com cliente</t>
  </si>
  <si>
    <t>Entrada Outros: entrada no armario troco de 100,00 troco de cliente</t>
  </si>
  <si>
    <t>Saida Outros: pagamento free naty 13h as 22h30</t>
  </si>
  <si>
    <t>Saida Outros: sangria marcos 15/02</t>
  </si>
  <si>
    <t>Saida Outros: troca de cédulas e moedas com cliente ana paula 16/02</t>
  </si>
  <si>
    <t>Entrada Outros: 400 reais guardados no armário, troca de cédulas e moedas com cliente 16/02</t>
  </si>
  <si>
    <t>R$ 404,01</t>
  </si>
  <si>
    <t>Saida Outros: compra de produtos para loja. 16/02/2026.</t>
  </si>
  <si>
    <t>R$ 59,90</t>
  </si>
  <si>
    <t>Saida Outros: compra de jarra elétrica para loja 17/02</t>
  </si>
  <si>
    <t>R$ 10,10</t>
  </si>
  <si>
    <t>Saida Outros: copo de aniversariante</t>
  </si>
  <si>
    <t>R$ 25,25</t>
  </si>
  <si>
    <t>Saida Outros: consumo sabrina 17/02/2026.</t>
  </si>
  <si>
    <t>R$ 24,67</t>
  </si>
  <si>
    <t>Saida Outros: RETIRADA COPO 300ML. CLIENTE PATRICIA, 18/02/2026</t>
  </si>
  <si>
    <t>Saida Outros: PAGAMENTO DE 10KG DE MORANGO</t>
  </si>
  <si>
    <t>R$ 17,95</t>
  </si>
  <si>
    <t>Saida Outros: COMPRA DE AGENDA PARA LOJA. 18/02/2026.</t>
  </si>
  <si>
    <t>Saida Outros: sangria Sabrina 18/02</t>
  </si>
  <si>
    <t>Saida Outros: consumo sabrina 18/02</t>
  </si>
  <si>
    <t>Saida Outros: consumo ana 19/02/2026.</t>
  </si>
  <si>
    <t>R$ 7,10</t>
  </si>
  <si>
    <t>Saida Outros: banana paraa loja. 19/02/2026.</t>
  </si>
  <si>
    <t>Saida Outros: sangria Sabrina 19/02</t>
  </si>
  <si>
    <t>Saida Outros: consumo sabrina 19/02/2026</t>
  </si>
  <si>
    <t>Saida Outros: troca de cedulas com cliente ana paula</t>
  </si>
  <si>
    <t>Saida Outros: saida de 100,00 do armario troco para o caixa</t>
  </si>
  <si>
    <t>Entrada Outros: entrada no caixa para pagar troca de cedulas com cliente</t>
  </si>
  <si>
    <t>R$ 261,60</t>
  </si>
  <si>
    <t>Saida Outros: compra de bebidas ara loja. 20/02/2026</t>
  </si>
  <si>
    <t>R$ 5,82</t>
  </si>
  <si>
    <t>Saida Outros: COMPRA DE PÃO</t>
  </si>
  <si>
    <t>R$ 406,76</t>
  </si>
  <si>
    <t>Saida Outros: compra de frutas e lanche</t>
  </si>
  <si>
    <t>Saida Outros: sangria marcos 21/02</t>
  </si>
  <si>
    <t>Saida Outros: pagamento free jaara 13h as 22h30</t>
  </si>
  <si>
    <t>R$ 13,91</t>
  </si>
  <si>
    <t>Saida Outros: compra de pao. 22/02/2026.</t>
  </si>
  <si>
    <t>Saida Outros: pagamento free nati das 13h00 as 22h30 22/02/2026.</t>
  </si>
  <si>
    <t>Saida Outros: sangria realizada por rayanna 22/02/2026.</t>
  </si>
  <si>
    <t>Saida Outros: consumo janaina 23/02/2026.</t>
  </si>
  <si>
    <t>Saida Outros: consumo ana.</t>
  </si>
  <si>
    <t>Saida Outros: COMPRA DE BORRACHINHAS. 23/02/2026</t>
  </si>
  <si>
    <t>R$ 19,30</t>
  </si>
  <si>
    <t>Saida Outros: sangria janaina 23/02/2026</t>
  </si>
  <si>
    <t>R$ 6,24</t>
  </si>
  <si>
    <t>Saida Outros: consumo janaina. 23/02/2026</t>
  </si>
  <si>
    <t>R$ 12,17</t>
  </si>
  <si>
    <t>Saida Outros: consumo sabrina. 23/02/2026.</t>
  </si>
  <si>
    <t>Saida Outros: consumo sabrina 25/02/2026.</t>
  </si>
  <si>
    <t>Saida Outros: consumo ana. 23/02/2026.</t>
  </si>
  <si>
    <t>R$ 181,68</t>
  </si>
  <si>
    <t>Saida Outros: pagamento d bebidas. 24/02/2026.</t>
  </si>
  <si>
    <t>Saida Outros: consumo janaina 22/02</t>
  </si>
  <si>
    <t>R$ 188,00</t>
  </si>
  <si>
    <t>Saida Outros: pagamento de produtos de limpeza. 24/02/2026.</t>
  </si>
  <si>
    <t>Saida Outros: consumo ana 26/02/2026.</t>
  </si>
  <si>
    <t>R$ 26,84</t>
  </si>
  <si>
    <t>Saida Outros: 2025134 desconsiderar. ja tinha sido passada a compra.</t>
  </si>
  <si>
    <t>Saida Outros: CONSUMO JANAINA</t>
  </si>
  <si>
    <t>R$ 333,95</t>
  </si>
  <si>
    <t>Saida Outros: COMPRA DE PRODUTOS PARA LOJA 24/02</t>
  </si>
  <si>
    <t>R$ 11,94</t>
  </si>
  <si>
    <t>Saida Outros: CPMPRA DE FRUTAS PARA LOJA 23/02</t>
  </si>
  <si>
    <t>R$ 35,04</t>
  </si>
  <si>
    <t>Saida Outros: COMPRA DE FRUTAS PARA LOJA 25/02</t>
  </si>
  <si>
    <t>Saida Outros: sangria sabrina 25/02</t>
  </si>
  <si>
    <t>R$ 33,48</t>
  </si>
  <si>
    <t>R$ 279,92</t>
  </si>
  <si>
    <t>Saida Outros: compra de kiwi 27/02</t>
  </si>
  <si>
    <t>R$ 372,16</t>
  </si>
  <si>
    <t>Saida Outros: compra de frutas e produtos para loja 27/02</t>
  </si>
  <si>
    <t>Entrada Outros: pagamento de morangos 27/02</t>
  </si>
  <si>
    <t>Saida Outros: pagamento de morangos 27/02</t>
  </si>
  <si>
    <t>Saida Outros: consumo sabrina. 27/02/2026.</t>
  </si>
  <si>
    <t>R$ 16,74</t>
  </si>
  <si>
    <t>Saida Outros: copo aniversariante do dia 28/02/2026.</t>
  </si>
  <si>
    <t>R$ 7,59</t>
  </si>
  <si>
    <t>Saida Outros: compra de paes para funcionarios da loja. 28/02/2026.</t>
  </si>
  <si>
    <t>Saida Outros: consumo ana. 228/02/2026.</t>
  </si>
  <si>
    <t>Saida Outros: PAGAMENTO FREE JAARA. 13H AS 21H. 28/02/2026.</t>
  </si>
  <si>
    <t>Saida Outros: PAGAMENTO FREE NATALY VICTORIA. 13H30 AS 22H30. 28/02/2026.</t>
  </si>
  <si>
    <t>Saida Outros: SANGRIA REALIZADA POR RAYANNA. 28/02/2026.</t>
  </si>
  <si>
    <t>R$ 40,07</t>
  </si>
  <si>
    <t>Saida Outros: troca de moedas com cliente santiago</t>
  </si>
  <si>
    <t>Entrada Outros: entrada no armario de R$200 moedas, troca de moedas com cliente</t>
  </si>
  <si>
    <t>Saida Outros: retirada de copo de troca de moedas</t>
  </si>
  <si>
    <t>R$ 40,78</t>
  </si>
  <si>
    <t>Saida Outros: pagamento free jaara 13h as 21h30</t>
  </si>
  <si>
    <t>R$ 212,37</t>
  </si>
  <si>
    <t>Saida Outros: sangria marcos 01/03</t>
  </si>
  <si>
    <t>Saida Outros: pagamento free nathy 14h as 22h30</t>
  </si>
  <si>
    <t>R$ 13,07</t>
  </si>
  <si>
    <t>Saida Outros: frutas para loja. 02/03/2026.</t>
  </si>
  <si>
    <t>Saida Outros: retirada de copo de cliente santiago. (troca de moedas realizada ontem) 01/03.</t>
  </si>
  <si>
    <t>Saida Outros: retirada de copo de 300ml referente a troca de cedulas com cliente leandro alves. 02/03/2026.</t>
  </si>
  <si>
    <t>Entrada Outros: entrada de 200,00 reais no armario troco. realizada por rayanna. 02/03/2026.</t>
  </si>
  <si>
    <t>Saida Outros: refrente a troca de cedulas com cliente. 02/03/2026.</t>
  </si>
  <si>
    <t>Saida Outros: consumo sabrina. 01/03/2026.</t>
  </si>
  <si>
    <t>Saida Outros: sangria sabrina 02/03</t>
  </si>
  <si>
    <t>R$ 6,63</t>
  </si>
  <si>
    <t>Saida Outros: compra de banana para loja. 03/03/2026.</t>
  </si>
  <si>
    <t>Saida Outros: consumo sabrina. 03/03/2026.</t>
  </si>
  <si>
    <t>Saida Outros: compra de tecido para loja 02/03</t>
  </si>
  <si>
    <t>Saida Outros: compra de ovos de colorir para loja 02/03</t>
  </si>
  <si>
    <t>Saida Outros: sangria sabrina 03/03</t>
  </si>
  <si>
    <t>Entrada Outros: saida do armario e entrada no caixa para troca de cedulas com cliente</t>
  </si>
  <si>
    <t>Saida Outros: saida para pagamento de cedulas com cliente</t>
  </si>
  <si>
    <r>
      <t xml:space="preserve">
</t>
    </r>
    <r>
      <rPr>
        <rFont val="&quot;Google Sans Mono&quot;, &quot;Google Sans&quot;, Roboto, sans-serif"/>
        <b val="0"/>
        <color rgb="FF000000"/>
        <sz val="10.0"/>
      </rPr>
      <t xml:space="preserve">  E(D75="Saída"; #REF!="Sangria");
  IFNA(
    SE(
      SOMA(
        QUERY(
          IMPORTRANGE("https://docs.google.com/spreadsheets/d/1wBSFbIXYswW2S5SMKo44LPsdTG4P4kfP5VRdAS5E_4o";
          "Movimentações de Sangrias!A:I");
          "select Col6 
           where Col7 = 'Depositada'
             and Col9 = '"&amp;K75&amp;"'
             and Col6 = "&amp;N75&amp;"
             and Col4 = date '"&amp;TEXTO(C75;"yyyy-mm-dd")&amp;"'"
        )
      )&gt;0;
      "Depositada";
      SE(
        SOMA(
          QUERY(
            IMPORTRANGE("https://docs.google.com/spreadsheets/d/1wBSFbIXYswW2S5SMKo44LPsdTG4P4kfP5VRdAS5E_4o";
            "Movimentações de Sangrias!A:I");
            "select Col6 
             where Col7 = 'Caixa Atendimento'
               and Col9 = '"&amp;K75&amp;"'
               and Col6 = "&amp;N75&amp;"
               and Col4 = date '"&amp;TEXTO(C75;"yyyy-mm-dd")&amp;"'"
          )
        )&gt;0;
        "Caixa Atendimento";
        SE(
          SOMA(
            QUERY(
              IMPORTRANGE("https://docs.google.com/spreadsheets/d/1wBSFbIXYswW2S5SMKo44LPsdTG4P4kfP5VRdAS5E_4o";
              "Movimentações de Sangrias!A:I");
              "select Col6 
               where Col7 = 'Confirmada'
                 and Col9 = '"&amp;K75&amp;"'
                 and Col6 = "&amp;N75&amp;"
                 and Col4 = date '"&amp;TEXTO(C75;"yyyy-mm-dd")&amp;"'"
            )
          )&gt;0;
          "Confirmada";
          "Caixa Sangria"
        )
      )
    );
    ""
  );
  ""
)
</t>
    </r>
  </si>
  <si>
    <t>Saida Outros: retirada de 2 copos de troca de cedulas</t>
  </si>
  <si>
    <t>R$ 28,15</t>
  </si>
  <si>
    <t>R$ 25,18</t>
  </si>
  <si>
    <t>Saida Outros: copo aniversariante do dia. 05/03/2026</t>
  </si>
  <si>
    <t>R$ 199,68</t>
  </si>
  <si>
    <t>Saida Outros: pagamento de bebidas. 05/03/2026.</t>
  </si>
  <si>
    <t>R$ 37,40</t>
  </si>
  <si>
    <t>Saida Outros: compra de chapa e celofane. 05/03/2026,</t>
  </si>
  <si>
    <t>Saida Outros: sangria sabrina 05/03</t>
  </si>
  <si>
    <t>R$ 29,95</t>
  </si>
  <si>
    <t>Saida Outros: compra de luvas de limpeza. 06/03/2026</t>
  </si>
  <si>
    <t>Saida Outros: remedio de gripe. 06/03/2026.</t>
  </si>
  <si>
    <t>R$ 32,45</t>
  </si>
  <si>
    <t>Saida Outros: consumo sabrina 06/03/2026.</t>
  </si>
  <si>
    <t>Saida Outros: consumo ana 06/03/2026.</t>
  </si>
  <si>
    <t>Entrada Outros: entrada para pagamento de notinhas. 06/03/2026.</t>
  </si>
  <si>
    <t>R$ 262,39</t>
  </si>
  <si>
    <t>Saida Outros: compra de frutas. 05/03/2026.</t>
  </si>
  <si>
    <t>R$ 259,07</t>
  </si>
  <si>
    <t>R$ 229,61</t>
  </si>
  <si>
    <t>Saida Outros: CONSUMO SABRINA. 06/03/2026.</t>
  </si>
  <si>
    <t>R$ 193,00</t>
  </si>
  <si>
    <t>Saida Outros: presente dia das mulheres para funcionárias 06/03</t>
  </si>
  <si>
    <t>R$ 36,00</t>
  </si>
  <si>
    <t>Saida Outros: impressão para o dia das mulheres 06/03</t>
  </si>
  <si>
    <t>Saida Outros: pagamento de morangos 07/03</t>
  </si>
  <si>
    <t>R$ 34,52</t>
  </si>
  <si>
    <t>R$ 156,29</t>
  </si>
  <si>
    <t>Saida Outros: compra de bombom para dias das mulheres 07/03</t>
  </si>
  <si>
    <t>Saida Outros: pagamento free Jaara 13h as 22h</t>
  </si>
  <si>
    <t>R$ 58,50</t>
  </si>
  <si>
    <t>Saida Outros: pagamento free naty. das 13h30 as 18h. dia 08/03/2026</t>
  </si>
  <si>
    <t>R$ 97,50</t>
  </si>
  <si>
    <t>Saida Outros: pagamento free jaara sabrina. das 13h30 as 21h00. dia 08/03/2026.</t>
  </si>
  <si>
    <t>R$ 695,63</t>
  </si>
  <si>
    <t>Saida Outros: decorativos de pascoa para loja. 06/03/2026.</t>
  </si>
  <si>
    <t>Saida Outros: pagamento sabrina. das 17h30 as 22h30. 08/03/2026.</t>
  </si>
  <si>
    <t>Saida Outros: sangria realizada por rayanna. dia 08/03/2026.</t>
  </si>
  <si>
    <t>R$ 70,07</t>
  </si>
  <si>
    <t>Saida Outros: produtos para loja. 08/03/2026</t>
  </si>
  <si>
    <t>R$ 60,18</t>
  </si>
  <si>
    <t>Saida Outros: consumo sabrina. 08/03/2026.</t>
  </si>
  <si>
    <t>Saida Outros: consumo janaina. 08/03/2026.</t>
  </si>
  <si>
    <t>Saida Outros: consumo ana. 09/03/2026.</t>
  </si>
  <si>
    <t>R$ 17,89</t>
  </si>
  <si>
    <t>Saida Outros: PAGAMENTO DE BEBIDAS. 09/03/2026.</t>
  </si>
  <si>
    <t>R$ 47,90</t>
  </si>
  <si>
    <t>Saida Outros: OBJETOS DE PASCOA. 06/03/2026.</t>
  </si>
  <si>
    <t>R$ 66,25</t>
  </si>
  <si>
    <t>Saida Outros: PISTOLA DE COLA QUENTE. 09/03/2026.</t>
  </si>
  <si>
    <t>R$ 8,49</t>
  </si>
  <si>
    <t>Saida Outros: compra de valvula para conserto do tanque 09/03</t>
  </si>
  <si>
    <t>Saida Outros: silicone para colar válvula 09/03 (não tem nota fiscal)</t>
  </si>
  <si>
    <t>R$ 28,40</t>
  </si>
  <si>
    <t>Saida Outros: produtos para pascoa. 10/03/2026.</t>
  </si>
  <si>
    <t>Saida Outros: produtos para loja. 10/03/2026.</t>
  </si>
  <si>
    <t>R$ 247,08</t>
  </si>
  <si>
    <t>Saida Outros: pagamento de bebidas 10/03</t>
  </si>
  <si>
    <t>Saida Outros: sangria Sabrina 10/03</t>
  </si>
  <si>
    <t>Entrada Outros: valor pego do armario para pagamento de morangos</t>
  </si>
  <si>
    <t>Saida Outros: pagamento de morango 10kg</t>
  </si>
  <si>
    <t>R$ 24,92</t>
  </si>
  <si>
    <t>Saida Outros: compra de remédio torsilax 11/03</t>
  </si>
  <si>
    <t>Saida Outros: sangria Sabrina 11/03</t>
  </si>
  <si>
    <t>Saida Outros: etiquetas para a loja</t>
  </si>
  <si>
    <t>Saida Outros: pagamento free joao 18;30 ate as 22;30 / 60 reas</t>
  </si>
  <si>
    <t>R$ 268,00</t>
  </si>
  <si>
    <t>Saida Outros: pagamento de bebidas/ agua</t>
  </si>
  <si>
    <t>Saida Outros: pagamento de 21kg de morango</t>
  </si>
  <si>
    <t>Saida Outros: pagamento free jaara ...17:00 ate as 22:30 , 72,00 reas</t>
  </si>
  <si>
    <t>R$ 47,80</t>
  </si>
  <si>
    <t>Saida Outros: retirada de dois copos 300ml. cliente patricia. 14/03/2026</t>
  </si>
  <si>
    <t>Saida Outros: pagamento free nikole aguiar. das 13h as 20h30. 14/03/2026.</t>
  </si>
  <si>
    <t>Saida Outros: pagamento free janaina de jesus. das 14h30 as 20h30. 14/03/2026.</t>
  </si>
  <si>
    <t>Saida Outros: sangria realizada por rayanna. dia 14/03/2026.</t>
  </si>
  <si>
    <t>Saida Outros: pagamente free jaara. 14/03/2026. 13h as 22h30</t>
  </si>
  <si>
    <t>R$ 80,23</t>
  </si>
  <si>
    <t>Saida Outros: compra de paes e frutas 15/03</t>
  </si>
  <si>
    <t>R$ 505,87</t>
  </si>
  <si>
    <t>Saida Outros: compra de frutas para loja 12/03</t>
  </si>
  <si>
    <t>R$ 291,03</t>
  </si>
  <si>
    <t>Saida Outros: compra de frutas para loja 13/03</t>
  </si>
  <si>
    <t>Saida Outros: pagamento free jaara 13h as 21h</t>
  </si>
  <si>
    <t>R$ 32,84</t>
  </si>
  <si>
    <t>R$ 20,59</t>
  </si>
  <si>
    <t>Saida Outros: pagamento free das 14h30 as 22h30</t>
  </si>
  <si>
    <t>Saida Outros: sangria sabrina 15/03</t>
  </si>
  <si>
    <t>R$ 7,80</t>
  </si>
  <si>
    <t>Saida Outros: sangria sabrina 16/03</t>
  </si>
  <si>
    <t>R$ 77,93</t>
  </si>
  <si>
    <t>Saida Outros: frutas para loja. 16/03/2026.</t>
  </si>
  <si>
    <t>R$ 46,45</t>
  </si>
  <si>
    <t>Saida Outros: produtos para loja. 17/03/2026.</t>
  </si>
  <si>
    <t>R$ 18,54</t>
  </si>
  <si>
    <t>Entrada Outros: entrada realizada por rayanna. dia 18/03/2026. para pagamento de produtos.</t>
  </si>
  <si>
    <t>R$ 297,10</t>
  </si>
  <si>
    <t>Saida Outros: pagamento de produtos para loja. 18/03/2026.</t>
  </si>
  <si>
    <t>Saida Outros: CONSUMO ANIVERSARIANTE</t>
  </si>
  <si>
    <t>R$ 68,00</t>
  </si>
  <si>
    <t>Saida Outros: IMPRESSOES PARA LOJA. 118/03/2026.</t>
  </si>
  <si>
    <t>R$ 205,20</t>
  </si>
  <si>
    <t>Saida Outros: pagamento de bebidas 19/03</t>
  </si>
  <si>
    <t>R$ 30,42</t>
  </si>
  <si>
    <t>Saida Outros: retirada de copo de cliente/ troca de cédulas 19/03</t>
  </si>
  <si>
    <t>Saida Outros: pagamento referente troca de cedulas com cliente ana paula da copiadora. 19/03/2026.</t>
  </si>
  <si>
    <t>R$ 217,00</t>
  </si>
  <si>
    <t>Entrada Outros: entrada realizada por rayanna. 19/03/2026. refrente a troca de moedas com cliente.</t>
  </si>
  <si>
    <t>Saida Outros: entrada de 217,00 feita de maneira errada. era para ter feito de 0,01 cent. apenas concertando.</t>
  </si>
  <si>
    <t>Jaara</t>
  </si>
  <si>
    <t>Saida Outros: troca de cédulas com cliente patricia 20/03</t>
  </si>
  <si>
    <t>Entrada Outros: cem reais guardados no armário, troca de cédulas com a cliente patricia 20/03\</t>
  </si>
  <si>
    <t>R$ 474,70</t>
  </si>
  <si>
    <t>Saida Outros: compra de produtos para loja 17/03</t>
  </si>
  <si>
    <t>R$ 149,85</t>
  </si>
  <si>
    <t>Saida Outros: compra de uva 20/03</t>
  </si>
  <si>
    <t>Saida Outros: pagamento de morangos. 20/03/2026.</t>
  </si>
  <si>
    <t>R$ 47,67</t>
  </si>
  <si>
    <t>Saida Outros: consumo de imfluencer</t>
  </si>
  <si>
    <t>R$ 421,64</t>
  </si>
  <si>
    <t>Saida Outros: compra de produtos para loja 20/03</t>
  </si>
  <si>
    <t>R$ 14,69</t>
  </si>
  <si>
    <t>Saida Outros: compra de lanche 21/03</t>
  </si>
  <si>
    <t>Saida Outros: pagamento free naty 14h30 as 22h30</t>
  </si>
  <si>
    <t>Saida Outros: sangria Sabrina 21/03</t>
  </si>
  <si>
    <t>Saida Outros: pagamento free marcos 13h as 22h</t>
  </si>
  <si>
    <t>Saida Outros: pagamento free naty 15h as 22h30</t>
  </si>
  <si>
    <t>Saida Outros: sangria marcos 22/03</t>
  </si>
  <si>
    <t>Saida Outros: impressão para loja 23/03</t>
  </si>
  <si>
    <t>Saida Outros: pagamento free jaara 13h as 19h</t>
  </si>
  <si>
    <t>Saida Outros: retirada de 1 copo 300ml. ana paula da copiadora.</t>
  </si>
  <si>
    <t>Saida Outros: sangria realizada por rayanna. 24/03/2026.</t>
  </si>
  <si>
    <t>R$ 315,00</t>
  </si>
  <si>
    <t>Saida Outros: pagamento de produtos para loja. 25/03/2026.</t>
  </si>
  <si>
    <t>Saida Outros: copo aniversariante 300ml. 25/03/2026.</t>
  </si>
  <si>
    <t>Saida Outros: COPO ANIVERSARIANTE</t>
  </si>
  <si>
    <t>R$ 460,36</t>
  </si>
  <si>
    <t>Saida Outros: compra de produtos para loja 26/03</t>
  </si>
  <si>
    <t>R$ 27,13</t>
  </si>
  <si>
    <t>Saida Outros: pagamento free vinicius 8h53 as 12h18</t>
  </si>
  <si>
    <t>R$ 26,58</t>
  </si>
  <si>
    <t>Saida Outros: consumo copo de troca</t>
  </si>
  <si>
    <t>R$ 307,40</t>
  </si>
  <si>
    <t>Saida Outros: pagamento de bebidas 27/03</t>
  </si>
  <si>
    <t>Saida Outros: paagmento de morangos. 27/03/2026.</t>
  </si>
  <si>
    <t>Saida Outros: saida realizada dia 27/03/2026 para compras no mercado qe serao realizada amanha. 28/03/2026.</t>
  </si>
  <si>
    <t>Saida Outros: cópias para loja 23/04</t>
  </si>
  <si>
    <t>R$ 41,88</t>
  </si>
  <si>
    <t>Saida Outros: pagamento de bebidas. 27/03/2026.</t>
  </si>
  <si>
    <t>Saida Outros: pagamento de morangos 27/03/2026</t>
  </si>
  <si>
    <t>R$ 8,03</t>
  </si>
  <si>
    <t>Saida Outros: compra de lanche para funcionários 25/04</t>
  </si>
  <si>
    <t>Saida Outros: id 2087928 desconsiderar. foi feito duas saidas com o mesmo valor.</t>
  </si>
  <si>
    <t>R$ 478,70</t>
  </si>
  <si>
    <t>Saida Outros: compra de produtos para loja 24/04</t>
  </si>
  <si>
    <t>Saida Outros: PAGAMENTO FREE JAARA. DAS 14 AS 20H. 27/03/2026.</t>
  </si>
  <si>
    <t>R$ 15,38</t>
  </si>
  <si>
    <t>Saida Outros: compra de lanche para funcionários 26/04</t>
  </si>
  <si>
    <t>Entrada Outros: ENTRADA PARA PAGAMENTO DE FREE LANCER. 27/03/2026.</t>
  </si>
  <si>
    <t>R$ 31,89</t>
  </si>
  <si>
    <t>R$ 41,75</t>
  </si>
  <si>
    <t>Saida Outros: consumo ana. 28/03/2026.</t>
  </si>
  <si>
    <t>R$ 169,90</t>
  </si>
  <si>
    <t>Saida Outros: compra de uva 24/04</t>
  </si>
  <si>
    <t>R$ 16,65</t>
  </si>
  <si>
    <t>R$ 80,51</t>
  </si>
  <si>
    <t>Saida Outros: compras para loja. 28/03/2026.</t>
  </si>
  <si>
    <t>Saida Outros: compra de produto para loja 23/04</t>
  </si>
  <si>
    <t>Saida Outros: pagamento free nati. 14h 20h. 28/03/2026</t>
  </si>
  <si>
    <t>R$ 27,59</t>
  </si>
  <si>
    <t>Saida Outros: sangria realizada por rayanna. 28/07/2026.</t>
  </si>
  <si>
    <t>Saida Outros: pagamento ree rafaella. 28/03/2026. das 14h as 22h30</t>
  </si>
  <si>
    <t>Saida Outros: pagamento free jaara. 28/03/2026. 13h as 22h30.</t>
  </si>
  <si>
    <t>Entrada Outros: referente a dinherio pego ontem para compras do mercado para loja. id 2087928.</t>
  </si>
  <si>
    <t>Entrada Outros: dinheiro pego do armário para pagamento de produtos de limpeza 27/04</t>
  </si>
  <si>
    <t>R$ 10,48</t>
  </si>
  <si>
    <t>R$ 537,50</t>
  </si>
  <si>
    <t>Saida Outros: pagamento de produtos de limpeza 27/04</t>
  </si>
  <si>
    <t>R$ 27,11</t>
  </si>
  <si>
    <t>Entrada Outros: duzentos reais guardados no armário troca de moedas 29/03</t>
  </si>
  <si>
    <t>R$ 18,53</t>
  </si>
  <si>
    <t>Saida Outros: retirada de copo 300 ml troca de moedas</t>
  </si>
  <si>
    <t>Saida Outros: pagamento de morangos 28/04</t>
  </si>
  <si>
    <t>Saida Outros: pagamento free vanete 13h as 21h</t>
  </si>
  <si>
    <t>Saida Outros: pagamento free jaara 16h44 as 22h (mais uma hr paga de ontem que ficou pra trás)</t>
  </si>
  <si>
    <t>R$ 14,76</t>
  </si>
  <si>
    <t>Saida Outros: pagamento free rayanna15h45 as 22h30</t>
  </si>
  <si>
    <t>Saida Outros: pagamento free naty das 12h55 as 23h</t>
  </si>
  <si>
    <t>Saida Outros: pagamento bebidas 29/04/2026</t>
  </si>
  <si>
    <t>R$ 1.900,00</t>
  </si>
  <si>
    <t>Saida Outros: sangria sabrina 29/03</t>
  </si>
  <si>
    <t>R$ 12,01</t>
  </si>
  <si>
    <t>Entrada Outros: entrada feita para subir o troco que foi esquecido de separar, todo dinheiro foi feito sangria</t>
  </si>
  <si>
    <t>Saida Outros: consumo jaara. 30/04/2026</t>
  </si>
  <si>
    <t>R$ 21,13</t>
  </si>
  <si>
    <t>R$ 13,93</t>
  </si>
  <si>
    <t>Saida Outros: copo aniversariante. 30/03</t>
  </si>
  <si>
    <r>
      <t xml:space="preserve">
</t>
    </r>
    <r>
      <rPr>
        <rFont val="&quot;Google Sans Mono&quot;, &quot;Google Sans&quot;, Roboto, sans-serif"/>
        <b val="0"/>
        <color rgb="FF000000"/>
        <sz val="10.0"/>
      </rPr>
      <t xml:space="preserve">  E(D75="Saída"; #REF!="Sangria");
  IFNA(
    SE(
      SOMA(
        QUERY(
          IMPORTRANGE("https://docs.google.com/spreadsheets/d/1wBSFbIXYswW2S5SMKo44LPsdTG4P4kfP5VRdAS5E_4o";
          "Movimentações de Sangrias!A:I");
          "select Col6 
           where Col7 = 'Depositada'
             and Col9 = '"&amp;K75&amp;"'
             and Col6 = "&amp;N75&amp;"
             and Col4 = date '"&amp;TEXTO(C75;"yyyy-mm-dd")&amp;"'"
        )
      )&gt;0;
      "Depositada";
      SE(
        SOMA(
          QUERY(
            IMPORTRANGE("https://docs.google.com/spreadsheets/d/1wBSFbIXYswW2S5SMKo44LPsdTG4P4kfP5VRdAS5E_4o";
            "Movimentações de Sangrias!A:I");
            "select Col6 
             where Col7 = 'Caixa Atendimento'
               and Col9 = '"&amp;K75&amp;"'
               and Col6 = "&amp;N75&amp;"
               and Col4 = date '"&amp;TEXTO(C75;"yyyy-mm-dd")&amp;"'"
          )
        )&gt;0;
        "Caixa Atendimento";
        SE(
          SOMA(
            QUERY(
              IMPORTRANGE("https://docs.google.com/spreadsheets/d/1wBSFbIXYswW2S5SMKo44LPsdTG4P4kfP5VRdAS5E_4o";
              "Movimentações de Sangrias!A:I");
              "select Col6 
               where Col7 = 'Confirmada'
                 and Col9 = '"&amp;K75&amp;"'
                 and Col6 = "&amp;N75&amp;"
                 and Col4 = date '"&amp;TEXTO(C75;"yyyy-mm-dd")&amp;"'"
            )
          )&gt;0;
          "Confirmada";
          "Caixa Sangria"
        )
      )
    );
    ""
  );
  ""
)
</t>
    </r>
  </si>
  <si>
    <t>R$ 48,37</t>
  </si>
  <si>
    <t>Saida Outros: saida referente a troca de moedas com cliente. dinheiro posto no armario troco 30/04/2026 realizado por Ana</t>
  </si>
  <si>
    <t>Saida Outros: copo aniversariante 30/03</t>
  </si>
  <si>
    <t>Saida Outros: retirada copo cliente troca de moedas</t>
  </si>
  <si>
    <t>Entrada Outros: entrada de moedas no armario troco no valor de 100,00 reais referente a troca de moedas com cliente na data de 30/05/2026 realizado ana</t>
  </si>
  <si>
    <t>R$ 13,04</t>
  </si>
  <si>
    <t>Saida Outros: pagamento de morangos. 31/03/2026.</t>
  </si>
  <si>
    <t>Saida Outros: 50,00 pegos para compras do mercado no dia 30/04/2026 pois amanha 01/05/2026 mercados fechados dia do trabalhador</t>
  </si>
  <si>
    <t>R$ 16,91</t>
  </si>
  <si>
    <t>Saida Outros: sangria sabrina 31/03</t>
  </si>
  <si>
    <t>Entrada Outros: entrada para troco, não temos troco suficiente 30/04</t>
  </si>
  <si>
    <t>R$ 15,35</t>
  </si>
  <si>
    <t>R$ 12,18</t>
  </si>
  <si>
    <t>Saida Outros: consumo ana. 01/04/2026.</t>
  </si>
  <si>
    <t>R$ 100,34</t>
  </si>
  <si>
    <t>Saida Outros: retirada de 4 de 300ml copos cliente patricia. 01/05/2026.</t>
  </si>
  <si>
    <t>Entrada Outros: pagamento de bebidas. 01/04/2026.</t>
  </si>
  <si>
    <t>Saida Outros: pagamento de troca de cedulas com cliente patricia. no valor de 300,00 reais efetuada pelo pix. da loja. 01/05/2026.</t>
  </si>
  <si>
    <t>Saida Outros: saida refrente a troca de cedulas com cliente patricia. dia 01/05/2026.</t>
  </si>
  <si>
    <t>R$ 518,40</t>
  </si>
  <si>
    <t>Saida Outros: pagamento de bebidas. id 2099751 foi pego do armario para completar o valor</t>
  </si>
  <si>
    <t>Entrada Outros: entrada no armario troco no valor de 500,00 reais. troca de cedulas com cliente patricia. 01/05/2026.</t>
  </si>
  <si>
    <t>Saida Outros: pagamento de bebida guarana (faturado em outra nota</t>
  </si>
  <si>
    <t>Entrada Outros: entrada no armario troco no valor de 300,00 reais. troca de cedulas cliente patricia. 01/05/2026.</t>
  </si>
  <si>
    <t>R$ 174,96</t>
  </si>
  <si>
    <t>Saida Outros: pagamento de bebida energetico</t>
  </si>
  <si>
    <t>Entrada Outros: pagamento free ana. das 13h as 18h30. 01/05/2026.</t>
  </si>
  <si>
    <t>Saida Outros: pao para equipe 29/03</t>
  </si>
  <si>
    <t>Saida Outros: pagamento free nicole. 01/05/2026. das 14h as 20h</t>
  </si>
  <si>
    <r>
      <t xml:space="preserve">
</t>
    </r>
    <r>
      <rPr>
        <rFont val="&quot;Google Sans Mono&quot;, &quot;Google Sans&quot;, Roboto, sans-serif"/>
        <b val="0"/>
        <color rgb="FF000000"/>
        <sz val="10.0"/>
      </rPr>
      <t xml:space="preserve">  E(D75="Saída"; #REF!="Sangria");
  IFNA(
    SE(
      SOMA(
        QUERY(
          IMPORTRANGE("https://docs.google.com/spreadsheets/d/1wBSFbIXYswW2S5SMKo44LPsdTG4P4kfP5VRdAS5E_4o";
          "Movimentações de Sangrias!A:I");
          "select Col6 
           where Col7 = 'Depositada'
             and Col9 = '"&amp;K75&amp;"'
             and Col6 = "&amp;N75&amp;"
             and Col4 = date '"&amp;TEXTO(C75;"yyyy-mm-dd")&amp;"'"
        )
      )&gt;0;
      "Depositada";
      SE(
        SOMA(
          QUERY(
            IMPORTRANGE("https://docs.google.com/spreadsheets/d/1wBSFbIXYswW2S5SMKo44LPsdTG4P4kfP5VRdAS5E_4o";
            "Movimentações de Sangrias!A:I");
            "select Col6 
             where Col7 = 'Caixa Atendimento'
               and Col9 = '"&amp;K75&amp;"'
               and Col6 = "&amp;N75&amp;"
               and Col4 = date '"&amp;TEXTO(C75;"yyyy-mm-dd")&amp;"'"
          )
        )&gt;0;
        "Caixa Atendimento";
        SE(
          SOMA(
            QUERY(
              IMPORTRANGE("https://docs.google.com/spreadsheets/d/1wBSFbIXYswW2S5SMKo44LPsdTG4P4kfP5VRdAS5E_4o";
              "Movimentações de Sangrias!A:I");
              "select Col6 
               where Col7 = 'Confirmada'
                 and Col9 = '"&amp;K75&amp;"'
                 and Col6 = "&amp;N75&amp;"
                 and Col4 = date '"&amp;TEXTO(C75;"yyyy-mm-dd")&amp;"'"
            )
          )&gt;0;
          "Confirmada";
          "Caixa Sangria"
        )
      )
    );
    ""
  );
  ""
)
</t>
    </r>
  </si>
  <si>
    <t>R$ 107,50</t>
  </si>
  <si>
    <t>Saida Outros: pagamento da jaara- seg 2h30 hj das 18h as 23h</t>
  </si>
  <si>
    <t>Saida Outros: 2158708 desconsiderar esse id. feito de maneira errada. 01/05/2026.</t>
  </si>
  <si>
    <t>Entrada Outros: troco(moedas) pego do armario para o caixa</t>
  </si>
  <si>
    <t>R$ 39,76</t>
  </si>
  <si>
    <t>Entrada Outros: entrada refrente a sobra de troco pego ontem para compra de lanche para funcionarios. id 2156751 .</t>
  </si>
  <si>
    <t>Saida Outros: impressoes para loja. 02/04/2026.</t>
  </si>
  <si>
    <t>R$ 10,24</t>
  </si>
  <si>
    <t>Saida Outros: comp de lanche para funcionarios. 01/05/2026.</t>
  </si>
  <si>
    <t>R$ 15,10</t>
  </si>
  <si>
    <t>Entrada Outros: pego do armario troco para caixa atendimento. estavamos sem troco. 01/05/2026.</t>
  </si>
  <si>
    <t>Entrada Outros: entrada pego do armario para caixa troco. para compra de produtos para loja. dia 02/04/2026.</t>
  </si>
  <si>
    <t>Saida Outros: pagamento free nicole. das 14h as 19h. 01/05/2026.</t>
  </si>
  <si>
    <t>R$ 256,90</t>
  </si>
  <si>
    <t>Saida Outros: compra de chocolate de pascoa para equipe</t>
  </si>
  <si>
    <t>R$ 44,11</t>
  </si>
  <si>
    <t>Saida Outros: consumo sabrina. 01/05/2026.</t>
  </si>
  <si>
    <t>R$ 127,50</t>
  </si>
  <si>
    <t>Saida Outros: pagamento free rafaella. das 14h as 22h30. 01/05/2026.</t>
  </si>
  <si>
    <t>R$ 67,00</t>
  </si>
  <si>
    <t>Saida Outros: pagamento free jaara 18h as 22h30</t>
  </si>
  <si>
    <t>R$ 10,22</t>
  </si>
  <si>
    <t>Saida Outros: pagamento free rafaella. das 14h as 22h30. dia 03/04/2026.</t>
  </si>
  <si>
    <t>R$ 53,00</t>
  </si>
  <si>
    <t>Saida Outros: pagamento free rafa 14h as 17h30</t>
  </si>
  <si>
    <t>R$ 142,50</t>
  </si>
  <si>
    <t>Saida Outros: pagamento free jaara. das 13h as 22h30. dia 03/04/2026.</t>
  </si>
  <si>
    <t>Saida Outros: sangria realizada por rayanna. dia 03/04/2026.</t>
  </si>
  <si>
    <t>R$ 284,00</t>
  </si>
  <si>
    <t>Entrada Outros: saida do armario para o cx/ troco para o caixa</t>
  </si>
  <si>
    <t>R$ 433,81</t>
  </si>
  <si>
    <t>Saida Outros: pagamento de compra de mercado 28/04</t>
  </si>
  <si>
    <t>R$ 10,65</t>
  </si>
  <si>
    <t>Saida Outros: compra de banana 31/03</t>
  </si>
  <si>
    <t>R$ 30,29</t>
  </si>
  <si>
    <t>Saida Outros: compra de banana 30/03</t>
  </si>
  <si>
    <t>Saida Outros: compra de luva e toucas brancas para a loja</t>
  </si>
  <si>
    <t>R$ 591,36</t>
  </si>
  <si>
    <t>Saida Outros: compra de produtos para loja 01/04</t>
  </si>
  <si>
    <t>R$ 4,65</t>
  </si>
  <si>
    <t>Saida Outros: compra de pão 03/05</t>
  </si>
  <si>
    <t>R$ 224,07</t>
  </si>
  <si>
    <t>Saida Outros: compra de produtos para loja 02/04</t>
  </si>
  <si>
    <t>R$ 28,92</t>
  </si>
  <si>
    <t>Saida Outros: compra de lanche para funcionários 02/05</t>
  </si>
  <si>
    <t>R$ 30,50</t>
  </si>
  <si>
    <t>Saida Outros: compra de lanche para funcionários 03/04</t>
  </si>
  <si>
    <t>R$ 4,89</t>
  </si>
  <si>
    <t>Saida Outros: compra de manga 27/04</t>
  </si>
  <si>
    <t>R$ 61,07</t>
  </si>
  <si>
    <t>Saida Outros: compra de produtos para loja 04/04</t>
  </si>
  <si>
    <t>R$ 68,66</t>
  </si>
  <si>
    <t>Saida Outros: compra de frutas para a loja 28/04</t>
  </si>
  <si>
    <t>Saida Outros: copo aniversariante 04/04</t>
  </si>
  <si>
    <t>Saida Outros: Pagamento Free Sabrina 13 às 22:30</t>
  </si>
  <si>
    <t>Saida Outros: ID 2106879 DESCONSIDERAR</t>
  </si>
  <si>
    <t>R$ 57,00</t>
  </si>
  <si>
    <t>Saida Outros: pagamento free rafa 14h as 18h15</t>
  </si>
  <si>
    <t>Saida Outros: CONSUMO SABRINA. 04/04/2026.</t>
  </si>
  <si>
    <t>Entrada Outros: Entrada no valor de 200,00 reais no armario troco. referente a troca de cedulas com cliente ana paula. 04/05/2026.</t>
  </si>
  <si>
    <t>R$ 21,85</t>
  </si>
  <si>
    <t>Saida Outros: pagamento de troca de cedulas com cliente ana paula da copiadora. 04/05/2026.</t>
  </si>
  <si>
    <t>R$ 54,51</t>
  </si>
  <si>
    <t>R$ 55,32</t>
  </si>
  <si>
    <t>Saida Outros: ID 2107480 CONSUMO ANA NÃO RAYANNA</t>
  </si>
  <si>
    <t>R$ 99,00</t>
  </si>
  <si>
    <t>Saida Outros: adesivo para loja 05/05</t>
  </si>
  <si>
    <t>Saida Outros: pafamento free vanete 13h30 as 18h30</t>
  </si>
  <si>
    <t>Saida Outros: pagamento free marcos 13h30 as 18h30</t>
  </si>
  <si>
    <t>Saida Outros: pagamento free rayanna. dia 04/04/2026. 17;30 as 22h</t>
  </si>
  <si>
    <t>R$ 9,07</t>
  </si>
  <si>
    <t>Saida Outros: pagamento free jaara. dia 05/04/2026. 13h30 as 22h30.</t>
  </si>
  <si>
    <t>R$ 15,21</t>
  </si>
  <si>
    <t>Saida Outros: pagamento free jaara. dia 04/04/2026.</t>
  </si>
  <si>
    <t>Saida Outros: pagamento free rafa. 05/04/2026. 14h as 21h30</t>
  </si>
  <si>
    <t>Saida Outros: sangria Sabrina 06/05</t>
  </si>
  <si>
    <t>Saida Outros: sangria realizada por rayanna. 05/04/2026.</t>
  </si>
  <si>
    <t>Entrada Outros: dinheiro pego do armário para troca com cliente 07/05 Sabrina</t>
  </si>
  <si>
    <t>R$ 13,18</t>
  </si>
  <si>
    <t>Saida Outros: troca de cédulas com cliente pego do armário 07/05 no valor de 500 reais Sabrina</t>
  </si>
  <si>
    <t>Entrada Outros: entrada de troco do armario pro caixa. dia 07/04/2026.</t>
  </si>
  <si>
    <t>Saida Outros: troca de cédulas com cliente 07/05 Patricia/ Sabrina</t>
  </si>
  <si>
    <t>Saida Outros: pagamento e refrente a troca de cedulas com cliente. 07/04/2026.</t>
  </si>
  <si>
    <t>Saida Outros: entrada pega do armario para o caixa troco para pagamento de morangos. 07/04/2026.</t>
  </si>
  <si>
    <t>Saida Outros: pagamento de morangos. dia 07/04/2026.</t>
  </si>
  <si>
    <t>Saida Outros: pagamento de morango 08/05</t>
  </si>
  <si>
    <t>Saida Outros: copo 300ml retirados na troca de cedulas com cliente. 07/04/2026.</t>
  </si>
  <si>
    <t>Saida Outros: valor dado a funcionaria para fazer o lanche na entrega de panfletos na festa da cidade</t>
  </si>
  <si>
    <t>Entrada Outros: sangria feita por rayanna 05/04 aberta por sabrina para pagar troca de cédulas com cliente 07/04</t>
  </si>
  <si>
    <t>R$ 174,52</t>
  </si>
  <si>
    <t>Saida Outros: lanche para equipe do dia 01 (trabalhador)</t>
  </si>
  <si>
    <t>Saida Outros: impressão da planilhas</t>
  </si>
  <si>
    <t>Saida Outros: troca de cédulas com cliente Ricardo 07/04</t>
  </si>
  <si>
    <t>Saida Outros: impressoes para loja. 07/04/2026.</t>
  </si>
  <si>
    <t>R$ 4,45</t>
  </si>
  <si>
    <t>Saida Outros: compra de pão para o lanche</t>
  </si>
  <si>
    <t>Saida Outros: pagamento de bebidas. 06/04/2026.</t>
  </si>
  <si>
    <t>Saida Outros: valor entregue para free fazer o lanche na festa da cidade(vai entregar panfletos da loja)</t>
  </si>
  <si>
    <t>Saida Outros: pagamento de exame, hemograma simples para funcionária nova Jaara</t>
  </si>
  <si>
    <t>R$ 6,20</t>
  </si>
  <si>
    <t>Saida Outros: compra de banana</t>
  </si>
  <si>
    <t>R$ 168,00</t>
  </si>
  <si>
    <t>Saida Outros: pagamento de produtos de limpeza. 26/05/2026.</t>
  </si>
  <si>
    <t>Saida Outros: pagamento free jaara 16h30 as 22h30</t>
  </si>
  <si>
    <t>Saida Outros: free rafa 14h as 16h30</t>
  </si>
  <si>
    <t>R$ 22,69</t>
  </si>
  <si>
    <t>Saida Outros: compra de frutas 04/04</t>
  </si>
  <si>
    <t>Saida Outros: T.I que arrumou nossa impressora. 26/05/2026.</t>
  </si>
  <si>
    <t>R$ 213,00</t>
  </si>
  <si>
    <t>Entrada Outros: troco pego do armario para o caixa</t>
  </si>
  <si>
    <t>R$ 306,72</t>
  </si>
  <si>
    <t>Saida Outros: compra de produtos para loja 07/04</t>
  </si>
  <si>
    <t>R$ 28,25</t>
  </si>
  <si>
    <t>R$ 8,57</t>
  </si>
  <si>
    <t>Saida Outros: compra de banana 07/04</t>
  </si>
  <si>
    <t>Saida Outros: consumo Sabrina</t>
  </si>
  <si>
    <t>R$ 13,16</t>
  </si>
  <si>
    <t>R$ 48,29</t>
  </si>
  <si>
    <t>Saida Outros: consumo Rayanna</t>
  </si>
  <si>
    <t>Saida Outros: pagamento para a Ana (ela entregou panfletos no sabado e domingo para a loja na festa da cidade)</t>
  </si>
  <si>
    <t>Saida Outros: pagamento free Jaara 16h30 as 22h</t>
  </si>
  <si>
    <t>R$ 17,50</t>
  </si>
  <si>
    <t>Saida Outros: pagamento de frutas</t>
  </si>
  <si>
    <t>R$ 37,31</t>
  </si>
  <si>
    <t>Saida Outros: pagamento para Rafaella (entregou panfletos na festa da loja para nos no domingo a tarde)</t>
  </si>
  <si>
    <t>R$ 20,70</t>
  </si>
  <si>
    <t>R$ 24,70</t>
  </si>
  <si>
    <t>Saida Outros: copo aniversariante Jaara 11/05</t>
  </si>
  <si>
    <t>Saida Outros: compra de pão para funcionários 10/05</t>
  </si>
  <si>
    <t>Saida Outros: consumo sabrina.</t>
  </si>
  <si>
    <t>Saida Outros: IMPRESSOES DO CLUB THE BEST PARA LOAJA</t>
  </si>
  <si>
    <t>Saida Outros: copo para aniversariante</t>
  </si>
  <si>
    <t>R$ 11,63</t>
  </si>
  <si>
    <t>R$ 45,75</t>
  </si>
  <si>
    <t>Saida Outros: consumo da influencer da loja</t>
  </si>
  <si>
    <t>R$ 83,39</t>
  </si>
  <si>
    <t>Saida Outros: compra de panos perflex e suporte acrílico para loja, compra pela internet 27/05</t>
  </si>
  <si>
    <t>Saida Outros: troca de copo de cliente das moedas</t>
  </si>
  <si>
    <t>R$ 45,80</t>
  </si>
  <si>
    <t>Saida Outros: panos para limpeza da loja. 26/05/2026</t>
  </si>
  <si>
    <t>R$ 1,90</t>
  </si>
  <si>
    <t>R$ 36,42</t>
  </si>
  <si>
    <t>Saida Outros: frutas para lja. 27/05/2026</t>
  </si>
  <si>
    <t>Saida Outros: troca de cédulas com cliente ana paula 10/04</t>
  </si>
  <si>
    <t>R$ 360,00</t>
  </si>
  <si>
    <t>Saida Outros: compra dos panfletos para a festa da cidade 07/05</t>
  </si>
  <si>
    <t>R$ 27,50</t>
  </si>
  <si>
    <t>Saida Outros: impressoes para loja. 27/05/2026</t>
  </si>
  <si>
    <t>Entrada Outros: duzentos reais guardados no armário troca de cédulas com cliente 10/04</t>
  </si>
  <si>
    <t>R$ 33,02</t>
  </si>
  <si>
    <t>R$ 33,80</t>
  </si>
  <si>
    <t>R$ 7,03</t>
  </si>
  <si>
    <t>R$ 9,50</t>
  </si>
  <si>
    <t>Saida Outros: impressao para loja</t>
  </si>
  <si>
    <t>R$ 28,97</t>
  </si>
  <si>
    <t>Saida Outros: compra de lanche para funcionários 27/05</t>
  </si>
  <si>
    <t>Saida Outros: copo aniversariante 300ml. 10/04/2026.</t>
  </si>
  <si>
    <t>R$ 3,59</t>
  </si>
  <si>
    <t>Saida Outros: pagamento de morangos. 28/05/2026</t>
  </si>
  <si>
    <t>R$ 315,53</t>
  </si>
  <si>
    <t>Saida Outros: compra de produtos para loja 10/04</t>
  </si>
  <si>
    <t>R$ 114,00</t>
  </si>
  <si>
    <t>Saida Outros: pagamento de bebidas. 15/05/2026</t>
  </si>
  <si>
    <t>R$ 296,21</t>
  </si>
  <si>
    <t>Saida Outros: produtos para loja. 08/05/2026.</t>
  </si>
  <si>
    <t>Saida Outros: Consumo Rayanna</t>
  </si>
  <si>
    <t>R$ 3,90</t>
  </si>
  <si>
    <t>Saida Outros: elasticos. 15/05/2026</t>
  </si>
  <si>
    <t>Saida Outros: pagamento de morangos. 10/04/2026</t>
  </si>
  <si>
    <t>Saida Outros: impressoes para loja. 15/05/2026.</t>
  </si>
  <si>
    <t>Saida Outros: dinheiro para a gasolina do seu Daniel 16/05</t>
  </si>
  <si>
    <t>R$ 19,81</t>
  </si>
  <si>
    <t>R$ 38,21</t>
  </si>
  <si>
    <t>Saida Outros: consumo do senhor Adilson que veio arrumar nossa parede (autorizado pelo Daniel)</t>
  </si>
  <si>
    <t>Saida Outros: pagamento sabrina free. 14h44 as 18h 17/05/2026.</t>
  </si>
  <si>
    <t>R$ 18,04</t>
  </si>
  <si>
    <t>Saida Outros: produtos para loja. 11/04/2026.</t>
  </si>
  <si>
    <t>R$ 345,45</t>
  </si>
  <si>
    <t>Saida Outros: produtos para loja. 15/05/2026.</t>
  </si>
  <si>
    <t>Saida Outros: pagamento free marcos 13h as 18h15</t>
  </si>
  <si>
    <t>R$ 7,11</t>
  </si>
  <si>
    <t>Saida Outros: lanche para funcionarios. 17/05/2026.</t>
  </si>
  <si>
    <t>Saida Outros: pagamento free jaara de ontem. 10/04/2026.</t>
  </si>
  <si>
    <t>Saida Outros: copo de 300 ml aniversariante 28/05</t>
  </si>
  <si>
    <t>Saida Outros: bandejas para loja. 18/05/2026.</t>
  </si>
  <si>
    <t>Saida Outros: impressoes para loja. 18/05/2026.</t>
  </si>
  <si>
    <t>Saida Outros: pagamento free jaara . 11/04/2026. das 13h as 22h30.</t>
  </si>
  <si>
    <t>Saida Outros: compra de 10kg de morango</t>
  </si>
  <si>
    <t>R$ 216,20</t>
  </si>
  <si>
    <t>Saida Outros: pagamento de bebidas 29/05/2026.</t>
  </si>
  <si>
    <t>R$ 8,80</t>
  </si>
  <si>
    <t>Saida Outros: banana e manga</t>
  </si>
  <si>
    <t>Saida Outros: pagamento free rafaella. 11/04/2026. das 14h as 21h30.</t>
  </si>
  <si>
    <t>Saida Outros: troca de notas de 5 com cliente</t>
  </si>
  <si>
    <t>R$ 20,08</t>
  </si>
  <si>
    <t>Saida Outros: sangria realizada por rayanna. 11/04/2026.</t>
  </si>
  <si>
    <t>Entrada Outros: entrada no armario de 200 reais/troco com cliente</t>
  </si>
  <si>
    <t>R$ 6,52</t>
  </si>
  <si>
    <t>Saida Outros: saida para pagamento de pão</t>
  </si>
  <si>
    <t>Saida Outros: consumo feito pelo senhor do alho(autorizado pelo Daniel) ele ainda tem 80 reais em debito aqui na loja</t>
  </si>
  <si>
    <t>Entrada Outros: pagamento de tinta para uso do Daniel 20/05</t>
  </si>
  <si>
    <t>Saida Outros: consumo autorizado pelo senhor daniel para o senhor do alho nikck</t>
  </si>
  <si>
    <t>Entrada Outros: id 2188578 dinheiro retirado do armário para pagamento de tinta</t>
  </si>
  <si>
    <t>Saida Outros: pagamento free rafa 14h as 18h30</t>
  </si>
  <si>
    <t>Saida Outros: pagamento de tinta(usada pelo daniel)</t>
  </si>
  <si>
    <t>R$ 396,31</t>
  </si>
  <si>
    <t>Saida Outros: compra de frutas para loja 29/05</t>
  </si>
  <si>
    <t>Entrada Outros: dinheiro pego do armário para pagamento de morangos 22/05</t>
  </si>
  <si>
    <t>Saida Outros: pagamento de morangos 22/05</t>
  </si>
  <si>
    <t>R$ 86,70</t>
  </si>
  <si>
    <t>Saida Outros: saida de 30,00 reais, referente a dinheiro que o daniel pegou do armario troco. para consumo proprio. 21/05/2026.</t>
  </si>
  <si>
    <t>Saida Outros: compra de potes para loja 29/05</t>
  </si>
  <si>
    <t>Saida Outros: compra de embalagens de isopor 22/05</t>
  </si>
  <si>
    <t>R$ 4,70</t>
  </si>
  <si>
    <t>Entrada Outros: troco do id 2201150 feito ontem 29/05compra de pão para hoje 30/05</t>
  </si>
  <si>
    <t>Entrada Outros: saida do armário para o caixa troco/ troca de cédulas 13/04</t>
  </si>
  <si>
    <t>R$ 19,92</t>
  </si>
  <si>
    <t>Saida Outros: compra de lanche para funcionários 24/05</t>
  </si>
  <si>
    <t>Saida Outros: compra de coca para funcionários 24/05</t>
  </si>
  <si>
    <t>Entrada Outros: sangria aberta por marcos feita por rayanna dia 11/04, para troca de cédulas com cliente 13/04</t>
  </si>
  <si>
    <t>Saida Outros: compra de adesivos para loja 25/05</t>
  </si>
  <si>
    <t>R$ 5,26</t>
  </si>
  <si>
    <t>Saida Outros: compra de pão 23/05</t>
  </si>
  <si>
    <t>R$ 302,10</t>
  </si>
  <si>
    <t>Saida Outros: compra de produtos para loja 22/05</t>
  </si>
  <si>
    <t>Saida Outros: saida refrente a caixa de alho que o moço trouce para o seu daniel. ]31/05/2026.</t>
  </si>
  <si>
    <t>R$ 43,97</t>
  </si>
  <si>
    <t>Saida Outros: consumo Jaara</t>
  </si>
  <si>
    <t>Saida Outros: troca de cédulas com cliente patricia 13/04</t>
  </si>
  <si>
    <t>Saida Outros: pagamento de morangos 24/06</t>
  </si>
  <si>
    <t>R$ 54,57</t>
  </si>
  <si>
    <t>Saida Outros: retirada de dois copos de 300ml cliente patricia. 31/05/2026.</t>
  </si>
  <si>
    <t>Saida Outros: troca de cédulas com cliente patricia do dia 07/04 (valor total é 180, porém ela pegou somente cem reais, 80 ficou em haver 13/04)</t>
  </si>
  <si>
    <t>R$ 82,50</t>
  </si>
  <si>
    <t>Saida Outros: pagamento free sabrina. das 13h30 as 19h00.</t>
  </si>
  <si>
    <t>Saida Outros: sangria realizada por rayanna. 31/05/2026.</t>
  </si>
  <si>
    <t>R$ 56,37</t>
  </si>
  <si>
    <t>Saida Outros: pagamento 6horas de faxina jaara. 3horas sexta10/04 3horas segunda 13/04</t>
  </si>
  <si>
    <t>R$ 59,81</t>
  </si>
  <si>
    <t>Saida Outros: consumo patricia referente a troca de cedulas e moedas 01/06/2026</t>
  </si>
  <si>
    <r>
      <t xml:space="preserve">
</t>
    </r>
    <r>
      <rPr>
        <rFont val="&quot;Google Sans Mono&quot;, &quot;Google Sans&quot;, Roboto, sans-serif"/>
        <b val="0"/>
        <color rgb="FF000000"/>
        <sz val="10.0"/>
      </rPr>
      <t xml:space="preserve">  E(D75="Saída"; #REF!="Sangria");
  IFNA(
    SE(
      SOMA(
        QUERY(
          IMPORTRANGE("https://docs.google.com/spreadsheets/d/1wBSFbIXYswW2S5SMKo44LPsdTG4P4kfP5VRdAS5E_4o";
          "Movimentações de Sangrias!A:I");
          "select Col6 
           where Col7 = 'Depositada'
             and Col9 = '"&amp;K75&amp;"'
             and Col6 = "&amp;N75&amp;"
             and Col4 = date '"&amp;TEXTO(C75;"yyyy-mm-dd")&amp;"'"
        )
      )&gt;0;
      "Depositada";
      SE(
        SOMA(
          QUERY(
            IMPORTRANGE("https://docs.google.com/spreadsheets/d/1wBSFbIXYswW2S5SMKo44LPsdTG4P4kfP5VRdAS5E_4o";
            "Movimentações de Sangrias!A:I");
            "select Col6 
             where Col7 = 'Caixa Atendimento'
               and Col9 = '"&amp;K75&amp;"'
               and Col6 = "&amp;N75&amp;"
               and Col4 = date '"&amp;TEXTO(C75;"yyyy-mm-dd")&amp;"'"
          )
        )&gt;0;
        "Caixa Atendimento";
        SE(
          SOMA(
            QUERY(
              IMPORTRANGE("https://docs.google.com/spreadsheets/d/1wBSFbIXYswW2S5SMKo44LPsdTG4P4kfP5VRdAS5E_4o";
              "Movimentações de Sangrias!A:I");
              "select Col6 
               where Col7 = 'Confirmada'
                 and Col9 = '"&amp;K75&amp;"'
                 and Col6 = "&amp;N75&amp;"
                 and Col4 = date '"&amp;TEXTO(C75;"yyyy-mm-dd")&amp;"'"
            )
          )&gt;0;
          "Confirmada";
          "Caixa Sangria"
        )
      )
    );
    ""
  );
  ""
)
</t>
    </r>
  </si>
  <si>
    <t>Saida Outros: pagamento free jaara. 13/04/2026.</t>
  </si>
  <si>
    <t>R$ 55,20</t>
  </si>
  <si>
    <t>Saida Outros: compra de sucos prats. 01/06/2026.</t>
  </si>
  <si>
    <t>R$ 44,52</t>
  </si>
  <si>
    <t>Saida Outros: compra de frutas para loja 01/06</t>
  </si>
  <si>
    <t>Saida Outros: dinheiro pego do caixa para compras para loja amanhã 01/06</t>
  </si>
  <si>
    <t>R$ 139,51</t>
  </si>
  <si>
    <t>Saida Outros: PRODUTS PARA LOJA. 02/06/2026.</t>
  </si>
  <si>
    <t>R$ 24,71</t>
  </si>
  <si>
    <t>Saida Outros: SAIDA NO VALOR DE 139,51 REFERENTE A DINHEIRO PEGO ONTEM PARA COMPRA DE FRUTA E PRODUTOS. REF A ID 2206782.</t>
  </si>
  <si>
    <t>Saida Outros: compra de frutas 13/04</t>
  </si>
  <si>
    <t>Saida Outros: ADESIVOS DA COPA. 02/06/2026.</t>
  </si>
  <si>
    <t>R$ 39,45</t>
  </si>
  <si>
    <t>Saida Outros: compra de frutas 14/04</t>
  </si>
  <si>
    <t>Entrada Outros: entrada para pagamento de morangos 02/06</t>
  </si>
  <si>
    <t>R$ 164,93</t>
  </si>
  <si>
    <t>Saida Outros: compra de produtos para loja 14/04</t>
  </si>
  <si>
    <t>Saida Outros: pagamento de morango 02/06</t>
  </si>
  <si>
    <t>R$ 179,25</t>
  </si>
  <si>
    <t>Saida Outros: compra de produtos para uso da loja 14/04</t>
  </si>
  <si>
    <t>R$ 9,92</t>
  </si>
  <si>
    <t>Saida Outros: compra de paes. 31/05/2026.</t>
  </si>
  <si>
    <t>Saida Outros: sangria Sabrina 14/04</t>
  </si>
  <si>
    <t>R$ 10,61</t>
  </si>
  <si>
    <t>Saida Outros: troca de moedas com cliente ana paula 15/04</t>
  </si>
  <si>
    <t>R$ 8,56</t>
  </si>
  <si>
    <t>Entrada Outros: cem reais em moedas guardados no armário/ troca com cliente 15/04</t>
  </si>
  <si>
    <t>Saida Outros: pagamento de morangos 15/04</t>
  </si>
  <si>
    <t>R$ 32,33</t>
  </si>
  <si>
    <t>Saida Outros: 2 copos de 300 ml da ana paula retirados 04/06</t>
  </si>
  <si>
    <t>Saida Outros: compra de centro de salgados para reunião 16/04 (não tem nota fiscal)</t>
  </si>
  <si>
    <t>R$ 26,82</t>
  </si>
  <si>
    <t>Saida Outros: compra de kiwi 05/06</t>
  </si>
  <si>
    <t>R$ 253,62</t>
  </si>
  <si>
    <t>Saida Outros: compra de produtos para loja 05/06</t>
  </si>
  <si>
    <t>Saida Outros: suco para consumo da reunião 15/04</t>
  </si>
  <si>
    <t>R$ 280,44</t>
  </si>
  <si>
    <t>Entrada Outros: dinheiro pego do armário para compras de hoje para loja</t>
  </si>
  <si>
    <t>Saida Outros: sangria sabrina 16/04</t>
  </si>
  <si>
    <t>Saida Outros: sangria sabrina 06/06</t>
  </si>
  <si>
    <t>Saida Outros: pagamento free vinicius 14h30 as 20h</t>
  </si>
  <si>
    <t>Entrada Outros: entrada no armario no valor de 300,00 reais. troca de cedulas com cliente patricia. realizada dia 17/04/2026.</t>
  </si>
  <si>
    <t>R$ 8,81</t>
  </si>
  <si>
    <t>Saida Outros: COMPRA DE PAES PARA FUNCIONARIOS DA LOJA. 07/06/2026.</t>
  </si>
  <si>
    <t>Saida Outros: pagamento de troca de cedulas com cliente patricia no valor de 300,00 reais. pagamento realizado por pixx. 17/04/2026.</t>
  </si>
  <si>
    <t>R$ 4,95</t>
  </si>
  <si>
    <t>Saida Outros: COMPRA DE MASCARAS. 03/06/2026.</t>
  </si>
  <si>
    <t>R$ 76,94</t>
  </si>
  <si>
    <t>Saida Outros: consumo jaara.</t>
  </si>
  <si>
    <t>Entrada Outros: entrada pega do armario para o caixa troco. para pagamento de bebidas. 17/04/2026.</t>
  </si>
  <si>
    <t>Saida Outros: pagamento free rafaella. 07/06/2026. 14h as 21h</t>
  </si>
  <si>
    <t>Saida Outros: pagamento de bebidas. 17/04/2026.</t>
  </si>
  <si>
    <t>Saida Outros: SANGRIA REALIZADA POR RAYANNA. 07/06/2026,</t>
  </si>
  <si>
    <t>Entrada Outros: dinheiro pego do armário para compras de hoje para loja (troco está no caixa) 08/06</t>
  </si>
  <si>
    <t>R$ 201,95</t>
  </si>
  <si>
    <t>Saida Outros: compra de produtos e frutas para loja 17/04</t>
  </si>
  <si>
    <t>R$ 257,80</t>
  </si>
  <si>
    <t>Saida Outros: compras de produtos para loja 08/06</t>
  </si>
  <si>
    <t>Saida Outros: pagamento free rafa 14h as 21h30</t>
  </si>
  <si>
    <t>Entrada Outros: dinheiro guardado no armário troca com cliente ana paula</t>
  </si>
  <si>
    <t>Entrada Outros: id 2218869 duzentos reais guardados no armário</t>
  </si>
  <si>
    <t>R$ 428,39</t>
  </si>
  <si>
    <t>Saida Outros: compra de frutas e produtos para a loja 17/04</t>
  </si>
  <si>
    <t>Saida Outros: troca de cédulas com cliente ana paula 08/06</t>
  </si>
  <si>
    <t>R$ 36,76</t>
  </si>
  <si>
    <t>Saida Outros: compra de lanche para funcionários 18/04</t>
  </si>
  <si>
    <t>Saida Outros: sangria Sabrina 18/04</t>
  </si>
  <si>
    <t>R$ 20,74</t>
  </si>
  <si>
    <t>Saida Outros: RETIRADA ULTIMO COPO 300ML ANA PAULA COPIADORA 10/06/2026</t>
  </si>
  <si>
    <t>Saida Outros: sangria realizada por rayanna. 19/04/2026.</t>
  </si>
  <si>
    <t>R$ 12,92</t>
  </si>
  <si>
    <t>R$ 32,00</t>
  </si>
  <si>
    <t>Saida Outros: impressões para sorvete 10/06</t>
  </si>
  <si>
    <t>Saida Outros: paagmento free danielle. 19/04/2026. 13h30 as 20h30</t>
  </si>
  <si>
    <t>R$ 6,65</t>
  </si>
  <si>
    <t>R$ 4,22</t>
  </si>
  <si>
    <t>Saida Outros: pagamento free nicole aguiar. 19/04/2026. 14h as 22h</t>
  </si>
  <si>
    <t>Saida Outros: compra de produtos para loja. 11/06/2026.</t>
  </si>
  <si>
    <t>Saida Outros: pagamento free rafaella. 19/04/2026. 14h as 22h30</t>
  </si>
  <si>
    <t>Saida Outros: tek bond para loja. 11/06/2026.</t>
  </si>
  <si>
    <t>R$ 76,90</t>
  </si>
  <si>
    <t>Saida Outros: produtos da copa para loja. 11/06/2026.</t>
  </si>
  <si>
    <t>Saida Outros: copo de retirada de troca de dinheiro</t>
  </si>
  <si>
    <t>Entrada Outros: entrada pega do aramario para compra de produtos para loja. 11/06/2026.</t>
  </si>
  <si>
    <t>Saida Outros: pagamento suco prats</t>
  </si>
  <si>
    <t>Saida Outros: compra de decorações para loja 11/06</t>
  </si>
  <si>
    <t>Saida Outros: troca de dinheiro com cliente/retirad DE DOIS COPOS</t>
  </si>
  <si>
    <t>R$ 63,30</t>
  </si>
  <si>
    <t>Saida Outros: SAIDA NO VALOR DE 510,00 REAIS, REFERENTE A PAGAMENTO DE TROCA DE CEDULAS COM CLIENTE PATRICIA. REALIZADA DIA 20/04/2026. PAGA POR PIX.</t>
  </si>
  <si>
    <t>Saida Outros: pagamento para combustivel pra compras para loja autorizado pela dona joice 12/06/2026</t>
  </si>
  <si>
    <t>Entrada Outros: ENTRADA NO ARMARIO NO VALOR DE 510,00 REFRENTE A TROCA DE CEDULAS COM CLIENTE PATRICIA. DIA 20/04/2026.</t>
  </si>
  <si>
    <t>R$ 336,84</t>
  </si>
  <si>
    <t>Saida Outros: pagamento de bebidas. 12/06/2026.</t>
  </si>
  <si>
    <t>R$ 87,67</t>
  </si>
  <si>
    <t>Saida Outros: produtos para loja. 12/06/2026.</t>
  </si>
  <si>
    <t>R$ 16,15</t>
  </si>
  <si>
    <t>Saida Outros: Compra de lanches para funcionarios. 20/04/.</t>
  </si>
  <si>
    <t>R$ 364,89</t>
  </si>
  <si>
    <t>Saida Outros: compra de produtos para loja. 12/06/2026.</t>
  </si>
  <si>
    <t>R$ 13,57</t>
  </si>
  <si>
    <t>Saida Outros: lanche para funcionarios. 19/04/2026</t>
  </si>
  <si>
    <t>R$ 149,90</t>
  </si>
  <si>
    <t>Saida Outros: frutas para loja. 12/06/2026.</t>
  </si>
  <si>
    <t>R$ 285,00</t>
  </si>
  <si>
    <t>R$ 269,27</t>
  </si>
  <si>
    <t>Entrada Outros: entrada do armario realizada por rayanna. para o caixa troco. 12/06/2026.</t>
  </si>
  <si>
    <t>Saida Outros: compra de produtos para loja. 20/04/2026</t>
  </si>
  <si>
    <t>Saida Outros: pagamento free vinicius. das 10h30 as 12h. 20/04/2026.</t>
  </si>
  <si>
    <t>R$ 602,46</t>
  </si>
  <si>
    <t>Entrada Outros: dinheiro pego do armário, para compras da loja 12/06</t>
  </si>
  <si>
    <t>Saida Outros: pagamento free daniele. das 13h as 18h. 20/04/2026.</t>
  </si>
  <si>
    <t>R$ 11,99</t>
  </si>
  <si>
    <t>Saida Outros: fita dupla face. 13/06/2026.</t>
  </si>
  <si>
    <t>Saida Outros: pagamento free rafa 13h30as 21h30</t>
  </si>
  <si>
    <t>Saida Outros: pagamento free rafa. 14h as 19h. 13/06/2026.</t>
  </si>
  <si>
    <t>Saida Outros: sangria sabrina 21/04</t>
  </si>
  <si>
    <t>R$ 82,94</t>
  </si>
  <si>
    <t>Saida Outros: copo de aniversariante 14/06</t>
  </si>
  <si>
    <t>Entrada Outros: saida do armario para o caixa/pagamento de bebidas</t>
  </si>
  <si>
    <t>R$ 155,50</t>
  </si>
  <si>
    <t>Saida Outros: pagamento de aguas</t>
  </si>
  <si>
    <t>Saida Outros: compra de pão 14/06</t>
  </si>
  <si>
    <t>Saida Outros: copo aniversariante 15/06</t>
  </si>
  <si>
    <t>Saida Outros: pagamento do restante das bebidas/agua</t>
  </si>
  <si>
    <t>R$ 11,65</t>
  </si>
  <si>
    <t>Saida Outros: pagamento de 4,8kg de morango (não tem nota, foi comprado no centro e não tinha nota)</t>
  </si>
  <si>
    <t>Saida Outros: dinheiro pego do caixa para compra de frutas da loja para amanhã</t>
  </si>
  <si>
    <t>R$ 13,43</t>
  </si>
  <si>
    <t>Saida Outros: lanche do dia 21/04 feriado</t>
  </si>
  <si>
    <t>R$ 83,74</t>
  </si>
  <si>
    <t>Entrada Outros: id 2229156 troco do dinheiro que foi pego ontem para compra do mercado 16/06</t>
  </si>
  <si>
    <t>R$ 27,35</t>
  </si>
  <si>
    <t>Saida Outros: retirada de copo de troca de dinheiro com patricia 23/04</t>
  </si>
  <si>
    <t>R$ 495,00</t>
  </si>
  <si>
    <t>Saida Outros: pagamento de morangos 16/06</t>
  </si>
  <si>
    <t>Entrada Outros: entrada de 890 guardados no armário 23/04</t>
  </si>
  <si>
    <t>Saida Outros: pagamento de troca de moedas com cliente/ pago por pix Joice 23/04</t>
  </si>
  <si>
    <t>Saida Outros: pagamento morangos vacaria</t>
  </si>
  <si>
    <t>R$ 2,17</t>
  </si>
  <si>
    <t>Entrada Outros: entrada do armario troco para o caixa. para pagamento de troca cedulas com cliente patricia. 24/04/2026.</t>
  </si>
  <si>
    <t>R$ 50,87</t>
  </si>
  <si>
    <t>Saida Outros: retirada de dois copos de 300ml. cliente patricia. 24/04/2026.</t>
  </si>
  <si>
    <t>R$ 537,00</t>
  </si>
  <si>
    <t>Saida Outros: troca de cédulas com cliente patricia 24/04</t>
  </si>
  <si>
    <t>Saida Outros: dinheiro pego do caixa para compras do mercado que serão feitas amanhã</t>
  </si>
  <si>
    <t>Saida Outros: pagamento nati free . das 13h30 as 19h. 25/04/2026.</t>
  </si>
  <si>
    <t>R$ 174,10</t>
  </si>
  <si>
    <t>Entrada Outros: troco do dinheiro que foi pego ontem, para compras de hoje</t>
  </si>
  <si>
    <t>Saida Outros: pagamento free rafaela. 13h30 as 22h00. 25/04/2026.</t>
  </si>
  <si>
    <t>Saida Outros: pagamento do uber autorizado pela Joice</t>
  </si>
  <si>
    <t>R$ 7,67</t>
  </si>
  <si>
    <t>Saida Outros: consump jaara</t>
  </si>
  <si>
    <t>Saida Outros: Copo 300ml aniversariante do dia 20/06/2026</t>
  </si>
  <si>
    <t>Saida Outros: sangria realizada por rayana 21/06/2026.</t>
  </si>
  <si>
    <t>R$ 264,24</t>
  </si>
  <si>
    <t>Entrada Outros: troco do dinheiro que foi pego no armário ontem, para compras de hoje para loja 25/06</t>
  </si>
  <si>
    <t>Saida Outros: id 2241689 sobre o troco feito errado, vou corrigir a entrada DESCONSIDERAR</t>
  </si>
  <si>
    <t>Entrada Outros: dinheiro pego do armário ontem, para compras do mercado que foi feita hoje 25/06</t>
  </si>
  <si>
    <t>R$ 220,32</t>
  </si>
  <si>
    <t>Saida Outros: compra de produtos para uso da loja 25/06</t>
  </si>
  <si>
    <t>R$ 15,44</t>
  </si>
  <si>
    <t>Saida Outros: compra de kiwi 25/06</t>
  </si>
  <si>
    <t>Saida Outros: pagamento de uber autorizado pela dona Joice para compras da loja 25/06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</si>
</sst>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R$&quot;\ #,##0.00"/>
    <numFmt numFmtId="165" formatCode="dd/mm/yyyy hh:mm:ss"/>
    <numFmt numFmtId="166" formatCode="dd/mm/yyyy"/>
    <numFmt numFmtId="167" formatCode="d/m/yyyy"/>
    <numFmt numFmtId="168" formatCode="[$R$ -416]#,##0.00"/>
    <numFmt numFmtId="169" formatCode="d/m"/>
    <numFmt numFmtId="170" formatCode="dd/MM/yyyy"/>
    <numFmt numFmtId="171" formatCode="d/m/yyyy hh:mm:ss"/>
  </numFmts>
  <fonts count="3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sz val="11.0"/>
      <color rgb="FF000000"/>
      <name val="Roboto"/>
    </font>
    <font>
      <color theme="1"/>
      <name val="Arial"/>
      <scheme val="minor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17.0"/>
      <color theme="1"/>
      <name val="Calibri"/>
    </font>
    <font>
      <b/>
      <sz val="14.0"/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0.0"/>
      <color theme="1"/>
      <name val="Calibri"/>
    </font>
    <font>
      <sz val="12.0"/>
      <color theme="1"/>
      <name val="Calibri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>
      <b/>
      <color theme="1"/>
      <name val="Arial"/>
      <scheme val="minor"/>
    </font>
    <font>
      <color rgb="FF000000"/>
      <name val="Roboto"/>
    </font>
    <font>
      <b/>
      <sz val="10.0"/>
      <color rgb="FF000000"/>
      <name val="&quot;Google Sans Mono&quot;"/>
    </font>
    <font>
      <sz val="9.0"/>
      <color rgb="FF434343"/>
      <name val="&quot;Google Sans Mono&quot;"/>
    </font>
    <font>
      <b/>
      <sz val="14.0"/>
      <color theme="1"/>
      <name val="Roboto"/>
    </font>
    <font>
      <b/>
      <sz val="11.0"/>
      <color theme="1"/>
      <name val="Roboto"/>
    </font>
    <font>
      <color theme="1"/>
      <name val="Calibri"/>
    </font>
    <font>
      <sz val="11.0"/>
      <color rgb="FFFF0000"/>
      <name val="Calibri"/>
    </font>
    <font>
      <b/>
      <sz val="12.0"/>
      <color theme="1"/>
      <name val="Roboto"/>
    </font>
    <font>
      <b/>
      <color theme="1"/>
      <name val="Roboto"/>
    </font>
    <font>
      <b/>
      <color rgb="FF434343"/>
      <name val="Roboto"/>
    </font>
    <font>
      <sz val="11.0"/>
      <color rgb="FFFF0000"/>
      <name val="Roboto"/>
    </font>
    <font>
      <sz val="10.0"/>
      <color theme="1"/>
      <name val="Arial"/>
    </font>
    <font>
      <sz val="14.0"/>
      <color theme="1"/>
      <name val="Calibri"/>
    </font>
    <font>
      <sz val="10.0"/>
      <color rgb="FF000000"/>
      <name val="Arial"/>
    </font>
    <font>
      <sz val="10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BBC04"/>
        <bgColor rgb="FFFBBC04"/>
      </patternFill>
    </fill>
    <fill>
      <patternFill patternType="solid">
        <fgColor rgb="FFD9D9D9"/>
        <bgColor rgb="FFD9D9D9"/>
      </patternFill>
    </fill>
    <fill>
      <patternFill patternType="solid">
        <fgColor rgb="FFFAFAFA"/>
        <bgColor rgb="FFFAFAFA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60">
    <border/>
    <border>
      <left style="thick">
        <color rgb="FF000000"/>
      </left>
    </border>
    <border>
      <bottom style="thin">
        <color rgb="FFF0F0F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horizontal="center" vertical="bottom"/>
    </xf>
    <xf borderId="0" fillId="3" fontId="2" numFmtId="0" xfId="0" applyAlignment="1" applyFill="1" applyFont="1">
      <alignment readingOrder="0" vertical="bottom"/>
    </xf>
    <xf borderId="1" fillId="4" fontId="2" numFmtId="0" xfId="0" applyAlignment="1" applyBorder="1" applyFill="1" applyFont="1">
      <alignment vertical="bottom"/>
    </xf>
    <xf borderId="0" fillId="3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4" fontId="1" numFmtId="164" xfId="0" applyAlignment="1" applyFont="1" applyNumberFormat="1">
      <alignment horizontal="center" vertical="bottom"/>
    </xf>
    <xf borderId="0" fillId="4" fontId="1" numFmtId="0" xfId="0" applyAlignment="1" applyFont="1">
      <alignment horizontal="center" vertical="bottom"/>
    </xf>
    <xf borderId="2" fillId="0" fontId="4" numFmtId="0" xfId="0" applyAlignment="1" applyBorder="1" applyFont="1">
      <alignment horizontal="left" readingOrder="0" shrinkToFit="0" wrapText="1"/>
    </xf>
    <xf borderId="2" fillId="0" fontId="4" numFmtId="165" xfId="0" applyAlignment="1" applyBorder="1" applyFont="1" applyNumberFormat="1">
      <alignment horizontal="left" readingOrder="0" shrinkToFit="0" wrapText="1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left" shrinkToFit="0" wrapText="1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2" fillId="5" fontId="4" numFmtId="0" xfId="0" applyAlignment="1" applyBorder="1" applyFill="1" applyFont="1">
      <alignment horizontal="left" shrinkToFit="0" wrapText="1"/>
    </xf>
    <xf borderId="0" fillId="0" fontId="5" numFmtId="14" xfId="0" applyAlignment="1" applyFont="1" applyNumberFormat="1">
      <alignment readingOrder="0"/>
    </xf>
    <xf borderId="0" fillId="0" fontId="4" numFmtId="0" xfId="0" applyAlignment="1" applyFont="1">
      <alignment horizontal="left" shrinkToFit="0" wrapText="1"/>
    </xf>
    <xf borderId="0" fillId="0" fontId="2" numFmtId="0" xfId="0" applyAlignment="1" applyFont="1">
      <alignment vertical="bottom"/>
    </xf>
    <xf borderId="0" fillId="6" fontId="6" numFmtId="164" xfId="0" applyAlignment="1" applyFill="1" applyFont="1" applyNumberFormat="1">
      <alignment horizontal="center" readingOrder="0" vertical="bottom"/>
    </xf>
    <xf borderId="0" fillId="6" fontId="6" numFmtId="164" xfId="0" applyAlignment="1" applyFont="1" applyNumberFormat="1">
      <alignment horizontal="center" vertical="bottom"/>
    </xf>
    <xf borderId="0" fillId="6" fontId="5" numFmtId="0" xfId="0" applyFont="1"/>
    <xf borderId="0" fillId="6" fontId="5" numFmtId="0" xfId="0" applyFont="1"/>
    <xf borderId="3" fillId="7" fontId="7" numFmtId="164" xfId="0" applyAlignment="1" applyBorder="1" applyFill="1" applyFont="1" applyNumberFormat="1">
      <alignment horizontal="center" readingOrder="0" vertical="bottom"/>
    </xf>
    <xf borderId="4" fillId="0" fontId="8" numFmtId="0" xfId="0" applyBorder="1" applyFont="1"/>
    <xf borderId="5" fillId="0" fontId="8" numFmtId="0" xfId="0" applyBorder="1" applyFont="1"/>
    <xf borderId="3" fillId="7" fontId="9" numFmtId="0" xfId="0" applyAlignment="1" applyBorder="1" applyFont="1">
      <alignment horizontal="center" readingOrder="0"/>
    </xf>
    <xf borderId="6" fillId="8" fontId="10" numFmtId="0" xfId="0" applyAlignment="1" applyBorder="1" applyFill="1" applyFont="1">
      <alignment horizontal="center" readingOrder="0"/>
    </xf>
    <xf borderId="7" fillId="0" fontId="8" numFmtId="0" xfId="0" applyBorder="1" applyFont="1"/>
    <xf borderId="8" fillId="8" fontId="10" numFmtId="164" xfId="0" applyAlignment="1" applyBorder="1" applyFont="1" applyNumberFormat="1">
      <alignment horizontal="center" vertical="bottom"/>
    </xf>
    <xf borderId="9" fillId="8" fontId="10" numFmtId="164" xfId="0" applyAlignment="1" applyBorder="1" applyFont="1" applyNumberFormat="1">
      <alignment horizontal="center" vertical="bottom"/>
    </xf>
    <xf borderId="10" fillId="0" fontId="8" numFmtId="0" xfId="0" applyBorder="1" applyFont="1"/>
    <xf borderId="0" fillId="6" fontId="10" numFmtId="0" xfId="0" applyAlignment="1" applyFont="1">
      <alignment horizontal="center" vertical="bottom"/>
    </xf>
    <xf borderId="3" fillId="8" fontId="10" numFmtId="164" xfId="0" applyAlignment="1" applyBorder="1" applyFont="1" applyNumberFormat="1">
      <alignment horizontal="center" vertical="bottom"/>
    </xf>
    <xf borderId="4" fillId="6" fontId="10" numFmtId="164" xfId="0" applyAlignment="1" applyBorder="1" applyFont="1" applyNumberFormat="1">
      <alignment horizontal="center" vertical="bottom"/>
    </xf>
    <xf borderId="4" fillId="8" fontId="10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/>
    </xf>
    <xf borderId="11" fillId="9" fontId="11" numFmtId="0" xfId="0" applyAlignment="1" applyBorder="1" applyFill="1" applyFont="1">
      <alignment readingOrder="0"/>
    </xf>
    <xf borderId="0" fillId="5" fontId="1" numFmtId="164" xfId="0" applyAlignment="1" applyFont="1" applyNumberFormat="1">
      <alignment horizontal="left" vertical="bottom"/>
    </xf>
    <xf borderId="11" fillId="5" fontId="12" numFmtId="168" xfId="0" applyAlignment="1" applyBorder="1" applyFont="1" applyNumberFormat="1">
      <alignment horizontal="right" vertical="bottom"/>
    </xf>
    <xf borderId="12" fillId="5" fontId="1" numFmtId="164" xfId="0" applyAlignment="1" applyBorder="1" applyFont="1" applyNumberFormat="1">
      <alignment horizontal="left" vertical="bottom"/>
    </xf>
    <xf borderId="13" fillId="5" fontId="12" numFmtId="168" xfId="0" applyAlignment="1" applyBorder="1" applyFont="1" applyNumberFormat="1">
      <alignment horizontal="right" vertical="bottom"/>
    </xf>
    <xf borderId="1" fillId="5" fontId="6" numFmtId="0" xfId="0" applyAlignment="1" applyBorder="1" applyFont="1">
      <alignment vertical="bottom"/>
    </xf>
    <xf borderId="0" fillId="5" fontId="6" numFmtId="0" xfId="0" applyAlignment="1" applyFont="1">
      <alignment vertical="bottom"/>
    </xf>
    <xf borderId="13" fillId="5" fontId="6" numFmtId="0" xfId="0" applyAlignment="1" applyBorder="1" applyFont="1">
      <alignment vertical="bottom"/>
    </xf>
    <xf borderId="0" fillId="6" fontId="6" numFmtId="0" xfId="0" applyAlignment="1" applyFont="1">
      <alignment vertical="bottom"/>
    </xf>
    <xf borderId="0" fillId="9" fontId="13" numFmtId="0" xfId="0" applyFont="1"/>
    <xf borderId="13" fillId="9" fontId="13" numFmtId="0" xfId="0" applyBorder="1" applyFont="1"/>
    <xf borderId="1" fillId="5" fontId="12" numFmtId="165" xfId="0" applyAlignment="1" applyBorder="1" applyFont="1" applyNumberFormat="1">
      <alignment horizontal="left" vertical="bottom"/>
    </xf>
    <xf borderId="0" fillId="5" fontId="12" numFmtId="0" xfId="0" applyAlignment="1" applyFont="1">
      <alignment horizontal="left" vertical="bottom"/>
    </xf>
    <xf borderId="13" fillId="5" fontId="12" numFmtId="0" xfId="0" applyAlignment="1" applyBorder="1" applyFont="1">
      <alignment horizontal="left" vertical="bottom"/>
    </xf>
    <xf borderId="0" fillId="6" fontId="12" numFmtId="0" xfId="0" applyAlignment="1" applyFont="1">
      <alignment vertical="bottom"/>
    </xf>
    <xf borderId="0" fillId="5" fontId="12" numFmtId="165" xfId="0" applyAlignment="1" applyFont="1" applyNumberFormat="1">
      <alignment horizontal="left" vertical="bottom"/>
    </xf>
    <xf borderId="1" fillId="0" fontId="5" numFmtId="0" xfId="0" applyAlignment="1" applyBorder="1" applyFont="1">
      <alignment horizontal="left" readingOrder="0"/>
    </xf>
    <xf borderId="12" fillId="5" fontId="1" numFmtId="0" xfId="0" applyAlignment="1" applyBorder="1" applyFont="1">
      <alignment horizontal="left" vertical="bottom"/>
    </xf>
    <xf borderId="14" fillId="5" fontId="6" numFmtId="164" xfId="0" applyAlignment="1" applyBorder="1" applyFont="1" applyNumberFormat="1">
      <alignment horizontal="center" vertical="bottom"/>
    </xf>
    <xf borderId="15" fillId="0" fontId="8" numFmtId="0" xfId="0" applyBorder="1" applyFont="1"/>
    <xf borderId="16" fillId="5" fontId="6" numFmtId="164" xfId="0" applyAlignment="1" applyBorder="1" applyFont="1" applyNumberFormat="1">
      <alignment horizontal="center" vertical="bottom"/>
    </xf>
    <xf borderId="17" fillId="0" fontId="8" numFmtId="0" xfId="0" applyBorder="1" applyFont="1"/>
    <xf borderId="0" fillId="6" fontId="6" numFmtId="0" xfId="0" applyAlignment="1" applyFont="1">
      <alignment horizontal="center" vertical="bottom"/>
    </xf>
    <xf borderId="0" fillId="5" fontId="14" numFmtId="164" xfId="0" applyAlignment="1" applyFont="1" applyNumberFormat="1">
      <alignment vertical="bottom"/>
    </xf>
    <xf borderId="11" fillId="5" fontId="15" numFmtId="0" xfId="0" applyAlignment="1" applyBorder="1" applyFont="1">
      <alignment readingOrder="0" vertical="bottom"/>
    </xf>
    <xf borderId="12" fillId="5" fontId="14" numFmtId="164" xfId="0" applyAlignment="1" applyBorder="1" applyFont="1" applyNumberFormat="1">
      <alignment vertical="bottom"/>
    </xf>
    <xf borderId="11" fillId="5" fontId="15" numFmtId="169" xfId="0" applyAlignment="1" applyBorder="1" applyFont="1" applyNumberFormat="1">
      <alignment vertical="bottom"/>
    </xf>
    <xf borderId="11" fillId="5" fontId="15" numFmtId="169" xfId="0" applyAlignment="1" applyBorder="1" applyFont="1" applyNumberFormat="1">
      <alignment readingOrder="0" vertical="bottom"/>
    </xf>
    <xf borderId="13" fillId="5" fontId="15" numFmtId="164" xfId="0" applyAlignment="1" applyBorder="1" applyFont="1" applyNumberFormat="1">
      <alignment vertical="bottom"/>
    </xf>
    <xf borderId="0" fillId="6" fontId="15" numFmtId="0" xfId="0" applyAlignment="1" applyFont="1">
      <alignment vertical="bottom"/>
    </xf>
    <xf borderId="18" fillId="5" fontId="14" numFmtId="164" xfId="0" applyAlignment="1" applyBorder="1" applyFont="1" applyNumberFormat="1">
      <alignment vertical="bottom"/>
    </xf>
    <xf borderId="19" fillId="5" fontId="15" numFmtId="164" xfId="0" applyAlignment="1" applyBorder="1" applyFont="1" applyNumberFormat="1">
      <alignment readingOrder="0" vertical="bottom"/>
    </xf>
    <xf borderId="20" fillId="5" fontId="14" numFmtId="164" xfId="0" applyAlignment="1" applyBorder="1" applyFont="1" applyNumberFormat="1">
      <alignment vertical="bottom"/>
    </xf>
    <xf borderId="19" fillId="5" fontId="15" numFmtId="164" xfId="0" applyAlignment="1" applyBorder="1" applyFont="1" applyNumberFormat="1">
      <alignment vertical="bottom"/>
    </xf>
    <xf borderId="21" fillId="5" fontId="15" numFmtId="164" xfId="0" applyAlignment="1" applyBorder="1" applyFont="1" applyNumberFormat="1">
      <alignment vertical="bottom"/>
    </xf>
    <xf borderId="22" fillId="8" fontId="10" numFmtId="164" xfId="0" applyAlignment="1" applyBorder="1" applyFont="1" applyNumberFormat="1">
      <alignment horizontal="center" vertical="bottom"/>
    </xf>
    <xf borderId="23" fillId="0" fontId="8" numFmtId="0" xfId="0" applyBorder="1" applyFont="1"/>
    <xf borderId="24" fillId="8" fontId="10" numFmtId="164" xfId="0" applyAlignment="1" applyBorder="1" applyFont="1" applyNumberFormat="1">
      <alignment horizontal="center" vertical="bottom"/>
    </xf>
    <xf borderId="25" fillId="0" fontId="8" numFmtId="0" xfId="0" applyBorder="1" applyFont="1"/>
    <xf borderId="0" fillId="5" fontId="12" numFmtId="0" xfId="0" applyAlignment="1" applyFont="1">
      <alignment horizontal="left" vertical="bottom"/>
    </xf>
    <xf borderId="13" fillId="5" fontId="12" numFmtId="0" xfId="0" applyAlignment="1" applyBorder="1" applyFont="1">
      <alignment horizontal="left" vertical="bottom"/>
    </xf>
    <xf borderId="0" fillId="6" fontId="12" numFmtId="0" xfId="0" applyAlignment="1" applyFont="1">
      <alignment vertical="bottom"/>
    </xf>
    <xf borderId="1" fillId="9" fontId="12" numFmtId="0" xfId="0" applyAlignment="1" applyBorder="1" applyFont="1">
      <alignment readingOrder="0" vertical="bottom"/>
    </xf>
    <xf borderId="11" fillId="9" fontId="1" numFmtId="0" xfId="0" applyAlignment="1" applyBorder="1" applyFont="1">
      <alignment readingOrder="0" vertical="bottom"/>
    </xf>
    <xf borderId="0" fillId="5" fontId="14" numFmtId="164" xfId="0" applyAlignment="1" applyFont="1" applyNumberFormat="1">
      <alignment horizontal="left" vertical="bottom"/>
    </xf>
    <xf borderId="11" fillId="5" fontId="15" numFmtId="168" xfId="0" applyAlignment="1" applyBorder="1" applyFont="1" applyNumberFormat="1">
      <alignment horizontal="right" vertical="bottom"/>
    </xf>
    <xf borderId="12" fillId="5" fontId="14" numFmtId="164" xfId="0" applyAlignment="1" applyBorder="1" applyFont="1" applyNumberFormat="1">
      <alignment horizontal="left" vertical="bottom"/>
    </xf>
    <xf borderId="13" fillId="5" fontId="15" numFmtId="168" xfId="0" applyAlignment="1" applyBorder="1" applyFont="1" applyNumberFormat="1">
      <alignment horizontal="right" vertical="bottom"/>
    </xf>
    <xf borderId="1" fillId="5" fontId="2" numFmtId="0" xfId="0" applyAlignment="1" applyBorder="1" applyFont="1">
      <alignment horizontal="left" vertical="bottom"/>
    </xf>
    <xf borderId="0" fillId="5" fontId="2" numFmtId="0" xfId="0" applyAlignment="1" applyFont="1">
      <alignment horizontal="left" vertical="bottom"/>
    </xf>
    <xf borderId="13" fillId="5" fontId="2" numFmtId="0" xfId="0" applyAlignment="1" applyBorder="1" applyFont="1">
      <alignment horizontal="left" vertical="bottom"/>
    </xf>
    <xf borderId="0" fillId="6" fontId="2" numFmtId="0" xfId="0" applyAlignment="1" applyFont="1">
      <alignment vertical="bottom"/>
    </xf>
    <xf borderId="1" fillId="9" fontId="12" numFmtId="0" xfId="0" applyAlignment="1" applyBorder="1" applyFont="1">
      <alignment vertical="bottom"/>
    </xf>
    <xf borderId="11" fillId="9" fontId="1" numFmtId="0" xfId="0" applyAlignment="1" applyBorder="1" applyFont="1">
      <alignment vertical="bottom"/>
    </xf>
    <xf borderId="12" fillId="5" fontId="14" numFmtId="0" xfId="0" applyAlignment="1" applyBorder="1" applyFont="1">
      <alignment horizontal="left" vertical="bottom"/>
    </xf>
    <xf borderId="26" fillId="9" fontId="12" numFmtId="0" xfId="0" applyAlignment="1" applyBorder="1" applyFont="1">
      <alignment vertical="bottom"/>
    </xf>
    <xf borderId="27" fillId="9" fontId="1" numFmtId="0" xfId="0" applyAlignment="1" applyBorder="1" applyFont="1">
      <alignment vertical="bottom"/>
    </xf>
    <xf borderId="28" fillId="5" fontId="14" numFmtId="164" xfId="0" applyAlignment="1" applyBorder="1" applyFont="1" applyNumberFormat="1">
      <alignment vertical="bottom"/>
    </xf>
    <xf borderId="27" fillId="5" fontId="15" numFmtId="164" xfId="0" applyAlignment="1" applyBorder="1" applyFont="1" applyNumberFormat="1">
      <alignment readingOrder="0" vertical="bottom"/>
    </xf>
    <xf borderId="29" fillId="5" fontId="14" numFmtId="164" xfId="0" applyAlignment="1" applyBorder="1" applyFont="1" applyNumberFormat="1">
      <alignment vertical="bottom"/>
    </xf>
    <xf borderId="27" fillId="5" fontId="15" numFmtId="164" xfId="0" applyAlignment="1" applyBorder="1" applyFont="1" applyNumberFormat="1">
      <alignment vertical="bottom"/>
    </xf>
    <xf borderId="30" fillId="5" fontId="15" numFmtId="164" xfId="0" applyAlignment="1" applyBorder="1" applyFont="1" applyNumberFormat="1">
      <alignment vertical="bottom"/>
    </xf>
    <xf borderId="0" fillId="6" fontId="9" numFmtId="0" xfId="0" applyAlignment="1" applyFont="1">
      <alignment horizontal="center" readingOrder="0" vertical="bottom"/>
    </xf>
    <xf borderId="31" fillId="7" fontId="5" numFmtId="0" xfId="0" applyBorder="1" applyFont="1"/>
    <xf borderId="32" fillId="0" fontId="8" numFmtId="0" xfId="0" applyBorder="1" applyFont="1"/>
    <xf borderId="33" fillId="7" fontId="9" numFmtId="0" xfId="0" applyAlignment="1" applyBorder="1" applyFont="1">
      <alignment horizontal="center" readingOrder="0" vertical="bottom"/>
    </xf>
    <xf borderId="34" fillId="0" fontId="8" numFmtId="0" xfId="0" applyBorder="1" applyFont="1"/>
    <xf borderId="35" fillId="0" fontId="8" numFmtId="0" xfId="0" applyBorder="1" applyFont="1"/>
    <xf borderId="1" fillId="5" fontId="2" numFmtId="0" xfId="0" applyAlignment="1" applyBorder="1" applyFont="1">
      <alignment horizontal="left" vertical="bottom"/>
    </xf>
    <xf borderId="0" fillId="5" fontId="2" numFmtId="0" xfId="0" applyAlignment="1" applyFont="1">
      <alignment horizontal="left" vertical="bottom"/>
    </xf>
    <xf borderId="0" fillId="6" fontId="2" numFmtId="0" xfId="0" applyAlignment="1" applyFont="1">
      <alignment vertical="bottom"/>
    </xf>
    <xf borderId="13" fillId="5" fontId="2" numFmtId="0" xfId="0" applyAlignment="1" applyBorder="1" applyFont="1">
      <alignment horizontal="left" vertical="bottom"/>
    </xf>
    <xf borderId="36" fillId="8" fontId="10" numFmtId="164" xfId="0" applyAlignment="1" applyBorder="1" applyFont="1" applyNumberFormat="1">
      <alignment horizontal="center" vertical="bottom"/>
    </xf>
    <xf borderId="37" fillId="0" fontId="8" numFmtId="0" xfId="0" applyBorder="1" applyFont="1"/>
    <xf borderId="38" fillId="0" fontId="8" numFmtId="0" xfId="0" applyBorder="1" applyFont="1"/>
    <xf borderId="39" fillId="8" fontId="10" numFmtId="164" xfId="0" applyAlignment="1" applyBorder="1" applyFont="1" applyNumberFormat="1">
      <alignment horizontal="center" vertical="bottom"/>
    </xf>
    <xf borderId="40" fillId="8" fontId="16" numFmtId="168" xfId="0" applyBorder="1" applyFont="1" applyNumberFormat="1"/>
    <xf borderId="41" fillId="8" fontId="10" numFmtId="164" xfId="0" applyAlignment="1" applyBorder="1" applyFont="1" applyNumberFormat="1">
      <alignment horizontal="center" vertical="bottom"/>
    </xf>
    <xf borderId="42" fillId="8" fontId="10" numFmtId="16" xfId="0" applyAlignment="1" applyBorder="1" applyFont="1" applyNumberFormat="1">
      <alignment horizontal="center" vertical="bottom"/>
    </xf>
    <xf borderId="36" fillId="8" fontId="10" numFmtId="164" xfId="0" applyAlignment="1" applyBorder="1" applyFont="1" applyNumberFormat="1">
      <alignment horizontal="center" readingOrder="0" vertical="bottom"/>
    </xf>
    <xf borderId="1" fillId="9" fontId="2" numFmtId="0" xfId="0" applyAlignment="1" applyBorder="1" applyFont="1">
      <alignment horizontal="left" vertical="bottom"/>
    </xf>
    <xf borderId="0" fillId="9" fontId="2" numFmtId="0" xfId="0" applyAlignment="1" applyFont="1">
      <alignment horizontal="left" vertical="bottom"/>
    </xf>
    <xf borderId="34" fillId="6" fontId="10" numFmtId="164" xfId="0" applyAlignment="1" applyBorder="1" applyFont="1" applyNumberFormat="1">
      <alignment horizontal="center" vertical="bottom"/>
    </xf>
    <xf borderId="34" fillId="8" fontId="10" numFmtId="164" xfId="0" applyAlignment="1" applyBorder="1" applyFont="1" applyNumberFormat="1">
      <alignment horizontal="center" vertical="bottom"/>
    </xf>
    <xf borderId="43" fillId="0" fontId="8" numFmtId="0" xfId="0" applyBorder="1" applyFont="1"/>
    <xf borderId="0" fillId="6" fontId="5" numFmtId="0" xfId="0" applyAlignment="1" applyFont="1">
      <alignment horizontal="left" readingOrder="0"/>
    </xf>
    <xf borderId="44" fillId="5" fontId="14" numFmtId="164" xfId="0" applyAlignment="1" applyBorder="1" applyFont="1" applyNumberFormat="1">
      <alignment horizontal="left" vertical="bottom"/>
    </xf>
    <xf borderId="45" fillId="5" fontId="15" numFmtId="168" xfId="0" applyAlignment="1" applyBorder="1" applyFont="1" applyNumberFormat="1">
      <alignment horizontal="right" vertical="bottom"/>
    </xf>
    <xf borderId="11" fillId="5" fontId="15" numFmtId="168" xfId="0" applyAlignment="1" applyBorder="1" applyFont="1" applyNumberFormat="1">
      <alignment readingOrder="0"/>
    </xf>
    <xf borderId="0" fillId="5" fontId="17" numFmtId="0" xfId="0" applyAlignment="1" applyFont="1">
      <alignment readingOrder="0"/>
    </xf>
    <xf borderId="45" fillId="5" fontId="15" numFmtId="168" xfId="0" applyAlignment="1" applyBorder="1" applyFont="1" applyNumberFormat="1">
      <alignment readingOrder="0"/>
    </xf>
    <xf borderId="46" fillId="5" fontId="15" numFmtId="164" xfId="0" applyAlignment="1" applyBorder="1" applyFont="1" applyNumberFormat="1">
      <alignment horizontal="center" vertical="bottom"/>
    </xf>
    <xf borderId="47" fillId="5" fontId="15" numFmtId="168" xfId="0" applyAlignment="1" applyBorder="1" applyFont="1" applyNumberFormat="1">
      <alignment horizontal="center" vertical="bottom"/>
    </xf>
    <xf borderId="44" fillId="5" fontId="14" numFmtId="164" xfId="0" applyAlignment="1" applyBorder="1" applyFont="1" applyNumberFormat="1">
      <alignment horizontal="left" readingOrder="0" vertical="bottom"/>
    </xf>
    <xf borderId="45" fillId="5" fontId="15" numFmtId="168" xfId="0" applyAlignment="1" applyBorder="1" applyFont="1" applyNumberFormat="1">
      <alignment horizontal="left" vertical="bottom"/>
    </xf>
    <xf borderId="1" fillId="10" fontId="2" numFmtId="0" xfId="0" applyAlignment="1" applyBorder="1" applyFill="1" applyFont="1">
      <alignment horizontal="left" vertical="bottom"/>
    </xf>
    <xf borderId="0" fillId="10" fontId="2" numFmtId="0" xfId="0" applyAlignment="1" applyFont="1">
      <alignment horizontal="left" vertical="bottom"/>
    </xf>
    <xf borderId="0" fillId="6" fontId="12" numFmtId="164" xfId="0" applyAlignment="1" applyFont="1" applyNumberFormat="1">
      <alignment horizontal="left" vertical="bottom"/>
    </xf>
    <xf borderId="46" fillId="5" fontId="15" numFmtId="164" xfId="0" applyAlignment="1" applyBorder="1" applyFont="1" applyNumberFormat="1">
      <alignment vertical="bottom"/>
    </xf>
    <xf borderId="47" fillId="5" fontId="15" numFmtId="16" xfId="0" applyAlignment="1" applyBorder="1" applyFont="1" applyNumberFormat="1">
      <alignment vertical="bottom"/>
    </xf>
    <xf borderId="44" fillId="5" fontId="14" numFmtId="0" xfId="0" applyAlignment="1" applyBorder="1" applyFont="1">
      <alignment horizontal="left" vertical="bottom"/>
    </xf>
    <xf borderId="23" fillId="5" fontId="15" numFmtId="168" xfId="0" applyAlignment="1" applyBorder="1" applyFont="1" applyNumberFormat="1">
      <alignment horizontal="right" vertical="bottom"/>
    </xf>
    <xf borderId="24" fillId="5" fontId="14" numFmtId="164" xfId="0" applyAlignment="1" applyBorder="1" applyFont="1" applyNumberFormat="1">
      <alignment horizontal="left" readingOrder="0" vertical="bottom"/>
    </xf>
    <xf borderId="48" fillId="5" fontId="15" numFmtId="168" xfId="0" applyAlignment="1" applyBorder="1" applyFont="1" applyNumberFormat="1">
      <alignment horizontal="right" vertical="bottom"/>
    </xf>
    <xf borderId="49" fillId="8" fontId="10" numFmtId="164" xfId="0" applyAlignment="1" applyBorder="1" applyFont="1" applyNumberFormat="1">
      <alignment horizontal="center" readingOrder="0" vertical="center"/>
    </xf>
    <xf borderId="50" fillId="0" fontId="8" numFmtId="0" xfId="0" applyBorder="1" applyFont="1"/>
    <xf borderId="0" fillId="6" fontId="1" numFmtId="168" xfId="0" applyAlignment="1" applyFont="1" applyNumberFormat="1">
      <alignment horizontal="center" readingOrder="0" vertical="center"/>
    </xf>
    <xf borderId="51" fillId="5" fontId="6" numFmtId="164" xfId="0" applyAlignment="1" applyBorder="1" applyFont="1" applyNumberFormat="1">
      <alignment horizontal="center" vertical="bottom"/>
    </xf>
    <xf borderId="52" fillId="0" fontId="8" numFmtId="0" xfId="0" applyBorder="1" applyFont="1"/>
    <xf borderId="12" fillId="5" fontId="14" numFmtId="164" xfId="0" applyAlignment="1" applyBorder="1" applyFont="1" applyNumberFormat="1">
      <alignment horizontal="center" readingOrder="0" vertical="bottom"/>
    </xf>
    <xf borderId="45" fillId="0" fontId="8" numFmtId="0" xfId="0" applyBorder="1" applyFont="1"/>
    <xf borderId="18" fillId="9" fontId="18" numFmtId="164" xfId="0" applyAlignment="1" applyBorder="1" applyFont="1" applyNumberFormat="1">
      <alignment horizontal="center"/>
    </xf>
    <xf borderId="53" fillId="0" fontId="8" numFmtId="0" xfId="0" applyBorder="1" applyFont="1"/>
    <xf borderId="0" fillId="6" fontId="1" numFmtId="168" xfId="0" applyAlignment="1" applyFont="1" applyNumberFormat="1">
      <alignment horizontal="center" vertical="center"/>
    </xf>
    <xf borderId="44" fillId="5" fontId="14" numFmtId="164" xfId="0" applyAlignment="1" applyBorder="1" applyFont="1" applyNumberFormat="1">
      <alignment vertical="bottom"/>
    </xf>
    <xf borderId="45" fillId="5" fontId="15" numFmtId="164" xfId="0" applyAlignment="1" applyBorder="1" applyFont="1" applyNumberFormat="1">
      <alignment vertical="bottom"/>
    </xf>
    <xf borderId="45" fillId="5" fontId="15" numFmtId="168" xfId="0" applyAlignment="1" applyBorder="1" applyFont="1" applyNumberFormat="1">
      <alignment horizontal="right" vertical="bottom"/>
    </xf>
    <xf borderId="44" fillId="8" fontId="10" numFmtId="164" xfId="0" applyAlignment="1" applyBorder="1" applyFont="1" applyNumberFormat="1">
      <alignment horizontal="center" readingOrder="0" vertical="bottom"/>
    </xf>
    <xf borderId="54" fillId="5" fontId="14" numFmtId="164" xfId="0" applyAlignment="1" applyBorder="1" applyFont="1" applyNumberFormat="1">
      <alignment vertical="bottom"/>
    </xf>
    <xf borderId="53" fillId="5" fontId="15" numFmtId="164" xfId="0" applyAlignment="1" applyBorder="1" applyFont="1" applyNumberFormat="1">
      <alignment vertical="bottom"/>
    </xf>
    <xf borderId="20" fillId="5" fontId="14" numFmtId="164" xfId="0" applyAlignment="1" applyBorder="1" applyFont="1" applyNumberFormat="1">
      <alignment horizontal="left" readingOrder="0" vertical="bottom"/>
    </xf>
    <xf borderId="53" fillId="5" fontId="15" numFmtId="168" xfId="0" applyAlignment="1" applyBorder="1" applyFont="1" applyNumberFormat="1">
      <alignment horizontal="right" vertical="bottom"/>
    </xf>
    <xf borderId="54" fillId="5" fontId="14" numFmtId="164" xfId="0" applyAlignment="1" applyBorder="1" applyFont="1" applyNumberFormat="1">
      <alignment horizontal="left" vertical="bottom"/>
    </xf>
    <xf borderId="53" fillId="5" fontId="15" numFmtId="168" xfId="0" applyAlignment="1" applyBorder="1" applyFont="1" applyNumberFormat="1">
      <alignment horizontal="left" vertical="bottom"/>
    </xf>
    <xf borderId="0" fillId="6" fontId="1" numFmtId="164" xfId="0" applyAlignment="1" applyFont="1" applyNumberFormat="1">
      <alignment readingOrder="0" vertical="bottom"/>
    </xf>
    <xf borderId="0" fillId="6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center" vertical="bottom"/>
    </xf>
    <xf borderId="0" fillId="6" fontId="1" numFmtId="0" xfId="0" applyAlignment="1" applyFont="1">
      <alignment horizontal="center" vertical="bottom"/>
    </xf>
    <xf borderId="0" fillId="6" fontId="19" numFmtId="164" xfId="0" applyAlignment="1" applyFont="1" applyNumberFormat="1">
      <alignment horizontal="center" readingOrder="0" vertical="bottom"/>
    </xf>
    <xf borderId="31" fillId="7" fontId="19" numFmtId="164" xfId="0" applyAlignment="1" applyBorder="1" applyFont="1" applyNumberFormat="1">
      <alignment horizontal="center" readingOrder="0" vertical="bottom"/>
    </xf>
    <xf borderId="55" fillId="0" fontId="8" numFmtId="0" xfId="0" applyBorder="1" applyFont="1"/>
    <xf borderId="0" fillId="6" fontId="1" numFmtId="0" xfId="0" applyAlignment="1" applyFont="1">
      <alignment readingOrder="0"/>
    </xf>
    <xf borderId="44" fillId="8" fontId="1" numFmtId="0" xfId="0" applyAlignment="1" applyBorder="1" applyFont="1">
      <alignment readingOrder="0"/>
    </xf>
    <xf borderId="0" fillId="8" fontId="1" numFmtId="164" xfId="0" applyAlignment="1" applyFont="1" applyNumberFormat="1">
      <alignment horizontal="center" readingOrder="0" vertical="bottom"/>
    </xf>
    <xf borderId="0" fillId="8" fontId="1" numFmtId="164" xfId="0" applyAlignment="1" applyFont="1" applyNumberFormat="1">
      <alignment horizontal="center" vertical="bottom"/>
    </xf>
    <xf borderId="0" fillId="8" fontId="5" numFmtId="0" xfId="0" applyFont="1"/>
    <xf borderId="0" fillId="8" fontId="20" numFmtId="0" xfId="0" applyAlignment="1" applyFont="1">
      <alignment horizontal="center" readingOrder="0"/>
    </xf>
    <xf borderId="45" fillId="8" fontId="1" numFmtId="164" xfId="0" applyAlignment="1" applyBorder="1" applyFont="1" applyNumberFormat="1">
      <alignment horizontal="center" readingOrder="0" vertical="bottom"/>
    </xf>
    <xf borderId="0" fillId="6" fontId="4" numFmtId="0" xfId="0" applyAlignment="1" applyFont="1">
      <alignment horizontal="left" readingOrder="0" shrinkToFit="0" wrapText="1"/>
    </xf>
    <xf borderId="2" fillId="0" fontId="4" numFmtId="164" xfId="0" applyAlignment="1" applyBorder="1" applyFont="1" applyNumberFormat="1">
      <alignment horizontal="left" readingOrder="0" shrinkToFit="0" wrapText="1"/>
    </xf>
    <xf borderId="2" fillId="0" fontId="4" numFmtId="4" xfId="0" applyAlignment="1" applyBorder="1" applyFont="1" applyNumberFormat="1">
      <alignment horizontal="left" readingOrder="0" shrinkToFit="0" wrapText="1"/>
    </xf>
    <xf borderId="2" fillId="0" fontId="4" numFmtId="164" xfId="0" applyAlignment="1" applyBorder="1" applyFont="1" applyNumberFormat="1">
      <alignment horizontal="left" shrinkToFit="0" wrapText="1"/>
    </xf>
    <xf borderId="0" fillId="10" fontId="21" numFmtId="164" xfId="0" applyAlignment="1" applyFont="1" applyNumberFormat="1">
      <alignment horizontal="left" shrinkToFit="0" wrapText="0"/>
    </xf>
    <xf borderId="0" fillId="10" fontId="12" numFmtId="164" xfId="0" applyAlignment="1" applyFont="1" applyNumberFormat="1">
      <alignment readingOrder="0" vertical="bottom"/>
    </xf>
    <xf borderId="45" fillId="9" fontId="22" numFmtId="0" xfId="0" applyAlignment="1" applyBorder="1" applyFont="1">
      <alignment horizontal="center"/>
    </xf>
    <xf borderId="0" fillId="6" fontId="23" numFmtId="0" xfId="0" applyFont="1"/>
    <xf borderId="0" fillId="0" fontId="21" numFmtId="164" xfId="0" applyAlignment="1" applyFont="1" applyNumberFormat="1">
      <alignment horizontal="left" shrinkToFit="0" wrapText="0"/>
    </xf>
    <xf borderId="0" fillId="0" fontId="12" numFmtId="164" xfId="0" applyAlignment="1" applyFont="1" applyNumberFormat="1">
      <alignment readingOrder="0" vertical="bottom"/>
    </xf>
    <xf borderId="2" fillId="5" fontId="4" numFmtId="164" xfId="0" applyAlignment="1" applyBorder="1" applyFont="1" applyNumberFormat="1">
      <alignment horizontal="left" shrinkToFit="0" wrapText="1"/>
    </xf>
    <xf borderId="0" fillId="0" fontId="12" numFmtId="164" xfId="0" applyAlignment="1" applyFont="1" applyNumberFormat="1">
      <alignment vertical="bottom"/>
    </xf>
    <xf borderId="0" fillId="0" fontId="12" numFmtId="164" xfId="0" applyFont="1" applyNumberFormat="1"/>
    <xf borderId="56" fillId="8" fontId="10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left" readingOrder="0" vertical="bottom"/>
    </xf>
    <xf borderId="0" fillId="5" fontId="2" numFmtId="14" xfId="0" applyAlignment="1" applyFont="1" applyNumberFormat="1">
      <alignment horizontal="left" readingOrder="0" vertical="bottom"/>
    </xf>
    <xf borderId="0" fillId="5" fontId="2" numFmtId="0" xfId="0" applyAlignment="1" applyFont="1">
      <alignment horizontal="left" readingOrder="0" vertical="bottom"/>
    </xf>
    <xf borderId="0" fillId="5" fontId="2" numFmtId="0" xfId="0" applyAlignment="1" applyFont="1">
      <alignment horizontal="left" readingOrder="0" vertical="bottom"/>
    </xf>
    <xf borderId="0" fillId="0" fontId="5" numFmtId="164" xfId="0" applyAlignment="1" applyFont="1" applyNumberFormat="1">
      <alignment readingOrder="0"/>
    </xf>
    <xf borderId="1" fillId="0" fontId="5" numFmtId="0" xfId="0" applyBorder="1" applyFont="1"/>
    <xf borderId="0" fillId="0" fontId="5" numFmtId="0" xfId="0" applyFont="1"/>
    <xf borderId="13" fillId="0" fontId="5" numFmtId="0" xfId="0" applyBorder="1" applyFont="1"/>
    <xf borderId="26" fillId="0" fontId="5" numFmtId="0" xfId="0" applyBorder="1" applyFont="1"/>
    <xf borderId="28" fillId="0" fontId="5" numFmtId="0" xfId="0" applyBorder="1" applyFont="1"/>
    <xf borderId="28" fillId="6" fontId="2" numFmtId="0" xfId="0" applyAlignment="1" applyBorder="1" applyFont="1">
      <alignment vertical="bottom"/>
    </xf>
    <xf borderId="30" fillId="0" fontId="5" numFmtId="0" xfId="0" applyBorder="1" applyFont="1"/>
    <xf borderId="16" fillId="7" fontId="24" numFmtId="0" xfId="0" applyAlignment="1" applyBorder="1" applyFont="1">
      <alignment horizontal="center" vertical="bottom"/>
    </xf>
    <xf borderId="14" fillId="0" fontId="8" numFmtId="0" xfId="0" applyBorder="1" applyFont="1"/>
    <xf borderId="12" fillId="0" fontId="8" numFmtId="0" xfId="0" applyBorder="1" applyFont="1"/>
    <xf borderId="11" fillId="0" fontId="8" numFmtId="0" xfId="0" applyBorder="1" applyFont="1"/>
    <xf borderId="12" fillId="8" fontId="25" numFmtId="0" xfId="0" applyAlignment="1" applyBorder="1" applyFont="1">
      <alignment vertical="bottom"/>
    </xf>
    <xf borderId="0" fillId="8" fontId="25" numFmtId="0" xfId="0" applyAlignment="1" applyFont="1">
      <alignment vertical="bottom"/>
    </xf>
    <xf borderId="0" fillId="8" fontId="25" numFmtId="0" xfId="0" applyAlignment="1" applyFont="1">
      <alignment horizontal="center" vertical="bottom"/>
    </xf>
    <xf borderId="12" fillId="5" fontId="2" numFmtId="0" xfId="0" applyAlignment="1" applyBorder="1" applyFont="1">
      <alignment horizontal="left" readingOrder="0" vertical="bottom"/>
    </xf>
    <xf borderId="0" fillId="11" fontId="2" numFmtId="0" xfId="0" applyAlignment="1" applyFill="1" applyFont="1">
      <alignment horizontal="center" vertical="bottom"/>
    </xf>
    <xf borderId="11" fillId="11" fontId="2" numFmtId="0" xfId="0" applyAlignment="1" applyBorder="1" applyFont="1">
      <alignment vertical="bottom"/>
    </xf>
    <xf borderId="0" fillId="9" fontId="2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9" fontId="2" numFmtId="0" xfId="0" applyAlignment="1" applyFont="1">
      <alignment horizontal="center" vertical="bottom"/>
    </xf>
    <xf borderId="12" fillId="9" fontId="2" numFmtId="0" xfId="0" applyAlignment="1" applyBorder="1" applyFont="1">
      <alignment horizontal="center" readingOrder="0" vertical="bottom"/>
    </xf>
    <xf borderId="0" fillId="9" fontId="2" numFmtId="14" xfId="0" applyAlignment="1" applyFont="1" applyNumberFormat="1">
      <alignment horizontal="center" readingOrder="0" vertical="bottom"/>
    </xf>
    <xf borderId="0" fillId="9" fontId="2" numFmtId="0" xfId="0" applyAlignment="1" applyFont="1">
      <alignment horizontal="center" readingOrder="0" vertical="bottom"/>
    </xf>
    <xf borderId="0" fillId="9" fontId="2" numFmtId="168" xfId="0" applyAlignment="1" applyFont="1" applyNumberFormat="1">
      <alignment horizontal="center" readingOrder="0" vertical="bottom"/>
    </xf>
    <xf borderId="12" fillId="11" fontId="2" numFmtId="0" xfId="0" applyAlignment="1" applyBorder="1" applyFont="1">
      <alignment horizontal="center" vertical="bottom"/>
    </xf>
    <xf borderId="0" fillId="11" fontId="2" numFmtId="14" xfId="0" applyAlignment="1" applyFont="1" applyNumberFormat="1">
      <alignment horizontal="center" vertical="bottom"/>
    </xf>
    <xf borderId="0" fillId="11" fontId="2" numFmtId="168" xfId="0" applyAlignment="1" applyFont="1" applyNumberFormat="1">
      <alignment horizontal="center" vertical="bottom"/>
    </xf>
    <xf borderId="12" fillId="9" fontId="2" numFmtId="0" xfId="0" applyAlignment="1" applyBorder="1" applyFont="1">
      <alignment horizontal="center" vertical="bottom"/>
    </xf>
    <xf borderId="0" fillId="9" fontId="2" numFmtId="14" xfId="0" applyAlignment="1" applyFont="1" applyNumberFormat="1">
      <alignment horizontal="center" vertical="bottom"/>
    </xf>
    <xf borderId="0" fillId="9" fontId="2" numFmtId="168" xfId="0" applyAlignment="1" applyFont="1" applyNumberFormat="1">
      <alignment horizontal="center" vertical="bottom"/>
    </xf>
    <xf borderId="11" fillId="9" fontId="2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12" fillId="5" fontId="2" numFmtId="0" xfId="0" applyAlignment="1" applyBorder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5" fontId="2" numFmtId="168" xfId="0" applyAlignment="1" applyFont="1" applyNumberFormat="1">
      <alignment horizontal="center" vertical="bottom"/>
    </xf>
    <xf borderId="24" fillId="5" fontId="2" numFmtId="0" xfId="0" applyAlignment="1" applyBorder="1" applyFont="1">
      <alignment horizontal="center" vertical="bottom"/>
    </xf>
    <xf borderId="22" fillId="5" fontId="2" numFmtId="0" xfId="0" applyAlignment="1" applyBorder="1" applyFont="1">
      <alignment horizontal="center" vertical="bottom"/>
    </xf>
    <xf borderId="22" fillId="5" fontId="2" numFmtId="168" xfId="0" applyAlignment="1" applyBorder="1" applyFont="1" applyNumberFormat="1">
      <alignment horizontal="center" vertical="bottom"/>
    </xf>
    <xf borderId="23" fillId="9" fontId="2" numFmtId="0" xfId="0" applyAlignment="1" applyBorder="1" applyFont="1">
      <alignment vertical="bottom"/>
    </xf>
    <xf borderId="0" fillId="5" fontId="2" numFmtId="165" xfId="0" applyAlignment="1" applyFont="1" applyNumberFormat="1">
      <alignment horizontal="left" vertical="bottom"/>
    </xf>
    <xf borderId="2" fillId="0" fontId="4" numFmtId="166" xfId="0" applyAlignment="1" applyBorder="1" applyFont="1" applyNumberFormat="1">
      <alignment horizontal="left" readingOrder="0" shrinkToFit="0" wrapText="1"/>
    </xf>
    <xf borderId="0" fillId="0" fontId="5" numFmtId="165" xfId="0" applyFont="1" applyNumberFormat="1"/>
    <xf borderId="0" fillId="0" fontId="5" numFmtId="0" xfId="0" applyFont="1"/>
    <xf borderId="44" fillId="0" fontId="4" numFmtId="0" xfId="0" applyAlignment="1" applyBorder="1" applyFont="1">
      <alignment horizontal="left" readingOrder="0" shrinkToFit="0" wrapText="1"/>
    </xf>
    <xf borderId="0" fillId="0" fontId="4" numFmtId="165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4" numFmtId="4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1" fillId="5" fontId="2" numFmtId="165" xfId="0" applyAlignment="1" applyBorder="1" applyFont="1" applyNumberFormat="1">
      <alignment horizontal="left" vertical="bottom"/>
    </xf>
    <xf borderId="0" fillId="0" fontId="4" numFmtId="0" xfId="0" applyAlignment="1" applyFont="1">
      <alignment horizontal="left" readingOrder="0" shrinkToFit="0" wrapText="1"/>
    </xf>
    <xf borderId="0" fillId="5" fontId="4" numFmtId="164" xfId="0" applyAlignment="1" applyFont="1" applyNumberFormat="1">
      <alignment horizontal="left" shrinkToFit="0" wrapText="1"/>
    </xf>
    <xf borderId="1" fillId="5" fontId="2" numFmtId="165" xfId="0" applyAlignment="1" applyBorder="1" applyFont="1" applyNumberFormat="1">
      <alignment horizontal="left" readingOrder="0" vertical="bottom"/>
    </xf>
    <xf borderId="31" fillId="7" fontId="9" numFmtId="164" xfId="0" applyAlignment="1" applyBorder="1" applyFont="1" applyNumberFormat="1">
      <alignment horizontal="center" readingOrder="0" vertical="bottom"/>
    </xf>
    <xf borderId="57" fillId="9" fontId="22" numFmtId="0" xfId="0" applyAlignment="1" applyBorder="1" applyFont="1">
      <alignment horizontal="center"/>
    </xf>
    <xf borderId="2" fillId="9" fontId="4" numFmtId="164" xfId="0" applyAlignment="1" applyBorder="1" applyFont="1" applyNumberFormat="1">
      <alignment horizontal="left" readingOrder="0" shrinkToFit="0" wrapText="1"/>
    </xf>
    <xf borderId="0" fillId="0" fontId="26" numFmtId="0" xfId="0" applyAlignment="1" applyFont="1">
      <alignment readingOrder="0"/>
    </xf>
    <xf borderId="0" fillId="0" fontId="5" numFmtId="0" xfId="0" applyAlignment="1" applyFont="1">
      <alignment shrinkToFit="0" wrapText="0"/>
    </xf>
    <xf borderId="2" fillId="12" fontId="4" numFmtId="0" xfId="0" applyAlignment="1" applyBorder="1" applyFill="1" applyFont="1">
      <alignment horizontal="left" readingOrder="0" shrinkToFit="0" wrapText="1"/>
    </xf>
    <xf borderId="44" fillId="0" fontId="5" numFmtId="0" xfId="0" applyBorder="1" applyFont="1"/>
    <xf borderId="0" fillId="6" fontId="5" numFmtId="0" xfId="0" applyAlignment="1" applyFont="1">
      <alignment readingOrder="0"/>
    </xf>
    <xf borderId="0" fillId="9" fontId="12" numFmtId="170" xfId="0" applyAlignment="1" applyFont="1" applyNumberFormat="1">
      <alignment horizontal="center"/>
    </xf>
    <xf borderId="44" fillId="9" fontId="5" numFmtId="0" xfId="0" applyBorder="1" applyFont="1"/>
    <xf borderId="0" fillId="0" fontId="27" numFmtId="4" xfId="0" applyFont="1" applyNumberFormat="1"/>
    <xf borderId="0" fillId="0" fontId="12" numFmtId="164" xfId="0" applyAlignment="1" applyFont="1" applyNumberFormat="1">
      <alignment shrinkToFit="0" wrapText="0"/>
    </xf>
    <xf borderId="2" fillId="12" fontId="4" numFmtId="164" xfId="0" applyAlignment="1" applyBorder="1" applyFont="1" applyNumberFormat="1">
      <alignment horizontal="left" readingOrder="0" shrinkToFit="0" wrapText="1"/>
    </xf>
    <xf borderId="46" fillId="11" fontId="2" numFmtId="0" xfId="0" applyAlignment="1" applyBorder="1" applyFont="1">
      <alignment vertical="bottom"/>
    </xf>
    <xf borderId="46" fillId="9" fontId="2" numFmtId="0" xfId="0" applyAlignment="1" applyBorder="1" applyFont="1">
      <alignment vertical="bottom"/>
    </xf>
    <xf borderId="58" fillId="9" fontId="2" numFmtId="0" xfId="0" applyAlignment="1" applyBorder="1" applyFont="1">
      <alignment vertical="bottom"/>
    </xf>
    <xf borderId="54" fillId="9" fontId="5" numFmtId="0" xfId="0" applyBorder="1" applyFont="1"/>
    <xf borderId="18" fillId="9" fontId="12" numFmtId="170" xfId="0" applyAlignment="1" applyBorder="1" applyFont="1" applyNumberFormat="1">
      <alignment horizontal="center"/>
    </xf>
    <xf borderId="18" fillId="0" fontId="12" numFmtId="164" xfId="0" applyBorder="1" applyFont="1" applyNumberFormat="1"/>
    <xf borderId="18" fillId="0" fontId="27" numFmtId="4" xfId="0" applyBorder="1" applyFont="1" applyNumberFormat="1"/>
    <xf borderId="18" fillId="0" fontId="12" numFmtId="164" xfId="0" applyAlignment="1" applyBorder="1" applyFont="1" applyNumberFormat="1">
      <alignment shrinkToFit="0" wrapText="0"/>
    </xf>
    <xf borderId="18" fillId="0" fontId="12" numFmtId="164" xfId="0" applyAlignment="1" applyBorder="1" applyFont="1" applyNumberFormat="1">
      <alignment vertical="bottom"/>
    </xf>
    <xf borderId="39" fillId="8" fontId="10" numFmtId="164" xfId="0" applyAlignment="1" applyBorder="1" applyFont="1" applyNumberFormat="1">
      <alignment horizontal="center" readingOrder="0" vertical="bottom"/>
    </xf>
    <xf borderId="0" fillId="8" fontId="1" numFmtId="0" xfId="0" applyAlignment="1" applyFont="1">
      <alignment horizontal="center" vertical="bottom"/>
    </xf>
    <xf borderId="0" fillId="13" fontId="2" numFmtId="0" xfId="0" applyAlignment="1" applyFill="1" applyFont="1">
      <alignment vertical="bottom"/>
    </xf>
    <xf borderId="0" fillId="9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2" fillId="14" fontId="4" numFmtId="164" xfId="0" applyAlignment="1" applyBorder="1" applyFill="1" applyFont="1" applyNumberFormat="1">
      <alignment horizontal="left" readingOrder="0" shrinkToFit="0" wrapText="1"/>
    </xf>
    <xf borderId="0" fillId="9" fontId="2" numFmtId="0" xfId="0" applyAlignment="1" applyFont="1">
      <alignment vertical="bottom"/>
    </xf>
    <xf borderId="0" fillId="11" fontId="3" numFmtId="0" xfId="0" applyAlignment="1" applyFont="1">
      <alignment vertical="bottom"/>
    </xf>
    <xf borderId="0" fillId="11" fontId="2" numFmtId="0" xfId="0" applyAlignment="1" applyFont="1">
      <alignment vertical="bottom"/>
    </xf>
    <xf borderId="0" fillId="12" fontId="3" numFmtId="0" xfId="0" applyAlignment="1" applyFont="1">
      <alignment vertical="bottom"/>
    </xf>
    <xf borderId="12" fillId="11" fontId="2" numFmtId="0" xfId="0" applyAlignment="1" applyBorder="1" applyFont="1">
      <alignment horizontal="left" readingOrder="0" vertical="bottom"/>
    </xf>
    <xf borderId="0" fillId="11" fontId="2" numFmtId="14" xfId="0" applyAlignment="1" applyFont="1" applyNumberFormat="1">
      <alignment horizontal="left" readingOrder="0" vertical="bottom"/>
    </xf>
    <xf borderId="0" fillId="11" fontId="5" numFmtId="0" xfId="0" applyAlignment="1" applyFont="1">
      <alignment horizontal="left" readingOrder="0"/>
    </xf>
    <xf borderId="0" fillId="11" fontId="2" numFmtId="168" xfId="0" applyAlignment="1" applyFont="1" applyNumberFormat="1">
      <alignment horizontal="left" readingOrder="0" vertical="bottom"/>
    </xf>
    <xf borderId="0" fillId="11" fontId="2" numFmtId="0" xfId="0" applyAlignment="1" applyFont="1">
      <alignment horizontal="center" vertical="bottom"/>
    </xf>
    <xf borderId="46" fillId="11" fontId="2" numFmtId="0" xfId="0" applyAlignment="1" applyBorder="1" applyFont="1">
      <alignment vertical="bottom"/>
    </xf>
    <xf borderId="12" fillId="9" fontId="2" numFmtId="0" xfId="0" applyAlignment="1" applyBorder="1" applyFont="1">
      <alignment horizontal="left" readingOrder="0" vertical="bottom"/>
    </xf>
    <xf borderId="0" fillId="9" fontId="2" numFmtId="14" xfId="0" applyAlignment="1" applyFont="1" applyNumberFormat="1">
      <alignment horizontal="left" readingOrder="0" vertical="bottom"/>
    </xf>
    <xf borderId="0" fillId="9" fontId="2" numFmtId="0" xfId="0" applyAlignment="1" applyFont="1">
      <alignment horizontal="left" readingOrder="0" vertical="bottom"/>
    </xf>
    <xf borderId="0" fillId="9" fontId="2" numFmtId="168" xfId="0" applyAlignment="1" applyFont="1" applyNumberFormat="1">
      <alignment horizontal="left" readingOrder="0" vertical="bottom"/>
    </xf>
    <xf borderId="0" fillId="9" fontId="2" numFmtId="0" xfId="0" applyAlignment="1" applyFont="1">
      <alignment horizontal="center" vertical="bottom"/>
    </xf>
    <xf borderId="46" fillId="9" fontId="2" numFmtId="0" xfId="0" applyAlignment="1" applyBorder="1" applyFont="1">
      <alignment vertical="bottom"/>
    </xf>
    <xf borderId="0" fillId="11" fontId="2" numFmtId="0" xfId="0" applyAlignment="1" applyFont="1">
      <alignment horizontal="left" readingOrder="0" vertical="bottom"/>
    </xf>
    <xf borderId="0" fillId="11" fontId="2" numFmtId="0" xfId="0" applyAlignment="1" applyFont="1">
      <alignment horizontal="center" vertical="bottom"/>
    </xf>
    <xf borderId="0" fillId="9" fontId="2" numFmtId="0" xfId="0" applyAlignment="1" applyFont="1">
      <alignment horizontal="center" vertical="bottom"/>
    </xf>
    <xf borderId="0" fillId="11" fontId="2" numFmtId="0" xfId="0" applyAlignment="1" applyFont="1">
      <alignment horizontal="left" readingOrder="0" vertical="bottom"/>
    </xf>
    <xf borderId="12" fillId="11" fontId="2" numFmtId="0" xfId="0" applyAlignment="1" applyBorder="1" applyFont="1">
      <alignment horizontal="left" vertical="bottom"/>
    </xf>
    <xf borderId="0" fillId="11" fontId="2" numFmtId="14" xfId="0" applyAlignment="1" applyFont="1" applyNumberFormat="1">
      <alignment horizontal="left" vertical="bottom"/>
    </xf>
    <xf borderId="0" fillId="11" fontId="2" numFmtId="0" xfId="0" applyAlignment="1" applyFont="1">
      <alignment horizontal="left" vertical="bottom"/>
    </xf>
    <xf borderId="0" fillId="11" fontId="2" numFmtId="168" xfId="0" applyAlignment="1" applyFont="1" applyNumberFormat="1">
      <alignment horizontal="left" vertical="bottom"/>
    </xf>
    <xf borderId="12" fillId="9" fontId="2" numFmtId="0" xfId="0" applyAlignment="1" applyBorder="1" applyFont="1">
      <alignment horizontal="left" vertical="bottom"/>
    </xf>
    <xf borderId="0" fillId="9" fontId="2" numFmtId="168" xfId="0" applyAlignment="1" applyFont="1" applyNumberFormat="1">
      <alignment horizontal="left" vertical="bottom"/>
    </xf>
    <xf borderId="0" fillId="6" fontId="2" numFmtId="0" xfId="0" applyAlignment="1" applyFont="1">
      <alignment horizontal="center" vertical="bottom"/>
    </xf>
    <xf borderId="0" fillId="6" fontId="2" numFmtId="168" xfId="0" applyAlignment="1" applyFont="1" applyNumberFormat="1">
      <alignment horizontal="center" vertical="bottom"/>
    </xf>
    <xf borderId="0" fillId="7" fontId="28" numFmtId="168" xfId="0" applyAlignment="1" applyFont="1" applyNumberFormat="1">
      <alignment horizontal="center" vertical="bottom"/>
    </xf>
    <xf borderId="0" fillId="8" fontId="29" numFmtId="0" xfId="0" applyAlignment="1" applyFont="1">
      <alignment horizontal="center" vertical="bottom"/>
    </xf>
    <xf borderId="0" fillId="8" fontId="29" numFmtId="168" xfId="0" applyAlignment="1" applyFont="1" applyNumberFormat="1">
      <alignment horizontal="center" vertical="bottom"/>
    </xf>
    <xf borderId="0" fillId="8" fontId="30" numFmtId="0" xfId="0" applyAlignment="1" applyFont="1">
      <alignment horizontal="center" vertical="bottom"/>
    </xf>
    <xf borderId="0" fillId="11" fontId="3" numFmtId="0" xfId="0" applyAlignment="1" applyFont="1">
      <alignment horizontal="center" vertical="bottom"/>
    </xf>
    <xf borderId="0" fillId="11" fontId="3" numFmtId="165" xfId="0" applyAlignment="1" applyFont="1" applyNumberFormat="1">
      <alignment horizontal="right" vertical="bottom"/>
    </xf>
    <xf borderId="0" fillId="11" fontId="3" numFmtId="168" xfId="0" applyAlignment="1" applyFont="1" applyNumberFormat="1">
      <alignment horizontal="center" vertical="bottom"/>
    </xf>
    <xf borderId="0" fillId="11" fontId="3" numFmtId="0" xfId="0" applyAlignment="1" applyFont="1">
      <alignment horizontal="center" vertical="bottom"/>
    </xf>
    <xf borderId="0" fillId="9" fontId="2" numFmtId="0" xfId="0" applyAlignment="1" applyFont="1">
      <alignment vertical="bottom"/>
    </xf>
    <xf borderId="0" fillId="9" fontId="2" numFmtId="165" xfId="0" applyAlignment="1" applyFont="1" applyNumberFormat="1">
      <alignment vertical="bottom"/>
    </xf>
    <xf borderId="0" fillId="9" fontId="2" numFmtId="168" xfId="0" applyAlignment="1" applyFont="1" applyNumberFormat="1">
      <alignment vertical="bottom"/>
    </xf>
    <xf borderId="0" fillId="9" fontId="2" numFmtId="0" xfId="0" applyAlignment="1" applyFont="1">
      <alignment vertical="bottom"/>
    </xf>
    <xf borderId="0" fillId="11" fontId="2" numFmtId="0" xfId="0" applyAlignment="1" applyFont="1">
      <alignment vertical="bottom"/>
    </xf>
    <xf borderId="0" fillId="11" fontId="2" numFmtId="165" xfId="0" applyAlignment="1" applyFont="1" applyNumberFormat="1">
      <alignment vertical="bottom"/>
    </xf>
    <xf borderId="0" fillId="11" fontId="2" numFmtId="168" xfId="0" applyAlignment="1" applyFont="1" applyNumberFormat="1">
      <alignment vertical="bottom"/>
    </xf>
    <xf borderId="0" fillId="11" fontId="2" numFmtId="0" xfId="0" applyAlignment="1" applyFont="1">
      <alignment vertical="bottom"/>
    </xf>
    <xf borderId="0" fillId="11" fontId="12" numFmtId="164" xfId="0" applyFont="1" applyNumberFormat="1"/>
    <xf borderId="2" fillId="15" fontId="4" numFmtId="164" xfId="0" applyAlignment="1" applyBorder="1" applyFill="1" applyFont="1" applyNumberFormat="1">
      <alignment horizontal="left" readingOrder="0" shrinkToFit="0" wrapText="1"/>
    </xf>
    <xf borderId="0" fillId="11" fontId="2" numFmtId="14" xfId="0" applyAlignment="1" applyFont="1" applyNumberFormat="1">
      <alignment readingOrder="0" vertical="bottom"/>
    </xf>
    <xf borderId="0" fillId="11" fontId="2" numFmtId="0" xfId="0" applyAlignment="1" applyFont="1">
      <alignment readingOrder="0" vertical="bottom"/>
    </xf>
    <xf borderId="2" fillId="9" fontId="4" numFmtId="0" xfId="0" applyAlignment="1" applyBorder="1" applyFont="1">
      <alignment horizontal="left" readingOrder="0" shrinkToFit="0" wrapText="1"/>
    </xf>
    <xf borderId="2" fillId="9" fontId="4" numFmtId="165" xfId="0" applyAlignment="1" applyBorder="1" applyFont="1" applyNumberFormat="1">
      <alignment horizontal="left" readingOrder="0" shrinkToFit="0" wrapText="1"/>
    </xf>
    <xf borderId="2" fillId="9" fontId="4" numFmtId="4" xfId="0" applyAlignment="1" applyBorder="1" applyFont="1" applyNumberFormat="1">
      <alignment horizontal="left" readingOrder="0" shrinkToFit="0" wrapText="1"/>
    </xf>
    <xf borderId="2" fillId="9" fontId="4" numFmtId="164" xfId="0" applyAlignment="1" applyBorder="1" applyFont="1" applyNumberFormat="1">
      <alignment horizontal="left" shrinkToFit="0" wrapText="1"/>
    </xf>
    <xf borderId="0" fillId="9" fontId="2" numFmtId="0" xfId="0" applyAlignment="1" applyFont="1">
      <alignment vertical="bottom"/>
    </xf>
    <xf borderId="0" fillId="11" fontId="2" numFmtId="0" xfId="0" applyAlignment="1" applyFont="1">
      <alignment vertical="bottom"/>
    </xf>
    <xf borderId="0" fillId="9" fontId="2" numFmtId="14" xfId="0" applyAlignment="1" applyFont="1" applyNumberFormat="1">
      <alignment vertical="bottom"/>
    </xf>
    <xf borderId="0" fillId="9" fontId="2" numFmtId="14" xfId="0" applyAlignment="1" applyFont="1" applyNumberFormat="1">
      <alignment readingOrder="0" vertical="bottom"/>
    </xf>
    <xf borderId="0" fillId="9" fontId="2" numFmtId="0" xfId="0" applyAlignment="1" applyFont="1">
      <alignment readingOrder="0" vertical="bottom"/>
    </xf>
    <xf borderId="0" fillId="9" fontId="2" numFmtId="0" xfId="0" applyAlignment="1" applyFont="1">
      <alignment readingOrder="0" vertical="bottom"/>
    </xf>
    <xf borderId="0" fillId="11" fontId="2" numFmtId="0" xfId="0" applyAlignment="1" applyFont="1">
      <alignment readingOrder="0" vertical="bottom"/>
    </xf>
    <xf borderId="0" fillId="6" fontId="23" numFmtId="14" xfId="0" applyAlignment="1" applyFont="1" applyNumberFormat="1">
      <alignment readingOrder="0"/>
    </xf>
    <xf borderId="0" fillId="6" fontId="23" numFmtId="0" xfId="0" applyAlignment="1" applyFont="1">
      <alignment readingOrder="0"/>
    </xf>
    <xf borderId="57" fillId="8" fontId="1" numFmtId="164" xfId="0" applyAlignment="1" applyBorder="1" applyFont="1" applyNumberFormat="1">
      <alignment horizontal="center" readingOrder="0" vertical="bottom"/>
    </xf>
    <xf borderId="2" fillId="16" fontId="4" numFmtId="164" xfId="0" applyAlignment="1" applyBorder="1" applyFill="1" applyFont="1" applyNumberFormat="1">
      <alignment horizontal="left" readingOrder="0" shrinkToFit="0" wrapText="1"/>
    </xf>
    <xf borderId="2" fillId="0" fontId="4" numFmtId="171" xfId="0" applyAlignment="1" applyBorder="1" applyFont="1" applyNumberFormat="1">
      <alignment horizontal="left" readingOrder="0" shrinkToFit="0" wrapText="1"/>
    </xf>
    <xf borderId="57" fillId="9" fontId="22" numFmtId="0" xfId="0" applyAlignment="1" applyBorder="1" applyFont="1">
      <alignment horizontal="center" readingOrder="0"/>
    </xf>
    <xf borderId="0" fillId="11" fontId="2" numFmtId="0" xfId="0" applyAlignment="1" applyFont="1">
      <alignment readingOrder="0" vertical="bottom"/>
    </xf>
    <xf borderId="2" fillId="0" fontId="31" numFmtId="164" xfId="0" applyAlignment="1" applyBorder="1" applyFont="1" applyNumberForma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0" fontId="4" numFmtId="165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4" xfId="0" applyAlignment="1" applyFont="1" applyNumberFormat="1">
      <alignment horizontal="left" shrinkToFit="0" wrapText="1"/>
    </xf>
    <xf borderId="1" fillId="0" fontId="5" numFmtId="165" xfId="0" applyBorder="1" applyFont="1" applyNumberFormat="1"/>
    <xf borderId="2" fillId="17" fontId="4" numFmtId="164" xfId="0" applyAlignment="1" applyBorder="1" applyFill="1" applyFont="1" applyNumberFormat="1">
      <alignment horizontal="left" readingOrder="0" shrinkToFit="0" wrapText="1"/>
    </xf>
    <xf borderId="0" fillId="9" fontId="5" numFmtId="0" xfId="0" applyFont="1"/>
    <xf borderId="44" fillId="9" fontId="22" numFmtId="0" xfId="0" applyAlignment="1" applyBorder="1" applyFont="1">
      <alignment horizontal="center"/>
    </xf>
    <xf borderId="0" fillId="13" fontId="12" numFmtId="164" xfId="0" applyFont="1" applyNumberFormat="1"/>
    <xf borderId="0" fillId="9" fontId="12" numFmtId="164" xfId="0" applyFont="1" applyNumberFormat="1"/>
    <xf borderId="0" fillId="11" fontId="3" numFmtId="0" xfId="0" applyAlignment="1" applyFont="1">
      <alignment horizontal="right" vertical="bottom"/>
    </xf>
    <xf borderId="59" fillId="9" fontId="22" numFmtId="0" xfId="0" applyAlignment="1" applyBorder="1" applyFont="1">
      <alignment horizontal="center"/>
    </xf>
    <xf borderId="31" fillId="7" fontId="9" numFmtId="0" xfId="0" applyAlignment="1" applyBorder="1" applyFont="1">
      <alignment horizontal="center" readingOrder="0"/>
    </xf>
    <xf borderId="55" fillId="7" fontId="9" numFmtId="0" xfId="0" applyAlignment="1" applyBorder="1" applyFont="1">
      <alignment horizontal="center" readingOrder="0"/>
    </xf>
    <xf borderId="32" fillId="7" fontId="9" numFmtId="0" xfId="0" applyAlignment="1" applyBorder="1" applyFont="1">
      <alignment horizontal="center" readingOrder="0"/>
    </xf>
    <xf borderId="33" fillId="7" fontId="9" numFmtId="0" xfId="0" applyAlignment="1" applyBorder="1" applyFont="1">
      <alignment horizontal="center" readingOrder="0"/>
    </xf>
    <xf borderId="34" fillId="7" fontId="9" numFmtId="0" xfId="0" applyAlignment="1" applyBorder="1" applyFont="1">
      <alignment horizontal="center" readingOrder="0"/>
    </xf>
    <xf borderId="35" fillId="7" fontId="9" numFmtId="0" xfId="0" applyAlignment="1" applyBorder="1" applyFont="1">
      <alignment horizontal="center" readingOrder="0"/>
    </xf>
    <xf borderId="33" fillId="8" fontId="10" numFmtId="164" xfId="0" applyAlignment="1" applyBorder="1" applyFont="1" applyNumberFormat="1">
      <alignment horizontal="center" vertical="bottom"/>
    </xf>
    <xf borderId="44" fillId="8" fontId="10" numFmtId="164" xfId="0" applyAlignment="1" applyBorder="1" applyFont="1" applyNumberFormat="1">
      <alignment horizontal="center" vertical="bottom"/>
    </xf>
    <xf borderId="44" fillId="5" fontId="6" numFmtId="0" xfId="0" applyAlignment="1" applyBorder="1" applyFont="1">
      <alignment vertical="bottom"/>
    </xf>
    <xf borderId="45" fillId="5" fontId="6" numFmtId="0" xfId="0" applyAlignment="1" applyBorder="1" applyFont="1">
      <alignment vertical="bottom"/>
    </xf>
    <xf borderId="44" fillId="9" fontId="13" numFmtId="0" xfId="0" applyBorder="1" applyFont="1"/>
    <xf borderId="45" fillId="9" fontId="13" numFmtId="0" xfId="0" applyBorder="1" applyFont="1"/>
    <xf borderId="44" fillId="5" fontId="12" numFmtId="165" xfId="0" applyAlignment="1" applyBorder="1" applyFont="1" applyNumberFormat="1">
      <alignment horizontal="left" vertical="bottom"/>
    </xf>
    <xf borderId="45" fillId="5" fontId="12" numFmtId="0" xfId="0" applyAlignment="1" applyBorder="1" applyFont="1">
      <alignment horizontal="left" vertical="bottom"/>
    </xf>
    <xf borderId="45" fillId="5" fontId="12" numFmtId="0" xfId="0" applyAlignment="1" applyBorder="1" applyFont="1">
      <alignment horizontal="left" vertical="bottom"/>
    </xf>
    <xf borderId="44" fillId="5" fontId="2" numFmtId="0" xfId="0" applyAlignment="1" applyBorder="1" applyFont="1">
      <alignment horizontal="left" vertical="bottom"/>
    </xf>
    <xf borderId="45" fillId="5" fontId="2" numFmtId="0" xfId="0" applyAlignment="1" applyBorder="1" applyFont="1">
      <alignment horizontal="left" vertical="bottom"/>
    </xf>
    <xf borderId="44" fillId="5" fontId="2" numFmtId="165" xfId="0" applyAlignment="1" applyBorder="1" applyFont="1" applyNumberFormat="1">
      <alignment horizontal="left" vertical="bottom"/>
    </xf>
    <xf borderId="44" fillId="5" fontId="32" numFmtId="165" xfId="0" applyAlignment="1" applyBorder="1" applyFont="1" applyNumberFormat="1">
      <alignment horizontal="left" vertical="bottom"/>
    </xf>
    <xf borderId="0" fillId="5" fontId="32" numFmtId="0" xfId="0" applyAlignment="1" applyFont="1">
      <alignment horizontal="left" vertical="bottom"/>
    </xf>
    <xf borderId="45" fillId="5" fontId="32" numFmtId="0" xfId="0" applyAlignment="1" applyBorder="1" applyFont="1">
      <alignment horizontal="left" vertical="bottom"/>
    </xf>
    <xf borderId="44" fillId="5" fontId="2" numFmtId="165" xfId="0" applyAlignment="1" applyBorder="1" applyFont="1" applyNumberFormat="1">
      <alignment horizontal="left" readingOrder="0" vertical="bottom"/>
    </xf>
    <xf borderId="45" fillId="5" fontId="2" numFmtId="0" xfId="0" applyAlignment="1" applyBorder="1" applyFont="1">
      <alignment horizontal="left" readingOrder="0" vertical="bottom"/>
    </xf>
    <xf borderId="44" fillId="5" fontId="2" numFmtId="0" xfId="0" applyAlignment="1" applyBorder="1" applyFont="1">
      <alignment horizontal="left" vertical="bottom"/>
    </xf>
    <xf borderId="45" fillId="5" fontId="2" numFmtId="0" xfId="0" applyAlignment="1" applyBorder="1" applyFont="1">
      <alignment horizontal="left" vertical="bottom"/>
    </xf>
    <xf borderId="0" fillId="5" fontId="32" numFmtId="0" xfId="0" applyAlignment="1" applyFont="1">
      <alignment horizontal="left" vertical="bottom"/>
    </xf>
    <xf borderId="45" fillId="5" fontId="32" numFmtId="0" xfId="0" applyAlignment="1" applyBorder="1" applyFont="1">
      <alignment horizontal="left" vertical="bottom"/>
    </xf>
    <xf borderId="44" fillId="9" fontId="33" numFmtId="164" xfId="0" applyAlignment="1" applyBorder="1" applyFont="1" applyNumberFormat="1">
      <alignment horizontal="left" vertical="bottom"/>
    </xf>
    <xf borderId="0" fillId="9" fontId="33" numFmtId="164" xfId="0" applyAlignment="1" applyFont="1" applyNumberFormat="1">
      <alignment horizontal="left" vertical="bottom"/>
    </xf>
    <xf borderId="45" fillId="9" fontId="33" numFmtId="164" xfId="0" applyAlignment="1" applyBorder="1" applyFont="1" applyNumberFormat="1">
      <alignment horizontal="left" vertical="bottom"/>
    </xf>
    <xf borderId="44" fillId="9" fontId="32" numFmtId="165" xfId="0" applyAlignment="1" applyBorder="1" applyFont="1" applyNumberFormat="1">
      <alignment horizontal="left" vertical="bottom"/>
    </xf>
    <xf borderId="0" fillId="9" fontId="32" numFmtId="164" xfId="0" applyAlignment="1" applyFont="1" applyNumberFormat="1">
      <alignment horizontal="left" vertical="bottom"/>
    </xf>
    <xf borderId="45" fillId="9" fontId="32" numFmtId="164" xfId="0" applyAlignment="1" applyBorder="1" applyFont="1" applyNumberFormat="1">
      <alignment horizontal="left" vertical="bottom"/>
    </xf>
    <xf borderId="44" fillId="0" fontId="5" numFmtId="165" xfId="0" applyBorder="1" applyFont="1" applyNumberFormat="1"/>
    <xf borderId="45" fillId="0" fontId="5" numFmtId="0" xfId="0" applyBorder="1" applyFont="1"/>
    <xf borderId="44" fillId="11" fontId="6" numFmtId="0" xfId="0" applyAlignment="1" applyBorder="1" applyFont="1">
      <alignment vertical="bottom"/>
    </xf>
    <xf borderId="0" fillId="11" fontId="6" numFmtId="0" xfId="0" applyAlignment="1" applyFont="1">
      <alignment vertical="bottom"/>
    </xf>
    <xf borderId="45" fillId="11" fontId="6" numFmtId="0" xfId="0" applyAlignment="1" applyBorder="1" applyFont="1">
      <alignment vertical="bottom"/>
    </xf>
    <xf borderId="0" fillId="9" fontId="5" numFmtId="165" xfId="0" applyFont="1" applyNumberFormat="1"/>
    <xf borderId="0" fillId="13" fontId="5" numFmtId="0" xfId="0" applyFont="1"/>
    <xf borderId="44" fillId="9" fontId="34" numFmtId="165" xfId="0" applyAlignment="1" applyBorder="1" applyFont="1" applyNumberFormat="1">
      <alignment horizontal="left"/>
    </xf>
    <xf borderId="0" fillId="9" fontId="34" numFmtId="0" xfId="0" applyAlignment="1" applyFont="1">
      <alignment horizontal="left"/>
    </xf>
    <xf borderId="45" fillId="9" fontId="34" numFmtId="0" xfId="0" applyAlignment="1" applyBorder="1" applyFont="1">
      <alignment horizontal="left"/>
    </xf>
    <xf borderId="44" fillId="9" fontId="5" numFmtId="165" xfId="0" applyBorder="1" applyFont="1" applyNumberFormat="1"/>
    <xf borderId="0" fillId="9" fontId="5" numFmtId="0" xfId="0" applyFont="1"/>
    <xf borderId="45" fillId="9" fontId="5" numFmtId="0" xfId="0" applyBorder="1" applyFont="1"/>
    <xf borderId="44" fillId="5" fontId="35" numFmtId="165" xfId="0" applyAlignment="1" applyBorder="1" applyFont="1" applyNumberFormat="1">
      <alignment horizontal="left" vertical="bottom"/>
    </xf>
    <xf borderId="0" fillId="5" fontId="35" numFmtId="0" xfId="0" applyAlignment="1" applyFont="1">
      <alignment horizontal="left" vertical="bottom"/>
    </xf>
    <xf borderId="45" fillId="5" fontId="35" numFmtId="0" xfId="0" applyAlignment="1" applyBorder="1" applyFont="1">
      <alignment horizontal="left" vertical="bottom"/>
    </xf>
    <xf borderId="44" fillId="5" fontId="12" numFmtId="0" xfId="0" applyAlignment="1" applyBorder="1" applyFont="1">
      <alignment horizontal="left" vertical="bottom"/>
    </xf>
    <xf borderId="44" fillId="5" fontId="12" numFmtId="0" xfId="0" applyAlignment="1" applyBorder="1" applyFont="1">
      <alignment horizontal="left" vertical="bottom"/>
    </xf>
    <xf borderId="44" fillId="5" fontId="2" numFmtId="0" xfId="0" applyAlignment="1" applyBorder="1" applyFont="1">
      <alignment horizontal="left" readingOrder="0" vertical="bottom"/>
    </xf>
    <xf borderId="44" fillId="0" fontId="5" numFmtId="0" xfId="0" applyBorder="1" applyFont="1"/>
    <xf borderId="54" fillId="0" fontId="5" numFmtId="0" xfId="0" applyBorder="1" applyFont="1"/>
    <xf borderId="18" fillId="0" fontId="5" numFmtId="0" xfId="0" applyBorder="1" applyFont="1"/>
    <xf borderId="53" fillId="0" fontId="5" numFmtId="0" xfId="0" applyBorder="1" applyFont="1"/>
    <xf borderId="0" fillId="8" fontId="10" numFmtId="164" xfId="0" applyAlignment="1" applyFont="1" applyNumberFormat="1">
      <alignment horizontal="center" vertical="bottom"/>
    </xf>
    <xf borderId="1" fillId="11" fontId="5" numFmtId="0" xfId="0" applyAlignment="1" applyBorder="1" applyFont="1">
      <alignment readingOrder="0"/>
    </xf>
    <xf borderId="44" fillId="5" fontId="35" numFmtId="0" xfId="0" applyAlignment="1" applyBorder="1" applyFont="1">
      <alignment horizontal="left" vertical="bottom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96">
    <tableStyle count="3" pivot="0" name="JULHO 2025-style">
      <tableStyleElement dxfId="1" type="headerRow"/>
      <tableStyleElement dxfId="2" type="firstRowStripe"/>
      <tableStyleElement dxfId="3" type="secondRowStripe"/>
    </tableStyle>
    <tableStyle count="3" pivot="0" name="JULHO 2025-style 2">
      <tableStyleElement dxfId="1" type="headerRow"/>
      <tableStyleElement dxfId="2" type="firstRowStripe"/>
      <tableStyleElement dxfId="3" type="secondRowStripe"/>
    </tableStyle>
    <tableStyle count="3" pivot="0" name="JULHO 2025-style 3">
      <tableStyleElement dxfId="1" type="headerRow"/>
      <tableStyleElement dxfId="2" type="firstRowStripe"/>
      <tableStyleElement dxfId="3" type="secondRowStripe"/>
    </tableStyle>
    <tableStyle count="3" pivot="0" name="JULHO 2025-style 4">
      <tableStyleElement dxfId="1" type="headerRow"/>
      <tableStyleElement dxfId="2" type="firstRowStripe"/>
      <tableStyleElement dxfId="3" type="secondRowStripe"/>
    </tableStyle>
    <tableStyle count="3" pivot="0" name="JULHO 2025-style 5">
      <tableStyleElement dxfId="4" type="headerRow"/>
      <tableStyleElement dxfId="2" type="firstRowStripe"/>
      <tableStyleElement dxfId="3" type="secondRowStripe"/>
    </tableStyle>
    <tableStyle count="3" pivot="0" name="JULHO 2025-style 6">
      <tableStyleElement dxfId="1" type="headerRow"/>
      <tableStyleElement dxfId="2" type="firstRowStripe"/>
      <tableStyleElement dxfId="3" type="secondRowStripe"/>
    </tableStyle>
    <tableStyle count="3" pivot="0" name="JULHO 2025-style 7">
      <tableStyleElement dxfId="1" type="headerRow"/>
      <tableStyleElement dxfId="2" type="firstRowStripe"/>
      <tableStyleElement dxfId="3" type="secondRowStripe"/>
    </tableStyle>
    <tableStyle count="3" pivot="0" name="JULHO 2025-style 8">
      <tableStyleElement dxfId="1" type="headerRow"/>
      <tableStyleElement dxfId="2" type="firstRowStripe"/>
      <tableStyleElement dxfId="3" type="secondRowStripe"/>
    </tableStyle>
    <tableStyle count="3" pivot="0" name="JULHO 2025-style 9">
      <tableStyleElement dxfId="1" type="headerRow"/>
      <tableStyleElement dxfId="2" type="firstRowStripe"/>
      <tableStyleElement dxfId="3" type="secondRowStripe"/>
    </tableStyle>
    <tableStyle count="3" pivot="0" name="JULHO 2025-style 10">
      <tableStyleElement dxfId="3" type="headerRow"/>
      <tableStyleElement dxfId="2" type="firstRowStripe"/>
      <tableStyleElement dxfId="3" type="secondRowStripe"/>
    </tableStyle>
    <tableStyle count="3" pivot="0" name="AGOSTO 2025-style">
      <tableStyleElement dxfId="1" type="headerRow"/>
      <tableStyleElement dxfId="2" type="firstRowStripe"/>
      <tableStyleElement dxfId="3" type="secondRowStripe"/>
    </tableStyle>
    <tableStyle count="3" pivot="0" name="AGOSTO 2025-style 2">
      <tableStyleElement dxfId="1" type="headerRow"/>
      <tableStyleElement dxfId="2" type="firstRowStripe"/>
      <tableStyleElement dxfId="3" type="secondRowStripe"/>
    </tableStyle>
    <tableStyle count="3" pivot="0" name="AGOSTO 2025-style 3">
      <tableStyleElement dxfId="1" type="headerRow"/>
      <tableStyleElement dxfId="2" type="firstRowStripe"/>
      <tableStyleElement dxfId="3" type="secondRowStripe"/>
    </tableStyle>
    <tableStyle count="3" pivot="0" name="AGOSTO 2025-style 4">
      <tableStyleElement dxfId="1" type="headerRow"/>
      <tableStyleElement dxfId="2" type="firstRowStripe"/>
      <tableStyleElement dxfId="3" type="secondRowStripe"/>
    </tableStyle>
    <tableStyle count="3" pivot="0" name="AGOSTO 2025-style 5">
      <tableStyleElement dxfId="4" type="headerRow"/>
      <tableStyleElement dxfId="2" type="firstRowStripe"/>
      <tableStyleElement dxfId="3" type="secondRowStripe"/>
    </tableStyle>
    <tableStyle count="3" pivot="0" name="AGOSTO 2025-style 6">
      <tableStyleElement dxfId="1" type="headerRow"/>
      <tableStyleElement dxfId="2" type="firstRowStripe"/>
      <tableStyleElement dxfId="3" type="secondRowStripe"/>
    </tableStyle>
    <tableStyle count="3" pivot="0" name="AGOSTO 2025-style 7">
      <tableStyleElement dxfId="1" type="headerRow"/>
      <tableStyleElement dxfId="2" type="firstRowStripe"/>
      <tableStyleElement dxfId="3" type="secondRowStripe"/>
    </tableStyle>
    <tableStyle count="3" pivot="0" name="AGOSTO 2025-style 8">
      <tableStyleElement dxfId="1" type="headerRow"/>
      <tableStyleElement dxfId="2" type="firstRowStripe"/>
      <tableStyleElement dxfId="3" type="secondRowStripe"/>
    </tableStyle>
    <tableStyle count="3" pivot="0" name="AGOSTO 2025-style 9">
      <tableStyleElement dxfId="1" type="headerRow"/>
      <tableStyleElement dxfId="2" type="firstRowStripe"/>
      <tableStyleElement dxfId="3" type="secondRowStripe"/>
    </tableStyle>
    <tableStyle count="3" pivot="0" name="AGOSTO 2025-style 10">
      <tableStyleElement dxfId="3" type="headerRow"/>
      <tableStyleElement dxfId="2" type="firstRowStripe"/>
      <tableStyleElement dxfId="3" type="secondRowStripe"/>
    </tableStyle>
    <tableStyle count="3" pivot="0" name="SETEMBRO 2025-style">
      <tableStyleElement dxfId="1" type="headerRow"/>
      <tableStyleElement dxfId="2" type="firstRowStripe"/>
      <tableStyleElement dxfId="3" type="secondRowStripe"/>
    </tableStyle>
    <tableStyle count="3" pivot="0" name="SETEMBRO 2025-style 2">
      <tableStyleElement dxfId="1" type="headerRow"/>
      <tableStyleElement dxfId="2" type="firstRowStripe"/>
      <tableStyleElement dxfId="3" type="secondRowStripe"/>
    </tableStyle>
    <tableStyle count="3" pivot="0" name="SETEMBRO 2025-style 3">
      <tableStyleElement dxfId="1" type="headerRow"/>
      <tableStyleElement dxfId="2" type="firstRowStripe"/>
      <tableStyleElement dxfId="3" type="secondRowStripe"/>
    </tableStyle>
    <tableStyle count="3" pivot="0" name="SETEMBRO 2025-style 4">
      <tableStyleElement dxfId="1" type="headerRow"/>
      <tableStyleElement dxfId="2" type="firstRowStripe"/>
      <tableStyleElement dxfId="3" type="secondRowStripe"/>
    </tableStyle>
    <tableStyle count="3" pivot="0" name="SETEMBRO 2025-style 5">
      <tableStyleElement dxfId="4" type="headerRow"/>
      <tableStyleElement dxfId="2" type="firstRowStripe"/>
      <tableStyleElement dxfId="3" type="secondRowStripe"/>
    </tableStyle>
    <tableStyle count="3" pivot="0" name="SETEMBRO 2025-style 6">
      <tableStyleElement dxfId="1" type="headerRow"/>
      <tableStyleElement dxfId="2" type="firstRowStripe"/>
      <tableStyleElement dxfId="3" type="secondRowStripe"/>
    </tableStyle>
    <tableStyle count="3" pivot="0" name="SETEMBRO 2025-style 7">
      <tableStyleElement dxfId="1" type="headerRow"/>
      <tableStyleElement dxfId="2" type="firstRowStripe"/>
      <tableStyleElement dxfId="3" type="secondRowStripe"/>
    </tableStyle>
    <tableStyle count="3" pivot="0" name="SETEMBRO 2025-style 8">
      <tableStyleElement dxfId="1" type="headerRow"/>
      <tableStyleElement dxfId="2" type="firstRowStripe"/>
      <tableStyleElement dxfId="3" type="secondRowStripe"/>
    </tableStyle>
    <tableStyle count="3" pivot="0" name="SETEMBRO 2025-style 9">
      <tableStyleElement dxfId="1" type="headerRow"/>
      <tableStyleElement dxfId="2" type="firstRowStripe"/>
      <tableStyleElement dxfId="3" type="secondRowStripe"/>
    </tableStyle>
    <tableStyle count="3" pivot="0" name="SETEMBRO 2025-style 10">
      <tableStyleElement dxfId="3" type="headerRow"/>
      <tableStyleElement dxfId="2" type="firstRowStripe"/>
      <tableStyleElement dxfId="3" type="secondRowStripe"/>
    </tableStyle>
    <tableStyle count="3" pivot="0" name="OUTUBRO 2025-style">
      <tableStyleElement dxfId="1" type="headerRow"/>
      <tableStyleElement dxfId="2" type="firstRowStripe"/>
      <tableStyleElement dxfId="3" type="secondRowStripe"/>
    </tableStyle>
    <tableStyle count="3" pivot="0" name="OUTUBRO 2025-style 2">
      <tableStyleElement dxfId="1" type="headerRow"/>
      <tableStyleElement dxfId="2" type="firstRowStripe"/>
      <tableStyleElement dxfId="3" type="secondRowStripe"/>
    </tableStyle>
    <tableStyle count="3" pivot="0" name="OUTUBRO 2025-style 3">
      <tableStyleElement dxfId="1" type="headerRow"/>
      <tableStyleElement dxfId="2" type="firstRowStripe"/>
      <tableStyleElement dxfId="3" type="secondRowStripe"/>
    </tableStyle>
    <tableStyle count="3" pivot="0" name="OUTUBRO 2025-style 4">
      <tableStyleElement dxfId="1" type="headerRow"/>
      <tableStyleElement dxfId="2" type="firstRowStripe"/>
      <tableStyleElement dxfId="3" type="secondRowStripe"/>
    </tableStyle>
    <tableStyle count="3" pivot="0" name="OUTUBRO 2025-style 5">
      <tableStyleElement dxfId="4" type="headerRow"/>
      <tableStyleElement dxfId="2" type="firstRowStripe"/>
      <tableStyleElement dxfId="3" type="secondRowStripe"/>
    </tableStyle>
    <tableStyle count="3" pivot="0" name="OUTUBRO 2025-style 6">
      <tableStyleElement dxfId="1" type="headerRow"/>
      <tableStyleElement dxfId="2" type="firstRowStripe"/>
      <tableStyleElement dxfId="3" type="secondRowStripe"/>
    </tableStyle>
    <tableStyle count="3" pivot="0" name="OUTUBRO 2025-style 7">
      <tableStyleElement dxfId="1" type="headerRow"/>
      <tableStyleElement dxfId="2" type="firstRowStripe"/>
      <tableStyleElement dxfId="3" type="secondRowStripe"/>
    </tableStyle>
    <tableStyle count="3" pivot="0" name="OUTUBRO 2025-style 8">
      <tableStyleElement dxfId="1" type="headerRow"/>
      <tableStyleElement dxfId="2" type="firstRowStripe"/>
      <tableStyleElement dxfId="3" type="secondRowStripe"/>
    </tableStyle>
    <tableStyle count="3" pivot="0" name="OUTUBRO 2025-style 9">
      <tableStyleElement dxfId="1" type="headerRow"/>
      <tableStyleElement dxfId="2" type="firstRowStripe"/>
      <tableStyleElement dxfId="3" type="secondRowStripe"/>
    </tableStyle>
    <tableStyle count="3" pivot="0" name="OUTUBRO 2025-style 10">
      <tableStyleElement dxfId="3" type="headerRow"/>
      <tableStyleElement dxfId="2" type="firstRowStripe"/>
      <tableStyleElement dxfId="3" type="secondRowStripe"/>
    </tableStyle>
    <tableStyle count="3" pivot="0" name="NOVEMBRO 2025-style">
      <tableStyleElement dxfId="1" type="headerRow"/>
      <tableStyleElement dxfId="2" type="firstRowStripe"/>
      <tableStyleElement dxfId="3" type="secondRowStripe"/>
    </tableStyle>
    <tableStyle count="3" pivot="0" name="NOVEMBRO 2025-style 2">
      <tableStyleElement dxfId="1" type="headerRow"/>
      <tableStyleElement dxfId="2" type="firstRowStripe"/>
      <tableStyleElement dxfId="3" type="secondRowStripe"/>
    </tableStyle>
    <tableStyle count="3" pivot="0" name="NOVEMBRO 2025-style 3">
      <tableStyleElement dxfId="1" type="headerRow"/>
      <tableStyleElement dxfId="2" type="firstRowStripe"/>
      <tableStyleElement dxfId="3" type="secondRowStripe"/>
    </tableStyle>
    <tableStyle count="3" pivot="0" name="NOVEMBRO 2025-style 4">
      <tableStyleElement dxfId="1" type="headerRow"/>
      <tableStyleElement dxfId="2" type="firstRowStripe"/>
      <tableStyleElement dxfId="3" type="secondRowStripe"/>
    </tableStyle>
    <tableStyle count="3" pivot="0" name="NOVEMBRO 2025-style 5">
      <tableStyleElement dxfId="4" type="headerRow"/>
      <tableStyleElement dxfId="2" type="firstRowStripe"/>
      <tableStyleElement dxfId="3" type="secondRowStripe"/>
    </tableStyle>
    <tableStyle count="3" pivot="0" name="NOVEMBRO 2025-style 6">
      <tableStyleElement dxfId="1" type="headerRow"/>
      <tableStyleElement dxfId="2" type="firstRowStripe"/>
      <tableStyleElement dxfId="3" type="secondRowStripe"/>
    </tableStyle>
    <tableStyle count="3" pivot="0" name="NOVEMBRO 2025-style 7">
      <tableStyleElement dxfId="1" type="headerRow"/>
      <tableStyleElement dxfId="2" type="firstRowStripe"/>
      <tableStyleElement dxfId="3" type="secondRowStripe"/>
    </tableStyle>
    <tableStyle count="3" pivot="0" name="DEZEMBRO 2025-style">
      <tableStyleElement dxfId="1" type="headerRow"/>
      <tableStyleElement dxfId="2" type="firstRowStripe"/>
      <tableStyleElement dxfId="3" type="secondRowStripe"/>
    </tableStyle>
    <tableStyle count="3" pivot="0" name="DEZEMBRO 2025-style 2">
      <tableStyleElement dxfId="1" type="headerRow"/>
      <tableStyleElement dxfId="2" type="firstRowStripe"/>
      <tableStyleElement dxfId="3" type="secondRowStripe"/>
    </tableStyle>
    <tableStyle count="3" pivot="0" name="DEZEMBRO 2025-style 3">
      <tableStyleElement dxfId="1" type="headerRow"/>
      <tableStyleElement dxfId="2" type="firstRowStripe"/>
      <tableStyleElement dxfId="3" type="secondRowStripe"/>
    </tableStyle>
    <tableStyle count="3" pivot="0" name="DEZEMBRO 2025-style 4">
      <tableStyleElement dxfId="1" type="headerRow"/>
      <tableStyleElement dxfId="2" type="firstRowStripe"/>
      <tableStyleElement dxfId="3" type="secondRowStripe"/>
    </tableStyle>
    <tableStyle count="3" pivot="0" name="DEZEMBRO 2025-style 5">
      <tableStyleElement dxfId="4" type="headerRow"/>
      <tableStyleElement dxfId="2" type="firstRowStripe"/>
      <tableStyleElement dxfId="3" type="secondRowStripe"/>
    </tableStyle>
    <tableStyle count="3" pivot="0" name="DEZEMBRO 2025-style 6">
      <tableStyleElement dxfId="1" type="headerRow"/>
      <tableStyleElement dxfId="2" type="firstRowStripe"/>
      <tableStyleElement dxfId="3" type="secondRowStripe"/>
    </tableStyle>
    <tableStyle count="3" pivot="0" name="DEZEMBRO 2025-style 7">
      <tableStyleElement dxfId="1" type="headerRow"/>
      <tableStyleElement dxfId="2" type="firstRowStripe"/>
      <tableStyleElement dxfId="3" type="secondRowStripe"/>
    </tableStyle>
    <tableStyle count="3" pivot="0" name="JANEIRO 2026-style">
      <tableStyleElement dxfId="1" type="headerRow"/>
      <tableStyleElement dxfId="2" type="firstRowStripe"/>
      <tableStyleElement dxfId="3" type="secondRowStripe"/>
    </tableStyle>
    <tableStyle count="3" pivot="0" name="JANEIRO 2026-style 2">
      <tableStyleElement dxfId="1" type="headerRow"/>
      <tableStyleElement dxfId="2" type="firstRowStripe"/>
      <tableStyleElement dxfId="3" type="secondRowStripe"/>
    </tableStyle>
    <tableStyle count="3" pivot="0" name="JANEIRO 2026-style 3">
      <tableStyleElement dxfId="1" type="headerRow"/>
      <tableStyleElement dxfId="2" type="firstRowStripe"/>
      <tableStyleElement dxfId="3" type="secondRowStripe"/>
    </tableStyle>
    <tableStyle count="3" pivot="0" name="JANEIRO 2026-style 4">
      <tableStyleElement dxfId="1" type="headerRow"/>
      <tableStyleElement dxfId="2" type="firstRowStripe"/>
      <tableStyleElement dxfId="3" type="secondRowStripe"/>
    </tableStyle>
    <tableStyle count="3" pivot="0" name="JANEIRO 2026-style 5">
      <tableStyleElement dxfId="4" type="headerRow"/>
      <tableStyleElement dxfId="2" type="firstRowStripe"/>
      <tableStyleElement dxfId="3" type="secondRowStripe"/>
    </tableStyle>
    <tableStyle count="3" pivot="0" name="JANEIRO 2026-style 6">
      <tableStyleElement dxfId="1" type="headerRow"/>
      <tableStyleElement dxfId="2" type="firstRowStripe"/>
      <tableStyleElement dxfId="3" type="secondRowStripe"/>
    </tableStyle>
    <tableStyle count="3" pivot="0" name="JANEIRO 2026-style 7">
      <tableStyleElement dxfId="1" type="headerRow"/>
      <tableStyleElement dxfId="2" type="firstRowStripe"/>
      <tableStyleElement dxfId="3" type="secondRowStripe"/>
    </tableStyle>
    <tableStyle count="3" pivot="0" name="FEVEREIRO 2026-style">
      <tableStyleElement dxfId="1" type="headerRow"/>
      <tableStyleElement dxfId="2" type="firstRowStripe"/>
      <tableStyleElement dxfId="3" type="secondRowStripe"/>
    </tableStyle>
    <tableStyle count="3" pivot="0" name="FEVEREIRO 2026-style 2">
      <tableStyleElement dxfId="1" type="headerRow"/>
      <tableStyleElement dxfId="2" type="firstRowStripe"/>
      <tableStyleElement dxfId="3" type="secondRowStripe"/>
    </tableStyle>
    <tableStyle count="3" pivot="0" name="FEVEREIRO 2026-style 3">
      <tableStyleElement dxfId="1" type="headerRow"/>
      <tableStyleElement dxfId="2" type="firstRowStripe"/>
      <tableStyleElement dxfId="3" type="secondRowStripe"/>
    </tableStyle>
    <tableStyle count="3" pivot="0" name="FEVEREIRO 2026-style 4">
      <tableStyleElement dxfId="1" type="headerRow"/>
      <tableStyleElement dxfId="2" type="firstRowStripe"/>
      <tableStyleElement dxfId="3" type="secondRowStripe"/>
    </tableStyle>
    <tableStyle count="3" pivot="0" name="FEVEREIRO 2026-style 5">
      <tableStyleElement dxfId="4" type="headerRow"/>
      <tableStyleElement dxfId="2" type="firstRowStripe"/>
      <tableStyleElement dxfId="3" type="secondRowStripe"/>
    </tableStyle>
    <tableStyle count="3" pivot="0" name="FEVEREIRO 2026-style 6">
      <tableStyleElement dxfId="1" type="headerRow"/>
      <tableStyleElement dxfId="2" type="firstRowStripe"/>
      <tableStyleElement dxfId="3" type="secondRowStripe"/>
    </tableStyle>
    <tableStyle count="3" pivot="0" name="FEVEREIRO 2026-style 7">
      <tableStyleElement dxfId="1" type="headerRow"/>
      <tableStyleElement dxfId="2" type="firstRowStripe"/>
      <tableStyleElement dxfId="3" type="secondRowStripe"/>
    </tableStyle>
    <tableStyle count="3" pivot="0" name="MARÇO 2026-style">
      <tableStyleElement dxfId="1" type="headerRow"/>
      <tableStyleElement dxfId="2" type="firstRowStripe"/>
      <tableStyleElement dxfId="3" type="secondRowStripe"/>
    </tableStyle>
    <tableStyle count="3" pivot="0" name="MARÇO 2026-style 2">
      <tableStyleElement dxfId="1" type="headerRow"/>
      <tableStyleElement dxfId="2" type="firstRowStripe"/>
      <tableStyleElement dxfId="3" type="secondRowStripe"/>
    </tableStyle>
    <tableStyle count="3" pivot="0" name="MARÇO 2026-style 3">
      <tableStyleElement dxfId="1" type="headerRow"/>
      <tableStyleElement dxfId="2" type="firstRowStripe"/>
      <tableStyleElement dxfId="3" type="secondRowStripe"/>
    </tableStyle>
    <tableStyle count="3" pivot="0" name="MARÇO 2026-style 4">
      <tableStyleElement dxfId="1" type="headerRow"/>
      <tableStyleElement dxfId="2" type="firstRowStripe"/>
      <tableStyleElement dxfId="3" type="secondRowStripe"/>
    </tableStyle>
    <tableStyle count="3" pivot="0" name="MARÇO 2026-style 5">
      <tableStyleElement dxfId="4" type="headerRow"/>
      <tableStyleElement dxfId="2" type="firstRowStripe"/>
      <tableStyleElement dxfId="3" type="secondRowStripe"/>
    </tableStyle>
    <tableStyle count="3" pivot="0" name="MARÇO 2026-style 6">
      <tableStyleElement dxfId="1" type="headerRow"/>
      <tableStyleElement dxfId="2" type="firstRowStripe"/>
      <tableStyleElement dxfId="3" type="secondRowStripe"/>
    </tableStyle>
    <tableStyle count="3" pivot="0" name="MARÇO 2026-style 7">
      <tableStyleElement dxfId="1" type="headerRow"/>
      <tableStyleElement dxfId="2" type="firstRowStripe"/>
      <tableStyleElement dxfId="3" type="secondRowStripe"/>
    </tableStyle>
    <tableStyle count="3" pivot="0" name="ABRIL 2026-style">
      <tableStyleElement dxfId="1" type="headerRow"/>
      <tableStyleElement dxfId="2" type="firstRowStripe"/>
      <tableStyleElement dxfId="3" type="secondRowStripe"/>
    </tableStyle>
    <tableStyle count="3" pivot="0" name="ABRIL 2026-style 2">
      <tableStyleElement dxfId="1" type="headerRow"/>
      <tableStyleElement dxfId="2" type="firstRowStripe"/>
      <tableStyleElement dxfId="3" type="secondRowStripe"/>
    </tableStyle>
    <tableStyle count="3" pivot="0" name="ABRIL 2026-style 3">
      <tableStyleElement dxfId="1" type="headerRow"/>
      <tableStyleElement dxfId="2" type="firstRowStripe"/>
      <tableStyleElement dxfId="3" type="secondRowStripe"/>
    </tableStyle>
    <tableStyle count="3" pivot="0" name="ABRIL 2026-style 4">
      <tableStyleElement dxfId="1" type="headerRow"/>
      <tableStyleElement dxfId="2" type="firstRowStripe"/>
      <tableStyleElement dxfId="3" type="secondRowStripe"/>
    </tableStyle>
    <tableStyle count="3" pivot="0" name="ABRIL 2026-style 5">
      <tableStyleElement dxfId="4" type="headerRow"/>
      <tableStyleElement dxfId="2" type="firstRowStripe"/>
      <tableStyleElement dxfId="3" type="secondRowStripe"/>
    </tableStyle>
    <tableStyle count="3" pivot="0" name="ABRIL 2026-style 6">
      <tableStyleElement dxfId="1" type="headerRow"/>
      <tableStyleElement dxfId="2" type="firstRowStripe"/>
      <tableStyleElement dxfId="3" type="secondRowStripe"/>
    </tableStyle>
    <tableStyle count="3" pivot="0" name="ABRIL 2026-style 7">
      <tableStyleElement dxfId="1" type="headerRow"/>
      <tableStyleElement dxfId="2" type="firstRowStripe"/>
      <tableStyleElement dxfId="3" type="secondRowStripe"/>
    </tableStyle>
    <tableStyle count="3" pivot="0" name="MAIO 2026-style">
      <tableStyleElement dxfId="1" type="headerRow"/>
      <tableStyleElement dxfId="2" type="firstRowStripe"/>
      <tableStyleElement dxfId="3" type="secondRowStripe"/>
    </tableStyle>
    <tableStyle count="3" pivot="0" name="MAIO 2026-style 2">
      <tableStyleElement dxfId="1" type="headerRow"/>
      <tableStyleElement dxfId="2" type="firstRowStripe"/>
      <tableStyleElement dxfId="3" type="secondRowStripe"/>
    </tableStyle>
    <tableStyle count="3" pivot="0" name="MAIO 2026-style 3">
      <tableStyleElement dxfId="1" type="headerRow"/>
      <tableStyleElement dxfId="2" type="firstRowStripe"/>
      <tableStyleElement dxfId="3" type="secondRowStripe"/>
    </tableStyle>
    <tableStyle count="3" pivot="0" name="MAIO 2026-style 4">
      <tableStyleElement dxfId="1" type="headerRow"/>
      <tableStyleElement dxfId="2" type="firstRowStripe"/>
      <tableStyleElement dxfId="3" type="secondRowStripe"/>
    </tableStyle>
    <tableStyle count="3" pivot="0" name="MAIO 2026-style 5">
      <tableStyleElement dxfId="4" type="headerRow"/>
      <tableStyleElement dxfId="2" type="firstRowStripe"/>
      <tableStyleElement dxfId="3" type="secondRowStripe"/>
    </tableStyle>
    <tableStyle count="3" pivot="0" name="MAIO 2026-style 6">
      <tableStyleElement dxfId="1" type="headerRow"/>
      <tableStyleElement dxfId="2" type="firstRowStripe"/>
      <tableStyleElement dxfId="3" type="secondRowStripe"/>
    </tableStyle>
    <tableStyle count="3" pivot="0" name="MAIO 2026-style 7">
      <tableStyleElement dxfId="1" type="headerRow"/>
      <tableStyleElement dxfId="2" type="firstRowStripe"/>
      <tableStyleElement dxfId="3" type="secondRowStripe"/>
    </tableStyle>
    <tableStyle count="3" pivot="0" name="JUNHO 2026-style">
      <tableStyleElement dxfId="1" type="headerRow"/>
      <tableStyleElement dxfId="2" type="firstRowStripe"/>
      <tableStyleElement dxfId="3" type="secondRowStripe"/>
    </tableStyle>
    <tableStyle count="3" pivot="0" name="JUNHO 2026-style 2">
      <tableStyleElement dxfId="1" type="headerRow"/>
      <tableStyleElement dxfId="2" type="firstRowStripe"/>
      <tableStyleElement dxfId="3" type="secondRowStripe"/>
    </tableStyle>
    <tableStyle count="3" pivot="0" name="JUNHO 2026-style 3">
      <tableStyleElement dxfId="1" type="headerRow"/>
      <tableStyleElement dxfId="2" type="firstRowStripe"/>
      <tableStyleElement dxfId="3" type="secondRowStripe"/>
    </tableStyle>
    <tableStyle count="3" pivot="0" name="JUNHO 2026-style 4">
      <tableStyleElement dxfId="1" type="headerRow"/>
      <tableStyleElement dxfId="2" type="firstRowStripe"/>
      <tableStyleElement dxfId="3" type="secondRowStripe"/>
    </tableStyle>
    <tableStyle count="3" pivot="0" name="JUNHO 2026-style 5">
      <tableStyleElement dxfId="4" type="headerRow"/>
      <tableStyleElement dxfId="2" type="firstRowStripe"/>
      <tableStyleElement dxfId="3" type="secondRowStripe"/>
    </tableStyle>
    <tableStyle count="3" pivot="0" name="JUNHO 2026-style 6">
      <tableStyleElement dxfId="1" type="headerRow"/>
      <tableStyleElement dxfId="2" type="firstRowStripe"/>
      <tableStyleElement dxfId="3" type="secondRowStripe"/>
    </tableStyle>
    <tableStyle count="3" pivot="0" name="JUNHO 2026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N4:Q18" displayName="Table_1" name="Table_1" id="1">
  <tableColumns count="4">
    <tableColumn name="Data" id="1"/>
    <tableColumn name="Valor " id="2"/>
    <tableColumn name="Tipo" id="3"/>
    <tableColumn name="Funcionário" id="4"/>
  </tableColumns>
  <tableStyleInfo name="JULHO 2025-style" showColumnStripes="0" showFirstColumn="1" showLastColumn="1" showRowStripes="1"/>
</table>
</file>

<file path=xl/tables/table2.xml><?xml version="1.0" encoding="utf-8"?>
<table xmlns="http://schemas.openxmlformats.org/spreadsheetml/2006/main" ref="S4:V18" displayName="Table_2" name="Table_2" id="2">
  <tableColumns count="4">
    <tableColumn name="Data" id="1"/>
    <tableColumn name="Valor " id="2"/>
    <tableColumn name="Tipo" id="3"/>
    <tableColumn name="Funcionário" id="4"/>
  </tableColumns>
  <tableStyleInfo name="JULHO 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N20:Q3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JULH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S20:V34" displayName="Table_4" name="Table_4" id="4">
  <tableColumns count="4">
    <tableColumn name="Data" id="1"/>
    <tableColumn name="Valor " id="2"/>
    <tableColumn name="Tipo" id="3"/>
    <tableColumn name="Funcionário" id="4"/>
  </tableColumns>
  <tableStyleInfo name="JULHO 20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9:L504" displayName="Table_5" name="Table_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JULH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N49:Q63" displayName="Table_6" name="Table_6" id="6">
  <tableColumns count="4">
    <tableColumn name="Data" id="1"/>
    <tableColumn name="Valor " id="2"/>
    <tableColumn name="Tipo" id="3"/>
    <tableColumn name="Funcionário" id="4"/>
  </tableColumns>
  <tableStyleInfo name="JULHO 2025-style 6" showColumnStripes="0" showFirstColumn="1" showLastColumn="1" showRowStripes="1"/>
</table>
</file>

<file path=xl/tables/table7.xml><?xml version="1.0" encoding="utf-8"?>
<table xmlns="http://schemas.openxmlformats.org/spreadsheetml/2006/main" ref="S49:V63" displayName="Table_7" name="Table_7" id="7">
  <tableColumns count="4">
    <tableColumn name="Data" id="1"/>
    <tableColumn name="Valor " id="2"/>
    <tableColumn name="Tipo" id="3"/>
    <tableColumn name="Funcionário" id="4"/>
  </tableColumns>
  <tableStyleInfo name="JULHO 2025-style 7" showColumnStripes="0" showFirstColumn="1" showLastColumn="1" showRowStripes="1"/>
</table>
</file>

<file path=xl/tables/table8.xml><?xml version="1.0" encoding="utf-8"?>
<table xmlns="http://schemas.openxmlformats.org/spreadsheetml/2006/main" ref="N69:Q88" displayName="Table_8" name="Table_8" id="8">
  <tableColumns count="4">
    <tableColumn name="Data" id="1"/>
    <tableColumn name="Valor " id="2"/>
    <tableColumn name="Tipo" id="3"/>
    <tableColumn name="Funcionário" id="4"/>
  </tableColumns>
  <tableStyleInfo name="JULHO 2025-style 8" showColumnStripes="0" showFirstColumn="1" showLastColumn="1" showRowStripes="1"/>
</table>
</file>

<file path=xl/tables/table9.xml><?xml version="1.0" encoding="utf-8"?>
<table xmlns="http://schemas.openxmlformats.org/spreadsheetml/2006/main" ref="S69:V88" displayName="Table_9" name="Table_9" id="9">
  <tableColumns count="4">
    <tableColumn name="Data" id="1"/>
    <tableColumn name="Valor " id="2"/>
    <tableColumn name="Tipo" id="3"/>
    <tableColumn name="Funcionário" id="4"/>
  </tableColumns>
  <tableStyleInfo name="JULHO 2025-style 9" showColumnStripes="0" showFirstColumn="1" showLastColumn="1" showRowStripes="1"/>
</table>
</file>

<file path=xl/tables/table10.xml><?xml version="1.0" encoding="utf-8"?>
<table xmlns="http://schemas.openxmlformats.org/spreadsheetml/2006/main" headerRowCount="0" ref="N96:S138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LH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N4:Q18" displayName="Table_11" name="Table_11" id="11">
  <tableColumns count="4">
    <tableColumn name="Data" id="1"/>
    <tableColumn name="Valor " id="2"/>
    <tableColumn name="Tipo" id="3"/>
    <tableColumn name="Funcionário" id="4"/>
  </tableColumns>
  <tableStyleInfo name="AGOSTO 2025-style" showColumnStripes="0" showFirstColumn="1" showLastColumn="1" showRowStripes="1"/>
</table>
</file>

<file path=xl/tables/table12.xml><?xml version="1.0" encoding="utf-8"?>
<table xmlns="http://schemas.openxmlformats.org/spreadsheetml/2006/main" ref="S4:V18" displayName="Table_12" name="Table_12" id="12">
  <tableColumns count="4">
    <tableColumn name="Data" id="1"/>
    <tableColumn name="Valor " id="2"/>
    <tableColumn name="Tipo" id="3"/>
    <tableColumn name="Funcionário" id="4"/>
  </tableColumns>
  <tableStyleInfo name="AGOSTO 2025-style 2" showColumnStripes="0" showFirstColumn="1" showLastColumn="1" showRowStripes="1"/>
</table>
</file>

<file path=xl/tables/table13.xml><?xml version="1.0" encoding="utf-8"?>
<table xmlns="http://schemas.openxmlformats.org/spreadsheetml/2006/main" headerRowCount="0" ref="N20:Q34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AGOST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S20:V34" displayName="Table_14" name="Table_14" id="14">
  <tableColumns count="4">
    <tableColumn name="Data" id="1"/>
    <tableColumn name="Valor " id="2"/>
    <tableColumn name="Tipo" id="3"/>
    <tableColumn name="Funcionário" id="4"/>
  </tableColumns>
  <tableStyleInfo name="AGOSTO 2025-style 4" showColumnStripes="0" showFirstColumn="1" showLastColumn="1" showRowStripes="1"/>
</table>
</file>

<file path=xl/tables/table15.xml><?xml version="1.0" encoding="utf-8"?>
<table xmlns="http://schemas.openxmlformats.org/spreadsheetml/2006/main" headerRowCount="0" ref="B29:L504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GOST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N49:Q63" displayName="Table_16" name="Table_16" id="16">
  <tableColumns count="4">
    <tableColumn name="Data" id="1"/>
    <tableColumn name="Valor " id="2"/>
    <tableColumn name="Tipo" id="3"/>
    <tableColumn name="Funcionário" id="4"/>
  </tableColumns>
  <tableStyleInfo name="AGOSTO 2025-style 6" showColumnStripes="0" showFirstColumn="1" showLastColumn="1" showRowStripes="1"/>
</table>
</file>

<file path=xl/tables/table17.xml><?xml version="1.0" encoding="utf-8"?>
<table xmlns="http://schemas.openxmlformats.org/spreadsheetml/2006/main" ref="S49:V63" displayName="Table_17" name="Table_17" id="17">
  <tableColumns count="4">
    <tableColumn name="Data" id="1"/>
    <tableColumn name="Valor " id="2"/>
    <tableColumn name="Tipo" id="3"/>
    <tableColumn name="Funcionário" id="4"/>
  </tableColumns>
  <tableStyleInfo name="AGOSTO 2025-style 7" showColumnStripes="0" showFirstColumn="1" showLastColumn="1" showRowStripes="1"/>
</table>
</file>

<file path=xl/tables/table18.xml><?xml version="1.0" encoding="utf-8"?>
<table xmlns="http://schemas.openxmlformats.org/spreadsheetml/2006/main" ref="N79:Q98" displayName="Table_18" name="Table_18" id="18">
  <tableColumns count="4">
    <tableColumn name="Data" id="1"/>
    <tableColumn name="Valor " id="2"/>
    <tableColumn name="Tipo" id="3"/>
    <tableColumn name="Funcionário" id="4"/>
  </tableColumns>
  <tableStyleInfo name="AGOSTO 2025-style 8" showColumnStripes="0" showFirstColumn="1" showLastColumn="1" showRowStripes="1"/>
</table>
</file>

<file path=xl/tables/table19.xml><?xml version="1.0" encoding="utf-8"?>
<table xmlns="http://schemas.openxmlformats.org/spreadsheetml/2006/main" ref="S79:V98" displayName="Table_19" name="Table_19" id="19">
  <tableColumns count="4">
    <tableColumn name="Data" id="1"/>
    <tableColumn name="Valor " id="2"/>
    <tableColumn name="Tipo" id="3"/>
    <tableColumn name="Funcionário" id="4"/>
  </tableColumns>
  <tableStyleInfo name="AGOSTO 2025-style 9" showColumnStripes="0" showFirstColumn="1" showLastColumn="1" showRowStripes="1"/>
</table>
</file>

<file path=xl/tables/table20.xml><?xml version="1.0" encoding="utf-8"?>
<table xmlns="http://schemas.openxmlformats.org/spreadsheetml/2006/main" headerRowCount="0" ref="N106:S148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GOST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ref="N4:Q18" displayName="Table_21" name="Table_21" id="21">
  <tableColumns count="4">
    <tableColumn name="Data" id="1"/>
    <tableColumn name="Valor " id="2"/>
    <tableColumn name="Tipo" id="3"/>
    <tableColumn name="Funcionário" id="4"/>
  </tableColumns>
  <tableStyleInfo name="SETEMBRO 2025-style" showColumnStripes="0" showFirstColumn="1" showLastColumn="1" showRowStripes="1"/>
</table>
</file>

<file path=xl/tables/table22.xml><?xml version="1.0" encoding="utf-8"?>
<table xmlns="http://schemas.openxmlformats.org/spreadsheetml/2006/main" ref="S4:V18" displayName="Table_22" name="Table_22" id="22">
  <tableColumns count="4">
    <tableColumn name="Data" id="1"/>
    <tableColumn name="Valor " id="2"/>
    <tableColumn name="Tipo" id="3"/>
    <tableColumn name="Funcionário" id="4"/>
  </tableColumns>
  <tableStyleInfo name="SETEMBRO 2025-style 2" showColumnStripes="0" showFirstColumn="1" showLastColumn="1" showRowStripes="1"/>
</table>
</file>

<file path=xl/tables/table23.xml><?xml version="1.0" encoding="utf-8"?>
<table xmlns="http://schemas.openxmlformats.org/spreadsheetml/2006/main" headerRowCount="0" ref="N20:Q3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SETEMBR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S20:V34" displayName="Table_24" name="Table_24" id="24">
  <tableColumns count="4">
    <tableColumn name="Data" id="1"/>
    <tableColumn name="Valor " id="2"/>
    <tableColumn name="Tipo" id="3"/>
    <tableColumn name="Funcionário" id="4"/>
  </tableColumns>
  <tableStyleInfo name="SETEMBRO 2025-style 4" showColumnStripes="0" showFirstColumn="1" showLastColumn="1" showRowStripes="1"/>
</table>
</file>

<file path=xl/tables/table25.xml><?xml version="1.0" encoding="utf-8"?>
<table xmlns="http://schemas.openxmlformats.org/spreadsheetml/2006/main" headerRowCount="0" ref="B29:L504" displayName="Table_25" name="Table_25" id="2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ETEM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ref="N49:Q63" displayName="Table_26" name="Table_26" id="26">
  <tableColumns count="4">
    <tableColumn name="Data" id="1"/>
    <tableColumn name="Valor " id="2"/>
    <tableColumn name="Tipo" id="3"/>
    <tableColumn name="Funcionário" id="4"/>
  </tableColumns>
  <tableStyleInfo name="SETEMBRO 2025-style 6" showColumnStripes="0" showFirstColumn="1" showLastColumn="1" showRowStripes="1"/>
</table>
</file>

<file path=xl/tables/table27.xml><?xml version="1.0" encoding="utf-8"?>
<table xmlns="http://schemas.openxmlformats.org/spreadsheetml/2006/main" headerRowCount="0" ref="S49:V63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SETEMBRO 2025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ref="N69:Q88" displayName="Table_28" name="Table_28" id="28">
  <tableColumns count="4">
    <tableColumn name="Data" id="1"/>
    <tableColumn name="Valor " id="2"/>
    <tableColumn name="Tipo" id="3"/>
    <tableColumn name="Funcionário" id="4"/>
  </tableColumns>
  <tableStyleInfo name="SETEMBRO 2025-style 8" showColumnStripes="0" showFirstColumn="1" showLastColumn="1" showRowStripes="1"/>
</table>
</file>

<file path=xl/tables/table29.xml><?xml version="1.0" encoding="utf-8"?>
<table xmlns="http://schemas.openxmlformats.org/spreadsheetml/2006/main" ref="S69:V88" displayName="Table_29" name="Table_29" id="29">
  <tableColumns count="4">
    <tableColumn name="Data" id="1"/>
    <tableColumn name="Valor " id="2"/>
    <tableColumn name="Tipo" id="3"/>
    <tableColumn name="Funcionário" id="4"/>
  </tableColumns>
  <tableStyleInfo name="SETEMBRO 2025-style 9" showColumnStripes="0" showFirstColumn="1" showLastColumn="1" showRowStripes="1"/>
</table>
</file>

<file path=xl/tables/table30.xml><?xml version="1.0" encoding="utf-8"?>
<table xmlns="http://schemas.openxmlformats.org/spreadsheetml/2006/main" headerRowCount="0" ref="N96:S138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EMBR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N4:Q18" displayName="Table_31" name="Table_31" id="31">
  <tableColumns count="4">
    <tableColumn name="Data" id="1"/>
    <tableColumn name="Valor " id="2"/>
    <tableColumn name="Tipo" id="3"/>
    <tableColumn name="Funcionário" id="4"/>
  </tableColumns>
  <tableStyleInfo name="OUTUBRO 2025-style" showColumnStripes="0" showFirstColumn="1" showLastColumn="1" showRowStripes="1"/>
</table>
</file>

<file path=xl/tables/table32.xml><?xml version="1.0" encoding="utf-8"?>
<table xmlns="http://schemas.openxmlformats.org/spreadsheetml/2006/main" headerRowCount="0" ref="S4:V18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OUTUBRO 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N20:Q34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OUTUBR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ref="S20:V34" displayName="Table_34" name="Table_34" id="34">
  <tableColumns count="4">
    <tableColumn name="Data" id="1"/>
    <tableColumn name="Valor " id="2"/>
    <tableColumn name="Tipo" id="3"/>
    <tableColumn name="Funcionário" id="4"/>
  </tableColumns>
  <tableStyleInfo name="OUTUBRO 2025-style 4" showColumnStripes="0" showFirstColumn="1" showLastColumn="1" showRowStripes="1"/>
</table>
</file>

<file path=xl/tables/table35.xml><?xml version="1.0" encoding="utf-8"?>
<table xmlns="http://schemas.openxmlformats.org/spreadsheetml/2006/main" headerRowCount="0" ref="B29:L504" displayName="Table_35" name="Table_35" id="3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OUTU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ref="N49:Q63" displayName="Table_36" name="Table_36" id="36">
  <tableColumns count="4">
    <tableColumn name="Data" id="1"/>
    <tableColumn name="Valor " id="2"/>
    <tableColumn name="Tipo" id="3"/>
    <tableColumn name="Funcionário" id="4"/>
  </tableColumns>
  <tableStyleInfo name="OUTUBRO 2025-style 6" showColumnStripes="0" showFirstColumn="1" showLastColumn="1" showRowStripes="1"/>
</table>
</file>

<file path=xl/tables/table37.xml><?xml version="1.0" encoding="utf-8"?>
<table xmlns="http://schemas.openxmlformats.org/spreadsheetml/2006/main" ref="S49:V63" displayName="Table_37" name="Table_37" id="37">
  <tableColumns count="4">
    <tableColumn name="Data" id="1"/>
    <tableColumn name="Valor " id="2"/>
    <tableColumn name="Tipo" id="3"/>
    <tableColumn name="Funcionário" id="4"/>
  </tableColumns>
  <tableStyleInfo name="OUTUBRO 2025-style 7" showColumnStripes="0" showFirstColumn="1" showLastColumn="1" showRowStripes="1"/>
</table>
</file>

<file path=xl/tables/table38.xml><?xml version="1.0" encoding="utf-8"?>
<table xmlns="http://schemas.openxmlformats.org/spreadsheetml/2006/main" ref="N69:Q88" displayName="Table_38" name="Table_38" id="38">
  <tableColumns count="4">
    <tableColumn name="Data" id="1"/>
    <tableColumn name="Valor " id="2"/>
    <tableColumn name="Tipo" id="3"/>
    <tableColumn name="Funcionário" id="4"/>
  </tableColumns>
  <tableStyleInfo name="OUTUBRO 2025-style 8" showColumnStripes="0" showFirstColumn="1" showLastColumn="1" showRowStripes="1"/>
</table>
</file>

<file path=xl/tables/table39.xml><?xml version="1.0" encoding="utf-8"?>
<table xmlns="http://schemas.openxmlformats.org/spreadsheetml/2006/main" ref="S69:V88" displayName="Table_39" name="Table_39" id="39">
  <tableColumns count="4">
    <tableColumn name="Data" id="1"/>
    <tableColumn name="Valor " id="2"/>
    <tableColumn name="Tipo" id="3"/>
    <tableColumn name="Funcionário" id="4"/>
  </tableColumns>
  <tableStyleInfo name="OUTUBRO 2025-style 9" showColumnStripes="0" showFirstColumn="1" showLastColumn="1" showRowStripes="1"/>
</table>
</file>

<file path=xl/tables/table40.xml><?xml version="1.0" encoding="utf-8"?>
<table xmlns="http://schemas.openxmlformats.org/spreadsheetml/2006/main" headerRowCount="0" ref="N96:S138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UTUBR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ref="O4:R18" displayName="Table_41" name="Table_41" id="41">
  <tableColumns count="4">
    <tableColumn name="Data" id="1"/>
    <tableColumn name="Valor " id="2"/>
    <tableColumn name="Tipo" id="3"/>
    <tableColumn name="Funcionário" id="4"/>
  </tableColumns>
  <tableStyleInfo name="NOVEMBRO 2025-style" showColumnStripes="0" showFirstColumn="1" showLastColumn="1" showRowStripes="1"/>
</table>
</file>

<file path=xl/tables/table42.xml><?xml version="1.0" encoding="utf-8"?>
<table xmlns="http://schemas.openxmlformats.org/spreadsheetml/2006/main" ref="T4:W18" displayName="Table_42" name="Table_42" id="42">
  <tableColumns count="4">
    <tableColumn name="Data" id="1"/>
    <tableColumn name="Valor " id="2"/>
    <tableColumn name="Tipo" id="3"/>
    <tableColumn name="Funcionário" id="4"/>
  </tableColumns>
  <tableStyleInfo name="NOVEMBRO 2025-style 2" showColumnStripes="0" showFirstColumn="1" showLastColumn="1" showRowStripes="1"/>
</table>
</file>

<file path=xl/tables/table43.xml><?xml version="1.0" encoding="utf-8"?>
<table xmlns="http://schemas.openxmlformats.org/spreadsheetml/2006/main" ref="O20:R34" displayName="Table_43" name="Table_43" id="43">
  <tableColumns count="4">
    <tableColumn name="Data" id="1"/>
    <tableColumn name="Valor " id="2"/>
    <tableColumn name="Tipo" id="3"/>
    <tableColumn name="Funcionário" id="4"/>
  </tableColumns>
  <tableStyleInfo name="NOVEMBRO 2025-style 3" showColumnStripes="0" showFirstColumn="1" showLastColumn="1" showRowStripes="1"/>
</table>
</file>

<file path=xl/tables/table44.xml><?xml version="1.0" encoding="utf-8"?>
<table xmlns="http://schemas.openxmlformats.org/spreadsheetml/2006/main" headerRowCount="0" ref="T20:W34" displayName="Table_44" name="Table_44" id="44">
  <tableColumns count="4">
    <tableColumn name="Column1" id="1"/>
    <tableColumn name="Column2" id="2"/>
    <tableColumn name="Column3" id="3"/>
    <tableColumn name="Column4" id="4"/>
  </tableColumns>
  <tableStyleInfo name="NOVEMBRO 202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B29:M507" displayName="Table_45" name="Table_45" id="4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NOVEM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ref="O40:R59" displayName="Table_46" name="Table_46" id="46">
  <tableColumns count="4">
    <tableColumn name="Data" id="1"/>
    <tableColumn name="Valor " id="2"/>
    <tableColumn name="Tipo" id="3"/>
    <tableColumn name="Funcionário" id="4"/>
  </tableColumns>
  <tableStyleInfo name="NOVEMBRO 2025-style 6" showColumnStripes="0" showFirstColumn="1" showLastColumn="1" showRowStripes="1"/>
</table>
</file>

<file path=xl/tables/table47.xml><?xml version="1.0" encoding="utf-8"?>
<table xmlns="http://schemas.openxmlformats.org/spreadsheetml/2006/main" ref="T40:W59" displayName="Table_47" name="Table_47" id="47">
  <tableColumns count="4">
    <tableColumn name="Data" id="1"/>
    <tableColumn name="Valor " id="2"/>
    <tableColumn name="Tipo" id="3"/>
    <tableColumn name="Funcionário" id="4"/>
  </tableColumns>
  <tableStyleInfo name="NOVEMBRO 2025-style 7" showColumnStripes="0" showFirstColumn="1" showLastColumn="1" showRowStripes="1"/>
</table>
</file>

<file path=xl/tables/table48.xml><?xml version="1.0" encoding="utf-8"?>
<table xmlns="http://schemas.openxmlformats.org/spreadsheetml/2006/main" ref="O4:R18" displayName="Table_48" name="Table_48" id="48">
  <tableColumns count="4">
    <tableColumn name="Data" id="1"/>
    <tableColumn name="Valor " id="2"/>
    <tableColumn name="Tipo" id="3"/>
    <tableColumn name="Funcionário" id="4"/>
  </tableColumns>
  <tableStyleInfo name="DEZEMBRO 2025-style" showColumnStripes="0" showFirstColumn="1" showLastColumn="1" showRowStripes="1"/>
</table>
</file>

<file path=xl/tables/table49.xml><?xml version="1.0" encoding="utf-8"?>
<table xmlns="http://schemas.openxmlformats.org/spreadsheetml/2006/main" headerRowCount="0" ref="T4:W18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DEZEMBRO 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O20:R34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DEZEMBR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ref="T20:W34" displayName="Table_51" name="Table_51" id="51">
  <tableColumns count="4">
    <tableColumn name="Data" id="1"/>
    <tableColumn name="Valor " id="2"/>
    <tableColumn name="Tipo" id="3"/>
    <tableColumn name="Funcionário" id="4"/>
  </tableColumns>
  <tableStyleInfo name="DEZEMBRO 2025-style 4" showColumnStripes="0" showFirstColumn="1" showLastColumn="1" showRowStripes="1"/>
</table>
</file>

<file path=xl/tables/table52.xml><?xml version="1.0" encoding="utf-8"?>
<table xmlns="http://schemas.openxmlformats.org/spreadsheetml/2006/main" headerRowCount="0" ref="B29:M507" displayName="Table_52" name="Table_52" id="5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EZEM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ref="O40:R59" displayName="Table_53" name="Table_53" id="53">
  <tableColumns count="4">
    <tableColumn name="Data" id="1"/>
    <tableColumn name="Valor " id="2"/>
    <tableColumn name="Tipo" id="3"/>
    <tableColumn name="Funcionário" id="4"/>
  </tableColumns>
  <tableStyleInfo name="DEZEMBRO 2025-style 6" showColumnStripes="0" showFirstColumn="1" showLastColumn="1" showRowStripes="1"/>
</table>
</file>

<file path=xl/tables/table54.xml><?xml version="1.0" encoding="utf-8"?>
<table xmlns="http://schemas.openxmlformats.org/spreadsheetml/2006/main" ref="T40:W59" displayName="Table_54" name="Table_54" id="54">
  <tableColumns count="4">
    <tableColumn name="Data" id="1"/>
    <tableColumn name="Valor " id="2"/>
    <tableColumn name="Tipo" id="3"/>
    <tableColumn name="Funcionário" id="4"/>
  </tableColumns>
  <tableStyleInfo name="DEZEMBRO 2025-style 7" showColumnStripes="0" showFirstColumn="1" showLastColumn="1" showRowStripes="1"/>
</table>
</file>

<file path=xl/tables/table55.xml><?xml version="1.0" encoding="utf-8"?>
<table xmlns="http://schemas.openxmlformats.org/spreadsheetml/2006/main" ref="O4:R18" displayName="Table_55" name="Table_55" id="55">
  <tableColumns count="4">
    <tableColumn name="Data" id="1"/>
    <tableColumn name="Valor " id="2"/>
    <tableColumn name="Tipo" id="3"/>
    <tableColumn name="Funcionário" id="4"/>
  </tableColumns>
  <tableStyleInfo name="JANEIRO 2026-style" showColumnStripes="0" showFirstColumn="1" showLastColumn="1" showRowStripes="1"/>
</table>
</file>

<file path=xl/tables/table56.xml><?xml version="1.0" encoding="utf-8"?>
<table xmlns="http://schemas.openxmlformats.org/spreadsheetml/2006/main" headerRowCount="0" ref="T4:W18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JANEIRO 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ref="O20:R34" displayName="Table_57" name="Table_57" id="57">
  <tableColumns count="4">
    <tableColumn name="Data" id="1"/>
    <tableColumn name="Valor " id="2"/>
    <tableColumn name="Tipo" id="3"/>
    <tableColumn name="Funcionário" id="4"/>
  </tableColumns>
  <tableStyleInfo name="JANEIRO 2026-style 3" showColumnStripes="0" showFirstColumn="1" showLastColumn="1" showRowStripes="1"/>
</table>
</file>

<file path=xl/tables/table58.xml><?xml version="1.0" encoding="utf-8"?>
<table xmlns="http://schemas.openxmlformats.org/spreadsheetml/2006/main" ref="T20:W34" displayName="Table_58" name="Table_58" id="58">
  <tableColumns count="4">
    <tableColumn name="Data" id="1"/>
    <tableColumn name="Valor " id="2"/>
    <tableColumn name="Tipo" id="3"/>
    <tableColumn name="Funcionário" id="4"/>
  </tableColumns>
  <tableStyleInfo name="JANEIRO 2026-style 4" showColumnStripes="0" showFirstColumn="1" showLastColumn="1" showRowStripes="1"/>
</table>
</file>

<file path=xl/tables/table59.xml><?xml version="1.0" encoding="utf-8"?>
<table xmlns="http://schemas.openxmlformats.org/spreadsheetml/2006/main" headerRowCount="0" ref="B29:M507" displayName="Table_59" name="Table_59" id="5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ANEIR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ref="O40:R59" displayName="Table_60" name="Table_60" id="60">
  <tableColumns count="4">
    <tableColumn name="Data" id="1"/>
    <tableColumn name="Valor " id="2"/>
    <tableColumn name="Tipo" id="3"/>
    <tableColumn name="Funcionário" id="4"/>
  </tableColumns>
  <tableStyleInfo name="JANEIRO 2026-style 6" showColumnStripes="0" showFirstColumn="1" showLastColumn="1" showRowStripes="1"/>
</table>
</file>

<file path=xl/tables/table61.xml><?xml version="1.0" encoding="utf-8"?>
<table xmlns="http://schemas.openxmlformats.org/spreadsheetml/2006/main" ref="T40:W59" displayName="Table_61" name="Table_61" id="61">
  <tableColumns count="4">
    <tableColumn name="Data" id="1"/>
    <tableColumn name="Valor " id="2"/>
    <tableColumn name="Tipo" id="3"/>
    <tableColumn name="Funcionário" id="4"/>
  </tableColumns>
  <tableStyleInfo name="JANEIRO 2026-style 7" showColumnStripes="0" showFirstColumn="1" showLastColumn="1" showRowStripes="1"/>
</table>
</file>

<file path=xl/tables/table62.xml><?xml version="1.0" encoding="utf-8"?>
<table xmlns="http://schemas.openxmlformats.org/spreadsheetml/2006/main" ref="O4:R18" displayName="Table_62" name="Table_62" id="62">
  <tableColumns count="4">
    <tableColumn name="Data" id="1"/>
    <tableColumn name="Valor " id="2"/>
    <tableColumn name="Tipo" id="3"/>
    <tableColumn name="Funcionário" id="4"/>
  </tableColumns>
  <tableStyleInfo name="FEVEREIRO 2026-style" showColumnStripes="0" showFirstColumn="1" showLastColumn="1" showRowStripes="1"/>
</table>
</file>

<file path=xl/tables/table63.xml><?xml version="1.0" encoding="utf-8"?>
<table xmlns="http://schemas.openxmlformats.org/spreadsheetml/2006/main" headerRowCount="0" ref="T4:W18" displayName="Table_63" name="Table_63" id="63">
  <tableColumns count="4">
    <tableColumn name="Column1" id="1"/>
    <tableColumn name="Column2" id="2"/>
    <tableColumn name="Column3" id="3"/>
    <tableColumn name="Column4" id="4"/>
  </tableColumns>
  <tableStyleInfo name="FEVEREIRO 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ref="O20:R34" displayName="Table_64" name="Table_64" id="64">
  <tableColumns count="4">
    <tableColumn name="Data" id="1"/>
    <tableColumn name="Valor " id="2"/>
    <tableColumn name="Tipo" id="3"/>
    <tableColumn name="Funcionário" id="4"/>
  </tableColumns>
  <tableStyleInfo name="FEVEREIRO 2026-style 3" showColumnStripes="0" showFirstColumn="1" showLastColumn="1" showRowStripes="1"/>
</table>
</file>

<file path=xl/tables/table65.xml><?xml version="1.0" encoding="utf-8"?>
<table xmlns="http://schemas.openxmlformats.org/spreadsheetml/2006/main" headerRowCount="0" ref="T20:W34" displayName="Table_65" name="Table_65" id="65">
  <tableColumns count="4">
    <tableColumn name="Column1" id="1"/>
    <tableColumn name="Column2" id="2"/>
    <tableColumn name="Column3" id="3"/>
    <tableColumn name="Column4" id="4"/>
  </tableColumns>
  <tableStyleInfo name="FEVEREIRO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B29:M507" displayName="Table_66" name="Table_66" id="6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ref="O40:R59" displayName="Table_67" name="Table_67" id="67">
  <tableColumns count="4">
    <tableColumn name="Data" id="1"/>
    <tableColumn name="Valor " id="2"/>
    <tableColumn name="Tipo" id="3"/>
    <tableColumn name="Funcionário" id="4"/>
  </tableColumns>
  <tableStyleInfo name="FEVEREIRO 2026-style 6" showColumnStripes="0" showFirstColumn="1" showLastColumn="1" showRowStripes="1"/>
</table>
</file>

<file path=xl/tables/table68.xml><?xml version="1.0" encoding="utf-8"?>
<table xmlns="http://schemas.openxmlformats.org/spreadsheetml/2006/main" ref="T40:W59" displayName="Table_68" name="Table_68" id="68">
  <tableColumns count="4">
    <tableColumn name="Data" id="1"/>
    <tableColumn name="Valor " id="2"/>
    <tableColumn name="Tipo" id="3"/>
    <tableColumn name="Funcionário" id="4"/>
  </tableColumns>
  <tableStyleInfo name="FEVEREIRO 2026-style 7" showColumnStripes="0" showFirstColumn="1" showLastColumn="1" showRowStripes="1"/>
</table>
</file>

<file path=xl/tables/table69.xml><?xml version="1.0" encoding="utf-8"?>
<table xmlns="http://schemas.openxmlformats.org/spreadsheetml/2006/main" ref="O4:R18" displayName="Table_69" name="Table_69" id="69">
  <tableColumns count="4">
    <tableColumn name="Data" id="1"/>
    <tableColumn name="Valor " id="2"/>
    <tableColumn name="Tipo" id="3"/>
    <tableColumn name="Funcionário" id="4"/>
  </tableColumns>
  <tableStyleInfo name="MARÇO 2026-style" showColumnStripes="0" showFirstColumn="1" showLastColumn="1" showRowStripes="1"/>
</table>
</file>

<file path=xl/tables/table70.xml><?xml version="1.0" encoding="utf-8"?>
<table xmlns="http://schemas.openxmlformats.org/spreadsheetml/2006/main" ref="T4:W18" displayName="Table_70" name="Table_70" id="70">
  <tableColumns count="4">
    <tableColumn name="Data" id="1"/>
    <tableColumn name="Valor " id="2"/>
    <tableColumn name="Tipo" id="3"/>
    <tableColumn name="Funcionário" id="4"/>
  </tableColumns>
  <tableStyleInfo name="MARÇO 2026-style 2" showColumnStripes="0" showFirstColumn="1" showLastColumn="1" showRowStripes="1"/>
</table>
</file>

<file path=xl/tables/table71.xml><?xml version="1.0" encoding="utf-8"?>
<table xmlns="http://schemas.openxmlformats.org/spreadsheetml/2006/main" ref="O20:R34" displayName="Table_71" name="Table_71" id="71">
  <tableColumns count="4">
    <tableColumn name="Data" id="1"/>
    <tableColumn name="Valor " id="2"/>
    <tableColumn name="Tipo" id="3"/>
    <tableColumn name="Funcionário" id="4"/>
  </tableColumns>
  <tableStyleInfo name="MARÇO 2026-style 3" showColumnStripes="0" showFirstColumn="1" showLastColumn="1" showRowStripes="1"/>
</table>
</file>

<file path=xl/tables/table72.xml><?xml version="1.0" encoding="utf-8"?>
<table xmlns="http://schemas.openxmlformats.org/spreadsheetml/2006/main" ref="T20:W34" displayName="Table_72" name="Table_72" id="72">
  <tableColumns count="4">
    <tableColumn name="Data" id="1"/>
    <tableColumn name="Valor " id="2"/>
    <tableColumn name="Tipo" id="3"/>
    <tableColumn name="Funcionário" id="4"/>
  </tableColumns>
  <tableStyleInfo name="MARÇO 2026-style 4" showColumnStripes="0" showFirstColumn="1" showLastColumn="1" showRowStripes="1"/>
</table>
</file>

<file path=xl/tables/table73.xml><?xml version="1.0" encoding="utf-8"?>
<table xmlns="http://schemas.openxmlformats.org/spreadsheetml/2006/main" headerRowCount="0" ref="B29:M507" displayName="Table_73" name="Table_73" id="7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Ç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ref="O40:R59" displayName="Table_74" name="Table_74" id="74">
  <tableColumns count="4">
    <tableColumn name="Data" id="1"/>
    <tableColumn name="Valor " id="2"/>
    <tableColumn name="Tipo" id="3"/>
    <tableColumn name="Funcionário" id="4"/>
  </tableColumns>
  <tableStyleInfo name="MARÇO 2026-style 6" showColumnStripes="0" showFirstColumn="1" showLastColumn="1" showRowStripes="1"/>
</table>
</file>

<file path=xl/tables/table75.xml><?xml version="1.0" encoding="utf-8"?>
<table xmlns="http://schemas.openxmlformats.org/spreadsheetml/2006/main" ref="T40:W59" displayName="Table_75" name="Table_75" id="75">
  <tableColumns count="4">
    <tableColumn name="Data" id="1"/>
    <tableColumn name="Valor " id="2"/>
    <tableColumn name="Tipo" id="3"/>
    <tableColumn name="Funcionário" id="4"/>
  </tableColumns>
  <tableStyleInfo name="MARÇO 2026-style 7" showColumnStripes="0" showFirstColumn="1" showLastColumn="1" showRowStripes="1"/>
</table>
</file>

<file path=xl/tables/table76.xml><?xml version="1.0" encoding="utf-8"?>
<table xmlns="http://schemas.openxmlformats.org/spreadsheetml/2006/main" ref="O4:R18" displayName="Table_76" name="Table_76" id="76">
  <tableColumns count="4">
    <tableColumn name="Data" id="1"/>
    <tableColumn name="Valor " id="2"/>
    <tableColumn name="Tipo" id="3"/>
    <tableColumn name="Funcionário" id="4"/>
  </tableColumns>
  <tableStyleInfo name="ABRIL 2026-style" showColumnStripes="0" showFirstColumn="1" showLastColumn="1" showRowStripes="1"/>
</table>
</file>

<file path=xl/tables/table77.xml><?xml version="1.0" encoding="utf-8"?>
<table xmlns="http://schemas.openxmlformats.org/spreadsheetml/2006/main" ref="T4:AE18" displayName="Table_77" name="Table_77" id="77">
  <tableColumns count="12">
    <tableColumn name="Data" id="1"/>
    <tableColumn name="Valor " id="2"/>
    <tableColumn name="Tipo" id="3"/>
    <tableColumn name="Funcionário" id="4"/>
    <tableColumn name="Data 2" id="5"/>
    <tableColumn name="Valor  2" id="6"/>
    <tableColumn name="Tipo 2" id="7"/>
    <tableColumn name="Funcionário 2" id="8"/>
    <tableColumn name="Data 3" id="9"/>
    <tableColumn name="Valor  3" id="10"/>
    <tableColumn name="Tipo 3" id="11"/>
    <tableColumn name="Funcionário 3" id="12"/>
  </tableColumns>
  <tableStyleInfo name="ABRIL 2026-style 2" showColumnStripes="0" showFirstColumn="1" showLastColumn="1" showRowStripes="1"/>
</table>
</file>

<file path=xl/tables/table78.xml><?xml version="1.0" encoding="utf-8"?>
<table xmlns="http://schemas.openxmlformats.org/spreadsheetml/2006/main" headerRowCount="0" ref="O20:R34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ABRIL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T20:AE34" displayName="Table_79" name="Table_79" id="7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B29:M507" displayName="Table_80" name="Table_80" id="8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ref="O40:R59" displayName="Table_81" name="Table_81" id="81">
  <tableColumns count="4">
    <tableColumn name="Data" id="1"/>
    <tableColumn name="Valor " id="2"/>
    <tableColumn name="Tipo" id="3"/>
    <tableColumn name="Funcionário" id="4"/>
  </tableColumns>
  <tableStyleInfo name="ABRIL 2026-style 6" showColumnStripes="0" showFirstColumn="1" showLastColumn="1" showRowStripes="1"/>
</table>
</file>

<file path=xl/tables/table82.xml><?xml version="1.0" encoding="utf-8"?>
<table xmlns="http://schemas.openxmlformats.org/spreadsheetml/2006/main" headerRowCount="0" ref="T40:AE59" displayName="Table_82" name="Table_82" id="8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ref="O4:R18" displayName="Table_83" name="Table_83" id="83">
  <tableColumns count="4">
    <tableColumn name="Data" id="1"/>
    <tableColumn name="Valor " id="2"/>
    <tableColumn name="Tipo" id="3"/>
    <tableColumn name="Funcionário" id="4"/>
  </tableColumns>
  <tableStyleInfo name="MAIO 2026-style" showColumnStripes="0" showFirstColumn="1" showLastColumn="1" showRowStripes="1"/>
</table>
</file>

<file path=xl/tables/table84.xml><?xml version="1.0" encoding="utf-8"?>
<table xmlns="http://schemas.openxmlformats.org/spreadsheetml/2006/main" ref="T4:AE18" displayName="Table_84" name="Table_84" id="84">
  <tableColumns count="12">
    <tableColumn name="Data" id="1"/>
    <tableColumn name="Valor " id="2"/>
    <tableColumn name="Tipo" id="3"/>
    <tableColumn name="Funcionário" id="4"/>
    <tableColumn name="Data 2" id="5"/>
    <tableColumn name="Valor  2" id="6"/>
    <tableColumn name="Tipo 2" id="7"/>
    <tableColumn name="Funcionário 2" id="8"/>
    <tableColumn name="Data 3" id="9"/>
    <tableColumn name="Valor  3" id="10"/>
    <tableColumn name="Tipo 3" id="11"/>
    <tableColumn name="Funcionário 3" id="12"/>
  </tableColumns>
  <tableStyleInfo name="MAIO 2026-style 2" showColumnStripes="0" showFirstColumn="1" showLastColumn="1" showRowStripes="1"/>
</table>
</file>

<file path=xl/tables/table85.xml><?xml version="1.0" encoding="utf-8"?>
<table xmlns="http://schemas.openxmlformats.org/spreadsheetml/2006/main" headerRowCount="0" ref="O20:R34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MAI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T20:AE34" displayName="Table_86" name="Table_86" id="8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IO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headerRowCount="0" ref="B29:M507" displayName="Table_87" name="Table_87" id="8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I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ref="O40:R59" displayName="Table_88" name="Table_88" id="88">
  <tableColumns count="4">
    <tableColumn name="Data" id="1"/>
    <tableColumn name="Valor " id="2"/>
    <tableColumn name="Tipo" id="3"/>
    <tableColumn name="Funcionário" id="4"/>
  </tableColumns>
  <tableStyleInfo name="MAIO 2026-style 6" showColumnStripes="0" showFirstColumn="1" showLastColumn="1" showRowStripes="1"/>
</table>
</file>

<file path=xl/tables/table89.xml><?xml version="1.0" encoding="utf-8"?>
<table xmlns="http://schemas.openxmlformats.org/spreadsheetml/2006/main" headerRowCount="0" ref="T40:AE59" displayName="Table_89" name="Table_89" id="8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IO 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ref="O4:R18" displayName="Table_90" name="Table_90" id="90">
  <tableColumns count="4">
    <tableColumn name="Data" id="1"/>
    <tableColumn name="Valor " id="2"/>
    <tableColumn name="Tipo" id="3"/>
    <tableColumn name="Funcionário" id="4"/>
  </tableColumns>
  <tableStyleInfo name="JUNHO 2026-style" showColumnStripes="0" showFirstColumn="1" showLastColumn="1" showRowStripes="1"/>
</table>
</file>

<file path=xl/tables/table91.xml><?xml version="1.0" encoding="utf-8"?>
<table xmlns="http://schemas.openxmlformats.org/spreadsheetml/2006/main" ref="T4:AE18" displayName="Table_91" name="Table_91" id="91">
  <tableColumns count="12">
    <tableColumn name="Data" id="1"/>
    <tableColumn name="Valor " id="2"/>
    <tableColumn name="Tipo" id="3"/>
    <tableColumn name="Funcionário" id="4"/>
    <tableColumn name="Data 2" id="5"/>
    <tableColumn name="Valor  2" id="6"/>
    <tableColumn name="Tipo 2" id="7"/>
    <tableColumn name="Funcionário 2" id="8"/>
    <tableColumn name="Data 3" id="9"/>
    <tableColumn name="Valor  3" id="10"/>
    <tableColumn name="Tipo 3" id="11"/>
    <tableColumn name="Funcionário 3" id="12"/>
  </tableColumns>
  <tableStyleInfo name="JUNHO 2026-style 2" showColumnStripes="0" showFirstColumn="1" showLastColumn="1" showRowStripes="1"/>
</table>
</file>

<file path=xl/tables/table92.xml><?xml version="1.0" encoding="utf-8"?>
<table xmlns="http://schemas.openxmlformats.org/spreadsheetml/2006/main" headerRowCount="0" ref="O20:R34" displayName="Table_92" name="Table_92" id="92">
  <tableColumns count="4">
    <tableColumn name="Column1" id="1"/>
    <tableColumn name="Column2" id="2"/>
    <tableColumn name="Column3" id="3"/>
    <tableColumn name="Column4" id="4"/>
  </tableColumns>
  <tableStyleInfo name="JUNH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T20:AE34" displayName="Table_93" name="Table_93" id="9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UNHO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headerRowCount="0" ref="B29:M507" displayName="Table_94" name="Table_94" id="9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UNH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ref="O40:R59" displayName="Table_95" name="Table_95" id="95">
  <tableColumns count="4">
    <tableColumn name="Data" id="1"/>
    <tableColumn name="Valor " id="2"/>
    <tableColumn name="Tipo" id="3"/>
    <tableColumn name="Funcionário" id="4"/>
  </tableColumns>
  <tableStyleInfo name="JUNHO 2026-style 6" showColumnStripes="0" showFirstColumn="1" showLastColumn="1" showRowStripes="1"/>
</table>
</file>

<file path=xl/tables/table96.xml><?xml version="1.0" encoding="utf-8"?>
<table xmlns="http://schemas.openxmlformats.org/spreadsheetml/2006/main" headerRowCount="0" ref="T40:AE59" displayName="Table_96" name="Table_96" id="9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UNHO 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0" Type="http://schemas.openxmlformats.org/officeDocument/2006/relationships/table" Target="../tables/table39.xml"/><Relationship Id="rId21" Type="http://schemas.openxmlformats.org/officeDocument/2006/relationships/table" Target="../tables/table40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Relationship Id="rId17" Type="http://schemas.openxmlformats.org/officeDocument/2006/relationships/table" Target="../tables/table36.xml"/><Relationship Id="rId16" Type="http://schemas.openxmlformats.org/officeDocument/2006/relationships/table" Target="../tables/table35.xml"/><Relationship Id="rId19" Type="http://schemas.openxmlformats.org/officeDocument/2006/relationships/table" Target="../tables/table38.xml"/><Relationship Id="rId18" Type="http://schemas.openxmlformats.org/officeDocument/2006/relationships/table" Target="../tables/table3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43.xml"/><Relationship Id="rId10" Type="http://schemas.openxmlformats.org/officeDocument/2006/relationships/table" Target="../tables/table42.xml"/><Relationship Id="rId13" Type="http://schemas.openxmlformats.org/officeDocument/2006/relationships/table" Target="../tables/table45.xml"/><Relationship Id="rId12" Type="http://schemas.openxmlformats.org/officeDocument/2006/relationships/table" Target="../tables/table44.xml"/><Relationship Id="rId9" Type="http://schemas.openxmlformats.org/officeDocument/2006/relationships/table" Target="../tables/table41.xml"/><Relationship Id="rId15" Type="http://schemas.openxmlformats.org/officeDocument/2006/relationships/table" Target="../tables/table47.xml"/><Relationship Id="rId14" Type="http://schemas.openxmlformats.org/officeDocument/2006/relationships/table" Target="../tables/table4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50.xml"/><Relationship Id="rId10" Type="http://schemas.openxmlformats.org/officeDocument/2006/relationships/table" Target="../tables/table49.xml"/><Relationship Id="rId13" Type="http://schemas.openxmlformats.org/officeDocument/2006/relationships/table" Target="../tables/table52.xml"/><Relationship Id="rId12" Type="http://schemas.openxmlformats.org/officeDocument/2006/relationships/table" Target="../tables/table51.xml"/><Relationship Id="rId9" Type="http://schemas.openxmlformats.org/officeDocument/2006/relationships/table" Target="../tables/table48.xml"/><Relationship Id="rId15" Type="http://schemas.openxmlformats.org/officeDocument/2006/relationships/table" Target="../tables/table54.xml"/><Relationship Id="rId14" Type="http://schemas.openxmlformats.org/officeDocument/2006/relationships/table" Target="../tables/table5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57.xml"/><Relationship Id="rId10" Type="http://schemas.openxmlformats.org/officeDocument/2006/relationships/table" Target="../tables/table56.xml"/><Relationship Id="rId13" Type="http://schemas.openxmlformats.org/officeDocument/2006/relationships/table" Target="../tables/table59.xml"/><Relationship Id="rId12" Type="http://schemas.openxmlformats.org/officeDocument/2006/relationships/table" Target="../tables/table58.xml"/><Relationship Id="rId9" Type="http://schemas.openxmlformats.org/officeDocument/2006/relationships/table" Target="../tables/table55.xml"/><Relationship Id="rId15" Type="http://schemas.openxmlformats.org/officeDocument/2006/relationships/table" Target="../tables/table61.xml"/><Relationship Id="rId14" Type="http://schemas.openxmlformats.org/officeDocument/2006/relationships/table" Target="../tables/table6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64.xml"/><Relationship Id="rId10" Type="http://schemas.openxmlformats.org/officeDocument/2006/relationships/table" Target="../tables/table63.xml"/><Relationship Id="rId13" Type="http://schemas.openxmlformats.org/officeDocument/2006/relationships/table" Target="../tables/table66.xml"/><Relationship Id="rId12" Type="http://schemas.openxmlformats.org/officeDocument/2006/relationships/table" Target="../tables/table65.xml"/><Relationship Id="rId9" Type="http://schemas.openxmlformats.org/officeDocument/2006/relationships/table" Target="../tables/table62.xml"/><Relationship Id="rId15" Type="http://schemas.openxmlformats.org/officeDocument/2006/relationships/table" Target="../tables/table68.xml"/><Relationship Id="rId14" Type="http://schemas.openxmlformats.org/officeDocument/2006/relationships/table" Target="../tables/table6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11" Type="http://schemas.openxmlformats.org/officeDocument/2006/relationships/table" Target="../tables/table71.xml"/><Relationship Id="rId10" Type="http://schemas.openxmlformats.org/officeDocument/2006/relationships/table" Target="../tables/table70.xml"/><Relationship Id="rId13" Type="http://schemas.openxmlformats.org/officeDocument/2006/relationships/table" Target="../tables/table73.xml"/><Relationship Id="rId12" Type="http://schemas.openxmlformats.org/officeDocument/2006/relationships/table" Target="../tables/table72.xml"/><Relationship Id="rId9" Type="http://schemas.openxmlformats.org/officeDocument/2006/relationships/table" Target="../tables/table69.xml"/><Relationship Id="rId15" Type="http://schemas.openxmlformats.org/officeDocument/2006/relationships/table" Target="../tables/table75.xml"/><Relationship Id="rId14" Type="http://schemas.openxmlformats.org/officeDocument/2006/relationships/table" Target="../tables/table7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11" Type="http://schemas.openxmlformats.org/officeDocument/2006/relationships/table" Target="../tables/table78.xml"/><Relationship Id="rId10" Type="http://schemas.openxmlformats.org/officeDocument/2006/relationships/table" Target="../tables/table77.xml"/><Relationship Id="rId13" Type="http://schemas.openxmlformats.org/officeDocument/2006/relationships/table" Target="../tables/table80.xml"/><Relationship Id="rId12" Type="http://schemas.openxmlformats.org/officeDocument/2006/relationships/table" Target="../tables/table79.xml"/><Relationship Id="rId9" Type="http://schemas.openxmlformats.org/officeDocument/2006/relationships/table" Target="../tables/table76.xml"/><Relationship Id="rId15" Type="http://schemas.openxmlformats.org/officeDocument/2006/relationships/table" Target="../tables/table82.xml"/><Relationship Id="rId14" Type="http://schemas.openxmlformats.org/officeDocument/2006/relationships/table" Target="../tables/table8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11" Type="http://schemas.openxmlformats.org/officeDocument/2006/relationships/table" Target="../tables/table85.xml"/><Relationship Id="rId10" Type="http://schemas.openxmlformats.org/officeDocument/2006/relationships/table" Target="../tables/table84.xml"/><Relationship Id="rId13" Type="http://schemas.openxmlformats.org/officeDocument/2006/relationships/table" Target="../tables/table87.xml"/><Relationship Id="rId12" Type="http://schemas.openxmlformats.org/officeDocument/2006/relationships/table" Target="../tables/table86.xml"/><Relationship Id="rId9" Type="http://schemas.openxmlformats.org/officeDocument/2006/relationships/table" Target="../tables/table83.xml"/><Relationship Id="rId15" Type="http://schemas.openxmlformats.org/officeDocument/2006/relationships/table" Target="../tables/table89.xml"/><Relationship Id="rId14" Type="http://schemas.openxmlformats.org/officeDocument/2006/relationships/table" Target="../tables/table8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11" Type="http://schemas.openxmlformats.org/officeDocument/2006/relationships/table" Target="../tables/table92.xml"/><Relationship Id="rId10" Type="http://schemas.openxmlformats.org/officeDocument/2006/relationships/table" Target="../tables/table91.xml"/><Relationship Id="rId13" Type="http://schemas.openxmlformats.org/officeDocument/2006/relationships/table" Target="../tables/table94.xml"/><Relationship Id="rId12" Type="http://schemas.openxmlformats.org/officeDocument/2006/relationships/table" Target="../tables/table93.xml"/><Relationship Id="rId9" Type="http://schemas.openxmlformats.org/officeDocument/2006/relationships/table" Target="../tables/table90.xml"/><Relationship Id="rId15" Type="http://schemas.openxmlformats.org/officeDocument/2006/relationships/table" Target="../tables/table96.xml"/><Relationship Id="rId14" Type="http://schemas.openxmlformats.org/officeDocument/2006/relationships/table" Target="../tables/table9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0.75"/>
    <col customWidth="1" min="2" max="2" width="4.5"/>
    <col customWidth="1" min="3" max="3" width="11.75"/>
    <col customWidth="1" min="4" max="4" width="5.38"/>
    <col customWidth="1" min="5" max="5" width="6.25"/>
    <col customWidth="1" min="6" max="6" width="8.25"/>
    <col hidden="1" min="7" max="2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4" t="s">
        <v>7</v>
      </c>
      <c r="H1" s="6" t="s">
        <v>9</v>
      </c>
      <c r="I1" s="7" t="s">
        <v>13</v>
      </c>
      <c r="J1" s="8" t="s">
        <v>14</v>
      </c>
      <c r="K1" s="8" t="s">
        <v>17</v>
      </c>
      <c r="L1" s="8" t="s">
        <v>19</v>
      </c>
      <c r="M1" s="9" t="s">
        <v>12</v>
      </c>
      <c r="N1" s="6" t="s">
        <v>22</v>
      </c>
      <c r="O1" s="6" t="s">
        <v>8</v>
      </c>
      <c r="P1" s="6" t="s">
        <v>26</v>
      </c>
      <c r="Q1" s="6" t="s">
        <v>27</v>
      </c>
      <c r="R1" s="6" t="s">
        <v>16</v>
      </c>
      <c r="S1" s="6" t="s">
        <v>25</v>
      </c>
      <c r="T1" s="6" t="s">
        <v>31</v>
      </c>
      <c r="U1" s="6" t="s">
        <v>33</v>
      </c>
      <c r="V1" s="6" t="s">
        <v>35</v>
      </c>
      <c r="W1" s="6" t="s">
        <v>38</v>
      </c>
      <c r="X1" s="6" t="s">
        <v>39</v>
      </c>
    </row>
    <row r="2" hidden="1">
      <c r="A2" s="10">
        <v>2242452.0</v>
      </c>
      <c r="B2" s="11">
        <v>46199.6265625</v>
      </c>
      <c r="C2" s="10" t="s">
        <v>50</v>
      </c>
      <c r="D2" s="10" t="s">
        <v>53</v>
      </c>
      <c r="E2" s="13"/>
      <c r="F2" s="10" t="s">
        <v>57</v>
      </c>
      <c r="G2" s="12">
        <v>3.89</v>
      </c>
      <c r="I2" s="12" t="b">
        <v>0</v>
      </c>
      <c r="J2" s="12" t="s">
        <v>59</v>
      </c>
      <c r="K2" s="12" t="s">
        <v>62</v>
      </c>
      <c r="N2" s="12" t="b">
        <v>1</v>
      </c>
      <c r="O2" s="12" t="s">
        <v>54</v>
      </c>
      <c r="R2" s="12" t="s">
        <v>67</v>
      </c>
    </row>
    <row r="3" hidden="1">
      <c r="A3" s="10">
        <v>2242474.0</v>
      </c>
      <c r="B3" s="11">
        <v>46199.63685185185</v>
      </c>
      <c r="C3" s="10" t="s">
        <v>50</v>
      </c>
      <c r="D3" s="10" t="s">
        <v>71</v>
      </c>
      <c r="E3" s="13"/>
      <c r="F3" s="10" t="s">
        <v>74</v>
      </c>
      <c r="G3" s="12">
        <v>8.79</v>
      </c>
      <c r="I3" s="12" t="b">
        <v>0</v>
      </c>
      <c r="J3" s="12" t="s">
        <v>59</v>
      </c>
      <c r="K3" s="12" t="s">
        <v>78</v>
      </c>
      <c r="N3" s="12" t="b">
        <v>1</v>
      </c>
      <c r="O3" s="12" t="s">
        <v>54</v>
      </c>
      <c r="R3" s="12" t="s">
        <v>84</v>
      </c>
    </row>
    <row r="4" hidden="1">
      <c r="A4" s="10">
        <v>2242523.0</v>
      </c>
      <c r="B4" s="11">
        <v>46199.65991898148</v>
      </c>
      <c r="C4" s="10" t="s">
        <v>50</v>
      </c>
      <c r="D4" s="10" t="s">
        <v>91</v>
      </c>
      <c r="E4" s="13"/>
      <c r="F4" s="10" t="s">
        <v>94</v>
      </c>
      <c r="G4" s="12">
        <v>9.42</v>
      </c>
      <c r="I4" s="12" t="b">
        <v>0</v>
      </c>
      <c r="J4" s="12" t="s">
        <v>59</v>
      </c>
      <c r="K4" s="12" t="s">
        <v>78</v>
      </c>
      <c r="N4" s="12" t="b">
        <v>1</v>
      </c>
      <c r="O4" s="12" t="s">
        <v>54</v>
      </c>
      <c r="R4" s="12" t="s">
        <v>102</v>
      </c>
    </row>
    <row r="5" hidden="1">
      <c r="A5" s="10">
        <v>2243654.0</v>
      </c>
      <c r="B5" s="11">
        <v>46200.598125</v>
      </c>
      <c r="C5" s="10" t="s">
        <v>50</v>
      </c>
      <c r="D5" s="10" t="s">
        <v>106</v>
      </c>
      <c r="E5" s="13"/>
      <c r="F5" s="10" t="s">
        <v>94</v>
      </c>
      <c r="G5" s="12">
        <v>5.01</v>
      </c>
      <c r="I5" s="12" t="b">
        <v>0</v>
      </c>
      <c r="J5" s="12" t="s">
        <v>59</v>
      </c>
      <c r="K5" s="12" t="s">
        <v>78</v>
      </c>
      <c r="N5" s="12" t="b">
        <v>1</v>
      </c>
      <c r="O5" s="12" t="s">
        <v>54</v>
      </c>
      <c r="R5" s="12" t="s">
        <v>116</v>
      </c>
    </row>
    <row r="6" hidden="1">
      <c r="A6" s="10">
        <v>2243655.0</v>
      </c>
      <c r="B6" s="11">
        <v>46200.59847222222</v>
      </c>
      <c r="C6" s="10" t="s">
        <v>50</v>
      </c>
      <c r="D6" s="10" t="s">
        <v>120</v>
      </c>
      <c r="E6" s="13"/>
      <c r="F6" s="10" t="s">
        <v>122</v>
      </c>
      <c r="G6" s="12">
        <v>10.24</v>
      </c>
      <c r="I6" s="12" t="b">
        <v>0</v>
      </c>
      <c r="J6" s="12" t="s">
        <v>59</v>
      </c>
      <c r="K6" s="12" t="s">
        <v>62</v>
      </c>
      <c r="N6" s="12" t="b">
        <v>1</v>
      </c>
      <c r="O6" s="12" t="s">
        <v>54</v>
      </c>
      <c r="R6" s="12" t="s">
        <v>127</v>
      </c>
    </row>
    <row r="7" hidden="1">
      <c r="A7" s="10">
        <v>2245203.0</v>
      </c>
      <c r="B7" s="11">
        <v>46201.55335648148</v>
      </c>
      <c r="C7" s="10" t="s">
        <v>50</v>
      </c>
      <c r="D7" s="10" t="s">
        <v>131</v>
      </c>
      <c r="E7" s="13"/>
      <c r="F7" s="10" t="s">
        <v>133</v>
      </c>
      <c r="G7" s="12">
        <v>4.35</v>
      </c>
      <c r="I7" s="12" t="b">
        <v>0</v>
      </c>
      <c r="J7" s="12" t="s">
        <v>136</v>
      </c>
      <c r="N7" s="12" t="b">
        <v>1</v>
      </c>
      <c r="O7" s="12" t="s">
        <v>54</v>
      </c>
      <c r="R7" s="12" t="s">
        <v>142</v>
      </c>
    </row>
    <row r="8" hidden="1">
      <c r="A8" s="10">
        <v>2245931.0</v>
      </c>
      <c r="B8" s="11">
        <v>46201.78563657407</v>
      </c>
      <c r="C8" s="10" t="s">
        <v>50</v>
      </c>
      <c r="D8" s="10" t="s">
        <v>146</v>
      </c>
      <c r="E8" s="13"/>
      <c r="F8" s="10" t="s">
        <v>149</v>
      </c>
      <c r="G8" s="12">
        <v>2.4</v>
      </c>
      <c r="I8" s="12" t="b">
        <v>0</v>
      </c>
      <c r="J8" s="12" t="s">
        <v>59</v>
      </c>
      <c r="K8" s="12" t="s">
        <v>152</v>
      </c>
      <c r="N8" s="12" t="b">
        <v>1</v>
      </c>
      <c r="O8" s="12" t="s">
        <v>54</v>
      </c>
      <c r="R8" s="12" t="s">
        <v>154</v>
      </c>
    </row>
    <row r="9" hidden="1">
      <c r="A9" s="10">
        <v>2245951.0</v>
      </c>
      <c r="B9" s="11">
        <v>46201.78894675926</v>
      </c>
      <c r="C9" s="10" t="s">
        <v>50</v>
      </c>
      <c r="D9" s="10" t="s">
        <v>157</v>
      </c>
      <c r="E9" s="13"/>
      <c r="F9" s="10" t="s">
        <v>74</v>
      </c>
      <c r="G9" s="12">
        <v>4.0</v>
      </c>
      <c r="I9" s="12" t="b">
        <v>0</v>
      </c>
      <c r="J9" s="12" t="s">
        <v>59</v>
      </c>
      <c r="K9" s="12" t="s">
        <v>78</v>
      </c>
      <c r="N9" s="12" t="b">
        <v>1</v>
      </c>
      <c r="O9" s="12" t="s">
        <v>54</v>
      </c>
      <c r="R9" s="12" t="s">
        <v>162</v>
      </c>
    </row>
    <row r="10" hidden="1">
      <c r="A10" s="10">
        <v>2246200.0</v>
      </c>
      <c r="B10" s="11">
        <v>46201.853217592594</v>
      </c>
      <c r="C10" s="10" t="s">
        <v>50</v>
      </c>
      <c r="D10" s="10" t="s">
        <v>166</v>
      </c>
      <c r="E10" s="13"/>
      <c r="F10" s="10" t="s">
        <v>74</v>
      </c>
      <c r="G10" s="12">
        <v>21.06</v>
      </c>
      <c r="I10" s="12" t="b">
        <v>0</v>
      </c>
      <c r="J10" s="12" t="s">
        <v>59</v>
      </c>
      <c r="K10" s="12" t="s">
        <v>78</v>
      </c>
      <c r="N10" s="12" t="b">
        <v>1</v>
      </c>
      <c r="O10" s="12" t="s">
        <v>54</v>
      </c>
      <c r="R10" s="12" t="s">
        <v>169</v>
      </c>
    </row>
    <row r="11" hidden="1">
      <c r="A11" s="10">
        <v>2247517.0</v>
      </c>
      <c r="B11" s="11">
        <v>46202.708391203705</v>
      </c>
      <c r="C11" s="10" t="s">
        <v>50</v>
      </c>
      <c r="D11" s="10" t="s">
        <v>179</v>
      </c>
      <c r="E11" s="13"/>
      <c r="F11" s="10" t="s">
        <v>74</v>
      </c>
      <c r="G11" s="12">
        <v>7.77</v>
      </c>
      <c r="I11" s="12" t="b">
        <v>0</v>
      </c>
      <c r="J11" s="12" t="s">
        <v>59</v>
      </c>
      <c r="K11" s="12" t="s">
        <v>78</v>
      </c>
      <c r="N11" s="12" t="b">
        <v>1</v>
      </c>
      <c r="O11" s="12" t="s">
        <v>54</v>
      </c>
      <c r="R11" s="12" t="s">
        <v>183</v>
      </c>
    </row>
    <row r="12" hidden="1">
      <c r="A12" s="10">
        <v>2247521.0</v>
      </c>
      <c r="B12" s="11">
        <v>46202.70875</v>
      </c>
      <c r="C12" s="10" t="s">
        <v>50</v>
      </c>
      <c r="D12" s="10" t="s">
        <v>188</v>
      </c>
      <c r="E12" s="13"/>
      <c r="F12" s="10" t="s">
        <v>57</v>
      </c>
      <c r="G12" s="12">
        <v>12.47</v>
      </c>
      <c r="I12" s="12" t="b">
        <v>0</v>
      </c>
      <c r="J12" s="12" t="s">
        <v>59</v>
      </c>
      <c r="K12" s="12" t="s">
        <v>62</v>
      </c>
      <c r="N12" s="12" t="b">
        <v>1</v>
      </c>
      <c r="O12" s="12" t="s">
        <v>54</v>
      </c>
      <c r="R12" s="12" t="s">
        <v>192</v>
      </c>
    </row>
    <row r="13" hidden="1">
      <c r="A13" s="10">
        <v>2247908.0</v>
      </c>
      <c r="B13" s="11">
        <v>46202.849756944444</v>
      </c>
      <c r="C13" s="10" t="s">
        <v>50</v>
      </c>
      <c r="D13" s="10" t="s">
        <v>194</v>
      </c>
      <c r="E13" s="18"/>
      <c r="F13" s="10" t="s">
        <v>198</v>
      </c>
      <c r="G13" s="12">
        <v>250.0</v>
      </c>
      <c r="I13" s="12" t="b">
        <v>0</v>
      </c>
      <c r="J13" s="12" t="s">
        <v>200</v>
      </c>
      <c r="N13" s="12" t="b">
        <v>1</v>
      </c>
      <c r="O13" s="12" t="s">
        <v>54</v>
      </c>
      <c r="R13" s="12" t="s">
        <v>202</v>
      </c>
    </row>
    <row r="14" hidden="1">
      <c r="A14" s="10">
        <v>2247910.0</v>
      </c>
      <c r="B14" s="11">
        <v>46202.85025462963</v>
      </c>
      <c r="C14" s="10" t="s">
        <v>50</v>
      </c>
      <c r="D14" s="10" t="s">
        <v>205</v>
      </c>
      <c r="E14" s="13"/>
      <c r="F14" s="10" t="s">
        <v>74</v>
      </c>
      <c r="G14" s="12">
        <v>8.0</v>
      </c>
      <c r="I14" s="12" t="b">
        <v>0</v>
      </c>
      <c r="J14" s="12" t="s">
        <v>59</v>
      </c>
      <c r="K14" s="12" t="s">
        <v>78</v>
      </c>
      <c r="N14" s="12" t="b">
        <v>1</v>
      </c>
      <c r="O14" s="12" t="s">
        <v>54</v>
      </c>
      <c r="R14" s="12" t="s">
        <v>210</v>
      </c>
    </row>
    <row r="15" hidden="1">
      <c r="A15" s="10">
        <v>2248734.0</v>
      </c>
      <c r="B15" s="11">
        <v>46203.5919212963</v>
      </c>
      <c r="C15" s="10" t="s">
        <v>50</v>
      </c>
      <c r="D15" s="10" t="s">
        <v>213</v>
      </c>
      <c r="E15" s="13"/>
      <c r="F15" s="10" t="s">
        <v>122</v>
      </c>
      <c r="G15" s="12">
        <v>39.86</v>
      </c>
      <c r="I15" s="12" t="b">
        <v>0</v>
      </c>
      <c r="J15" s="12" t="s">
        <v>59</v>
      </c>
      <c r="K15" s="12" t="s">
        <v>62</v>
      </c>
      <c r="N15" s="12" t="b">
        <v>1</v>
      </c>
      <c r="O15" s="12" t="s">
        <v>54</v>
      </c>
      <c r="R15" s="12" t="s">
        <v>217</v>
      </c>
    </row>
    <row r="16" hidden="1">
      <c r="A16" s="10">
        <v>2249001.0</v>
      </c>
      <c r="B16" s="11">
        <v>46203.694699074076</v>
      </c>
      <c r="C16" s="10" t="s">
        <v>50</v>
      </c>
      <c r="D16" s="10" t="s">
        <v>221</v>
      </c>
      <c r="E16" s="13"/>
      <c r="F16" s="10" t="s">
        <v>94</v>
      </c>
      <c r="G16" s="12">
        <v>10.33</v>
      </c>
      <c r="I16" s="12" t="b">
        <v>0</v>
      </c>
      <c r="J16" s="12" t="s">
        <v>59</v>
      </c>
      <c r="K16" s="12" t="s">
        <v>78</v>
      </c>
      <c r="N16" s="12" t="b">
        <v>1</v>
      </c>
      <c r="O16" s="12" t="s">
        <v>54</v>
      </c>
      <c r="R16" s="12" t="s">
        <v>225</v>
      </c>
    </row>
    <row r="17" hidden="1">
      <c r="A17" s="10">
        <v>2249047.0</v>
      </c>
      <c r="B17" s="11">
        <v>46203.711747685185</v>
      </c>
      <c r="C17" s="10" t="s">
        <v>227</v>
      </c>
      <c r="D17" s="10" t="s">
        <v>228</v>
      </c>
      <c r="E17" s="13"/>
      <c r="F17" s="10" t="s">
        <v>229</v>
      </c>
      <c r="G17" s="12">
        <v>92.8</v>
      </c>
      <c r="I17" s="12" t="b">
        <v>0</v>
      </c>
      <c r="J17" s="12" t="s">
        <v>230</v>
      </c>
      <c r="N17" s="12" t="b">
        <v>1</v>
      </c>
      <c r="O17" s="12" t="s">
        <v>54</v>
      </c>
      <c r="R17" s="12" t="s">
        <v>233</v>
      </c>
    </row>
    <row r="18" hidden="1">
      <c r="A18" s="10">
        <v>2249052.0</v>
      </c>
      <c r="B18" s="11">
        <v>46203.71260416666</v>
      </c>
      <c r="C18" s="10" t="s">
        <v>50</v>
      </c>
      <c r="D18" s="10" t="s">
        <v>236</v>
      </c>
      <c r="E18" s="13"/>
      <c r="F18" s="10" t="s">
        <v>238</v>
      </c>
      <c r="G18" s="12">
        <v>30.0</v>
      </c>
      <c r="I18" s="12" t="b">
        <v>0</v>
      </c>
      <c r="J18" s="12" t="s">
        <v>136</v>
      </c>
      <c r="N18" s="12" t="b">
        <v>1</v>
      </c>
      <c r="O18" s="12" t="s">
        <v>54</v>
      </c>
      <c r="R18" s="12" t="s">
        <v>241</v>
      </c>
      <c r="W18" s="12" t="b">
        <v>1</v>
      </c>
      <c r="X18" s="12" t="s">
        <v>243</v>
      </c>
    </row>
    <row r="19" hidden="1">
      <c r="A19" s="10">
        <v>2249133.0</v>
      </c>
      <c r="B19" s="11">
        <v>46203.74146990741</v>
      </c>
      <c r="C19" s="10" t="s">
        <v>50</v>
      </c>
      <c r="D19" s="10" t="s">
        <v>246</v>
      </c>
      <c r="E19" s="13"/>
      <c r="F19" s="10" t="s">
        <v>94</v>
      </c>
      <c r="G19" s="12">
        <v>3.2</v>
      </c>
      <c r="I19" s="12" t="b">
        <v>0</v>
      </c>
      <c r="J19" s="12" t="s">
        <v>59</v>
      </c>
      <c r="K19" s="12" t="s">
        <v>78</v>
      </c>
      <c r="N19" s="12" t="b">
        <v>1</v>
      </c>
      <c r="O19" s="12" t="s">
        <v>54</v>
      </c>
      <c r="R19" s="12" t="s">
        <v>251</v>
      </c>
    </row>
    <row r="20" hidden="1">
      <c r="A20" s="10">
        <v>2249205.0</v>
      </c>
      <c r="B20" s="11">
        <v>46203.758738425924</v>
      </c>
      <c r="C20" s="10" t="s">
        <v>50</v>
      </c>
      <c r="D20" s="10" t="s">
        <v>246</v>
      </c>
      <c r="E20" s="13"/>
      <c r="F20" s="10" t="s">
        <v>74</v>
      </c>
      <c r="G20" s="12">
        <v>3.2</v>
      </c>
      <c r="I20" s="12" t="b">
        <v>0</v>
      </c>
      <c r="J20" s="12" t="s">
        <v>59</v>
      </c>
      <c r="K20" s="12" t="s">
        <v>78</v>
      </c>
      <c r="N20" s="12" t="b">
        <v>1</v>
      </c>
      <c r="O20" s="12" t="s">
        <v>54</v>
      </c>
      <c r="R20" s="12" t="s">
        <v>251</v>
      </c>
    </row>
    <row r="21" hidden="1">
      <c r="A21" s="10">
        <v>2250162.0</v>
      </c>
      <c r="B21" s="11">
        <v>46204.538298611114</v>
      </c>
      <c r="C21" s="10" t="s">
        <v>50</v>
      </c>
      <c r="D21" s="10" t="s">
        <v>246</v>
      </c>
      <c r="E21" s="13"/>
      <c r="F21" s="10" t="s">
        <v>122</v>
      </c>
      <c r="G21" s="12">
        <v>3.2</v>
      </c>
      <c r="I21" s="12" t="b">
        <v>0</v>
      </c>
      <c r="J21" s="12" t="s">
        <v>59</v>
      </c>
      <c r="K21" s="12" t="s">
        <v>62</v>
      </c>
      <c r="N21" s="12" t="b">
        <v>1</v>
      </c>
      <c r="O21" s="12" t="s">
        <v>54</v>
      </c>
      <c r="R21" s="12" t="s">
        <v>269</v>
      </c>
    </row>
    <row r="22" hidden="1">
      <c r="A22" s="10">
        <v>2250471.0</v>
      </c>
      <c r="B22" s="11">
        <v>46204.68195601852</v>
      </c>
      <c r="C22" s="10" t="s">
        <v>50</v>
      </c>
      <c r="D22" s="10" t="s">
        <v>157</v>
      </c>
      <c r="E22" s="13"/>
      <c r="F22" s="10" t="s">
        <v>57</v>
      </c>
      <c r="G22" s="12">
        <v>4.0</v>
      </c>
      <c r="I22" s="12" t="b">
        <v>0</v>
      </c>
      <c r="J22" s="12" t="s">
        <v>59</v>
      </c>
      <c r="K22" s="12" t="s">
        <v>62</v>
      </c>
      <c r="N22" s="12" t="b">
        <v>1</v>
      </c>
      <c r="O22" s="12" t="s">
        <v>54</v>
      </c>
      <c r="R22" s="12" t="s">
        <v>276</v>
      </c>
    </row>
    <row r="23" hidden="1">
      <c r="A23" s="10">
        <v>2250623.0</v>
      </c>
      <c r="B23" s="11">
        <v>46204.7274537037</v>
      </c>
      <c r="C23" s="10" t="s">
        <v>50</v>
      </c>
      <c r="D23" s="10" t="s">
        <v>280</v>
      </c>
      <c r="E23" s="18"/>
      <c r="F23" s="10" t="s">
        <v>281</v>
      </c>
      <c r="G23" s="12">
        <v>245.0</v>
      </c>
      <c r="I23" s="12" t="b">
        <v>0</v>
      </c>
      <c r="J23" s="12" t="s">
        <v>136</v>
      </c>
      <c r="M23" s="12" t="s">
        <v>286</v>
      </c>
      <c r="N23" s="12" t="b">
        <v>1</v>
      </c>
      <c r="O23" s="12" t="s">
        <v>54</v>
      </c>
      <c r="R23" s="12" t="s">
        <v>288</v>
      </c>
    </row>
    <row r="24" hidden="1">
      <c r="A24" s="10">
        <v>2250673.0</v>
      </c>
      <c r="B24" s="11">
        <v>46204.748090277775</v>
      </c>
      <c r="C24" s="10" t="s">
        <v>50</v>
      </c>
      <c r="D24" s="10" t="s">
        <v>290</v>
      </c>
      <c r="E24" s="13"/>
      <c r="F24" s="10" t="s">
        <v>149</v>
      </c>
      <c r="G24" s="12">
        <v>13.8</v>
      </c>
      <c r="I24" s="12" t="b">
        <v>0</v>
      </c>
      <c r="J24" s="12" t="s">
        <v>59</v>
      </c>
      <c r="K24" s="12" t="s">
        <v>152</v>
      </c>
      <c r="N24" s="12" t="b">
        <v>1</v>
      </c>
      <c r="O24" s="12" t="s">
        <v>54</v>
      </c>
      <c r="R24" s="12" t="s">
        <v>298</v>
      </c>
    </row>
    <row r="25" hidden="1">
      <c r="A25" s="10">
        <v>2250772.0</v>
      </c>
      <c r="B25" s="11">
        <v>46204.778182870374</v>
      </c>
      <c r="C25" s="10" t="s">
        <v>50</v>
      </c>
      <c r="D25" s="10" t="s">
        <v>302</v>
      </c>
      <c r="E25" s="13"/>
      <c r="F25" s="10" t="s">
        <v>74</v>
      </c>
      <c r="G25" s="12">
        <v>10.22</v>
      </c>
      <c r="I25" s="12" t="b">
        <v>0</v>
      </c>
      <c r="J25" s="12" t="s">
        <v>59</v>
      </c>
      <c r="K25" s="12" t="s">
        <v>78</v>
      </c>
      <c r="N25" s="12" t="b">
        <v>1</v>
      </c>
      <c r="O25" s="12" t="s">
        <v>54</v>
      </c>
      <c r="R25" s="12" t="s">
        <v>307</v>
      </c>
    </row>
    <row r="26" hidden="1">
      <c r="A26" s="10">
        <v>2251727.0</v>
      </c>
      <c r="B26" s="11">
        <v>46205.60376157407</v>
      </c>
      <c r="C26" s="10" t="s">
        <v>50</v>
      </c>
      <c r="D26" s="10" t="s">
        <v>311</v>
      </c>
      <c r="E26" s="13"/>
      <c r="F26" s="10" t="s">
        <v>314</v>
      </c>
      <c r="G26" s="12">
        <v>159.6</v>
      </c>
      <c r="I26" s="12" t="b">
        <v>0</v>
      </c>
      <c r="J26" s="12" t="s">
        <v>136</v>
      </c>
      <c r="M26" s="12" t="s">
        <v>316</v>
      </c>
      <c r="N26" s="12" t="b">
        <v>1</v>
      </c>
      <c r="O26" s="12" t="s">
        <v>54</v>
      </c>
      <c r="R26" s="12" t="s">
        <v>317</v>
      </c>
    </row>
    <row r="27" hidden="1">
      <c r="A27" s="10">
        <v>2251812.0</v>
      </c>
      <c r="B27" s="11">
        <v>46205.65636574074</v>
      </c>
      <c r="C27" s="10" t="s">
        <v>50</v>
      </c>
      <c r="D27" s="10" t="s">
        <v>321</v>
      </c>
      <c r="E27" s="13"/>
      <c r="F27" s="10" t="s">
        <v>57</v>
      </c>
      <c r="G27" s="12">
        <v>4.81</v>
      </c>
      <c r="I27" s="12" t="b">
        <v>0</v>
      </c>
      <c r="J27" s="12" t="s">
        <v>59</v>
      </c>
      <c r="K27" s="12" t="s">
        <v>62</v>
      </c>
      <c r="N27" s="12" t="b">
        <v>1</v>
      </c>
      <c r="O27" s="12" t="s">
        <v>54</v>
      </c>
      <c r="R27" s="12" t="s">
        <v>327</v>
      </c>
    </row>
    <row r="28" hidden="1">
      <c r="A28" s="10">
        <v>2251949.0</v>
      </c>
      <c r="B28" s="11">
        <v>46205.70130787037</v>
      </c>
      <c r="C28" s="10" t="s">
        <v>227</v>
      </c>
      <c r="D28" s="10" t="s">
        <v>329</v>
      </c>
      <c r="E28" s="13"/>
      <c r="F28" s="10" t="s">
        <v>332</v>
      </c>
      <c r="G28" s="12">
        <v>200.0</v>
      </c>
      <c r="I28" s="12" t="b">
        <v>0</v>
      </c>
      <c r="J28" s="12" t="s">
        <v>230</v>
      </c>
      <c r="N28" s="12" t="b">
        <v>1</v>
      </c>
      <c r="O28" s="12" t="s">
        <v>54</v>
      </c>
      <c r="R28" s="12" t="s">
        <v>335</v>
      </c>
    </row>
    <row r="29" hidden="1">
      <c r="A29" s="10">
        <v>2252016.0</v>
      </c>
      <c r="B29" s="11">
        <v>46205.72403935185</v>
      </c>
      <c r="C29" s="10" t="s">
        <v>50</v>
      </c>
      <c r="D29" s="10" t="s">
        <v>339</v>
      </c>
      <c r="E29" s="13"/>
      <c r="F29" s="10" t="s">
        <v>94</v>
      </c>
      <c r="G29" s="12">
        <v>3.92</v>
      </c>
      <c r="I29" s="12" t="b">
        <v>0</v>
      </c>
      <c r="J29" s="12" t="s">
        <v>59</v>
      </c>
      <c r="K29" s="12" t="s">
        <v>78</v>
      </c>
      <c r="N29" s="12" t="b">
        <v>1</v>
      </c>
      <c r="O29" s="12" t="s">
        <v>54</v>
      </c>
      <c r="R29" s="12" t="s">
        <v>343</v>
      </c>
    </row>
    <row r="30" hidden="1">
      <c r="A30" s="10">
        <v>2252132.0</v>
      </c>
      <c r="B30" s="11">
        <v>46205.764444444445</v>
      </c>
      <c r="C30" s="10" t="s">
        <v>50</v>
      </c>
      <c r="D30" s="10" t="s">
        <v>347</v>
      </c>
      <c r="E30" s="13"/>
      <c r="F30" s="10" t="s">
        <v>350</v>
      </c>
      <c r="G30" s="12">
        <v>75.5</v>
      </c>
      <c r="I30" s="12" t="b">
        <v>0</v>
      </c>
      <c r="J30" s="12" t="s">
        <v>351</v>
      </c>
      <c r="N30" s="12" t="b">
        <v>1</v>
      </c>
      <c r="O30" s="12" t="s">
        <v>54</v>
      </c>
      <c r="R30" s="12" t="s">
        <v>353</v>
      </c>
    </row>
    <row r="31" hidden="1">
      <c r="A31" s="10">
        <v>2252135.0</v>
      </c>
      <c r="B31" s="11">
        <v>46205.76548611111</v>
      </c>
      <c r="C31" s="10" t="s">
        <v>50</v>
      </c>
      <c r="D31" s="10" t="s">
        <v>356</v>
      </c>
      <c r="E31" s="13"/>
      <c r="F31" s="10" t="s">
        <v>357</v>
      </c>
      <c r="G31" s="12">
        <v>66.9</v>
      </c>
      <c r="I31" s="12" t="b">
        <v>0</v>
      </c>
      <c r="J31" s="12" t="s">
        <v>136</v>
      </c>
      <c r="M31" s="12" t="s">
        <v>361</v>
      </c>
      <c r="N31" s="12" t="b">
        <v>1</v>
      </c>
      <c r="O31" s="12" t="s">
        <v>54</v>
      </c>
      <c r="R31" s="12" t="s">
        <v>362</v>
      </c>
    </row>
    <row r="32" hidden="1">
      <c r="A32" s="10">
        <v>2252136.0</v>
      </c>
      <c r="B32" s="11">
        <v>46205.76578703704</v>
      </c>
      <c r="C32" s="10" t="s">
        <v>50</v>
      </c>
      <c r="D32" s="10" t="s">
        <v>364</v>
      </c>
      <c r="E32" s="13"/>
      <c r="F32" s="10" t="s">
        <v>367</v>
      </c>
      <c r="G32" s="12">
        <v>5.99</v>
      </c>
      <c r="I32" s="12" t="b">
        <v>0</v>
      </c>
      <c r="J32" s="12" t="s">
        <v>136</v>
      </c>
      <c r="M32" s="12" t="s">
        <v>369</v>
      </c>
      <c r="N32" s="12" t="b">
        <v>1</v>
      </c>
      <c r="O32" s="12" t="s">
        <v>54</v>
      </c>
      <c r="R32" s="12" t="s">
        <v>372</v>
      </c>
    </row>
    <row r="33" hidden="1">
      <c r="A33" s="10">
        <v>2253283.0</v>
      </c>
      <c r="B33" s="11">
        <v>46206.64173611111</v>
      </c>
      <c r="C33" s="10" t="s">
        <v>50</v>
      </c>
      <c r="D33" s="10" t="s">
        <v>146</v>
      </c>
      <c r="E33" s="13"/>
      <c r="F33" s="10" t="s">
        <v>149</v>
      </c>
      <c r="G33" s="12">
        <v>2.4</v>
      </c>
      <c r="I33" s="12" t="b">
        <v>0</v>
      </c>
      <c r="J33" s="12" t="s">
        <v>59</v>
      </c>
      <c r="K33" s="12" t="s">
        <v>152</v>
      </c>
      <c r="N33" s="12" t="b">
        <v>1</v>
      </c>
      <c r="O33" s="12" t="s">
        <v>54</v>
      </c>
      <c r="R33" s="12" t="s">
        <v>379</v>
      </c>
    </row>
    <row r="34" hidden="1">
      <c r="A34" s="10">
        <v>2253366.0</v>
      </c>
      <c r="B34" s="11">
        <v>46206.66688657407</v>
      </c>
      <c r="C34" s="10" t="s">
        <v>50</v>
      </c>
      <c r="D34" s="10" t="s">
        <v>382</v>
      </c>
      <c r="E34" s="13"/>
      <c r="F34" s="10" t="s">
        <v>94</v>
      </c>
      <c r="G34" s="12">
        <v>10.32</v>
      </c>
      <c r="I34" s="12" t="b">
        <v>0</v>
      </c>
      <c r="J34" s="12" t="s">
        <v>59</v>
      </c>
      <c r="K34" s="12" t="s">
        <v>78</v>
      </c>
      <c r="N34" s="12" t="b">
        <v>1</v>
      </c>
      <c r="O34" s="12" t="s">
        <v>54</v>
      </c>
      <c r="R34" s="12" t="s">
        <v>387</v>
      </c>
    </row>
    <row r="35" hidden="1">
      <c r="A35" s="10">
        <v>2254578.0</v>
      </c>
      <c r="B35" s="11">
        <v>46207.56979166667</v>
      </c>
      <c r="C35" s="10" t="s">
        <v>50</v>
      </c>
      <c r="D35" s="10" t="s">
        <v>391</v>
      </c>
      <c r="E35" s="18"/>
      <c r="F35" s="10" t="s">
        <v>94</v>
      </c>
      <c r="G35" s="12">
        <v>9.51</v>
      </c>
      <c r="I35" s="12" t="b">
        <v>0</v>
      </c>
      <c r="J35" s="12" t="s">
        <v>59</v>
      </c>
      <c r="K35" s="12" t="s">
        <v>78</v>
      </c>
      <c r="N35" s="12" t="b">
        <v>1</v>
      </c>
      <c r="O35" s="12" t="s">
        <v>54</v>
      </c>
      <c r="R35" s="12" t="s">
        <v>398</v>
      </c>
    </row>
    <row r="36" hidden="1">
      <c r="A36" s="10">
        <v>2254580.0</v>
      </c>
      <c r="B36" s="11">
        <v>46207.57001157408</v>
      </c>
      <c r="C36" s="10" t="s">
        <v>50</v>
      </c>
      <c r="D36" s="10" t="s">
        <v>405</v>
      </c>
      <c r="E36" s="13"/>
      <c r="F36" s="10" t="s">
        <v>122</v>
      </c>
      <c r="G36" s="12">
        <v>6.44</v>
      </c>
      <c r="I36" s="12" t="b">
        <v>0</v>
      </c>
      <c r="J36" s="12" t="s">
        <v>59</v>
      </c>
      <c r="K36" s="12" t="s">
        <v>62</v>
      </c>
      <c r="N36" s="12" t="b">
        <v>1</v>
      </c>
      <c r="O36" s="12" t="s">
        <v>54</v>
      </c>
      <c r="R36" s="12" t="s">
        <v>408</v>
      </c>
    </row>
    <row r="37" hidden="1">
      <c r="A37" s="10">
        <v>2254583.0</v>
      </c>
      <c r="B37" s="11">
        <v>46207.57063657408</v>
      </c>
      <c r="C37" s="10" t="s">
        <v>50</v>
      </c>
      <c r="D37" s="10" t="s">
        <v>411</v>
      </c>
      <c r="E37" s="13"/>
      <c r="F37" s="10" t="s">
        <v>414</v>
      </c>
      <c r="G37" s="12">
        <v>3.72</v>
      </c>
      <c r="I37" s="12" t="b">
        <v>0</v>
      </c>
      <c r="J37" s="12" t="s">
        <v>136</v>
      </c>
      <c r="N37" s="12" t="b">
        <v>1</v>
      </c>
      <c r="O37" s="12" t="s">
        <v>54</v>
      </c>
      <c r="R37" s="12" t="s">
        <v>417</v>
      </c>
    </row>
    <row r="38" hidden="1">
      <c r="A38" s="10">
        <v>2257088.0</v>
      </c>
      <c r="B38" s="11">
        <v>46208.87056712963</v>
      </c>
      <c r="C38" s="10" t="s">
        <v>50</v>
      </c>
      <c r="D38" s="10" t="s">
        <v>419</v>
      </c>
      <c r="E38" s="13"/>
      <c r="F38" s="10" t="s">
        <v>420</v>
      </c>
      <c r="G38" s="12">
        <v>318.1</v>
      </c>
      <c r="I38" s="12" t="b">
        <v>0</v>
      </c>
      <c r="J38" s="12" t="s">
        <v>136</v>
      </c>
      <c r="N38" s="12" t="b">
        <v>1</v>
      </c>
      <c r="O38" s="12" t="s">
        <v>54</v>
      </c>
      <c r="R38" s="12" t="s">
        <v>425</v>
      </c>
    </row>
    <row r="39" hidden="1">
      <c r="A39" s="10">
        <v>2257090.0</v>
      </c>
      <c r="B39" s="11">
        <v>46208.87085648148</v>
      </c>
      <c r="C39" s="10" t="s">
        <v>50</v>
      </c>
      <c r="D39" s="10" t="s">
        <v>427</v>
      </c>
      <c r="E39" s="13"/>
      <c r="F39" s="10" t="s">
        <v>430</v>
      </c>
      <c r="G39" s="12">
        <v>15.0</v>
      </c>
      <c r="I39" s="12" t="b">
        <v>0</v>
      </c>
      <c r="J39" s="12" t="s">
        <v>136</v>
      </c>
      <c r="N39" s="12" t="b">
        <v>1</v>
      </c>
      <c r="O39" s="12" t="s">
        <v>54</v>
      </c>
      <c r="R39" s="12" t="s">
        <v>433</v>
      </c>
    </row>
    <row r="40" hidden="1">
      <c r="A40" s="10">
        <v>2259687.0</v>
      </c>
      <c r="B40" s="11">
        <v>46210.65865740741</v>
      </c>
      <c r="C40" s="10" t="s">
        <v>50</v>
      </c>
      <c r="D40" s="10" t="s">
        <v>438</v>
      </c>
      <c r="E40" s="13"/>
      <c r="F40" s="10" t="s">
        <v>122</v>
      </c>
      <c r="G40" s="12">
        <v>6.03</v>
      </c>
      <c r="I40" s="12" t="b">
        <v>0</v>
      </c>
      <c r="J40" s="12" t="s">
        <v>59</v>
      </c>
      <c r="K40" s="12" t="s">
        <v>62</v>
      </c>
      <c r="N40" s="12" t="b">
        <v>1</v>
      </c>
      <c r="O40" s="12" t="s">
        <v>54</v>
      </c>
      <c r="R40" s="12" t="s">
        <v>443</v>
      </c>
    </row>
    <row r="41" hidden="1">
      <c r="A41" s="10">
        <v>2260034.0</v>
      </c>
      <c r="B41" s="11">
        <v>46210.781122685185</v>
      </c>
      <c r="C41" s="10" t="s">
        <v>50</v>
      </c>
      <c r="D41" s="10" t="s">
        <v>438</v>
      </c>
      <c r="E41" s="13"/>
      <c r="F41" s="10" t="s">
        <v>149</v>
      </c>
      <c r="G41" s="12">
        <v>6.03</v>
      </c>
      <c r="I41" s="12" t="b">
        <v>0</v>
      </c>
      <c r="J41" s="12" t="s">
        <v>59</v>
      </c>
      <c r="K41" s="12" t="s">
        <v>152</v>
      </c>
      <c r="N41" s="12" t="b">
        <v>1</v>
      </c>
      <c r="O41" s="12" t="s">
        <v>54</v>
      </c>
      <c r="R41" s="12" t="s">
        <v>450</v>
      </c>
    </row>
    <row r="42" hidden="1">
      <c r="A42" s="10">
        <v>2260142.0</v>
      </c>
      <c r="B42" s="11">
        <v>46210.83903935185</v>
      </c>
      <c r="C42" s="10" t="s">
        <v>50</v>
      </c>
      <c r="D42" s="10" t="s">
        <v>452</v>
      </c>
      <c r="E42" s="13"/>
      <c r="F42" s="10" t="s">
        <v>149</v>
      </c>
      <c r="G42" s="12">
        <v>10.63</v>
      </c>
      <c r="I42" s="12" t="b">
        <v>0</v>
      </c>
      <c r="J42" s="12" t="s">
        <v>59</v>
      </c>
      <c r="K42" s="12" t="s">
        <v>152</v>
      </c>
      <c r="N42" s="12" t="b">
        <v>1</v>
      </c>
      <c r="O42" s="12" t="s">
        <v>54</v>
      </c>
      <c r="R42" s="12" t="s">
        <v>458</v>
      </c>
    </row>
    <row r="43" hidden="1">
      <c r="A43" s="10">
        <v>2260144.0</v>
      </c>
      <c r="B43" s="11">
        <v>46210.839479166665</v>
      </c>
      <c r="C43" s="10" t="s">
        <v>50</v>
      </c>
      <c r="D43" s="10" t="s">
        <v>460</v>
      </c>
      <c r="E43" s="13"/>
      <c r="F43" s="10" t="s">
        <v>465</v>
      </c>
      <c r="G43" s="12">
        <v>21.9</v>
      </c>
      <c r="I43" s="12" t="b">
        <v>0</v>
      </c>
      <c r="J43" s="12" t="s">
        <v>136</v>
      </c>
      <c r="M43" s="16" t="s">
        <v>467</v>
      </c>
      <c r="N43" s="12" t="b">
        <v>1</v>
      </c>
      <c r="O43" s="12" t="s">
        <v>54</v>
      </c>
      <c r="R43" s="12" t="s">
        <v>469</v>
      </c>
    </row>
    <row r="44" hidden="1">
      <c r="A44" s="10">
        <v>2260147.0</v>
      </c>
      <c r="B44" s="11">
        <v>46210.84025462963</v>
      </c>
      <c r="C44" s="10" t="s">
        <v>50</v>
      </c>
      <c r="D44" s="10" t="s">
        <v>473</v>
      </c>
      <c r="E44" s="18"/>
      <c r="F44" s="10" t="s">
        <v>474</v>
      </c>
      <c r="G44" s="12">
        <v>56.79</v>
      </c>
      <c r="I44" s="12" t="b">
        <v>0</v>
      </c>
      <c r="J44" s="12" t="s">
        <v>136</v>
      </c>
      <c r="M44" s="16" t="s">
        <v>477</v>
      </c>
      <c r="N44" s="12" t="b">
        <v>1</v>
      </c>
      <c r="O44" s="12" t="s">
        <v>54</v>
      </c>
      <c r="R44" s="12" t="s">
        <v>481</v>
      </c>
    </row>
    <row r="45" hidden="1">
      <c r="A45" s="10">
        <v>2260881.0</v>
      </c>
      <c r="B45" s="11">
        <v>46211.57952546296</v>
      </c>
      <c r="C45" s="10" t="s">
        <v>50</v>
      </c>
      <c r="D45" s="10" t="s">
        <v>484</v>
      </c>
      <c r="E45" s="13"/>
      <c r="F45" s="10" t="s">
        <v>485</v>
      </c>
      <c r="G45" s="12">
        <v>620.0</v>
      </c>
      <c r="I45" s="12" t="b">
        <v>0</v>
      </c>
      <c r="J45" s="12" t="s">
        <v>230</v>
      </c>
      <c r="N45" s="12" t="b">
        <v>1</v>
      </c>
      <c r="O45" s="12" t="s">
        <v>54</v>
      </c>
      <c r="R45" s="12" t="s">
        <v>490</v>
      </c>
    </row>
    <row r="46" hidden="1">
      <c r="A46" s="10">
        <v>2260882.0</v>
      </c>
      <c r="B46" s="11">
        <v>46211.57990740741</v>
      </c>
      <c r="C46" s="10" t="s">
        <v>227</v>
      </c>
      <c r="D46" s="10" t="s">
        <v>494</v>
      </c>
      <c r="E46" s="13"/>
      <c r="F46" s="10" t="s">
        <v>496</v>
      </c>
      <c r="G46" s="12">
        <v>0.01</v>
      </c>
      <c r="I46" s="12" t="b">
        <v>0</v>
      </c>
      <c r="J46" s="12" t="s">
        <v>230</v>
      </c>
      <c r="N46" s="12" t="b">
        <v>1</v>
      </c>
      <c r="O46" s="12" t="s">
        <v>54</v>
      </c>
      <c r="R46" s="12" t="s">
        <v>498</v>
      </c>
    </row>
    <row r="47" hidden="1">
      <c r="A47" s="10">
        <v>2260885.0</v>
      </c>
      <c r="B47" s="11">
        <v>46211.580347222225</v>
      </c>
      <c r="C47" s="10" t="s">
        <v>50</v>
      </c>
      <c r="D47" s="10" t="s">
        <v>246</v>
      </c>
      <c r="E47" s="13"/>
      <c r="F47" s="10" t="s">
        <v>122</v>
      </c>
      <c r="G47" s="12">
        <v>3.2</v>
      </c>
      <c r="I47" s="12" t="b">
        <v>0</v>
      </c>
      <c r="J47" s="12" t="s">
        <v>59</v>
      </c>
      <c r="K47" s="12" t="s">
        <v>62</v>
      </c>
      <c r="N47" s="12" t="b">
        <v>1</v>
      </c>
      <c r="O47" s="12" t="s">
        <v>54</v>
      </c>
      <c r="R47" s="12" t="s">
        <v>508</v>
      </c>
    </row>
    <row r="48" hidden="1">
      <c r="A48" s="10">
        <v>2260997.0</v>
      </c>
      <c r="B48" s="11">
        <v>46211.648877314816</v>
      </c>
      <c r="C48" s="10" t="s">
        <v>50</v>
      </c>
      <c r="D48" s="10" t="s">
        <v>511</v>
      </c>
      <c r="E48" s="13"/>
      <c r="F48" s="10" t="s">
        <v>94</v>
      </c>
      <c r="G48" s="12">
        <v>5.73</v>
      </c>
      <c r="I48" s="12" t="b">
        <v>0</v>
      </c>
      <c r="J48" s="12" t="s">
        <v>59</v>
      </c>
      <c r="K48" s="12" t="s">
        <v>78</v>
      </c>
      <c r="N48" s="12" t="b">
        <v>1</v>
      </c>
      <c r="O48" s="12" t="s">
        <v>54</v>
      </c>
      <c r="R48" s="12" t="s">
        <v>516</v>
      </c>
    </row>
    <row r="49" hidden="1">
      <c r="A49" s="10">
        <v>2261022.0</v>
      </c>
      <c r="B49" s="11">
        <v>46211.655</v>
      </c>
      <c r="C49" s="10" t="s">
        <v>50</v>
      </c>
      <c r="D49" s="10" t="s">
        <v>520</v>
      </c>
      <c r="E49" s="13"/>
      <c r="F49" s="10" t="s">
        <v>122</v>
      </c>
      <c r="G49" s="12">
        <v>4.5</v>
      </c>
      <c r="I49" s="12" t="b">
        <v>0</v>
      </c>
      <c r="J49" s="12" t="s">
        <v>59</v>
      </c>
      <c r="K49" s="12" t="s">
        <v>62</v>
      </c>
      <c r="N49" s="12" t="b">
        <v>1</v>
      </c>
      <c r="O49" s="12" t="s">
        <v>54</v>
      </c>
      <c r="R49" s="12" t="s">
        <v>524</v>
      </c>
    </row>
    <row r="50" hidden="1">
      <c r="A50" s="10">
        <v>2261107.0</v>
      </c>
      <c r="B50" s="11">
        <v>46211.68141203704</v>
      </c>
      <c r="C50" s="10" t="s">
        <v>50</v>
      </c>
      <c r="D50" s="10" t="s">
        <v>528</v>
      </c>
      <c r="E50" s="13"/>
      <c r="F50" s="10" t="s">
        <v>529</v>
      </c>
      <c r="G50" s="12">
        <v>79.0</v>
      </c>
      <c r="I50" s="12" t="b">
        <v>0</v>
      </c>
      <c r="J50" s="12" t="s">
        <v>136</v>
      </c>
      <c r="M50" s="16" t="s">
        <v>531</v>
      </c>
      <c r="N50" s="12" t="b">
        <v>1</v>
      </c>
      <c r="O50" s="12" t="s">
        <v>54</v>
      </c>
      <c r="R50" s="12" t="s">
        <v>534</v>
      </c>
    </row>
    <row r="51" hidden="1">
      <c r="A51" s="10">
        <v>2261120.0</v>
      </c>
      <c r="B51" s="11">
        <v>46211.685115740744</v>
      </c>
      <c r="C51" s="10" t="s">
        <v>50</v>
      </c>
      <c r="D51" s="10" t="s">
        <v>537</v>
      </c>
      <c r="E51" s="13"/>
      <c r="F51" s="10" t="s">
        <v>539</v>
      </c>
      <c r="G51" s="12">
        <v>42.5</v>
      </c>
      <c r="I51" s="12" t="b">
        <v>0</v>
      </c>
      <c r="J51" s="12" t="s">
        <v>136</v>
      </c>
      <c r="M51" s="16" t="s">
        <v>544</v>
      </c>
      <c r="N51" s="12" t="b">
        <v>1</v>
      </c>
      <c r="O51" s="12" t="s">
        <v>54</v>
      </c>
      <c r="R51" s="12" t="s">
        <v>546</v>
      </c>
    </row>
    <row r="52" hidden="1">
      <c r="A52" s="10">
        <v>2261123.0</v>
      </c>
      <c r="B52" s="11">
        <v>46211.68548611111</v>
      </c>
      <c r="C52" s="10" t="s">
        <v>50</v>
      </c>
      <c r="D52" s="10" t="s">
        <v>548</v>
      </c>
      <c r="E52" s="13"/>
      <c r="F52" s="10" t="s">
        <v>551</v>
      </c>
      <c r="G52" s="12">
        <v>70.0</v>
      </c>
      <c r="I52" s="12" t="b">
        <v>0</v>
      </c>
      <c r="J52" s="12" t="s">
        <v>136</v>
      </c>
      <c r="M52" s="16" t="s">
        <v>553</v>
      </c>
      <c r="N52" s="12" t="b">
        <v>1</v>
      </c>
      <c r="O52" s="12" t="s">
        <v>54</v>
      </c>
      <c r="R52" s="12" t="s">
        <v>554</v>
      </c>
    </row>
    <row r="53" hidden="1">
      <c r="A53" s="10">
        <v>2261126.0</v>
      </c>
      <c r="B53" s="11">
        <v>46211.68582175926</v>
      </c>
      <c r="C53" s="10" t="s">
        <v>50</v>
      </c>
      <c r="D53" s="10" t="s">
        <v>557</v>
      </c>
      <c r="E53" s="13"/>
      <c r="F53" s="10" t="s">
        <v>559</v>
      </c>
      <c r="G53" s="12">
        <v>31.8</v>
      </c>
      <c r="I53" s="12" t="b">
        <v>0</v>
      </c>
      <c r="J53" s="12" t="s">
        <v>136</v>
      </c>
      <c r="M53" s="16" t="s">
        <v>562</v>
      </c>
      <c r="N53" s="12" t="b">
        <v>1</v>
      </c>
      <c r="O53" s="12" t="s">
        <v>54</v>
      </c>
      <c r="R53" s="12" t="s">
        <v>563</v>
      </c>
    </row>
    <row r="54" hidden="1">
      <c r="A54" s="10">
        <v>2261169.0</v>
      </c>
      <c r="B54" s="11">
        <v>46211.699953703705</v>
      </c>
      <c r="C54" s="10" t="s">
        <v>50</v>
      </c>
      <c r="D54" s="10" t="s">
        <v>566</v>
      </c>
      <c r="E54" s="13"/>
      <c r="F54" s="10" t="s">
        <v>568</v>
      </c>
      <c r="G54" s="12">
        <v>20.58</v>
      </c>
      <c r="I54" s="12" t="b">
        <v>1</v>
      </c>
      <c r="J54" s="12" t="s">
        <v>570</v>
      </c>
      <c r="N54" s="12" t="b">
        <v>1</v>
      </c>
      <c r="O54" s="12" t="s">
        <v>54</v>
      </c>
      <c r="R54" s="12" t="s">
        <v>572</v>
      </c>
    </row>
    <row r="55" hidden="1">
      <c r="A55" s="10">
        <v>2261286.0</v>
      </c>
      <c r="B55" s="11">
        <v>46211.73915509259</v>
      </c>
      <c r="C55" s="10" t="s">
        <v>50</v>
      </c>
      <c r="D55" s="10" t="s">
        <v>246</v>
      </c>
      <c r="E55" s="13"/>
      <c r="F55" s="10" t="s">
        <v>577</v>
      </c>
      <c r="G55" s="12">
        <v>3.2</v>
      </c>
      <c r="I55" s="12" t="b">
        <v>0</v>
      </c>
      <c r="J55" s="12" t="s">
        <v>59</v>
      </c>
      <c r="K55" s="12" t="s">
        <v>62</v>
      </c>
      <c r="N55" s="12" t="b">
        <v>1</v>
      </c>
      <c r="O55" s="12" t="s">
        <v>54</v>
      </c>
      <c r="R55" s="12" t="s">
        <v>508</v>
      </c>
    </row>
    <row r="56" hidden="1">
      <c r="A56" s="10">
        <v>2261370.0</v>
      </c>
      <c r="B56" s="11">
        <v>46211.76802083333</v>
      </c>
      <c r="C56" s="10" t="s">
        <v>50</v>
      </c>
      <c r="D56" s="10" t="s">
        <v>583</v>
      </c>
      <c r="E56" s="18"/>
      <c r="F56" s="10" t="s">
        <v>122</v>
      </c>
      <c r="G56" s="12">
        <v>11.55</v>
      </c>
      <c r="I56" s="12" t="b">
        <v>0</v>
      </c>
      <c r="J56" s="12" t="s">
        <v>59</v>
      </c>
      <c r="K56" s="12" t="s">
        <v>62</v>
      </c>
      <c r="N56" s="12" t="b">
        <v>1</v>
      </c>
      <c r="O56" s="12" t="s">
        <v>54</v>
      </c>
      <c r="R56" s="12" t="s">
        <v>589</v>
      </c>
    </row>
    <row r="57" hidden="1">
      <c r="A57" s="10">
        <v>2262401.0</v>
      </c>
      <c r="B57" s="11">
        <v>46212.617476851854</v>
      </c>
      <c r="C57" s="10" t="s">
        <v>50</v>
      </c>
      <c r="D57" s="10" t="s">
        <v>593</v>
      </c>
      <c r="E57" s="13"/>
      <c r="F57" s="10" t="s">
        <v>94</v>
      </c>
      <c r="G57" s="12">
        <v>10.14</v>
      </c>
      <c r="I57" s="12" t="b">
        <v>0</v>
      </c>
      <c r="J57" s="12" t="s">
        <v>59</v>
      </c>
      <c r="K57" s="12" t="s">
        <v>78</v>
      </c>
      <c r="N57" s="12" t="b">
        <v>1</v>
      </c>
      <c r="O57" s="12" t="s">
        <v>54</v>
      </c>
      <c r="R57" s="12" t="s">
        <v>600</v>
      </c>
    </row>
    <row r="58" hidden="1">
      <c r="A58" s="10">
        <v>2262688.0</v>
      </c>
      <c r="B58" s="11">
        <v>46212.708865740744</v>
      </c>
      <c r="C58" s="10" t="s">
        <v>50</v>
      </c>
      <c r="D58" s="10" t="s">
        <v>602</v>
      </c>
      <c r="E58" s="13"/>
      <c r="F58" s="10" t="s">
        <v>604</v>
      </c>
      <c r="G58" s="12">
        <v>153.0</v>
      </c>
      <c r="I58" s="12" t="b">
        <v>0</v>
      </c>
      <c r="J58" s="12" t="s">
        <v>230</v>
      </c>
      <c r="N58" s="12" t="b">
        <v>1</v>
      </c>
      <c r="O58" s="12" t="s">
        <v>54</v>
      </c>
      <c r="R58" s="12" t="s">
        <v>610</v>
      </c>
    </row>
    <row r="59" hidden="1">
      <c r="A59" s="10">
        <v>2262690.0</v>
      </c>
      <c r="B59" s="11">
        <v>46212.70921296296</v>
      </c>
      <c r="C59" s="10" t="s">
        <v>227</v>
      </c>
      <c r="D59" s="10" t="s">
        <v>494</v>
      </c>
      <c r="E59" s="18"/>
      <c r="F59" s="10" t="s">
        <v>617</v>
      </c>
      <c r="G59" s="12">
        <v>0.01</v>
      </c>
      <c r="I59" s="12" t="b">
        <v>0</v>
      </c>
      <c r="J59" s="12" t="s">
        <v>230</v>
      </c>
      <c r="N59" s="12" t="b">
        <v>1</v>
      </c>
      <c r="O59" s="12" t="s">
        <v>54</v>
      </c>
      <c r="R59" s="12" t="s">
        <v>619</v>
      </c>
    </row>
    <row r="60" hidden="1">
      <c r="A60" s="10">
        <v>2264053.0</v>
      </c>
      <c r="B60" s="11">
        <v>46213.61332175926</v>
      </c>
      <c r="C60" s="10" t="s">
        <v>50</v>
      </c>
      <c r="D60" s="10" t="s">
        <v>624</v>
      </c>
      <c r="E60" s="13"/>
      <c r="F60" s="10" t="s">
        <v>626</v>
      </c>
      <c r="G60" s="12">
        <v>130.0</v>
      </c>
      <c r="I60" s="12" t="b">
        <v>0</v>
      </c>
      <c r="J60" s="12" t="s">
        <v>230</v>
      </c>
      <c r="N60" s="12" t="b">
        <v>1</v>
      </c>
      <c r="O60" s="12" t="s">
        <v>54</v>
      </c>
      <c r="R60" s="12" t="s">
        <v>631</v>
      </c>
    </row>
    <row r="61" hidden="1">
      <c r="A61" s="10">
        <v>2264055.0</v>
      </c>
      <c r="B61" s="11">
        <v>46213.613587962966</v>
      </c>
      <c r="C61" s="10" t="s">
        <v>227</v>
      </c>
      <c r="D61" s="10" t="s">
        <v>494</v>
      </c>
      <c r="E61" s="13"/>
      <c r="F61" s="10" t="s">
        <v>636</v>
      </c>
      <c r="G61" s="12">
        <v>0.01</v>
      </c>
      <c r="I61" s="12" t="b">
        <v>0</v>
      </c>
      <c r="J61" s="12" t="s">
        <v>230</v>
      </c>
      <c r="N61" s="12" t="b">
        <v>1</v>
      </c>
      <c r="O61" s="12" t="s">
        <v>54</v>
      </c>
      <c r="R61" s="12" t="s">
        <v>640</v>
      </c>
    </row>
    <row r="62" hidden="1">
      <c r="A62" s="10">
        <v>2264059.0</v>
      </c>
      <c r="B62" s="11">
        <v>46213.61454861111</v>
      </c>
      <c r="C62" s="10" t="s">
        <v>50</v>
      </c>
      <c r="D62" s="10" t="s">
        <v>644</v>
      </c>
      <c r="E62" s="13"/>
      <c r="F62" s="10" t="s">
        <v>647</v>
      </c>
      <c r="G62" s="12">
        <v>210.0</v>
      </c>
      <c r="I62" s="12" t="b">
        <v>0</v>
      </c>
      <c r="J62" s="12" t="s">
        <v>136</v>
      </c>
      <c r="M62" s="12" t="s">
        <v>650</v>
      </c>
      <c r="N62" s="12" t="b">
        <v>1</v>
      </c>
      <c r="O62" s="12" t="s">
        <v>54</v>
      </c>
      <c r="R62" s="12" t="s">
        <v>652</v>
      </c>
    </row>
    <row r="63" hidden="1">
      <c r="A63" s="10">
        <v>2264066.0</v>
      </c>
      <c r="B63" s="11">
        <v>46213.61771990741</v>
      </c>
      <c r="C63" s="10" t="s">
        <v>50</v>
      </c>
      <c r="D63" s="10" t="s">
        <v>656</v>
      </c>
      <c r="E63" s="13"/>
      <c r="F63" s="10" t="s">
        <v>659</v>
      </c>
      <c r="G63" s="12">
        <v>95.96</v>
      </c>
      <c r="I63" s="12" t="b">
        <v>0</v>
      </c>
      <c r="J63" s="12" t="s">
        <v>136</v>
      </c>
      <c r="M63" s="12" t="s">
        <v>662</v>
      </c>
      <c r="N63" s="12" t="b">
        <v>1</v>
      </c>
      <c r="O63" s="12" t="s">
        <v>54</v>
      </c>
      <c r="R63" s="12" t="s">
        <v>665</v>
      </c>
    </row>
    <row r="64" hidden="1">
      <c r="A64" s="10">
        <v>2265656.0</v>
      </c>
      <c r="B64" s="11">
        <v>46214.60768518518</v>
      </c>
      <c r="C64" s="10" t="s">
        <v>50</v>
      </c>
      <c r="D64" s="10" t="s">
        <v>670</v>
      </c>
      <c r="E64" s="13"/>
      <c r="F64" s="10" t="s">
        <v>122</v>
      </c>
      <c r="G64" s="12">
        <v>7.66</v>
      </c>
      <c r="I64" s="12" t="b">
        <v>0</v>
      </c>
      <c r="J64" s="12" t="s">
        <v>59</v>
      </c>
      <c r="K64" s="12" t="s">
        <v>62</v>
      </c>
      <c r="N64" s="12" t="b">
        <v>1</v>
      </c>
      <c r="O64" s="12" t="s">
        <v>54</v>
      </c>
      <c r="R64" s="12" t="s">
        <v>678</v>
      </c>
    </row>
    <row r="65" hidden="1">
      <c r="A65" s="10">
        <v>2265982.0</v>
      </c>
      <c r="B65" s="11">
        <v>46214.714837962965</v>
      </c>
      <c r="C65" s="10" t="s">
        <v>50</v>
      </c>
      <c r="D65" s="10" t="s">
        <v>681</v>
      </c>
      <c r="E65" s="13"/>
      <c r="F65" s="10" t="s">
        <v>94</v>
      </c>
      <c r="G65" s="12">
        <v>5.82</v>
      </c>
      <c r="I65" s="12" t="b">
        <v>0</v>
      </c>
      <c r="J65" s="12" t="s">
        <v>59</v>
      </c>
      <c r="K65" s="12" t="s">
        <v>78</v>
      </c>
      <c r="N65" s="12" t="b">
        <v>1</v>
      </c>
      <c r="O65" s="12" t="s">
        <v>54</v>
      </c>
      <c r="R65" s="12" t="s">
        <v>688</v>
      </c>
    </row>
    <row r="66" hidden="1">
      <c r="A66" s="10">
        <v>2266298.0</v>
      </c>
      <c r="B66" s="11">
        <v>46214.823333333334</v>
      </c>
      <c r="C66" s="10" t="s">
        <v>50</v>
      </c>
      <c r="D66" s="10" t="s">
        <v>438</v>
      </c>
      <c r="E66" s="13"/>
      <c r="F66" s="10" t="s">
        <v>94</v>
      </c>
      <c r="G66" s="12">
        <v>6.03</v>
      </c>
      <c r="I66" s="12" t="b">
        <v>0</v>
      </c>
      <c r="J66" s="12" t="s">
        <v>59</v>
      </c>
      <c r="K66" s="12" t="s">
        <v>78</v>
      </c>
      <c r="N66" s="12" t="b">
        <v>1</v>
      </c>
      <c r="O66" s="12" t="s">
        <v>54</v>
      </c>
      <c r="R66" s="12" t="s">
        <v>696</v>
      </c>
    </row>
    <row r="67" hidden="1">
      <c r="A67" s="10">
        <v>2266334.0</v>
      </c>
      <c r="B67" s="11">
        <v>46214.8315625</v>
      </c>
      <c r="C67" s="10" t="s">
        <v>50</v>
      </c>
      <c r="D67" s="10" t="s">
        <v>157</v>
      </c>
      <c r="E67" s="13"/>
      <c r="F67" s="10" t="s">
        <v>133</v>
      </c>
      <c r="G67" s="12">
        <v>5.0</v>
      </c>
      <c r="I67" s="12" t="b">
        <v>0</v>
      </c>
      <c r="J67" s="12" t="s">
        <v>136</v>
      </c>
      <c r="N67" s="12" t="b">
        <v>1</v>
      </c>
      <c r="O67" s="12" t="s">
        <v>54</v>
      </c>
      <c r="R67" s="12" t="s">
        <v>705</v>
      </c>
    </row>
    <row r="68" hidden="1">
      <c r="A68" s="10">
        <v>2266409.0</v>
      </c>
      <c r="B68" s="11">
        <v>46214.855578703704</v>
      </c>
      <c r="C68" s="10" t="s">
        <v>50</v>
      </c>
      <c r="D68" s="10" t="s">
        <v>708</v>
      </c>
      <c r="E68" s="13"/>
      <c r="F68" s="10" t="s">
        <v>122</v>
      </c>
      <c r="G68" s="12">
        <v>6.4</v>
      </c>
      <c r="I68" s="12" t="b">
        <v>0</v>
      </c>
      <c r="J68" s="12" t="s">
        <v>59</v>
      </c>
      <c r="K68" s="12" t="s">
        <v>62</v>
      </c>
      <c r="N68" s="12" t="b">
        <v>1</v>
      </c>
      <c r="O68" s="12" t="s">
        <v>54</v>
      </c>
      <c r="R68" s="12" t="s">
        <v>714</v>
      </c>
    </row>
    <row r="69" hidden="1">
      <c r="A69" s="10">
        <v>2268416.0</v>
      </c>
      <c r="B69" s="11">
        <v>46215.831828703704</v>
      </c>
      <c r="C69" s="10" t="s">
        <v>50</v>
      </c>
      <c r="D69" s="10" t="s">
        <v>719</v>
      </c>
      <c r="E69" s="13"/>
      <c r="F69" s="10" t="s">
        <v>723</v>
      </c>
      <c r="G69" s="12">
        <v>500.0</v>
      </c>
      <c r="I69" s="12" t="b">
        <v>0</v>
      </c>
      <c r="J69" s="12" t="s">
        <v>725</v>
      </c>
      <c r="K69" s="12" t="s">
        <v>727</v>
      </c>
      <c r="N69" s="12" t="b">
        <v>1</v>
      </c>
      <c r="O69" s="12" t="s">
        <v>54</v>
      </c>
      <c r="R69" s="12" t="s">
        <v>729</v>
      </c>
    </row>
    <row r="70" hidden="1">
      <c r="A70" s="10">
        <v>2268418.0</v>
      </c>
      <c r="B70" s="11">
        <v>46215.83212962963</v>
      </c>
      <c r="C70" s="10" t="s">
        <v>50</v>
      </c>
      <c r="D70" s="10" t="s">
        <v>735</v>
      </c>
      <c r="E70" s="13"/>
      <c r="F70" s="10" t="s">
        <v>744</v>
      </c>
      <c r="G70" s="12">
        <v>366.04</v>
      </c>
      <c r="I70" s="12" t="b">
        <v>0</v>
      </c>
      <c r="J70" s="12" t="s">
        <v>136</v>
      </c>
      <c r="N70" s="12" t="b">
        <v>1</v>
      </c>
      <c r="O70" s="12" t="s">
        <v>54</v>
      </c>
      <c r="R70" s="12" t="s">
        <v>749</v>
      </c>
    </row>
    <row r="71" hidden="1">
      <c r="A71" s="10">
        <v>2268420.0</v>
      </c>
      <c r="B71" s="11">
        <v>46215.83236111111</v>
      </c>
      <c r="C71" s="10" t="s">
        <v>50</v>
      </c>
      <c r="D71" s="10" t="s">
        <v>752</v>
      </c>
      <c r="E71" s="13"/>
      <c r="F71" s="10" t="s">
        <v>756</v>
      </c>
      <c r="G71" s="12">
        <v>11.11</v>
      </c>
      <c r="I71" s="12" t="b">
        <v>0</v>
      </c>
      <c r="J71" s="12" t="s">
        <v>136</v>
      </c>
      <c r="N71" s="12" t="b">
        <v>1</v>
      </c>
      <c r="O71" s="12" t="s">
        <v>54</v>
      </c>
      <c r="R71" s="12" t="s">
        <v>759</v>
      </c>
    </row>
    <row r="72" hidden="1">
      <c r="A72" s="10">
        <v>2268523.0</v>
      </c>
      <c r="B72" s="11">
        <v>46215.854583333334</v>
      </c>
      <c r="C72" s="10" t="s">
        <v>50</v>
      </c>
      <c r="D72" s="10" t="s">
        <v>764</v>
      </c>
      <c r="E72" s="13"/>
      <c r="F72" s="10" t="s">
        <v>149</v>
      </c>
      <c r="G72" s="12">
        <v>27.7</v>
      </c>
      <c r="I72" s="12" t="b">
        <v>0</v>
      </c>
      <c r="J72" s="12" t="s">
        <v>59</v>
      </c>
      <c r="K72" s="12" t="s">
        <v>152</v>
      </c>
      <c r="N72" s="12" t="b">
        <v>1</v>
      </c>
      <c r="O72" s="12" t="s">
        <v>54</v>
      </c>
      <c r="R72" s="12" t="s">
        <v>773</v>
      </c>
    </row>
    <row r="73" hidden="1">
      <c r="A73" s="10">
        <v>2268539.0</v>
      </c>
      <c r="B73" s="11">
        <v>46215.85686342593</v>
      </c>
      <c r="C73" s="10" t="s">
        <v>50</v>
      </c>
      <c r="D73" s="10" t="s">
        <v>778</v>
      </c>
      <c r="E73" s="13"/>
      <c r="F73" s="10" t="s">
        <v>149</v>
      </c>
      <c r="G73" s="12">
        <v>9.92</v>
      </c>
      <c r="I73" s="12" t="b">
        <v>0</v>
      </c>
      <c r="J73" s="12" t="s">
        <v>59</v>
      </c>
      <c r="K73" s="12" t="s">
        <v>152</v>
      </c>
      <c r="N73" s="12" t="b">
        <v>1</v>
      </c>
      <c r="O73" s="12" t="s">
        <v>54</v>
      </c>
      <c r="R73" s="12" t="s">
        <v>790</v>
      </c>
    </row>
    <row r="74" hidden="1">
      <c r="A74" s="10">
        <v>2269703.0</v>
      </c>
      <c r="B74" s="11">
        <v>46216.556597222225</v>
      </c>
      <c r="C74" s="10" t="s">
        <v>50</v>
      </c>
      <c r="D74" s="10" t="s">
        <v>793</v>
      </c>
      <c r="E74" s="18"/>
      <c r="F74" s="10" t="s">
        <v>796</v>
      </c>
      <c r="G74" s="12">
        <v>58.97</v>
      </c>
      <c r="I74" s="12" t="b">
        <v>0</v>
      </c>
      <c r="J74" s="12" t="s">
        <v>136</v>
      </c>
      <c r="M74" s="12" t="s">
        <v>799</v>
      </c>
      <c r="N74" s="12" t="b">
        <v>1</v>
      </c>
      <c r="O74" s="12" t="s">
        <v>54</v>
      </c>
      <c r="R74" s="12" t="s">
        <v>801</v>
      </c>
    </row>
    <row r="75" hidden="1">
      <c r="A75" s="10">
        <v>2269705.0</v>
      </c>
      <c r="B75" s="11">
        <v>46216.557071759256</v>
      </c>
      <c r="C75" s="10" t="s">
        <v>50</v>
      </c>
      <c r="D75" s="10" t="s">
        <v>807</v>
      </c>
      <c r="E75" s="13"/>
      <c r="F75" s="10" t="s">
        <v>810</v>
      </c>
      <c r="G75" s="12">
        <v>39.98</v>
      </c>
      <c r="I75" s="12" t="b">
        <v>0</v>
      </c>
      <c r="J75" s="12" t="s">
        <v>136</v>
      </c>
      <c r="M75" s="12" t="s">
        <v>812</v>
      </c>
      <c r="N75" s="12" t="b">
        <v>1</v>
      </c>
      <c r="O75" s="12" t="s">
        <v>54</v>
      </c>
      <c r="R75" s="12" t="s">
        <v>816</v>
      </c>
    </row>
    <row r="76" hidden="1">
      <c r="A76" s="10">
        <v>2270252.0</v>
      </c>
      <c r="B76" s="11">
        <v>46216.7509375</v>
      </c>
      <c r="C76" s="10" t="s">
        <v>50</v>
      </c>
      <c r="D76" s="10" t="s">
        <v>823</v>
      </c>
      <c r="E76" s="13"/>
      <c r="F76" s="10" t="s">
        <v>74</v>
      </c>
      <c r="G76" s="12">
        <v>7.16</v>
      </c>
      <c r="I76" s="12" t="b">
        <v>0</v>
      </c>
      <c r="J76" s="12" t="s">
        <v>59</v>
      </c>
      <c r="K76" s="12" t="s">
        <v>78</v>
      </c>
      <c r="N76" s="12" t="b">
        <v>1</v>
      </c>
      <c r="O76" s="12" t="s">
        <v>54</v>
      </c>
      <c r="R76" s="12" t="s">
        <v>833</v>
      </c>
    </row>
    <row r="77" hidden="1">
      <c r="A77" s="10">
        <v>2271558.0</v>
      </c>
      <c r="B77" s="11">
        <v>46217.71796296296</v>
      </c>
      <c r="C77" s="10" t="s">
        <v>50</v>
      </c>
      <c r="D77" s="10" t="s">
        <v>840</v>
      </c>
      <c r="E77" s="13"/>
      <c r="F77" s="10" t="s">
        <v>843</v>
      </c>
      <c r="G77" s="12">
        <v>9.99</v>
      </c>
      <c r="I77" s="12" t="b">
        <v>0</v>
      </c>
      <c r="J77" s="12" t="s">
        <v>136</v>
      </c>
      <c r="M77" s="12" t="s">
        <v>847</v>
      </c>
      <c r="N77" s="12" t="b">
        <v>1</v>
      </c>
      <c r="O77" s="12" t="s">
        <v>54</v>
      </c>
      <c r="R77" s="12" t="s">
        <v>854</v>
      </c>
    </row>
    <row r="78" hidden="1">
      <c r="A78" s="10">
        <v>2271559.0</v>
      </c>
      <c r="B78" s="11">
        <v>46217.71836805555</v>
      </c>
      <c r="C78" s="10" t="s">
        <v>50</v>
      </c>
      <c r="D78" s="10" t="s">
        <v>857</v>
      </c>
      <c r="E78" s="13"/>
      <c r="F78" s="10" t="s">
        <v>860</v>
      </c>
      <c r="G78" s="12">
        <v>5.85</v>
      </c>
      <c r="I78" s="12" t="b">
        <v>0</v>
      </c>
      <c r="J78" s="12" t="s">
        <v>136</v>
      </c>
      <c r="M78" s="12" t="s">
        <v>864</v>
      </c>
      <c r="N78" s="12" t="b">
        <v>1</v>
      </c>
      <c r="O78" s="12" t="s">
        <v>54</v>
      </c>
      <c r="R78" s="12" t="s">
        <v>867</v>
      </c>
    </row>
    <row r="79" hidden="1">
      <c r="A79" s="10">
        <v>2271671.0</v>
      </c>
      <c r="B79" s="11">
        <v>46217.76248842593</v>
      </c>
      <c r="C79" s="10" t="s">
        <v>50</v>
      </c>
      <c r="D79" s="10" t="s">
        <v>871</v>
      </c>
      <c r="E79" s="13"/>
      <c r="F79" s="10" t="s">
        <v>74</v>
      </c>
      <c r="G79" s="12">
        <v>7.2</v>
      </c>
      <c r="I79" s="12" t="b">
        <v>0</v>
      </c>
      <c r="J79" s="12" t="s">
        <v>59</v>
      </c>
      <c r="K79" s="12" t="s">
        <v>78</v>
      </c>
      <c r="N79" s="12" t="b">
        <v>1</v>
      </c>
      <c r="O79" s="12" t="s">
        <v>54</v>
      </c>
      <c r="R79" s="12" t="s">
        <v>881</v>
      </c>
    </row>
    <row r="80" hidden="1">
      <c r="A80" s="10">
        <v>2271674.0</v>
      </c>
      <c r="B80" s="11">
        <v>46217.76337962963</v>
      </c>
      <c r="C80" s="10" t="s">
        <v>50</v>
      </c>
      <c r="D80" s="10" t="s">
        <v>157</v>
      </c>
      <c r="E80" s="13"/>
      <c r="F80" s="10" t="s">
        <v>149</v>
      </c>
      <c r="G80" s="12">
        <v>4.0</v>
      </c>
      <c r="I80" s="12" t="b">
        <v>0</v>
      </c>
      <c r="J80" s="12" t="s">
        <v>59</v>
      </c>
      <c r="K80" s="12" t="s">
        <v>152</v>
      </c>
      <c r="N80" s="12" t="b">
        <v>1</v>
      </c>
      <c r="O80" s="12" t="s">
        <v>54</v>
      </c>
      <c r="R80" s="12" t="s">
        <v>893</v>
      </c>
    </row>
    <row r="81" hidden="1">
      <c r="A81" s="10">
        <v>2271828.0</v>
      </c>
      <c r="B81" s="11">
        <v>46217.83571759259</v>
      </c>
      <c r="C81" s="10" t="s">
        <v>50</v>
      </c>
      <c r="D81" s="10" t="s">
        <v>339</v>
      </c>
      <c r="E81" s="13"/>
      <c r="F81" s="10" t="s">
        <v>74</v>
      </c>
      <c r="G81" s="12">
        <v>3.92</v>
      </c>
      <c r="I81" s="12" t="b">
        <v>0</v>
      </c>
      <c r="J81" s="12" t="s">
        <v>59</v>
      </c>
      <c r="K81" s="12" t="s">
        <v>78</v>
      </c>
      <c r="N81" s="12" t="b">
        <v>1</v>
      </c>
      <c r="O81" s="12" t="s">
        <v>54</v>
      </c>
      <c r="R81" s="12" t="s">
        <v>908</v>
      </c>
    </row>
    <row r="82" hidden="1">
      <c r="A82" s="10">
        <v>2272648.0</v>
      </c>
      <c r="B82" s="11">
        <v>46218.61452546297</v>
      </c>
      <c r="C82" s="10" t="s">
        <v>50</v>
      </c>
      <c r="D82" s="10" t="s">
        <v>916</v>
      </c>
      <c r="E82" s="13"/>
      <c r="F82" s="10" t="s">
        <v>918</v>
      </c>
      <c r="G82" s="12">
        <v>224.0</v>
      </c>
      <c r="I82" s="12" t="b">
        <v>0</v>
      </c>
      <c r="J82" s="12" t="s">
        <v>136</v>
      </c>
      <c r="M82" s="12" t="s">
        <v>922</v>
      </c>
      <c r="N82" s="12" t="b">
        <v>1</v>
      </c>
      <c r="O82" s="12" t="s">
        <v>54</v>
      </c>
      <c r="R82" s="12" t="s">
        <v>927</v>
      </c>
    </row>
    <row r="83" hidden="1">
      <c r="A83" s="10">
        <v>2272823.0</v>
      </c>
      <c r="B83" s="11">
        <v>46218.67197916667</v>
      </c>
      <c r="C83" s="10" t="s">
        <v>50</v>
      </c>
      <c r="D83" s="10" t="s">
        <v>928</v>
      </c>
      <c r="E83" s="13"/>
      <c r="F83" s="10" t="s">
        <v>149</v>
      </c>
      <c r="G83" s="12">
        <v>23.31</v>
      </c>
      <c r="I83" s="12" t="b">
        <v>0</v>
      </c>
      <c r="J83" s="12" t="s">
        <v>59</v>
      </c>
      <c r="K83" s="12" t="s">
        <v>152</v>
      </c>
      <c r="N83" s="12" t="b">
        <v>1</v>
      </c>
      <c r="O83" s="12" t="s">
        <v>54</v>
      </c>
      <c r="R83" s="12" t="s">
        <v>937</v>
      </c>
    </row>
    <row r="84" hidden="1">
      <c r="A84" s="10">
        <v>2273072.0</v>
      </c>
      <c r="B84" s="11">
        <v>46218.74657407407</v>
      </c>
      <c r="C84" s="10" t="s">
        <v>50</v>
      </c>
      <c r="D84" s="10" t="s">
        <v>943</v>
      </c>
      <c r="E84" s="13"/>
      <c r="F84" s="10" t="s">
        <v>946</v>
      </c>
      <c r="G84" s="12">
        <v>12.0</v>
      </c>
      <c r="I84" s="12" t="b">
        <v>0</v>
      </c>
      <c r="J84" s="12" t="s">
        <v>570</v>
      </c>
      <c r="N84" s="12" t="b">
        <v>1</v>
      </c>
      <c r="O84" s="12" t="s">
        <v>54</v>
      </c>
      <c r="R84" s="12" t="s">
        <v>951</v>
      </c>
    </row>
    <row r="85" hidden="1">
      <c r="A85" s="10">
        <v>2273267.0</v>
      </c>
      <c r="B85" s="11">
        <v>46218.83541666667</v>
      </c>
      <c r="C85" s="10" t="s">
        <v>50</v>
      </c>
      <c r="D85" s="10" t="s">
        <v>955</v>
      </c>
      <c r="E85" s="13"/>
      <c r="F85" s="10" t="s">
        <v>74</v>
      </c>
      <c r="G85" s="12">
        <v>25.97</v>
      </c>
      <c r="I85" s="12" t="b">
        <v>0</v>
      </c>
      <c r="J85" s="12" t="s">
        <v>59</v>
      </c>
      <c r="K85" s="12" t="s">
        <v>78</v>
      </c>
      <c r="N85" s="12" t="b">
        <v>1</v>
      </c>
      <c r="O85" s="12" t="s">
        <v>54</v>
      </c>
      <c r="R85" s="12" t="s">
        <v>960</v>
      </c>
    </row>
    <row r="86" hidden="1">
      <c r="A86" s="10">
        <v>2273286.0</v>
      </c>
      <c r="B86" s="11">
        <v>46218.844351851854</v>
      </c>
      <c r="C86" s="10" t="s">
        <v>50</v>
      </c>
      <c r="D86" s="10" t="s">
        <v>963</v>
      </c>
      <c r="E86" s="13"/>
      <c r="F86" s="10" t="s">
        <v>149</v>
      </c>
      <c r="G86" s="12">
        <v>37.11</v>
      </c>
      <c r="I86" s="12" t="b">
        <v>0</v>
      </c>
      <c r="J86" s="12" t="s">
        <v>59</v>
      </c>
      <c r="K86" s="12" t="s">
        <v>152</v>
      </c>
      <c r="N86" s="12" t="b">
        <v>1</v>
      </c>
      <c r="O86" s="12" t="s">
        <v>54</v>
      </c>
      <c r="R86" s="12" t="s">
        <v>969</v>
      </c>
    </row>
    <row r="87" hidden="1">
      <c r="A87" s="10">
        <v>2273302.0</v>
      </c>
      <c r="B87" s="11">
        <v>46218.85430555556</v>
      </c>
      <c r="C87" s="10" t="s">
        <v>50</v>
      </c>
      <c r="D87" s="10" t="s">
        <v>972</v>
      </c>
      <c r="E87" s="13"/>
      <c r="F87" s="10" t="s">
        <v>149</v>
      </c>
      <c r="G87" s="12">
        <v>22.29</v>
      </c>
      <c r="I87" s="12" t="b">
        <v>0</v>
      </c>
      <c r="J87" s="12" t="s">
        <v>59</v>
      </c>
      <c r="K87" s="12" t="s">
        <v>152</v>
      </c>
      <c r="N87" s="12" t="b">
        <v>1</v>
      </c>
      <c r="O87" s="12" t="s">
        <v>54</v>
      </c>
      <c r="R87" s="12" t="s">
        <v>977</v>
      </c>
    </row>
    <row r="88" hidden="1">
      <c r="A88" s="10">
        <v>2273325.0</v>
      </c>
      <c r="B88" s="11">
        <v>46218.860613425924</v>
      </c>
      <c r="C88" s="10" t="s">
        <v>50</v>
      </c>
      <c r="D88" s="10" t="s">
        <v>980</v>
      </c>
      <c r="E88" s="13"/>
      <c r="F88" s="10" t="s">
        <v>149</v>
      </c>
      <c r="G88" s="12">
        <v>25.05</v>
      </c>
      <c r="I88" s="12" t="b">
        <v>0</v>
      </c>
      <c r="J88" s="12" t="s">
        <v>59</v>
      </c>
      <c r="K88" s="12" t="s">
        <v>152</v>
      </c>
      <c r="N88" s="12" t="b">
        <v>1</v>
      </c>
      <c r="O88" s="12" t="s">
        <v>54</v>
      </c>
      <c r="R88" s="12" t="s">
        <v>987</v>
      </c>
    </row>
    <row r="89" hidden="1">
      <c r="A89" s="10">
        <v>2274341.0</v>
      </c>
      <c r="B89" s="11">
        <v>46219.669641203705</v>
      </c>
      <c r="C89" s="10" t="s">
        <v>50</v>
      </c>
      <c r="D89" s="10" t="s">
        <v>991</v>
      </c>
      <c r="E89" s="13"/>
      <c r="F89" s="10" t="s">
        <v>992</v>
      </c>
      <c r="G89" s="12">
        <v>700.0</v>
      </c>
      <c r="I89" s="12" t="b">
        <v>0</v>
      </c>
      <c r="J89" s="12" t="s">
        <v>200</v>
      </c>
      <c r="M89" s="12" t="s">
        <v>994</v>
      </c>
      <c r="N89" s="12" t="b">
        <v>1</v>
      </c>
      <c r="O89" s="12" t="s">
        <v>54</v>
      </c>
      <c r="R89" s="12" t="s">
        <v>998</v>
      </c>
    </row>
    <row r="90" hidden="1">
      <c r="A90" s="10">
        <v>2274440.0</v>
      </c>
      <c r="B90" s="11">
        <v>46219.69190972222</v>
      </c>
      <c r="C90" s="10" t="s">
        <v>50</v>
      </c>
      <c r="D90" s="10" t="s">
        <v>246</v>
      </c>
      <c r="E90" s="13"/>
      <c r="F90" s="10" t="s">
        <v>74</v>
      </c>
      <c r="G90" s="12">
        <v>3.2</v>
      </c>
      <c r="I90" s="12" t="b">
        <v>0</v>
      </c>
      <c r="J90" s="12" t="s">
        <v>59</v>
      </c>
      <c r="K90" s="12" t="s">
        <v>78</v>
      </c>
      <c r="N90" s="12" t="b">
        <v>1</v>
      </c>
      <c r="O90" s="12" t="s">
        <v>54</v>
      </c>
      <c r="R90" s="12" t="s">
        <v>1003</v>
      </c>
    </row>
    <row r="91" hidden="1">
      <c r="A91" s="10">
        <v>2274713.0</v>
      </c>
      <c r="B91" s="11">
        <v>46219.77149305555</v>
      </c>
      <c r="C91" s="10" t="s">
        <v>227</v>
      </c>
      <c r="D91" s="10" t="s">
        <v>1008</v>
      </c>
      <c r="E91" s="18"/>
      <c r="F91" s="10" t="s">
        <v>1011</v>
      </c>
      <c r="G91" s="12">
        <v>780.0</v>
      </c>
      <c r="I91" s="12" t="b">
        <v>0</v>
      </c>
      <c r="J91" s="12" t="s">
        <v>230</v>
      </c>
      <c r="N91" s="12" t="b">
        <v>1</v>
      </c>
      <c r="O91" s="12" t="s">
        <v>54</v>
      </c>
      <c r="R91" s="12" t="s">
        <v>1015</v>
      </c>
    </row>
    <row r="92" hidden="1">
      <c r="A92" s="10">
        <v>2274714.0</v>
      </c>
      <c r="B92" s="11">
        <v>46219.77177083334</v>
      </c>
      <c r="C92" s="10" t="s">
        <v>50</v>
      </c>
      <c r="D92" s="10" t="s">
        <v>1008</v>
      </c>
      <c r="E92" s="13"/>
      <c r="F92" s="10" t="s">
        <v>1017</v>
      </c>
      <c r="G92" s="12">
        <v>780.0</v>
      </c>
      <c r="I92" s="12" t="b">
        <v>0</v>
      </c>
      <c r="J92" s="12" t="s">
        <v>725</v>
      </c>
      <c r="K92" s="12" t="s">
        <v>727</v>
      </c>
      <c r="N92" s="12" t="b">
        <v>1</v>
      </c>
      <c r="O92" s="12" t="s">
        <v>54</v>
      </c>
      <c r="R92" s="12" t="s">
        <v>1023</v>
      </c>
    </row>
    <row r="93" hidden="1">
      <c r="A93" s="10">
        <v>2274724.0</v>
      </c>
      <c r="B93" s="11">
        <v>46219.77809027778</v>
      </c>
      <c r="C93" s="10" t="s">
        <v>50</v>
      </c>
      <c r="D93" s="10" t="s">
        <v>1026</v>
      </c>
      <c r="E93" s="13"/>
      <c r="F93" s="10" t="s">
        <v>1029</v>
      </c>
      <c r="G93" s="12">
        <v>99.4</v>
      </c>
      <c r="I93" s="12" t="b">
        <v>0</v>
      </c>
      <c r="J93" s="12" t="s">
        <v>136</v>
      </c>
      <c r="M93" s="12" t="s">
        <v>1031</v>
      </c>
      <c r="N93" s="12" t="b">
        <v>1</v>
      </c>
      <c r="O93" s="12" t="s">
        <v>54</v>
      </c>
      <c r="R93" s="12" t="s">
        <v>1033</v>
      </c>
    </row>
    <row r="94" hidden="1">
      <c r="A94" s="10">
        <v>2274742.0</v>
      </c>
      <c r="B94" s="11">
        <v>46219.78668981481</v>
      </c>
      <c r="C94" s="10" t="s">
        <v>50</v>
      </c>
      <c r="D94" s="10" t="s">
        <v>1038</v>
      </c>
      <c r="E94" s="13"/>
      <c r="F94" s="10" t="s">
        <v>74</v>
      </c>
      <c r="G94" s="12">
        <v>8.69</v>
      </c>
      <c r="I94" s="12" t="b">
        <v>0</v>
      </c>
      <c r="J94" s="12" t="s">
        <v>59</v>
      </c>
      <c r="K94" s="12" t="s">
        <v>78</v>
      </c>
      <c r="N94" s="12" t="b">
        <v>1</v>
      </c>
      <c r="O94" s="12" t="s">
        <v>54</v>
      </c>
      <c r="R94" s="12" t="s">
        <v>1042</v>
      </c>
    </row>
    <row r="95" hidden="1">
      <c r="A95" s="10">
        <v>2276312.0</v>
      </c>
      <c r="B95" s="11">
        <v>46220.69501157408</v>
      </c>
      <c r="C95" s="10" t="s">
        <v>50</v>
      </c>
      <c r="D95" s="10" t="s">
        <v>1046</v>
      </c>
      <c r="E95" s="13"/>
      <c r="F95" s="10" t="s">
        <v>1047</v>
      </c>
      <c r="G95" s="12">
        <v>82.56</v>
      </c>
      <c r="I95" s="12" t="b">
        <v>0</v>
      </c>
      <c r="J95" s="12" t="s">
        <v>570</v>
      </c>
      <c r="N95" s="12" t="b">
        <v>1</v>
      </c>
      <c r="O95" s="12" t="s">
        <v>54</v>
      </c>
      <c r="R95" s="12" t="s">
        <v>1050</v>
      </c>
    </row>
    <row r="96" hidden="1">
      <c r="A96" s="10">
        <v>2276673.0</v>
      </c>
      <c r="B96" s="11">
        <v>46220.772199074076</v>
      </c>
      <c r="C96" s="10" t="s">
        <v>50</v>
      </c>
      <c r="D96" s="10" t="s">
        <v>1058</v>
      </c>
      <c r="E96" s="13"/>
      <c r="F96" s="10" t="s">
        <v>74</v>
      </c>
      <c r="G96" s="12">
        <v>7.06</v>
      </c>
      <c r="I96" s="12" t="b">
        <v>0</v>
      </c>
      <c r="J96" s="12" t="s">
        <v>59</v>
      </c>
      <c r="K96" s="12" t="s">
        <v>78</v>
      </c>
      <c r="N96" s="12" t="b">
        <v>1</v>
      </c>
      <c r="O96" s="12" t="s">
        <v>54</v>
      </c>
      <c r="R96" s="12" t="s">
        <v>1063</v>
      </c>
    </row>
    <row r="97" hidden="1">
      <c r="A97" s="10">
        <v>2276732.0</v>
      </c>
      <c r="B97" s="11">
        <v>46220.789722222224</v>
      </c>
      <c r="C97" s="10" t="s">
        <v>50</v>
      </c>
      <c r="D97" s="10" t="s">
        <v>1069</v>
      </c>
      <c r="E97" s="13"/>
      <c r="F97" s="10" t="s">
        <v>1070</v>
      </c>
      <c r="G97" s="12">
        <v>115.99</v>
      </c>
      <c r="I97" s="12" t="b">
        <v>0</v>
      </c>
      <c r="J97" s="12" t="s">
        <v>136</v>
      </c>
      <c r="M97" s="12" t="s">
        <v>1074</v>
      </c>
      <c r="N97" s="12" t="b">
        <v>1</v>
      </c>
      <c r="O97" s="12" t="s">
        <v>54</v>
      </c>
      <c r="R97" s="12" t="s">
        <v>1077</v>
      </c>
    </row>
    <row r="98" hidden="1">
      <c r="A98" s="10">
        <v>2276739.0</v>
      </c>
      <c r="B98" s="11">
        <v>46220.790625</v>
      </c>
      <c r="C98" s="10" t="s">
        <v>50</v>
      </c>
      <c r="D98" s="10" t="s">
        <v>1084</v>
      </c>
      <c r="E98" s="18"/>
      <c r="F98" s="10" t="s">
        <v>1086</v>
      </c>
      <c r="G98" s="12">
        <v>182.12</v>
      </c>
      <c r="I98" s="12" t="b">
        <v>0</v>
      </c>
      <c r="J98" s="12" t="s">
        <v>136</v>
      </c>
      <c r="M98" s="12" t="s">
        <v>1088</v>
      </c>
      <c r="N98" s="12" t="b">
        <v>1</v>
      </c>
      <c r="O98" s="12" t="s">
        <v>54</v>
      </c>
      <c r="R98" s="12" t="s">
        <v>1092</v>
      </c>
    </row>
    <row r="99" hidden="1">
      <c r="A99" s="10">
        <v>2276748.0</v>
      </c>
      <c r="B99" s="11">
        <v>46220.792546296296</v>
      </c>
      <c r="C99" s="10" t="s">
        <v>50</v>
      </c>
      <c r="D99" s="10" t="s">
        <v>1096</v>
      </c>
      <c r="E99" s="13"/>
      <c r="F99" s="10" t="s">
        <v>1099</v>
      </c>
      <c r="G99" s="12">
        <v>349.15</v>
      </c>
      <c r="I99" s="12" t="b">
        <v>0</v>
      </c>
      <c r="J99" s="12" t="s">
        <v>136</v>
      </c>
      <c r="M99" s="12" t="s">
        <v>1101</v>
      </c>
      <c r="N99" s="12" t="b">
        <v>1</v>
      </c>
      <c r="O99" s="12" t="s">
        <v>54</v>
      </c>
      <c r="R99" s="12" t="s">
        <v>1102</v>
      </c>
    </row>
    <row r="100" hidden="1">
      <c r="A100" s="10">
        <v>2279247.0</v>
      </c>
      <c r="B100" s="11">
        <v>46221.8734837963</v>
      </c>
      <c r="C100" s="10" t="s">
        <v>50</v>
      </c>
      <c r="D100" s="10" t="s">
        <v>1107</v>
      </c>
      <c r="E100" s="13"/>
      <c r="F100" s="10" t="s">
        <v>1109</v>
      </c>
      <c r="G100" s="12">
        <v>1100.0</v>
      </c>
      <c r="I100" s="12" t="b">
        <v>0</v>
      </c>
      <c r="J100" s="12" t="s">
        <v>725</v>
      </c>
      <c r="K100" s="12" t="s">
        <v>78</v>
      </c>
      <c r="N100" s="12" t="b">
        <v>1</v>
      </c>
      <c r="O100" s="12" t="s">
        <v>54</v>
      </c>
      <c r="R100" s="12" t="s">
        <v>1116</v>
      </c>
    </row>
    <row r="101" hidden="1">
      <c r="A101" s="10">
        <v>2281518.0</v>
      </c>
      <c r="B101" s="11">
        <v>46222.8380787037</v>
      </c>
      <c r="C101" s="10" t="s">
        <v>50</v>
      </c>
      <c r="D101" s="10" t="s">
        <v>1118</v>
      </c>
      <c r="E101" s="13"/>
      <c r="F101" s="10" t="s">
        <v>1119</v>
      </c>
      <c r="G101" s="12">
        <v>8.27</v>
      </c>
      <c r="I101" s="12" t="b">
        <v>0</v>
      </c>
      <c r="J101" s="12" t="s">
        <v>136</v>
      </c>
      <c r="M101" s="12" t="s">
        <v>1122</v>
      </c>
      <c r="N101" s="12" t="b">
        <v>1</v>
      </c>
      <c r="O101" s="12" t="s">
        <v>54</v>
      </c>
      <c r="R101" s="12" t="s">
        <v>1125</v>
      </c>
    </row>
    <row r="102" hidden="1">
      <c r="A102" s="10">
        <v>2281559.0</v>
      </c>
      <c r="B102" s="11">
        <v>46222.842835648145</v>
      </c>
      <c r="C102" s="10" t="s">
        <v>50</v>
      </c>
      <c r="D102" s="10" t="s">
        <v>1129</v>
      </c>
      <c r="E102" s="13"/>
      <c r="F102" s="10" t="s">
        <v>1130</v>
      </c>
      <c r="G102" s="12">
        <v>120.0</v>
      </c>
      <c r="I102" s="12" t="b">
        <v>0</v>
      </c>
      <c r="J102" s="12" t="s">
        <v>1132</v>
      </c>
      <c r="N102" s="12" t="b">
        <v>1</v>
      </c>
      <c r="O102" s="12" t="s">
        <v>54</v>
      </c>
      <c r="R102" s="12" t="s">
        <v>1133</v>
      </c>
    </row>
    <row r="103" hidden="1">
      <c r="A103" s="10">
        <v>2281561.0</v>
      </c>
      <c r="B103" s="11">
        <v>46222.843136574076</v>
      </c>
      <c r="C103" s="10" t="s">
        <v>50</v>
      </c>
      <c r="D103" s="10" t="s">
        <v>1136</v>
      </c>
      <c r="E103" s="13"/>
      <c r="F103" s="10" t="s">
        <v>1138</v>
      </c>
      <c r="G103" s="12">
        <v>112.5</v>
      </c>
      <c r="I103" s="12" t="b">
        <v>0</v>
      </c>
      <c r="J103" s="12" t="s">
        <v>1132</v>
      </c>
      <c r="N103" s="12" t="b">
        <v>1</v>
      </c>
      <c r="O103" s="12" t="s">
        <v>54</v>
      </c>
      <c r="R103" s="12" t="s">
        <v>1142</v>
      </c>
    </row>
    <row r="104" hidden="1">
      <c r="A104" s="10">
        <v>2281567.0</v>
      </c>
      <c r="B104" s="11">
        <v>46222.843831018516</v>
      </c>
      <c r="C104" s="10" t="s">
        <v>50</v>
      </c>
      <c r="D104" s="10" t="s">
        <v>624</v>
      </c>
      <c r="E104" s="13"/>
      <c r="F104" s="10" t="s">
        <v>1146</v>
      </c>
      <c r="G104" s="12">
        <v>130.0</v>
      </c>
      <c r="I104" s="12" t="b">
        <v>0</v>
      </c>
      <c r="J104" s="12" t="s">
        <v>1132</v>
      </c>
      <c r="N104" s="12" t="b">
        <v>1</v>
      </c>
      <c r="O104" s="12" t="s">
        <v>54</v>
      </c>
      <c r="R104" s="12" t="s">
        <v>1149</v>
      </c>
    </row>
    <row r="105" hidden="1">
      <c r="A105" s="10">
        <v>2281579.0</v>
      </c>
      <c r="B105" s="11">
        <v>46222.845601851855</v>
      </c>
      <c r="C105" s="10" t="s">
        <v>50</v>
      </c>
      <c r="D105" s="10" t="s">
        <v>1151</v>
      </c>
      <c r="E105" s="13"/>
      <c r="F105" s="10" t="s">
        <v>1153</v>
      </c>
      <c r="G105" s="12">
        <v>900.0</v>
      </c>
      <c r="I105" s="12" t="b">
        <v>0</v>
      </c>
      <c r="J105" s="12" t="s">
        <v>725</v>
      </c>
      <c r="K105" s="12" t="s">
        <v>727</v>
      </c>
      <c r="N105" s="12" t="b">
        <v>1</v>
      </c>
      <c r="O105" s="12" t="s">
        <v>54</v>
      </c>
      <c r="R105" s="12" t="s">
        <v>1156</v>
      </c>
    </row>
    <row r="106" hidden="1">
      <c r="A106" s="10">
        <v>2283979.0</v>
      </c>
      <c r="B106" s="11">
        <v>46223.85412037037</v>
      </c>
      <c r="C106" s="10" t="s">
        <v>50</v>
      </c>
      <c r="D106" s="10" t="s">
        <v>1158</v>
      </c>
      <c r="E106" s="13"/>
      <c r="F106" s="10" t="s">
        <v>1161</v>
      </c>
      <c r="G106" s="12">
        <v>800.0</v>
      </c>
      <c r="I106" s="12" t="b">
        <v>0</v>
      </c>
      <c r="J106" s="12" t="s">
        <v>725</v>
      </c>
      <c r="K106" s="12" t="s">
        <v>78</v>
      </c>
      <c r="N106" s="12" t="b">
        <v>1</v>
      </c>
      <c r="O106" s="12" t="s">
        <v>54</v>
      </c>
      <c r="R106" s="12" t="s">
        <v>1164</v>
      </c>
    </row>
    <row r="107" hidden="1">
      <c r="A107" s="10">
        <v>2285033.0</v>
      </c>
      <c r="B107" s="11">
        <v>46224.62774305556</v>
      </c>
      <c r="C107" s="10" t="s">
        <v>50</v>
      </c>
      <c r="D107" s="10" t="s">
        <v>1167</v>
      </c>
      <c r="E107" s="18"/>
      <c r="F107" s="10" t="s">
        <v>918</v>
      </c>
      <c r="G107" s="12">
        <v>167.88</v>
      </c>
      <c r="I107" s="12" t="b">
        <v>0</v>
      </c>
      <c r="J107" s="12" t="s">
        <v>136</v>
      </c>
      <c r="M107" s="12" t="s">
        <v>1171</v>
      </c>
      <c r="N107" s="12" t="b">
        <v>1</v>
      </c>
      <c r="O107" s="12" t="s">
        <v>54</v>
      </c>
      <c r="R107" s="12" t="s">
        <v>1172</v>
      </c>
    </row>
    <row r="108" hidden="1">
      <c r="A108" s="10">
        <v>2286811.0</v>
      </c>
      <c r="B108" s="11">
        <v>46225.67118055555</v>
      </c>
      <c r="C108" s="10" t="s">
        <v>50</v>
      </c>
      <c r="D108" s="10" t="s">
        <v>1174</v>
      </c>
      <c r="E108" s="13"/>
      <c r="F108" s="10" t="s">
        <v>1175</v>
      </c>
      <c r="G108" s="12">
        <v>480.0</v>
      </c>
      <c r="I108" s="12" t="b">
        <v>0</v>
      </c>
      <c r="J108" s="12" t="s">
        <v>136</v>
      </c>
      <c r="M108" s="12" t="s">
        <v>1180</v>
      </c>
      <c r="N108" s="12" t="b">
        <v>1</v>
      </c>
      <c r="O108" s="12" t="s">
        <v>54</v>
      </c>
      <c r="R108" s="12" t="s">
        <v>1181</v>
      </c>
    </row>
    <row r="109" hidden="1">
      <c r="A109" s="10">
        <v>2287056.0</v>
      </c>
      <c r="B109" s="11">
        <v>46225.755636574075</v>
      </c>
      <c r="C109" s="10" t="s">
        <v>50</v>
      </c>
      <c r="D109" s="10" t="s">
        <v>1184</v>
      </c>
      <c r="E109" s="13"/>
      <c r="F109" s="10" t="s">
        <v>149</v>
      </c>
      <c r="G109" s="12">
        <v>18.3</v>
      </c>
      <c r="I109" s="12" t="b">
        <v>0</v>
      </c>
      <c r="J109" s="12" t="s">
        <v>59</v>
      </c>
      <c r="K109" s="12" t="s">
        <v>152</v>
      </c>
      <c r="N109" s="12" t="b">
        <v>1</v>
      </c>
      <c r="O109" s="12" t="s">
        <v>54</v>
      </c>
      <c r="R109" s="12" t="s">
        <v>1190</v>
      </c>
    </row>
    <row r="110" hidden="1">
      <c r="A110" s="10">
        <v>2289656.0</v>
      </c>
      <c r="B110" s="11">
        <v>46227.62143518519</v>
      </c>
      <c r="C110" s="10" t="s">
        <v>50</v>
      </c>
      <c r="D110" s="10" t="s">
        <v>1195</v>
      </c>
      <c r="E110" s="13"/>
      <c r="F110" s="10" t="s">
        <v>1197</v>
      </c>
      <c r="G110" s="12">
        <v>25.0</v>
      </c>
      <c r="I110" s="12" t="b">
        <v>0</v>
      </c>
      <c r="J110" s="12" t="s">
        <v>136</v>
      </c>
      <c r="M110" s="12" t="s">
        <v>1199</v>
      </c>
      <c r="N110" s="12" t="b">
        <v>1</v>
      </c>
      <c r="O110" s="12" t="s">
        <v>54</v>
      </c>
      <c r="R110" s="12" t="s">
        <v>1201</v>
      </c>
    </row>
    <row r="111" hidden="1">
      <c r="A111" s="10">
        <v>2290307.0</v>
      </c>
      <c r="B111" s="11">
        <v>46227.840787037036</v>
      </c>
      <c r="C111" s="10" t="s">
        <v>50</v>
      </c>
      <c r="D111" s="10" t="s">
        <v>719</v>
      </c>
      <c r="E111" s="13"/>
      <c r="F111" s="10" t="s">
        <v>1208</v>
      </c>
      <c r="G111" s="12">
        <v>500.0</v>
      </c>
      <c r="I111" s="12" t="b">
        <v>0</v>
      </c>
      <c r="J111" s="12" t="s">
        <v>725</v>
      </c>
      <c r="K111" s="12" t="s">
        <v>727</v>
      </c>
      <c r="N111" s="12" t="b">
        <v>1</v>
      </c>
      <c r="O111" s="12" t="s">
        <v>54</v>
      </c>
      <c r="R111" s="12" t="s">
        <v>1212</v>
      </c>
    </row>
    <row r="112" hidden="1">
      <c r="A112" s="10">
        <v>2290341.0</v>
      </c>
      <c r="B112" s="11">
        <v>46227.857881944445</v>
      </c>
      <c r="C112" s="10" t="s">
        <v>50</v>
      </c>
      <c r="D112" s="10" t="s">
        <v>1217</v>
      </c>
      <c r="E112" s="13"/>
      <c r="F112" s="10" t="s">
        <v>1220</v>
      </c>
      <c r="G112" s="12">
        <v>170.0</v>
      </c>
      <c r="I112" s="12" t="b">
        <v>0</v>
      </c>
      <c r="J112" s="12" t="s">
        <v>136</v>
      </c>
      <c r="N112" s="12" t="b">
        <v>1</v>
      </c>
      <c r="O112" s="12" t="s">
        <v>54</v>
      </c>
      <c r="R112" s="12" t="s">
        <v>1224</v>
      </c>
    </row>
    <row r="113" hidden="1">
      <c r="A113" s="10">
        <v>2292046.0</v>
      </c>
      <c r="B113" s="11">
        <v>46228.857881944445</v>
      </c>
      <c r="C113" s="10" t="s">
        <v>50</v>
      </c>
      <c r="D113" s="10" t="s">
        <v>1228</v>
      </c>
      <c r="E113" s="13"/>
      <c r="F113" s="10" t="s">
        <v>1229</v>
      </c>
      <c r="G113" s="12">
        <v>450.0</v>
      </c>
      <c r="I113" s="12" t="b">
        <v>0</v>
      </c>
      <c r="J113" s="12" t="s">
        <v>725</v>
      </c>
      <c r="K113" s="12" t="s">
        <v>727</v>
      </c>
      <c r="N113" s="12" t="b">
        <v>1</v>
      </c>
      <c r="O113" s="12" t="s">
        <v>54</v>
      </c>
      <c r="R113" s="12" t="s">
        <v>1234</v>
      </c>
    </row>
    <row r="114" hidden="1">
      <c r="A114" s="10">
        <v>2292047.0</v>
      </c>
      <c r="B114" s="11">
        <v>46228.85806712963</v>
      </c>
      <c r="C114" s="10" t="s">
        <v>50</v>
      </c>
      <c r="D114" s="10" t="s">
        <v>1238</v>
      </c>
      <c r="E114" s="13"/>
      <c r="F114" s="10" t="s">
        <v>1239</v>
      </c>
      <c r="G114" s="12">
        <v>105.0</v>
      </c>
      <c r="I114" s="12" t="b">
        <v>0</v>
      </c>
      <c r="J114" s="12" t="s">
        <v>1132</v>
      </c>
      <c r="N114" s="12" t="b">
        <v>1</v>
      </c>
      <c r="O114" s="12" t="s">
        <v>54</v>
      </c>
      <c r="R114" s="12" t="s">
        <v>1246</v>
      </c>
    </row>
    <row r="115" hidden="1">
      <c r="A115" s="10">
        <v>2292049.0</v>
      </c>
      <c r="B115" s="11">
        <v>46228.85851851852</v>
      </c>
      <c r="C115" s="10" t="s">
        <v>50</v>
      </c>
      <c r="D115" s="10" t="s">
        <v>1248</v>
      </c>
      <c r="E115" s="13"/>
      <c r="F115" s="10" t="s">
        <v>1250</v>
      </c>
      <c r="G115" s="12">
        <v>160.0</v>
      </c>
      <c r="I115" s="12" t="b">
        <v>0</v>
      </c>
      <c r="J115" s="12" t="s">
        <v>1132</v>
      </c>
      <c r="N115" s="12" t="b">
        <v>1</v>
      </c>
      <c r="O115" s="12" t="s">
        <v>54</v>
      </c>
      <c r="R115" s="12" t="s">
        <v>1254</v>
      </c>
    </row>
    <row r="116" hidden="1">
      <c r="A116" s="10">
        <v>2293106.0</v>
      </c>
      <c r="B116" s="11">
        <v>46229.59106481481</v>
      </c>
      <c r="C116" s="10" t="s">
        <v>50</v>
      </c>
      <c r="D116" s="10" t="s">
        <v>1257</v>
      </c>
      <c r="E116" s="13"/>
      <c r="F116" s="10" t="s">
        <v>1258</v>
      </c>
      <c r="G116" s="12">
        <v>20.19</v>
      </c>
      <c r="I116" s="12" t="b">
        <v>0</v>
      </c>
      <c r="J116" s="12" t="s">
        <v>570</v>
      </c>
      <c r="N116" s="12" t="b">
        <v>1</v>
      </c>
      <c r="O116" s="12" t="s">
        <v>54</v>
      </c>
      <c r="R116" s="12" t="s">
        <v>1262</v>
      </c>
    </row>
    <row r="117" hidden="1">
      <c r="A117" s="10">
        <v>2294348.0</v>
      </c>
      <c r="B117" s="11">
        <v>46229.86226851852</v>
      </c>
      <c r="C117" s="10" t="s">
        <v>50</v>
      </c>
      <c r="D117" s="10" t="s">
        <v>1129</v>
      </c>
      <c r="E117" s="13"/>
      <c r="F117" s="10" t="s">
        <v>1266</v>
      </c>
      <c r="G117" s="12">
        <v>120.0</v>
      </c>
      <c r="I117" s="12" t="b">
        <v>0</v>
      </c>
      <c r="J117" s="12" t="s">
        <v>1132</v>
      </c>
      <c r="N117" s="12" t="b">
        <v>1</v>
      </c>
      <c r="O117" s="12" t="s">
        <v>54</v>
      </c>
      <c r="R117" s="12" t="s">
        <v>1269</v>
      </c>
    </row>
    <row r="118" hidden="1">
      <c r="A118" s="10">
        <v>2294350.0</v>
      </c>
      <c r="B118" s="11">
        <v>46229.86253472222</v>
      </c>
      <c r="C118" s="10" t="s">
        <v>50</v>
      </c>
      <c r="D118" s="10" t="s">
        <v>1271</v>
      </c>
      <c r="E118" s="13"/>
      <c r="F118" s="10" t="s">
        <v>1274</v>
      </c>
      <c r="G118" s="12">
        <v>128.0</v>
      </c>
      <c r="I118" s="12" t="b">
        <v>0</v>
      </c>
      <c r="J118" s="12" t="s">
        <v>1132</v>
      </c>
      <c r="N118" s="12" t="b">
        <v>1</v>
      </c>
      <c r="O118" s="12" t="s">
        <v>54</v>
      </c>
      <c r="R118" s="12" t="s">
        <v>1276</v>
      </c>
    </row>
    <row r="119" hidden="1">
      <c r="A119" s="10">
        <v>2294352.0</v>
      </c>
      <c r="B119" s="11">
        <v>46229.86274305556</v>
      </c>
      <c r="C119" s="10" t="s">
        <v>50</v>
      </c>
      <c r="D119" s="10" t="s">
        <v>1279</v>
      </c>
      <c r="E119" s="13"/>
      <c r="F119" s="10" t="s">
        <v>1280</v>
      </c>
      <c r="G119" s="12">
        <v>600.0</v>
      </c>
      <c r="I119" s="12" t="b">
        <v>0</v>
      </c>
      <c r="J119" s="12" t="s">
        <v>725</v>
      </c>
      <c r="K119" s="12" t="s">
        <v>727</v>
      </c>
      <c r="N119" s="12" t="b">
        <v>1</v>
      </c>
      <c r="O119" s="12" t="s">
        <v>54</v>
      </c>
      <c r="R119" s="12" t="s">
        <v>1284</v>
      </c>
    </row>
    <row r="120" hidden="1">
      <c r="A120" s="10">
        <v>2294354.0</v>
      </c>
      <c r="B120" s="11">
        <v>46229.86324074074</v>
      </c>
      <c r="C120" s="10" t="s">
        <v>50</v>
      </c>
      <c r="D120" s="10" t="s">
        <v>1286</v>
      </c>
      <c r="E120" s="13"/>
      <c r="F120" s="10" t="s">
        <v>1289</v>
      </c>
      <c r="G120" s="12">
        <v>8.48</v>
      </c>
      <c r="I120" s="12" t="b">
        <v>0</v>
      </c>
      <c r="J120" s="12" t="s">
        <v>136</v>
      </c>
      <c r="N120" s="12" t="b">
        <v>1</v>
      </c>
      <c r="O120" s="12" t="s">
        <v>54</v>
      </c>
      <c r="R120" s="12" t="s">
        <v>1292</v>
      </c>
    </row>
    <row r="121" hidden="1">
      <c r="A121" s="10">
        <v>2294356.0</v>
      </c>
      <c r="B121" s="11">
        <v>46229.86341435185</v>
      </c>
      <c r="C121" s="10" t="s">
        <v>50</v>
      </c>
      <c r="D121" s="10" t="s">
        <v>1294</v>
      </c>
      <c r="E121" s="13"/>
      <c r="F121" s="10" t="s">
        <v>122</v>
      </c>
      <c r="G121" s="12">
        <v>13.29</v>
      </c>
      <c r="I121" s="12" t="b">
        <v>0</v>
      </c>
      <c r="J121" s="12" t="s">
        <v>59</v>
      </c>
      <c r="K121" s="12" t="s">
        <v>62</v>
      </c>
      <c r="N121" s="12" t="b">
        <v>1</v>
      </c>
      <c r="O121" s="12" t="s">
        <v>54</v>
      </c>
      <c r="R121" s="12" t="s">
        <v>1300</v>
      </c>
    </row>
    <row r="122" hidden="1">
      <c r="A122" s="10">
        <v>2294357.0</v>
      </c>
      <c r="B122" s="11">
        <v>46229.863587962966</v>
      </c>
      <c r="C122" s="10" t="s">
        <v>50</v>
      </c>
      <c r="D122" s="10" t="s">
        <v>1304</v>
      </c>
      <c r="E122" s="13"/>
      <c r="F122" s="10" t="s">
        <v>94</v>
      </c>
      <c r="G122" s="12">
        <v>12.78</v>
      </c>
      <c r="I122" s="12" t="b">
        <v>0</v>
      </c>
      <c r="J122" s="12" t="s">
        <v>59</v>
      </c>
      <c r="K122" s="12" t="s">
        <v>78</v>
      </c>
      <c r="N122" s="12" t="b">
        <v>1</v>
      </c>
      <c r="O122" s="12" t="s">
        <v>54</v>
      </c>
      <c r="R122" s="12" t="s">
        <v>1308</v>
      </c>
    </row>
    <row r="123" hidden="1">
      <c r="A123" s="10">
        <v>2294374.0</v>
      </c>
      <c r="B123" s="11">
        <v>46229.86667824074</v>
      </c>
      <c r="C123" s="10" t="s">
        <v>50</v>
      </c>
      <c r="D123" s="10" t="s">
        <v>1311</v>
      </c>
      <c r="E123" s="13"/>
      <c r="F123" s="10" t="s">
        <v>1312</v>
      </c>
      <c r="G123" s="12">
        <v>102.0</v>
      </c>
      <c r="I123" s="12" t="b">
        <v>0</v>
      </c>
      <c r="J123" s="12" t="s">
        <v>230</v>
      </c>
      <c r="N123" s="12" t="b">
        <v>1</v>
      </c>
      <c r="O123" s="12" t="s">
        <v>54</v>
      </c>
      <c r="R123" s="12" t="s">
        <v>1315</v>
      </c>
    </row>
    <row r="124" hidden="1">
      <c r="A124" s="10">
        <v>2294377.0</v>
      </c>
      <c r="B124" s="11">
        <v>46229.86702546296</v>
      </c>
      <c r="C124" s="10" t="s">
        <v>227</v>
      </c>
      <c r="D124" s="10" t="s">
        <v>494</v>
      </c>
      <c r="E124" s="13"/>
      <c r="F124" s="10" t="s">
        <v>1323</v>
      </c>
      <c r="G124" s="12">
        <v>0.01</v>
      </c>
      <c r="I124" s="12" t="b">
        <v>0</v>
      </c>
      <c r="J124" s="12" t="s">
        <v>230</v>
      </c>
      <c r="N124" s="12" t="b">
        <v>1</v>
      </c>
      <c r="O124" s="12" t="s">
        <v>54</v>
      </c>
      <c r="R124" s="12" t="s">
        <v>1326</v>
      </c>
    </row>
    <row r="125" hidden="1">
      <c r="A125" s="10">
        <v>2295834.0</v>
      </c>
      <c r="B125" s="11">
        <v>46230.611712962964</v>
      </c>
      <c r="C125" s="10" t="s">
        <v>50</v>
      </c>
      <c r="D125" s="10" t="s">
        <v>1330</v>
      </c>
      <c r="E125" s="13"/>
      <c r="F125" s="10" t="s">
        <v>122</v>
      </c>
      <c r="G125" s="12">
        <v>14.28</v>
      </c>
      <c r="I125" s="12" t="b">
        <v>0</v>
      </c>
      <c r="J125" s="12" t="s">
        <v>59</v>
      </c>
      <c r="K125" s="12" t="s">
        <v>62</v>
      </c>
      <c r="N125" s="12" t="b">
        <v>1</v>
      </c>
      <c r="O125" s="12" t="s">
        <v>54</v>
      </c>
      <c r="R125" s="12" t="s">
        <v>1332</v>
      </c>
    </row>
    <row r="126" hidden="1">
      <c r="A126" s="10">
        <v>2295836.0</v>
      </c>
      <c r="B126" s="11">
        <v>46230.61226851852</v>
      </c>
      <c r="C126" s="10" t="s">
        <v>50</v>
      </c>
      <c r="D126" s="10" t="s">
        <v>1336</v>
      </c>
      <c r="E126" s="13"/>
      <c r="F126" s="10" t="s">
        <v>94</v>
      </c>
      <c r="G126" s="12">
        <v>26.88</v>
      </c>
      <c r="I126" s="12" t="b">
        <v>0</v>
      </c>
      <c r="J126" s="12" t="s">
        <v>59</v>
      </c>
      <c r="K126" s="12" t="s">
        <v>78</v>
      </c>
      <c r="N126" s="12" t="b">
        <v>1</v>
      </c>
      <c r="O126" s="12" t="s">
        <v>54</v>
      </c>
      <c r="R126" s="12" t="s">
        <v>1340</v>
      </c>
    </row>
    <row r="127" hidden="1">
      <c r="A127" s="10">
        <v>2296369.0</v>
      </c>
      <c r="B127" s="11">
        <v>46230.74894675926</v>
      </c>
      <c r="C127" s="10" t="s">
        <v>50</v>
      </c>
      <c r="D127" s="10" t="s">
        <v>452</v>
      </c>
      <c r="E127" s="13"/>
      <c r="F127" s="10" t="s">
        <v>94</v>
      </c>
      <c r="G127" s="12">
        <v>10.63</v>
      </c>
      <c r="I127" s="12" t="b">
        <v>0</v>
      </c>
      <c r="J127" s="12" t="s">
        <v>59</v>
      </c>
      <c r="K127" s="12" t="s">
        <v>78</v>
      </c>
      <c r="N127" s="12" t="b">
        <v>1</v>
      </c>
      <c r="O127" s="12" t="s">
        <v>54</v>
      </c>
      <c r="R127" s="12" t="s">
        <v>1348</v>
      </c>
    </row>
    <row r="128" hidden="1">
      <c r="A128" s="10">
        <v>2296688.0</v>
      </c>
      <c r="B128" s="11">
        <v>46230.85506944444</v>
      </c>
      <c r="C128" s="10" t="s">
        <v>50</v>
      </c>
      <c r="D128" s="10" t="s">
        <v>1352</v>
      </c>
      <c r="E128" s="13"/>
      <c r="F128" s="10" t="s">
        <v>1354</v>
      </c>
      <c r="G128" s="12">
        <v>112.0</v>
      </c>
      <c r="I128" s="12" t="b">
        <v>0</v>
      </c>
      <c r="J128" s="12" t="s">
        <v>1132</v>
      </c>
      <c r="N128" s="12" t="b">
        <v>1</v>
      </c>
      <c r="O128" s="12" t="s">
        <v>54</v>
      </c>
      <c r="R128" s="12" t="s">
        <v>1356</v>
      </c>
    </row>
    <row r="129" hidden="1">
      <c r="A129" s="10">
        <v>2297513.0</v>
      </c>
      <c r="B129" s="11">
        <v>46231.547581018516</v>
      </c>
      <c r="C129" s="10" t="s">
        <v>50</v>
      </c>
      <c r="D129" s="10" t="s">
        <v>1359</v>
      </c>
      <c r="E129" s="13"/>
      <c r="F129" s="10" t="s">
        <v>1361</v>
      </c>
      <c r="G129" s="12">
        <v>51.0</v>
      </c>
      <c r="I129" s="12" t="b">
        <v>0</v>
      </c>
      <c r="J129" s="12" t="s">
        <v>1132</v>
      </c>
      <c r="N129" s="12" t="b">
        <v>1</v>
      </c>
      <c r="O129" s="12" t="s">
        <v>54</v>
      </c>
      <c r="R129" s="12" t="s">
        <v>1366</v>
      </c>
    </row>
    <row r="130" hidden="1">
      <c r="A130" s="10">
        <v>2298193.0</v>
      </c>
      <c r="B130" s="11">
        <v>46231.75292824074</v>
      </c>
      <c r="C130" s="10" t="s">
        <v>50</v>
      </c>
      <c r="D130" s="10" t="s">
        <v>1369</v>
      </c>
      <c r="E130" s="13"/>
      <c r="F130" s="10" t="s">
        <v>1370</v>
      </c>
      <c r="G130" s="12">
        <v>355.76</v>
      </c>
      <c r="I130" s="12" t="b">
        <v>0</v>
      </c>
      <c r="J130" s="12" t="s">
        <v>136</v>
      </c>
      <c r="M130" s="12" t="s">
        <v>1375</v>
      </c>
      <c r="N130" s="12" t="b">
        <v>1</v>
      </c>
      <c r="O130" s="12" t="s">
        <v>54</v>
      </c>
      <c r="R130" s="12" t="s">
        <v>1377</v>
      </c>
    </row>
    <row r="131" hidden="1">
      <c r="A131" s="10">
        <v>2298202.0</v>
      </c>
      <c r="B131" s="11">
        <v>46231.75450231481</v>
      </c>
      <c r="C131" s="10" t="s">
        <v>50</v>
      </c>
      <c r="D131" s="10" t="s">
        <v>1380</v>
      </c>
      <c r="E131" s="13"/>
      <c r="F131" s="10" t="s">
        <v>1382</v>
      </c>
      <c r="G131" s="12">
        <v>413.8</v>
      </c>
      <c r="I131" s="12" t="b">
        <v>0</v>
      </c>
      <c r="J131" s="12" t="s">
        <v>136</v>
      </c>
      <c r="M131" s="12" t="s">
        <v>1383</v>
      </c>
      <c r="N131" s="12" t="b">
        <v>1</v>
      </c>
      <c r="O131" s="12" t="s">
        <v>54</v>
      </c>
      <c r="R131" s="12" t="s">
        <v>1385</v>
      </c>
    </row>
    <row r="132" hidden="1">
      <c r="A132" s="10">
        <v>2298223.0</v>
      </c>
      <c r="B132" s="11">
        <v>46231.761296296296</v>
      </c>
      <c r="C132" s="10" t="s">
        <v>50</v>
      </c>
      <c r="D132" s="10" t="s">
        <v>1390</v>
      </c>
      <c r="E132" s="13"/>
      <c r="F132" s="10" t="s">
        <v>94</v>
      </c>
      <c r="G132" s="12">
        <v>11.66</v>
      </c>
      <c r="I132" s="12" t="b">
        <v>0</v>
      </c>
      <c r="J132" s="12" t="s">
        <v>59</v>
      </c>
      <c r="K132" s="12" t="s">
        <v>152</v>
      </c>
      <c r="N132" s="12" t="b">
        <v>1</v>
      </c>
      <c r="O132" s="12" t="s">
        <v>54</v>
      </c>
      <c r="R132" s="12" t="s">
        <v>1394</v>
      </c>
    </row>
    <row r="133" hidden="1">
      <c r="A133" s="10">
        <v>2298234.0</v>
      </c>
      <c r="B133" s="11">
        <v>46231.763819444444</v>
      </c>
      <c r="C133" s="10" t="s">
        <v>50</v>
      </c>
      <c r="D133" s="10" t="s">
        <v>566</v>
      </c>
      <c r="E133" s="18"/>
      <c r="F133" s="10" t="s">
        <v>1399</v>
      </c>
      <c r="G133" s="12">
        <v>20.58</v>
      </c>
      <c r="I133" s="12" t="b">
        <v>1</v>
      </c>
      <c r="J133" s="12" t="s">
        <v>570</v>
      </c>
      <c r="N133" s="12" t="b">
        <v>1</v>
      </c>
      <c r="O133" s="12" t="s">
        <v>54</v>
      </c>
      <c r="R133" s="12" t="s">
        <v>1404</v>
      </c>
    </row>
    <row r="134" hidden="1">
      <c r="A134" s="10">
        <v>2298473.0</v>
      </c>
      <c r="B134" s="11">
        <v>46231.856782407405</v>
      </c>
      <c r="C134" s="10" t="s">
        <v>50</v>
      </c>
      <c r="D134" s="10" t="s">
        <v>494</v>
      </c>
      <c r="E134" s="13"/>
      <c r="F134" s="10" t="s">
        <v>1408</v>
      </c>
      <c r="G134" s="12">
        <v>0.01</v>
      </c>
      <c r="I134" s="12" t="b">
        <v>0</v>
      </c>
      <c r="J134" s="12" t="s">
        <v>59</v>
      </c>
      <c r="K134" s="12" t="s">
        <v>152</v>
      </c>
      <c r="N134" s="12" t="b">
        <v>1</v>
      </c>
      <c r="O134" s="12" t="s">
        <v>54</v>
      </c>
      <c r="R134" s="12" t="s">
        <v>1412</v>
      </c>
    </row>
    <row r="135" hidden="1">
      <c r="A135" s="10">
        <v>2298491.0</v>
      </c>
      <c r="B135" s="11">
        <v>46231.86079861111</v>
      </c>
      <c r="C135" s="10" t="s">
        <v>50</v>
      </c>
      <c r="D135" s="10" t="s">
        <v>1129</v>
      </c>
      <c r="E135" s="13"/>
      <c r="F135" s="10" t="s">
        <v>1421</v>
      </c>
      <c r="G135" s="12">
        <v>120.0</v>
      </c>
      <c r="I135" s="12" t="b">
        <v>0</v>
      </c>
      <c r="J135" s="12" t="s">
        <v>1132</v>
      </c>
      <c r="N135" s="12" t="b">
        <v>1</v>
      </c>
      <c r="O135" s="12" t="s">
        <v>54</v>
      </c>
      <c r="R135" s="12" t="s">
        <v>1424</v>
      </c>
    </row>
    <row r="136" hidden="1">
      <c r="A136" s="10">
        <v>2299611.0</v>
      </c>
      <c r="B136" s="11">
        <v>46232.66908564815</v>
      </c>
      <c r="C136" s="10" t="s">
        <v>50</v>
      </c>
      <c r="D136" s="10" t="s">
        <v>681</v>
      </c>
      <c r="E136" s="13"/>
      <c r="F136" s="10" t="s">
        <v>57</v>
      </c>
      <c r="G136" s="12">
        <v>5.82</v>
      </c>
      <c r="I136" s="12" t="b">
        <v>0</v>
      </c>
      <c r="J136" s="12" t="s">
        <v>59</v>
      </c>
      <c r="K136" s="12" t="s">
        <v>62</v>
      </c>
      <c r="N136" s="12" t="b">
        <v>1</v>
      </c>
      <c r="O136" s="12" t="s">
        <v>54</v>
      </c>
      <c r="R136" s="12" t="s">
        <v>1434</v>
      </c>
    </row>
    <row r="137" hidden="1">
      <c r="A137" s="10">
        <v>2299967.0</v>
      </c>
      <c r="B137" s="11">
        <v>46232.77425925926</v>
      </c>
      <c r="C137" s="10" t="s">
        <v>50</v>
      </c>
      <c r="D137" s="10" t="s">
        <v>246</v>
      </c>
      <c r="E137" s="13"/>
      <c r="F137" s="10" t="s">
        <v>1441</v>
      </c>
      <c r="G137" s="12">
        <v>3.2</v>
      </c>
      <c r="I137" s="12" t="b">
        <v>0</v>
      </c>
      <c r="J137" s="12" t="s">
        <v>59</v>
      </c>
      <c r="K137" s="12" t="s">
        <v>62</v>
      </c>
      <c r="N137" s="12" t="b">
        <v>1</v>
      </c>
      <c r="O137" s="12" t="s">
        <v>54</v>
      </c>
      <c r="R137" s="12" t="s">
        <v>1446</v>
      </c>
    </row>
    <row r="138" hidden="1">
      <c r="A138" s="10">
        <v>2300077.0</v>
      </c>
      <c r="B138" s="11">
        <v>46232.824328703704</v>
      </c>
      <c r="C138" s="10" t="s">
        <v>50</v>
      </c>
      <c r="D138" s="10" t="s">
        <v>1449</v>
      </c>
      <c r="E138" s="13"/>
      <c r="F138" s="10" t="s">
        <v>1451</v>
      </c>
      <c r="G138" s="12">
        <v>123.6</v>
      </c>
      <c r="I138" s="12" t="b">
        <v>0</v>
      </c>
      <c r="J138" s="12" t="s">
        <v>136</v>
      </c>
      <c r="M138" s="12" t="s">
        <v>1454</v>
      </c>
      <c r="N138" s="12" t="b">
        <v>1</v>
      </c>
      <c r="O138" s="12" t="s">
        <v>54</v>
      </c>
      <c r="R138" s="12" t="s">
        <v>1455</v>
      </c>
    </row>
    <row r="139" hidden="1">
      <c r="A139" s="20"/>
      <c r="B139" s="20"/>
      <c r="C139" s="20"/>
      <c r="D139" s="20"/>
      <c r="E139" s="20"/>
      <c r="F139" s="20"/>
    </row>
    <row r="140" hidden="1">
      <c r="A140" s="10">
        <v>2300974.0</v>
      </c>
      <c r="B140" s="11">
        <v>46233.6075</v>
      </c>
      <c r="C140" s="10" t="s">
        <v>50</v>
      </c>
      <c r="D140" s="10" t="s">
        <v>511</v>
      </c>
      <c r="E140" s="13"/>
      <c r="F140" s="10" t="s">
        <v>122</v>
      </c>
      <c r="G140" s="12">
        <v>5.73</v>
      </c>
      <c r="I140" s="12" t="b">
        <v>0</v>
      </c>
      <c r="J140" s="12" t="s">
        <v>59</v>
      </c>
      <c r="K140" s="12" t="s">
        <v>62</v>
      </c>
      <c r="N140" s="12" t="b">
        <v>1</v>
      </c>
      <c r="O140" s="12" t="s">
        <v>54</v>
      </c>
      <c r="R140" s="12" t="s">
        <v>1469</v>
      </c>
    </row>
    <row r="141" hidden="1">
      <c r="A141" s="10">
        <v>2301264.0</v>
      </c>
      <c r="B141" s="11">
        <v>46233.70694444444</v>
      </c>
      <c r="C141" s="10" t="s">
        <v>50</v>
      </c>
      <c r="D141" s="10" t="s">
        <v>1475</v>
      </c>
      <c r="E141" s="18"/>
      <c r="F141" s="10" t="s">
        <v>1476</v>
      </c>
      <c r="G141" s="12">
        <v>105.19</v>
      </c>
      <c r="I141" s="12" t="b">
        <v>0</v>
      </c>
      <c r="J141" s="12" t="s">
        <v>136</v>
      </c>
      <c r="M141" s="12" t="s">
        <v>1479</v>
      </c>
      <c r="N141" s="12" t="b">
        <v>1</v>
      </c>
      <c r="O141" s="12" t="s">
        <v>54</v>
      </c>
      <c r="R141" s="12" t="s">
        <v>1483</v>
      </c>
    </row>
    <row r="142" hidden="1">
      <c r="A142" s="10">
        <v>2301526.0</v>
      </c>
      <c r="B142" s="11">
        <v>46233.766597222224</v>
      </c>
      <c r="C142" s="10" t="s">
        <v>50</v>
      </c>
      <c r="D142" s="10" t="s">
        <v>1488</v>
      </c>
      <c r="E142" s="13"/>
      <c r="F142" s="10" t="s">
        <v>94</v>
      </c>
      <c r="G142" s="12">
        <v>11.76</v>
      </c>
      <c r="I142" s="12" t="b">
        <v>0</v>
      </c>
      <c r="J142" s="12" t="s">
        <v>59</v>
      </c>
      <c r="K142" s="12" t="s">
        <v>78</v>
      </c>
      <c r="N142" s="12" t="b">
        <v>1</v>
      </c>
      <c r="O142" s="12" t="s">
        <v>54</v>
      </c>
      <c r="R142" s="12" t="s">
        <v>1495</v>
      </c>
    </row>
    <row r="143" hidden="1">
      <c r="A143" s="10">
        <v>2302594.0</v>
      </c>
      <c r="B143" s="11">
        <v>46234.56984953704</v>
      </c>
      <c r="C143" s="10" t="s">
        <v>50</v>
      </c>
      <c r="D143" s="10" t="s">
        <v>1498</v>
      </c>
      <c r="E143" s="13"/>
      <c r="F143" s="10" t="s">
        <v>122</v>
      </c>
      <c r="G143" s="12">
        <v>11.57</v>
      </c>
      <c r="I143" s="12" t="b">
        <v>0</v>
      </c>
      <c r="J143" s="12" t="s">
        <v>59</v>
      </c>
      <c r="K143" s="12" t="s">
        <v>62</v>
      </c>
      <c r="N143" s="12" t="b">
        <v>1</v>
      </c>
      <c r="O143" s="12" t="s">
        <v>54</v>
      </c>
      <c r="R143" s="12" t="s">
        <v>1505</v>
      </c>
    </row>
    <row r="144" hidden="1">
      <c r="A144" s="10">
        <v>2302595.0</v>
      </c>
      <c r="B144" s="11">
        <v>46234.5703587963</v>
      </c>
      <c r="C144" s="10" t="s">
        <v>50</v>
      </c>
      <c r="D144" s="10" t="s">
        <v>1507</v>
      </c>
      <c r="E144" s="13"/>
      <c r="F144" s="10" t="s">
        <v>94</v>
      </c>
      <c r="G144" s="12">
        <v>11.86</v>
      </c>
      <c r="I144" s="12" t="b">
        <v>0</v>
      </c>
      <c r="J144" s="12" t="s">
        <v>59</v>
      </c>
      <c r="K144" s="12" t="s">
        <v>78</v>
      </c>
      <c r="N144" s="12" t="b">
        <v>1</v>
      </c>
      <c r="O144" s="12" t="s">
        <v>54</v>
      </c>
      <c r="R144" s="12" t="s">
        <v>1513</v>
      </c>
    </row>
    <row r="145" hidden="1">
      <c r="A145" s="10">
        <v>2303258.0</v>
      </c>
      <c r="B145" s="11">
        <v>46234.74487268519</v>
      </c>
      <c r="C145" s="10" t="s">
        <v>50</v>
      </c>
      <c r="D145" s="10" t="s">
        <v>1516</v>
      </c>
      <c r="E145" s="13"/>
      <c r="F145" s="10" t="s">
        <v>94</v>
      </c>
      <c r="G145" s="12">
        <v>16.77</v>
      </c>
      <c r="I145" s="12" t="b">
        <v>0</v>
      </c>
      <c r="J145" s="12" t="s">
        <v>59</v>
      </c>
      <c r="K145" s="12" t="s">
        <v>78</v>
      </c>
      <c r="N145" s="12" t="b">
        <v>1</v>
      </c>
      <c r="O145" s="12" t="s">
        <v>54</v>
      </c>
      <c r="R145" s="12" t="s">
        <v>1524</v>
      </c>
    </row>
    <row r="146" hidden="1">
      <c r="A146" s="10">
        <v>2303428.0</v>
      </c>
      <c r="B146" s="11">
        <v>46234.79268518519</v>
      </c>
      <c r="C146" s="10" t="s">
        <v>50</v>
      </c>
      <c r="D146" s="10" t="s">
        <v>1528</v>
      </c>
      <c r="E146" s="13"/>
      <c r="F146" s="10" t="s">
        <v>1530</v>
      </c>
      <c r="G146" s="12">
        <v>179.0</v>
      </c>
      <c r="I146" s="12" t="b">
        <v>0</v>
      </c>
      <c r="J146" s="12" t="s">
        <v>136</v>
      </c>
      <c r="M146" s="12" t="s">
        <v>1533</v>
      </c>
      <c r="N146" s="12" t="b">
        <v>1</v>
      </c>
      <c r="O146" s="12" t="s">
        <v>54</v>
      </c>
      <c r="R146" s="12" t="s">
        <v>1538</v>
      </c>
    </row>
    <row r="147" hidden="1">
      <c r="A147" s="10">
        <v>2303432.0</v>
      </c>
      <c r="B147" s="11">
        <v>46234.79340277778</v>
      </c>
      <c r="C147" s="10" t="s">
        <v>50</v>
      </c>
      <c r="D147" s="10" t="s">
        <v>1541</v>
      </c>
      <c r="E147" s="13"/>
      <c r="F147" s="10" t="s">
        <v>1543</v>
      </c>
      <c r="G147" s="12">
        <v>407.46</v>
      </c>
      <c r="I147" s="12" t="b">
        <v>0</v>
      </c>
      <c r="J147" s="12" t="s">
        <v>136</v>
      </c>
      <c r="M147" s="12" t="s">
        <v>1546</v>
      </c>
      <c r="N147" s="12" t="b">
        <v>1</v>
      </c>
      <c r="O147" s="12" t="s">
        <v>54</v>
      </c>
      <c r="R147" s="12" t="s">
        <v>1548</v>
      </c>
    </row>
    <row r="148" hidden="1">
      <c r="A148" s="10">
        <v>2303437.0</v>
      </c>
      <c r="B148" s="11">
        <v>46234.794375</v>
      </c>
      <c r="C148" s="10" t="s">
        <v>50</v>
      </c>
      <c r="D148" s="10" t="s">
        <v>1554</v>
      </c>
      <c r="E148" s="13"/>
      <c r="F148" s="10" t="s">
        <v>1557</v>
      </c>
      <c r="G148" s="12">
        <v>49.4</v>
      </c>
      <c r="I148" s="12" t="b">
        <v>0</v>
      </c>
      <c r="J148" s="12" t="s">
        <v>136</v>
      </c>
      <c r="M148" s="12" t="s">
        <v>1561</v>
      </c>
      <c r="N148" s="12" t="b">
        <v>1</v>
      </c>
      <c r="O148" s="12" t="s">
        <v>54</v>
      </c>
      <c r="R148" s="12" t="s">
        <v>1562</v>
      </c>
    </row>
    <row r="149" hidden="1">
      <c r="A149" s="10">
        <v>2303438.0</v>
      </c>
      <c r="B149" s="11">
        <v>46234.79462962963</v>
      </c>
      <c r="C149" s="10" t="s">
        <v>50</v>
      </c>
      <c r="D149" s="10" t="s">
        <v>1567</v>
      </c>
      <c r="E149" s="13"/>
      <c r="F149" s="10" t="s">
        <v>1569</v>
      </c>
      <c r="G149" s="12">
        <v>13.08</v>
      </c>
      <c r="I149" s="12" t="b">
        <v>0</v>
      </c>
      <c r="J149" s="12" t="s">
        <v>136</v>
      </c>
      <c r="M149" s="12" t="s">
        <v>1572</v>
      </c>
      <c r="N149" s="12" t="b">
        <v>1</v>
      </c>
      <c r="O149" s="12" t="s">
        <v>54</v>
      </c>
      <c r="R149" s="12" t="s">
        <v>1576</v>
      </c>
    </row>
    <row r="150" hidden="1">
      <c r="A150" s="10">
        <v>2303441.0</v>
      </c>
      <c r="B150" s="11">
        <v>46234.79638888889</v>
      </c>
      <c r="C150" s="10" t="s">
        <v>50</v>
      </c>
      <c r="D150" s="10" t="s">
        <v>1580</v>
      </c>
      <c r="E150" s="13"/>
      <c r="F150" s="10" t="s">
        <v>918</v>
      </c>
      <c r="G150" s="12">
        <v>222.0</v>
      </c>
      <c r="I150" s="12" t="b">
        <v>0</v>
      </c>
      <c r="J150" s="12" t="s">
        <v>136</v>
      </c>
      <c r="M150" s="12" t="s">
        <v>1584</v>
      </c>
      <c r="N150" s="12" t="b">
        <v>1</v>
      </c>
      <c r="O150" s="12" t="s">
        <v>54</v>
      </c>
      <c r="R150" s="12" t="s">
        <v>1586</v>
      </c>
    </row>
    <row r="151">
      <c r="A151" s="10">
        <v>2305726.0</v>
      </c>
      <c r="B151" s="11">
        <v>46235.81398148148</v>
      </c>
      <c r="C151" s="10" t="s">
        <v>50</v>
      </c>
      <c r="D151" s="10" t="s">
        <v>1588</v>
      </c>
      <c r="E151" s="13"/>
      <c r="F151" s="10" t="s">
        <v>1590</v>
      </c>
      <c r="G151" s="12">
        <v>1200.0</v>
      </c>
      <c r="I151" s="12" t="b">
        <v>0</v>
      </c>
      <c r="J151" s="12" t="s">
        <v>725</v>
      </c>
      <c r="K151" s="12" t="s">
        <v>78</v>
      </c>
      <c r="N151" s="12" t="b">
        <v>1</v>
      </c>
      <c r="O151" s="12" t="s">
        <v>54</v>
      </c>
      <c r="R151" s="12" t="s">
        <v>1596</v>
      </c>
    </row>
    <row r="152">
      <c r="A152" s="10">
        <v>2305736.0</v>
      </c>
      <c r="B152" s="11">
        <v>46235.81594907407</v>
      </c>
      <c r="C152" s="10" t="s">
        <v>50</v>
      </c>
      <c r="D152" s="10" t="s">
        <v>1600</v>
      </c>
      <c r="E152" s="13"/>
      <c r="F152" s="10" t="s">
        <v>1603</v>
      </c>
      <c r="G152" s="12">
        <v>13.5</v>
      </c>
      <c r="I152" s="12" t="b">
        <v>0</v>
      </c>
      <c r="J152" s="12" t="s">
        <v>136</v>
      </c>
      <c r="M152" s="12" t="s">
        <v>1605</v>
      </c>
      <c r="N152" s="12" t="b">
        <v>1</v>
      </c>
      <c r="O152" s="12" t="s">
        <v>54</v>
      </c>
      <c r="R152" s="12" t="s">
        <v>1610</v>
      </c>
    </row>
    <row r="153">
      <c r="A153" s="10">
        <v>2305743.0</v>
      </c>
      <c r="B153" s="11">
        <v>46235.81659722222</v>
      </c>
      <c r="C153" s="10" t="s">
        <v>50</v>
      </c>
      <c r="D153" s="10" t="s">
        <v>1611</v>
      </c>
      <c r="E153" s="13"/>
      <c r="F153" s="10" t="s">
        <v>1614</v>
      </c>
      <c r="G153" s="12">
        <v>7.0</v>
      </c>
      <c r="I153" s="12" t="b">
        <v>0</v>
      </c>
      <c r="J153" s="12" t="s">
        <v>136</v>
      </c>
      <c r="M153" s="12" t="s">
        <v>1617</v>
      </c>
      <c r="N153" s="12" t="b">
        <v>1</v>
      </c>
      <c r="O153" s="12" t="s">
        <v>54</v>
      </c>
      <c r="R153" s="12" t="s">
        <v>1619</v>
      </c>
    </row>
    <row r="154">
      <c r="A154" s="10">
        <v>2305787.0</v>
      </c>
      <c r="B154" s="11">
        <v>46235.82556712963</v>
      </c>
      <c r="C154" s="10" t="s">
        <v>50</v>
      </c>
      <c r="D154" s="10" t="s">
        <v>1238</v>
      </c>
      <c r="E154" s="13"/>
      <c r="F154" s="10" t="s">
        <v>1626</v>
      </c>
      <c r="G154" s="12">
        <v>105.0</v>
      </c>
      <c r="I154" s="12" t="b">
        <v>0</v>
      </c>
      <c r="J154" s="12" t="s">
        <v>1132</v>
      </c>
      <c r="N154" s="12" t="b">
        <v>1</v>
      </c>
      <c r="O154" s="12" t="s">
        <v>54</v>
      </c>
      <c r="R154" s="12" t="s">
        <v>1630</v>
      </c>
    </row>
    <row r="155">
      <c r="A155" s="10">
        <v>2305877.0</v>
      </c>
      <c r="B155" s="11">
        <v>46235.84525462963</v>
      </c>
      <c r="C155" s="10" t="s">
        <v>50</v>
      </c>
      <c r="D155" s="10" t="s">
        <v>1635</v>
      </c>
      <c r="E155" s="13"/>
      <c r="F155" s="10" t="s">
        <v>1637</v>
      </c>
      <c r="G155" s="12">
        <v>18.28</v>
      </c>
      <c r="I155" s="12" t="b">
        <v>0</v>
      </c>
      <c r="J155" s="12" t="s">
        <v>570</v>
      </c>
      <c r="N155" s="12" t="b">
        <v>1</v>
      </c>
      <c r="O155" s="12" t="s">
        <v>54</v>
      </c>
      <c r="R155" s="12" t="s">
        <v>1641</v>
      </c>
    </row>
    <row r="156">
      <c r="A156" s="10">
        <v>2307068.0</v>
      </c>
      <c r="B156" s="11">
        <v>46236.54126157407</v>
      </c>
      <c r="C156" s="10" t="s">
        <v>50</v>
      </c>
      <c r="D156" s="10" t="s">
        <v>1643</v>
      </c>
      <c r="E156" s="13"/>
      <c r="F156" s="10" t="s">
        <v>122</v>
      </c>
      <c r="G156" s="12">
        <v>19.2</v>
      </c>
      <c r="I156" s="12" t="b">
        <v>0</v>
      </c>
      <c r="J156" s="12" t="s">
        <v>59</v>
      </c>
      <c r="K156" s="12" t="s">
        <v>62</v>
      </c>
      <c r="N156" s="12" t="b">
        <v>1</v>
      </c>
      <c r="O156" s="12" t="s">
        <v>54</v>
      </c>
      <c r="R156" s="12" t="s">
        <v>1647</v>
      </c>
    </row>
    <row r="157">
      <c r="A157" s="10">
        <v>2307073.0</v>
      </c>
      <c r="B157" s="11">
        <v>46236.54325231481</v>
      </c>
      <c r="C157" s="10" t="s">
        <v>50</v>
      </c>
      <c r="D157" s="10" t="s">
        <v>871</v>
      </c>
      <c r="E157" s="13"/>
      <c r="F157" s="10" t="s">
        <v>74</v>
      </c>
      <c r="G157" s="12">
        <v>7.2</v>
      </c>
      <c r="I157" s="12" t="b">
        <v>0</v>
      </c>
      <c r="J157" s="12" t="s">
        <v>59</v>
      </c>
      <c r="K157" s="12" t="s">
        <v>78</v>
      </c>
      <c r="N157" s="12" t="b">
        <v>1</v>
      </c>
      <c r="O157" s="12" t="s">
        <v>54</v>
      </c>
      <c r="R157" s="12" t="s">
        <v>1653</v>
      </c>
    </row>
    <row r="158">
      <c r="A158" s="10">
        <v>2307106.0</v>
      </c>
      <c r="B158" s="11">
        <v>46236.56056712963</v>
      </c>
      <c r="C158" s="10" t="s">
        <v>50</v>
      </c>
      <c r="D158" s="10" t="s">
        <v>1655</v>
      </c>
      <c r="E158" s="13"/>
      <c r="F158" s="10" t="s">
        <v>1657</v>
      </c>
      <c r="G158" s="12">
        <v>14.32</v>
      </c>
      <c r="I158" s="12" t="b">
        <v>0</v>
      </c>
      <c r="J158" s="12" t="s">
        <v>59</v>
      </c>
      <c r="K158" s="12" t="s">
        <v>78</v>
      </c>
      <c r="N158" s="12" t="b">
        <v>1</v>
      </c>
      <c r="O158" s="12" t="s">
        <v>54</v>
      </c>
      <c r="R158" s="12" t="s">
        <v>1660</v>
      </c>
    </row>
    <row r="159">
      <c r="A159" s="10">
        <v>2308735.0</v>
      </c>
      <c r="B159" s="11">
        <v>46236.88712962963</v>
      </c>
      <c r="C159" s="10" t="s">
        <v>50</v>
      </c>
      <c r="D159" s="10" t="s">
        <v>1664</v>
      </c>
      <c r="E159" s="13"/>
      <c r="F159" s="10" t="s">
        <v>1666</v>
      </c>
      <c r="G159" s="12">
        <v>1250.0</v>
      </c>
      <c r="I159" s="12" t="b">
        <v>0</v>
      </c>
      <c r="J159" s="12" t="s">
        <v>725</v>
      </c>
      <c r="K159" s="12" t="s">
        <v>727</v>
      </c>
      <c r="N159" s="12" t="b">
        <v>1</v>
      </c>
      <c r="O159" s="12" t="s">
        <v>54</v>
      </c>
      <c r="R159" s="12" t="s">
        <v>1670</v>
      </c>
    </row>
    <row r="160">
      <c r="A160" s="10">
        <v>2308740.0</v>
      </c>
      <c r="B160" s="11">
        <v>46236.8875</v>
      </c>
      <c r="C160" s="10" t="s">
        <v>50</v>
      </c>
      <c r="D160" s="10" t="s">
        <v>624</v>
      </c>
      <c r="E160" s="13"/>
      <c r="F160" s="10" t="s">
        <v>1672</v>
      </c>
      <c r="G160" s="12">
        <v>130.0</v>
      </c>
      <c r="I160" s="12" t="b">
        <v>0</v>
      </c>
      <c r="J160" s="12" t="s">
        <v>1132</v>
      </c>
      <c r="N160" s="12" t="b">
        <v>1</v>
      </c>
      <c r="O160" s="12" t="s">
        <v>54</v>
      </c>
      <c r="R160" s="12" t="s">
        <v>1675</v>
      </c>
    </row>
    <row r="161">
      <c r="A161" s="10">
        <v>2310261.0</v>
      </c>
      <c r="B161" s="11">
        <v>46237.64569444444</v>
      </c>
      <c r="C161" s="10" t="s">
        <v>50</v>
      </c>
      <c r="D161" s="10" t="s">
        <v>1678</v>
      </c>
      <c r="E161" s="13"/>
      <c r="F161" s="10" t="s">
        <v>1680</v>
      </c>
      <c r="G161" s="12">
        <v>79.36</v>
      </c>
      <c r="I161" s="12" t="b">
        <v>0</v>
      </c>
      <c r="J161" s="12" t="s">
        <v>570</v>
      </c>
      <c r="N161" s="12" t="b">
        <v>1</v>
      </c>
      <c r="O161" s="12" t="s">
        <v>54</v>
      </c>
      <c r="R161" s="12" t="s">
        <v>1684</v>
      </c>
    </row>
    <row r="162">
      <c r="A162" s="10">
        <v>2310547.0</v>
      </c>
      <c r="B162" s="11">
        <v>46237.724583333336</v>
      </c>
      <c r="C162" s="10" t="s">
        <v>50</v>
      </c>
      <c r="D162" s="10" t="s">
        <v>157</v>
      </c>
      <c r="E162" s="13"/>
      <c r="F162" s="10" t="s">
        <v>122</v>
      </c>
      <c r="G162" s="12">
        <v>4.0</v>
      </c>
      <c r="I162" s="12" t="b">
        <v>0</v>
      </c>
      <c r="J162" s="12" t="s">
        <v>59</v>
      </c>
      <c r="K162" s="12" t="s">
        <v>62</v>
      </c>
      <c r="N162" s="12" t="b">
        <v>1</v>
      </c>
      <c r="O162" s="12" t="s">
        <v>54</v>
      </c>
      <c r="R162" s="12" t="s">
        <v>1690</v>
      </c>
    </row>
    <row r="163">
      <c r="A163" s="10">
        <v>2310603.0</v>
      </c>
      <c r="B163" s="11">
        <v>46237.74054398148</v>
      </c>
      <c r="C163" s="10" t="s">
        <v>50</v>
      </c>
      <c r="D163" s="10" t="s">
        <v>146</v>
      </c>
      <c r="E163" s="13"/>
      <c r="F163" s="10" t="s">
        <v>57</v>
      </c>
      <c r="G163" s="12">
        <v>2.4</v>
      </c>
      <c r="I163" s="12" t="b">
        <v>0</v>
      </c>
      <c r="J163" s="12" t="s">
        <v>59</v>
      </c>
      <c r="K163" s="12" t="s">
        <v>62</v>
      </c>
      <c r="N163" s="12" t="b">
        <v>1</v>
      </c>
      <c r="O163" s="12" t="s">
        <v>54</v>
      </c>
      <c r="R163" s="12" t="s">
        <v>1696</v>
      </c>
    </row>
    <row r="164">
      <c r="A164" s="10">
        <v>2310647.0</v>
      </c>
      <c r="B164" s="11">
        <v>46237.7494212963</v>
      </c>
      <c r="C164" s="10" t="s">
        <v>50</v>
      </c>
      <c r="D164" s="10" t="s">
        <v>1698</v>
      </c>
      <c r="E164" s="13"/>
      <c r="F164" s="10" t="s">
        <v>94</v>
      </c>
      <c r="G164" s="12">
        <v>10.94</v>
      </c>
      <c r="I164" s="12" t="b">
        <v>0</v>
      </c>
      <c r="J164" s="12" t="s">
        <v>59</v>
      </c>
      <c r="K164" s="12" t="s">
        <v>78</v>
      </c>
      <c r="N164" s="12" t="b">
        <v>1</v>
      </c>
      <c r="O164" s="12" t="s">
        <v>54</v>
      </c>
      <c r="R164" s="12" t="s">
        <v>1700</v>
      </c>
    </row>
    <row r="165">
      <c r="A165" s="10">
        <v>2310934.0</v>
      </c>
      <c r="B165" s="11">
        <v>46237.84946759259</v>
      </c>
      <c r="C165" s="10" t="s">
        <v>50</v>
      </c>
      <c r="D165" s="10" t="s">
        <v>1702</v>
      </c>
      <c r="E165" s="13"/>
      <c r="F165" s="10" t="s">
        <v>1704</v>
      </c>
      <c r="G165" s="12">
        <v>90.0</v>
      </c>
      <c r="I165" s="12" t="b">
        <v>0</v>
      </c>
      <c r="J165" s="12" t="s">
        <v>1132</v>
      </c>
      <c r="N165" s="12" t="b">
        <v>1</v>
      </c>
      <c r="O165" s="12" t="s">
        <v>54</v>
      </c>
      <c r="R165" s="12" t="s">
        <v>1708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6" max="6" width="40.75"/>
  </cols>
  <sheetData>
    <row r="1">
      <c r="A1" s="3" t="s">
        <v>4</v>
      </c>
      <c r="B1" s="3" t="s">
        <v>8</v>
      </c>
      <c r="C1" s="3" t="s">
        <v>10</v>
      </c>
      <c r="D1" s="3" t="s">
        <v>11</v>
      </c>
      <c r="E1" s="3" t="s">
        <v>12</v>
      </c>
      <c r="F1" s="3" t="s">
        <v>6</v>
      </c>
      <c r="G1" s="3" t="s">
        <v>15</v>
      </c>
      <c r="H1" s="3" t="s">
        <v>18</v>
      </c>
      <c r="I1" s="3" t="s">
        <v>21</v>
      </c>
      <c r="J1" s="3" t="s">
        <v>24</v>
      </c>
      <c r="K1" s="3" t="s">
        <v>28</v>
      </c>
      <c r="L1" s="3" t="s">
        <v>29</v>
      </c>
      <c r="M1" s="3" t="s">
        <v>32</v>
      </c>
      <c r="N1" s="3" t="s">
        <v>36</v>
      </c>
      <c r="O1" s="3" t="s">
        <v>40</v>
      </c>
      <c r="P1" s="3" t="s">
        <v>42</v>
      </c>
      <c r="Q1" s="3" t="s">
        <v>43</v>
      </c>
      <c r="R1" s="3" t="s">
        <v>44</v>
      </c>
      <c r="S1" s="3" t="s">
        <v>46</v>
      </c>
      <c r="T1" s="3" t="s">
        <v>48</v>
      </c>
      <c r="U1" s="3" t="s">
        <v>51</v>
      </c>
      <c r="V1" s="3" t="s">
        <v>52</v>
      </c>
      <c r="W1" s="3" t="s">
        <v>55</v>
      </c>
      <c r="X1" s="3" t="s">
        <v>56</v>
      </c>
      <c r="Y1" s="3" t="s">
        <v>61</v>
      </c>
      <c r="Z1" s="3" t="s">
        <v>64</v>
      </c>
      <c r="AA1" s="3" t="s">
        <v>66</v>
      </c>
      <c r="AB1" s="3" t="s">
        <v>68</v>
      </c>
      <c r="AC1" s="3" t="s">
        <v>70</v>
      </c>
      <c r="AD1" s="3" t="s">
        <v>73</v>
      </c>
      <c r="AE1" s="3" t="s">
        <v>75</v>
      </c>
      <c r="AF1" s="3" t="s">
        <v>76</v>
      </c>
      <c r="AG1" s="3" t="s">
        <v>80</v>
      </c>
      <c r="AH1" s="3" t="s">
        <v>83</v>
      </c>
      <c r="AI1" s="3" t="s">
        <v>85</v>
      </c>
      <c r="AJ1" s="3" t="s">
        <v>86</v>
      </c>
      <c r="AK1" s="3" t="s">
        <v>87</v>
      </c>
      <c r="AL1" s="3" t="s">
        <v>89</v>
      </c>
      <c r="AM1" s="3" t="s">
        <v>90</v>
      </c>
      <c r="AN1" s="3" t="s">
        <v>92</v>
      </c>
      <c r="AO1" s="3" t="s">
        <v>95</v>
      </c>
      <c r="AP1" s="3" t="s">
        <v>97</v>
      </c>
      <c r="AQ1" s="3" t="s">
        <v>99</v>
      </c>
      <c r="AR1" s="3" t="s">
        <v>101</v>
      </c>
      <c r="AS1" s="3" t="s">
        <v>103</v>
      </c>
      <c r="AT1" s="3" t="s">
        <v>104</v>
      </c>
      <c r="AU1" s="3" t="s">
        <v>107</v>
      </c>
      <c r="AV1" s="3" t="s">
        <v>108</v>
      </c>
      <c r="AW1" s="3" t="s">
        <v>110</v>
      </c>
      <c r="AX1" s="3" t="s">
        <v>112</v>
      </c>
      <c r="AY1" s="3" t="s">
        <v>114</v>
      </c>
      <c r="AZ1" s="3" t="s">
        <v>117</v>
      </c>
      <c r="BA1" s="3" t="s">
        <v>118</v>
      </c>
      <c r="BB1" s="3" t="s">
        <v>119</v>
      </c>
      <c r="BC1" s="3" t="s">
        <v>121</v>
      </c>
      <c r="BD1" s="3" t="s">
        <v>123</v>
      </c>
      <c r="BE1" s="3" t="s">
        <v>124</v>
      </c>
      <c r="BF1" s="3" t="s">
        <v>125</v>
      </c>
      <c r="BG1" s="3" t="s">
        <v>126</v>
      </c>
      <c r="BH1" s="3" t="s">
        <v>128</v>
      </c>
      <c r="BI1" s="3" t="s">
        <v>129</v>
      </c>
      <c r="BJ1" s="3" t="s">
        <v>130</v>
      </c>
      <c r="BK1" s="3" t="s">
        <v>132</v>
      </c>
      <c r="BL1" s="3" t="s">
        <v>135</v>
      </c>
      <c r="BM1" s="3" t="s">
        <v>138</v>
      </c>
      <c r="BN1" s="3" t="s">
        <v>141</v>
      </c>
      <c r="BO1" s="3" t="s">
        <v>144</v>
      </c>
      <c r="BP1" s="3" t="s">
        <v>20</v>
      </c>
      <c r="BQ1" s="3" t="s">
        <v>22</v>
      </c>
      <c r="BR1" s="3" t="s">
        <v>147</v>
      </c>
      <c r="BS1" s="3" t="s">
        <v>0</v>
      </c>
      <c r="BT1" s="3" t="s">
        <v>23</v>
      </c>
      <c r="BU1" s="3" t="s">
        <v>25</v>
      </c>
      <c r="BV1" s="3" t="s">
        <v>17</v>
      </c>
      <c r="BW1" s="3" t="s">
        <v>30</v>
      </c>
      <c r="BX1" s="3" t="s">
        <v>34</v>
      </c>
      <c r="BY1" s="3" t="s">
        <v>37</v>
      </c>
    </row>
    <row r="2">
      <c r="C2" s="15"/>
      <c r="BO2" s="17">
        <v>42.85</v>
      </c>
      <c r="BR2" s="17">
        <v>42.85</v>
      </c>
      <c r="BU2" s="12" t="s">
        <v>180</v>
      </c>
    </row>
    <row r="3">
      <c r="C3" s="14"/>
      <c r="BO3" s="17">
        <v>266.44</v>
      </c>
      <c r="BR3" s="17">
        <v>266.44</v>
      </c>
      <c r="BU3" s="12" t="s">
        <v>180</v>
      </c>
    </row>
    <row r="4">
      <c r="C4" s="14"/>
      <c r="BO4" s="17">
        <v>417.47</v>
      </c>
      <c r="BR4" s="17">
        <v>417.47</v>
      </c>
      <c r="BU4" s="12" t="s">
        <v>191</v>
      </c>
    </row>
    <row r="5">
      <c r="C5" s="14"/>
      <c r="BO5" s="17">
        <v>17519.28</v>
      </c>
      <c r="BR5" s="17">
        <v>17519.28</v>
      </c>
      <c r="BU5" s="12" t="s">
        <v>191</v>
      </c>
    </row>
    <row r="6">
      <c r="C6" s="14"/>
      <c r="BO6" s="17">
        <v>964.57</v>
      </c>
      <c r="BR6" s="17">
        <v>964.57</v>
      </c>
      <c r="BU6" s="12" t="s">
        <v>191</v>
      </c>
    </row>
    <row r="7">
      <c r="C7" s="14"/>
      <c r="BO7" s="17">
        <v>1891.98</v>
      </c>
      <c r="BR7" s="17">
        <v>1891.98</v>
      </c>
      <c r="BU7" s="12" t="s">
        <v>191</v>
      </c>
    </row>
    <row r="8">
      <c r="C8" s="14"/>
      <c r="BO8" s="17">
        <v>1328.67</v>
      </c>
      <c r="BR8" s="17">
        <v>1328.67</v>
      </c>
      <c r="BU8" s="12" t="s">
        <v>191</v>
      </c>
    </row>
    <row r="9">
      <c r="C9" s="14"/>
      <c r="BO9" s="17">
        <v>2706.85</v>
      </c>
      <c r="BR9" s="17">
        <v>2706.85</v>
      </c>
      <c r="BU9" s="12" t="s">
        <v>191</v>
      </c>
    </row>
    <row r="10">
      <c r="C10" s="19"/>
      <c r="BO10" s="17">
        <v>761.55</v>
      </c>
      <c r="BR10" s="17">
        <v>761.55</v>
      </c>
      <c r="BU10" s="12" t="s">
        <v>191</v>
      </c>
    </row>
    <row r="11">
      <c r="C11" s="19"/>
      <c r="BO11" s="17">
        <v>957.86</v>
      </c>
      <c r="BR11" s="17">
        <v>957.86</v>
      </c>
      <c r="BU11" s="12" t="s">
        <v>191</v>
      </c>
    </row>
    <row r="12">
      <c r="C12" s="19"/>
      <c r="BO12" s="17">
        <v>967.28</v>
      </c>
      <c r="BR12" s="17">
        <v>967.28</v>
      </c>
      <c r="BU12" s="12" t="s">
        <v>191</v>
      </c>
    </row>
    <row r="13">
      <c r="C13" s="19"/>
      <c r="BO13" s="17">
        <v>170.43</v>
      </c>
      <c r="BR13" s="17">
        <v>170.43</v>
      </c>
      <c r="BU13" s="12" t="s">
        <v>191</v>
      </c>
    </row>
    <row r="14">
      <c r="C14" s="19"/>
      <c r="BO14" s="17">
        <v>1105.29</v>
      </c>
      <c r="BR14" s="17">
        <v>1105.29</v>
      </c>
      <c r="BU14" s="12" t="s">
        <v>191</v>
      </c>
    </row>
    <row r="15">
      <c r="C15" s="19"/>
      <c r="BO15" s="17">
        <v>230.03</v>
      </c>
      <c r="BR15" s="17">
        <v>230.03</v>
      </c>
      <c r="BU15" s="12" t="s">
        <v>191</v>
      </c>
    </row>
    <row r="16">
      <c r="C16" s="19"/>
      <c r="BO16" s="17">
        <v>625.87</v>
      </c>
      <c r="BR16" s="17">
        <v>625.87</v>
      </c>
      <c r="BU16" s="12" t="s">
        <v>191</v>
      </c>
    </row>
    <row r="17">
      <c r="C17" s="19"/>
      <c r="BO17" s="17">
        <v>107.5</v>
      </c>
      <c r="BR17" s="17">
        <v>107.5</v>
      </c>
      <c r="BU17" s="12" t="s">
        <v>191</v>
      </c>
    </row>
    <row r="18">
      <c r="C18" s="19"/>
      <c r="BO18" s="17">
        <v>290.0</v>
      </c>
      <c r="BR18" s="17">
        <v>290.0</v>
      </c>
      <c r="BU18" s="12" t="s">
        <v>180</v>
      </c>
      <c r="BV18" s="12" t="s">
        <v>259</v>
      </c>
    </row>
    <row r="19">
      <c r="C19" s="19"/>
      <c r="BO19" s="17">
        <v>322.0</v>
      </c>
      <c r="BR19" s="17">
        <v>322.0</v>
      </c>
      <c r="BU19" s="12" t="s">
        <v>180</v>
      </c>
      <c r="BV19" s="12" t="s">
        <v>263</v>
      </c>
    </row>
    <row r="20">
      <c r="C20" s="19"/>
      <c r="BO20" s="17">
        <v>7000.0</v>
      </c>
      <c r="BR20" s="17">
        <v>7000.0</v>
      </c>
      <c r="BU20" s="12" t="s">
        <v>180</v>
      </c>
    </row>
    <row r="21">
      <c r="C21" s="19"/>
      <c r="BO21" s="17">
        <v>74.48</v>
      </c>
      <c r="BR21" s="17">
        <v>74.48</v>
      </c>
      <c r="BU21" s="12" t="s">
        <v>191</v>
      </c>
    </row>
    <row r="22">
      <c r="C22" s="19"/>
      <c r="BO22" s="17">
        <v>16.0</v>
      </c>
      <c r="BR22" s="17">
        <v>16.0</v>
      </c>
      <c r="BU22" s="12" t="s">
        <v>191</v>
      </c>
    </row>
    <row r="23">
      <c r="C23" s="19"/>
      <c r="BO23" s="17">
        <v>183.66</v>
      </c>
      <c r="BR23" s="17">
        <v>183.66</v>
      </c>
      <c r="BU23" s="12" t="s">
        <v>180</v>
      </c>
    </row>
    <row r="24">
      <c r="C24" s="19"/>
      <c r="BO24" s="17">
        <v>166.45</v>
      </c>
      <c r="BR24" s="17">
        <v>166.45</v>
      </c>
      <c r="BU24" s="12" t="s">
        <v>191</v>
      </c>
    </row>
    <row r="25">
      <c r="C25" s="19"/>
      <c r="BO25" s="17">
        <v>111.0</v>
      </c>
      <c r="BR25" s="17">
        <v>111.0</v>
      </c>
      <c r="BU25" s="12" t="s">
        <v>180</v>
      </c>
    </row>
    <row r="26">
      <c r="C26" s="19"/>
      <c r="BO26" s="17">
        <v>78.0</v>
      </c>
      <c r="BR26" s="17">
        <v>78.0</v>
      </c>
      <c r="BU26" s="12" t="s">
        <v>180</v>
      </c>
    </row>
    <row r="27">
      <c r="C27" s="19"/>
      <c r="BO27" s="17">
        <v>120.0</v>
      </c>
      <c r="BR27" s="17">
        <v>120.0</v>
      </c>
      <c r="BU27" s="12" t="s">
        <v>180</v>
      </c>
    </row>
    <row r="28">
      <c r="C28" s="19"/>
      <c r="BO28" s="17">
        <v>29.0</v>
      </c>
      <c r="BR28" s="17">
        <v>29.0</v>
      </c>
      <c r="BU28" s="12" t="s">
        <v>180</v>
      </c>
    </row>
    <row r="29">
      <c r="C29" s="19"/>
      <c r="BO29" s="17">
        <v>19.0</v>
      </c>
      <c r="BR29" s="17">
        <v>19.0</v>
      </c>
      <c r="BU29" s="12" t="s">
        <v>180</v>
      </c>
    </row>
    <row r="30">
      <c r="C30" s="19"/>
      <c r="BO30" s="17">
        <v>120.0</v>
      </c>
      <c r="BR30" s="17">
        <v>120.0</v>
      </c>
      <c r="BU30" s="12" t="s">
        <v>180</v>
      </c>
    </row>
    <row r="31">
      <c r="C31" s="19"/>
      <c r="BO31" s="17">
        <v>243.0</v>
      </c>
      <c r="BR31" s="17">
        <v>243.0</v>
      </c>
      <c r="BU31" s="12" t="s">
        <v>180</v>
      </c>
    </row>
    <row r="32">
      <c r="C32" s="19"/>
      <c r="BO32" s="17">
        <v>38.62</v>
      </c>
      <c r="BR32" s="17">
        <v>38.62</v>
      </c>
      <c r="BU32" s="12" t="s">
        <v>180</v>
      </c>
    </row>
    <row r="33">
      <c r="C33" s="19"/>
      <c r="BO33" s="17">
        <v>100.0</v>
      </c>
      <c r="BR33" s="17">
        <v>100.0</v>
      </c>
      <c r="BU33" s="12" t="s">
        <v>180</v>
      </c>
    </row>
    <row r="34">
      <c r="C34" s="19"/>
      <c r="BO34" s="17">
        <v>117.78</v>
      </c>
      <c r="BR34" s="17">
        <v>117.78</v>
      </c>
      <c r="BU34" s="12" t="s">
        <v>180</v>
      </c>
    </row>
    <row r="35">
      <c r="C35" s="19"/>
      <c r="BO35" s="17">
        <v>79.54</v>
      </c>
      <c r="BR35" s="17">
        <v>79.54</v>
      </c>
      <c r="BU35" s="12" t="s">
        <v>180</v>
      </c>
    </row>
    <row r="36">
      <c r="C36" s="19"/>
      <c r="BO36" s="17">
        <v>50.07</v>
      </c>
      <c r="BR36" s="17">
        <v>50.07</v>
      </c>
      <c r="BU36" s="12" t="s">
        <v>180</v>
      </c>
    </row>
    <row r="37">
      <c r="C37" s="19"/>
      <c r="BO37" s="17">
        <v>45.5</v>
      </c>
      <c r="BR37" s="17">
        <v>45.5</v>
      </c>
      <c r="BU37" s="12" t="s">
        <v>180</v>
      </c>
    </row>
    <row r="38">
      <c r="C38" s="19"/>
      <c r="BO38" s="17">
        <v>108.06</v>
      </c>
      <c r="BR38" s="17">
        <v>108.06</v>
      </c>
      <c r="BU38" s="12" t="s">
        <v>180</v>
      </c>
    </row>
    <row r="39">
      <c r="C39" s="19"/>
      <c r="BO39" s="17">
        <v>110.0</v>
      </c>
      <c r="BR39" s="17">
        <v>110.0</v>
      </c>
      <c r="BU39" s="12" t="s">
        <v>180</v>
      </c>
    </row>
    <row r="40">
      <c r="C40" s="19"/>
      <c r="BO40" s="17">
        <v>204.0</v>
      </c>
      <c r="BR40" s="17">
        <v>204.0</v>
      </c>
      <c r="BU40" s="12" t="s">
        <v>180</v>
      </c>
    </row>
    <row r="41">
      <c r="C41" s="19"/>
      <c r="BO41" s="17">
        <v>70.2</v>
      </c>
      <c r="BR41" s="17">
        <v>70.2</v>
      </c>
      <c r="BU41" s="12" t="s">
        <v>180</v>
      </c>
    </row>
    <row r="42">
      <c r="C42" s="19"/>
      <c r="BO42" s="17">
        <v>500.0</v>
      </c>
      <c r="BR42" s="17">
        <v>500.0</v>
      </c>
      <c r="BU42" s="12" t="s">
        <v>180</v>
      </c>
    </row>
    <row r="43">
      <c r="C43" s="19"/>
      <c r="BO43" s="17">
        <v>89.82</v>
      </c>
      <c r="BR43" s="17">
        <v>89.82</v>
      </c>
      <c r="BU43" s="12" t="s">
        <v>180</v>
      </c>
    </row>
    <row r="44">
      <c r="C44" s="19"/>
      <c r="BO44" s="17">
        <v>240.0</v>
      </c>
      <c r="BR44" s="17">
        <v>240.0</v>
      </c>
      <c r="BU44" s="12" t="s">
        <v>180</v>
      </c>
    </row>
    <row r="45">
      <c r="C45" s="19"/>
      <c r="BO45" s="17">
        <v>132.6</v>
      </c>
      <c r="BR45" s="17">
        <v>132.6</v>
      </c>
      <c r="BU45" s="12" t="s">
        <v>180</v>
      </c>
    </row>
    <row r="46">
      <c r="C46" s="19"/>
      <c r="BO46" s="17">
        <v>64.71</v>
      </c>
      <c r="BR46" s="17">
        <v>64.71</v>
      </c>
      <c r="BU46" s="12" t="s">
        <v>180</v>
      </c>
    </row>
    <row r="47">
      <c r="C47" s="19"/>
      <c r="BO47" s="17">
        <v>263.77</v>
      </c>
      <c r="BR47" s="17">
        <v>263.77</v>
      </c>
      <c r="BU47" s="12" t="s">
        <v>180</v>
      </c>
    </row>
    <row r="48">
      <c r="C48" s="19"/>
      <c r="BO48" s="17">
        <v>181.26</v>
      </c>
      <c r="BR48" s="17">
        <v>181.26</v>
      </c>
      <c r="BU48" s="12" t="s">
        <v>180</v>
      </c>
    </row>
    <row r="49">
      <c r="C49" s="19"/>
      <c r="BO49" s="17">
        <v>65.0</v>
      </c>
      <c r="BR49" s="17">
        <v>65.0</v>
      </c>
      <c r="BU49" s="12" t="s">
        <v>180</v>
      </c>
    </row>
    <row r="50">
      <c r="C50" s="19"/>
      <c r="BO50" s="17">
        <v>2443.37</v>
      </c>
      <c r="BR50" s="17">
        <v>2443.37</v>
      </c>
      <c r="BU50" s="12" t="s">
        <v>180</v>
      </c>
      <c r="BV50" s="12" t="s">
        <v>396</v>
      </c>
    </row>
    <row r="51">
      <c r="C51" s="19"/>
      <c r="BO51" s="17">
        <v>1930.99</v>
      </c>
      <c r="BR51" s="17">
        <v>1930.99</v>
      </c>
      <c r="BU51" s="12" t="s">
        <v>180</v>
      </c>
      <c r="BV51" s="12" t="s">
        <v>403</v>
      </c>
    </row>
    <row r="52">
      <c r="C52" s="19"/>
      <c r="BO52" s="17">
        <v>2054.81</v>
      </c>
      <c r="BR52" s="17">
        <v>2054.81</v>
      </c>
      <c r="BU52" s="12" t="s">
        <v>180</v>
      </c>
      <c r="BV52" s="17">
        <v>5.7411272E7</v>
      </c>
    </row>
    <row r="53">
      <c r="C53" s="19"/>
      <c r="BO53" s="17">
        <v>331.24</v>
      </c>
      <c r="BR53" s="17">
        <v>331.24</v>
      </c>
      <c r="BU53" s="12" t="s">
        <v>180</v>
      </c>
    </row>
    <row r="54">
      <c r="C54" s="19"/>
      <c r="BO54" s="17">
        <v>1682.87</v>
      </c>
      <c r="BR54" s="17">
        <v>1682.87</v>
      </c>
      <c r="BU54" s="12" t="s">
        <v>180</v>
      </c>
      <c r="BV54" s="12" t="s">
        <v>424</v>
      </c>
    </row>
    <row r="55">
      <c r="C55" s="19"/>
      <c r="BO55" s="17">
        <v>70.0</v>
      </c>
      <c r="BR55" s="17">
        <v>70.0</v>
      </c>
      <c r="BU55" s="12" t="s">
        <v>180</v>
      </c>
    </row>
    <row r="56">
      <c r="C56" s="19"/>
      <c r="BO56" s="17">
        <v>75.48</v>
      </c>
      <c r="BR56" s="17">
        <v>75.48</v>
      </c>
      <c r="BU56" s="12" t="s">
        <v>180</v>
      </c>
    </row>
    <row r="57">
      <c r="C57" s="19"/>
      <c r="BO57" s="17">
        <v>149.9</v>
      </c>
      <c r="BR57" s="17">
        <v>149.9</v>
      </c>
      <c r="BU57" s="12" t="s">
        <v>180</v>
      </c>
    </row>
    <row r="58">
      <c r="C58" s="19"/>
      <c r="BO58" s="17">
        <v>390.0</v>
      </c>
      <c r="BR58" s="17">
        <v>390.0</v>
      </c>
      <c r="BU58" s="12" t="s">
        <v>180</v>
      </c>
    </row>
    <row r="59">
      <c r="C59" s="19"/>
      <c r="BO59" s="17">
        <v>71.59</v>
      </c>
      <c r="BR59" s="17">
        <v>71.59</v>
      </c>
      <c r="BU59" s="12" t="s">
        <v>180</v>
      </c>
    </row>
    <row r="60">
      <c r="C60" s="19"/>
      <c r="BO60" s="17">
        <v>91.3</v>
      </c>
      <c r="BR60" s="17">
        <v>91.3</v>
      </c>
      <c r="BU60" s="12" t="s">
        <v>180</v>
      </c>
    </row>
    <row r="61">
      <c r="C61" s="19"/>
      <c r="BO61" s="17">
        <v>145.99</v>
      </c>
      <c r="BR61" s="17">
        <v>145.99</v>
      </c>
      <c r="BU61" s="12" t="s">
        <v>180</v>
      </c>
    </row>
    <row r="62">
      <c r="C62" s="19"/>
      <c r="BO62" s="17">
        <v>240.0</v>
      </c>
      <c r="BR62" s="17">
        <v>240.0</v>
      </c>
      <c r="BU62" s="12" t="s">
        <v>180</v>
      </c>
    </row>
    <row r="63">
      <c r="C63" s="19"/>
      <c r="BO63" s="17">
        <v>58.5</v>
      </c>
      <c r="BR63" s="17">
        <v>58.5</v>
      </c>
      <c r="BU63" s="12" t="s">
        <v>180</v>
      </c>
    </row>
    <row r="64">
      <c r="C64" s="19"/>
      <c r="BO64" s="17">
        <v>80.0</v>
      </c>
      <c r="BR64" s="17">
        <v>80.0</v>
      </c>
      <c r="BU64" s="12" t="s">
        <v>180</v>
      </c>
    </row>
    <row r="65">
      <c r="C65" s="19"/>
      <c r="BO65" s="17">
        <v>42.74</v>
      </c>
      <c r="BR65" s="17">
        <v>42.74</v>
      </c>
      <c r="BU65" s="12" t="s">
        <v>180</v>
      </c>
    </row>
    <row r="66">
      <c r="C66" s="19"/>
      <c r="BO66" s="17">
        <v>750.0</v>
      </c>
      <c r="BR66" s="17">
        <v>750.0</v>
      </c>
      <c r="BU66" s="12" t="s">
        <v>180</v>
      </c>
    </row>
    <row r="67">
      <c r="C67" s="19"/>
      <c r="BO67" s="17">
        <v>289.0</v>
      </c>
      <c r="BR67" s="17">
        <v>289.0</v>
      </c>
      <c r="BU67" s="12" t="s">
        <v>180</v>
      </c>
    </row>
    <row r="68">
      <c r="C68" s="19"/>
      <c r="BO68" s="17">
        <v>30.0</v>
      </c>
      <c r="BR68" s="17">
        <v>30.0</v>
      </c>
      <c r="BU68" s="12" t="s">
        <v>180</v>
      </c>
    </row>
    <row r="69">
      <c r="C69" s="19"/>
      <c r="BO69" s="17">
        <v>398.23</v>
      </c>
      <c r="BR69" s="17">
        <v>398.23</v>
      </c>
      <c r="BU69" s="12" t="s">
        <v>180</v>
      </c>
    </row>
    <row r="70">
      <c r="C70" s="19"/>
      <c r="BO70" s="17">
        <v>150.0</v>
      </c>
      <c r="BR70" s="17">
        <v>150.0</v>
      </c>
      <c r="BU70" s="12" t="s">
        <v>180</v>
      </c>
    </row>
    <row r="71">
      <c r="C71" s="19"/>
      <c r="BO71" s="17">
        <v>100.0</v>
      </c>
      <c r="BR71" s="17">
        <v>100.0</v>
      </c>
      <c r="BU71" s="12" t="s">
        <v>180</v>
      </c>
    </row>
    <row r="72">
      <c r="C72" s="19"/>
      <c r="BO72" s="17">
        <v>300.0</v>
      </c>
      <c r="BR72" s="17">
        <v>300.0</v>
      </c>
      <c r="BU72" s="12" t="s">
        <v>180</v>
      </c>
    </row>
    <row r="73">
      <c r="C73" s="19"/>
      <c r="BO73" s="17">
        <v>15.0</v>
      </c>
      <c r="BR73" s="17">
        <v>15.0</v>
      </c>
      <c r="BU73" s="12" t="s">
        <v>180</v>
      </c>
    </row>
    <row r="74">
      <c r="C74" s="19"/>
      <c r="BO74" s="17">
        <v>39.98</v>
      </c>
      <c r="BR74" s="17">
        <v>39.98</v>
      </c>
      <c r="BU74" s="12" t="s">
        <v>180</v>
      </c>
    </row>
    <row r="75">
      <c r="C75" s="19"/>
      <c r="BO75" s="17">
        <v>57.12</v>
      </c>
      <c r="BR75" s="17">
        <v>57.12</v>
      </c>
      <c r="BU75" s="12" t="s">
        <v>180</v>
      </c>
    </row>
    <row r="76">
      <c r="C76" s="19"/>
      <c r="BO76" s="17">
        <v>22.0</v>
      </c>
      <c r="BR76" s="17">
        <v>22.0</v>
      </c>
      <c r="BU76" s="12" t="s">
        <v>180</v>
      </c>
    </row>
    <row r="77">
      <c r="C77" s="19"/>
      <c r="BO77" s="17">
        <v>87.14</v>
      </c>
      <c r="BR77" s="17">
        <v>87.14</v>
      </c>
      <c r="BU77" s="12" t="s">
        <v>180</v>
      </c>
    </row>
    <row r="78">
      <c r="C78" s="19"/>
      <c r="BO78" s="17">
        <v>28.05</v>
      </c>
      <c r="BR78" s="17">
        <v>28.05</v>
      </c>
      <c r="BU78" s="12" t="s">
        <v>180</v>
      </c>
    </row>
    <row r="79">
      <c r="C79" s="19"/>
      <c r="BO79" s="17">
        <v>18.62</v>
      </c>
      <c r="BR79" s="17">
        <v>18.62</v>
      </c>
      <c r="BU79" s="12" t="s">
        <v>180</v>
      </c>
    </row>
    <row r="80">
      <c r="C80" s="19"/>
      <c r="BO80" s="17">
        <v>20.0</v>
      </c>
      <c r="BR80" s="17">
        <v>20.0</v>
      </c>
      <c r="BU80" s="12" t="s">
        <v>180</v>
      </c>
    </row>
    <row r="81">
      <c r="C81" s="19"/>
      <c r="BO81" s="17">
        <v>121.88</v>
      </c>
      <c r="BR81" s="17">
        <v>121.88</v>
      </c>
      <c r="BU81" s="12" t="s">
        <v>180</v>
      </c>
    </row>
    <row r="82">
      <c r="C82" s="19"/>
      <c r="BO82" s="17">
        <v>22.77</v>
      </c>
      <c r="BR82" s="17">
        <v>22.77</v>
      </c>
      <c r="BU82" s="12" t="s">
        <v>180</v>
      </c>
      <c r="BV82" s="12" t="s">
        <v>424</v>
      </c>
    </row>
    <row r="83">
      <c r="C83" s="19"/>
      <c r="BO83" s="17">
        <v>16.98</v>
      </c>
      <c r="BR83" s="17">
        <v>16.98</v>
      </c>
      <c r="BU83" s="12" t="s">
        <v>180</v>
      </c>
      <c r="BV83" s="17">
        <v>5.7411272E7</v>
      </c>
    </row>
    <row r="84">
      <c r="C84" s="19"/>
      <c r="BO84" s="17">
        <v>20.76</v>
      </c>
      <c r="BR84" s="17">
        <v>20.76</v>
      </c>
      <c r="BU84" s="12" t="s">
        <v>180</v>
      </c>
      <c r="BV84" s="12" t="s">
        <v>424</v>
      </c>
    </row>
    <row r="85">
      <c r="C85" s="19"/>
      <c r="BO85" s="17">
        <v>23.4</v>
      </c>
      <c r="BR85" s="17">
        <v>23.4</v>
      </c>
      <c r="BU85" s="12" t="s">
        <v>180</v>
      </c>
      <c r="BV85" s="17">
        <v>5.7411272E7</v>
      </c>
    </row>
    <row r="86">
      <c r="C86" s="19"/>
      <c r="BO86" s="17">
        <v>60.23</v>
      </c>
      <c r="BR86" s="17">
        <v>60.23</v>
      </c>
      <c r="BU86" s="12" t="s">
        <v>180</v>
      </c>
    </row>
    <row r="87">
      <c r="C87" s="19"/>
      <c r="BO87" s="17">
        <v>31.07</v>
      </c>
      <c r="BR87" s="17">
        <v>31.07</v>
      </c>
      <c r="BU87" s="12" t="s">
        <v>180</v>
      </c>
    </row>
    <row r="88">
      <c r="C88" s="19"/>
      <c r="BO88" s="17">
        <v>39.75</v>
      </c>
      <c r="BR88" s="17">
        <v>39.75</v>
      </c>
      <c r="BU88" s="12" t="s">
        <v>180</v>
      </c>
    </row>
    <row r="89">
      <c r="C89" s="19"/>
      <c r="BO89" s="17">
        <v>60.96</v>
      </c>
      <c r="BR89" s="17">
        <v>60.96</v>
      </c>
      <c r="BU89" s="12" t="s">
        <v>180</v>
      </c>
    </row>
    <row r="90">
      <c r="C90" s="19"/>
      <c r="BO90" s="17">
        <v>42.01</v>
      </c>
      <c r="BR90" s="17">
        <v>42.01</v>
      </c>
      <c r="BU90" s="12" t="s">
        <v>180</v>
      </c>
    </row>
    <row r="91">
      <c r="C91" s="19"/>
      <c r="BO91" s="17">
        <v>2494.11</v>
      </c>
      <c r="BR91" s="17">
        <v>2494.11</v>
      </c>
      <c r="BU91" s="12" t="s">
        <v>191</v>
      </c>
    </row>
    <row r="92">
      <c r="C92" s="19"/>
      <c r="BO92" s="17">
        <v>148.4</v>
      </c>
      <c r="BR92" s="17">
        <v>148.4</v>
      </c>
      <c r="BU92" s="12" t="s">
        <v>191</v>
      </c>
    </row>
    <row r="93">
      <c r="A93" s="12" t="s">
        <v>609</v>
      </c>
      <c r="B93" s="12" t="s">
        <v>612</v>
      </c>
      <c r="C93" s="19">
        <v>45853.0</v>
      </c>
      <c r="D93" s="17">
        <v>9.6759515E7</v>
      </c>
      <c r="F93" s="12" t="s">
        <v>615</v>
      </c>
      <c r="G93" s="12" t="s">
        <v>618</v>
      </c>
      <c r="H93" s="12">
        <v>1.0</v>
      </c>
      <c r="I93" s="17">
        <v>3000.0</v>
      </c>
      <c r="J93" s="17">
        <v>3000.0</v>
      </c>
      <c r="BO93" s="17">
        <v>3000.0</v>
      </c>
      <c r="BR93" s="17">
        <v>3000.0</v>
      </c>
      <c r="BU93" s="12" t="s">
        <v>621</v>
      </c>
    </row>
    <row r="94">
      <c r="A94" s="12" t="s">
        <v>623</v>
      </c>
      <c r="B94" s="12" t="s">
        <v>612</v>
      </c>
      <c r="C94" s="19">
        <v>45852.0</v>
      </c>
      <c r="D94" s="12" t="s">
        <v>627</v>
      </c>
      <c r="F94" s="12" t="s">
        <v>628</v>
      </c>
      <c r="G94" s="12" t="s">
        <v>629</v>
      </c>
      <c r="H94" s="12">
        <v>1.0</v>
      </c>
      <c r="I94" s="17">
        <v>190.79</v>
      </c>
      <c r="J94" s="17">
        <v>190.79</v>
      </c>
      <c r="BO94" s="17">
        <v>190.79</v>
      </c>
      <c r="BR94" s="17">
        <v>190.79</v>
      </c>
      <c r="BU94" s="12" t="s">
        <v>621</v>
      </c>
    </row>
    <row r="95">
      <c r="A95" s="12" t="s">
        <v>637</v>
      </c>
      <c r="B95" s="12" t="s">
        <v>612</v>
      </c>
      <c r="C95" s="19">
        <v>45852.0</v>
      </c>
      <c r="D95" s="12" t="s">
        <v>441</v>
      </c>
      <c r="F95" s="12" t="s">
        <v>641</v>
      </c>
      <c r="G95" s="12" t="s">
        <v>643</v>
      </c>
      <c r="H95" s="12">
        <v>1.0</v>
      </c>
      <c r="I95" s="17">
        <v>269.0</v>
      </c>
      <c r="J95" s="17">
        <v>269.0</v>
      </c>
      <c r="BO95" s="17">
        <v>269.0</v>
      </c>
      <c r="BR95" s="17">
        <v>269.0</v>
      </c>
      <c r="BU95" s="12" t="s">
        <v>621</v>
      </c>
    </row>
    <row r="96">
      <c r="A96" s="12" t="s">
        <v>653</v>
      </c>
      <c r="B96" s="12" t="s">
        <v>612</v>
      </c>
      <c r="C96" s="19">
        <v>45852.0</v>
      </c>
      <c r="D96" s="12" t="s">
        <v>435</v>
      </c>
      <c r="F96" s="12" t="s">
        <v>658</v>
      </c>
      <c r="G96" s="12" t="s">
        <v>661</v>
      </c>
      <c r="H96" s="12">
        <v>1.0</v>
      </c>
      <c r="I96" s="17">
        <v>82.52</v>
      </c>
      <c r="J96" s="17">
        <v>82.52</v>
      </c>
      <c r="BO96" s="17">
        <v>82.52</v>
      </c>
      <c r="BR96" s="17">
        <v>82.52</v>
      </c>
      <c r="BU96" s="12" t="s">
        <v>621</v>
      </c>
    </row>
    <row r="97">
      <c r="A97" s="12" t="s">
        <v>671</v>
      </c>
      <c r="B97" s="12" t="s">
        <v>612</v>
      </c>
      <c r="C97" s="19">
        <v>45853.0</v>
      </c>
      <c r="D97" s="12" t="s">
        <v>673</v>
      </c>
      <c r="F97" s="12" t="s">
        <v>674</v>
      </c>
      <c r="G97" s="12" t="s">
        <v>677</v>
      </c>
      <c r="H97" s="12">
        <v>1.0</v>
      </c>
      <c r="I97" s="17">
        <v>1000.0</v>
      </c>
      <c r="J97" s="17">
        <v>1000.0</v>
      </c>
      <c r="BO97" s="17">
        <v>1000.0</v>
      </c>
      <c r="BR97" s="17">
        <v>1000.0</v>
      </c>
      <c r="BU97" s="12" t="s">
        <v>621</v>
      </c>
    </row>
    <row r="98">
      <c r="A98" s="12" t="s">
        <v>685</v>
      </c>
      <c r="B98" s="12" t="s">
        <v>612</v>
      </c>
      <c r="C98" s="19">
        <v>45853.0</v>
      </c>
      <c r="D98" s="12" t="s">
        <v>689</v>
      </c>
      <c r="F98" s="12" t="s">
        <v>690</v>
      </c>
      <c r="G98" s="12" t="s">
        <v>693</v>
      </c>
      <c r="H98" s="12">
        <v>1.0</v>
      </c>
      <c r="I98" s="17">
        <v>5000.0</v>
      </c>
      <c r="J98" s="17">
        <v>5000.0</v>
      </c>
      <c r="BO98" s="17">
        <v>5000.0</v>
      </c>
      <c r="BR98" s="17">
        <v>5000.0</v>
      </c>
      <c r="BU98" s="12" t="s">
        <v>621</v>
      </c>
    </row>
    <row r="99">
      <c r="A99" s="12" t="s">
        <v>697</v>
      </c>
      <c r="B99" s="12" t="s">
        <v>612</v>
      </c>
      <c r="C99" s="19">
        <v>45853.0</v>
      </c>
      <c r="F99" s="12" t="s">
        <v>700</v>
      </c>
      <c r="G99" s="12" t="s">
        <v>702</v>
      </c>
      <c r="H99" s="12">
        <v>1.0</v>
      </c>
      <c r="I99" s="17">
        <v>1462.34</v>
      </c>
      <c r="J99" s="17">
        <v>1462.34</v>
      </c>
      <c r="BO99" s="17">
        <v>1462.34</v>
      </c>
      <c r="BR99" s="17">
        <v>1462.34</v>
      </c>
      <c r="BU99" s="12" t="s">
        <v>621</v>
      </c>
      <c r="BV99" s="12" t="s">
        <v>709</v>
      </c>
    </row>
    <row r="100">
      <c r="A100" s="12" t="s">
        <v>711</v>
      </c>
      <c r="B100" s="12" t="s">
        <v>612</v>
      </c>
      <c r="C100" s="19">
        <v>45854.0</v>
      </c>
      <c r="D100" s="17">
        <v>6.8893939E7</v>
      </c>
      <c r="F100" s="12" t="s">
        <v>715</v>
      </c>
      <c r="G100" s="12" t="s">
        <v>717</v>
      </c>
      <c r="H100" s="12">
        <v>1.0</v>
      </c>
      <c r="I100" s="17">
        <v>1863.86</v>
      </c>
      <c r="J100" s="17">
        <v>1863.86</v>
      </c>
      <c r="BO100" s="17">
        <v>1863.86</v>
      </c>
      <c r="BR100" s="17">
        <v>1863.86</v>
      </c>
      <c r="BU100" s="12" t="s">
        <v>621</v>
      </c>
    </row>
    <row r="101">
      <c r="A101" s="12" t="s">
        <v>730</v>
      </c>
      <c r="B101" s="12" t="s">
        <v>612</v>
      </c>
      <c r="C101" s="19">
        <v>45849.0</v>
      </c>
      <c r="D101" s="12" t="s">
        <v>734</v>
      </c>
      <c r="F101" s="12" t="s">
        <v>736</v>
      </c>
      <c r="G101" s="12" t="s">
        <v>741</v>
      </c>
      <c r="H101" s="12">
        <v>1.0</v>
      </c>
      <c r="I101" s="17">
        <v>107.74</v>
      </c>
      <c r="J101" s="17">
        <v>107.74</v>
      </c>
      <c r="BO101" s="17">
        <v>107.74</v>
      </c>
      <c r="BR101" s="17">
        <v>107.74</v>
      </c>
      <c r="BU101" s="12" t="s">
        <v>621</v>
      </c>
    </row>
    <row r="102">
      <c r="A102" s="12" t="s">
        <v>750</v>
      </c>
      <c r="B102" s="12" t="s">
        <v>612</v>
      </c>
      <c r="C102" s="19">
        <v>45849.0</v>
      </c>
      <c r="D102" s="12" t="s">
        <v>734</v>
      </c>
      <c r="F102" s="12" t="s">
        <v>753</v>
      </c>
      <c r="G102" s="12" t="s">
        <v>755</v>
      </c>
      <c r="H102" s="12">
        <v>1.0</v>
      </c>
      <c r="I102" s="17">
        <v>434.97</v>
      </c>
      <c r="J102" s="17">
        <v>434.97</v>
      </c>
      <c r="BO102" s="17">
        <v>434.97</v>
      </c>
      <c r="BR102" s="17">
        <v>434.97</v>
      </c>
      <c r="BU102" s="12" t="s">
        <v>621</v>
      </c>
    </row>
    <row r="103">
      <c r="A103" s="12" t="s">
        <v>761</v>
      </c>
      <c r="B103" s="12" t="s">
        <v>612</v>
      </c>
      <c r="C103" s="19">
        <v>45856.0</v>
      </c>
      <c r="D103" s="12" t="s">
        <v>765</v>
      </c>
      <c r="F103" s="12" t="s">
        <v>767</v>
      </c>
      <c r="G103" s="12" t="s">
        <v>768</v>
      </c>
      <c r="H103" s="12">
        <v>1.0</v>
      </c>
      <c r="I103" s="17">
        <v>140.0</v>
      </c>
      <c r="J103" s="17">
        <v>140.0</v>
      </c>
      <c r="BO103" s="17">
        <v>140.0</v>
      </c>
      <c r="BR103" s="17">
        <v>140.0</v>
      </c>
      <c r="BU103" s="12" t="s">
        <v>621</v>
      </c>
    </row>
    <row r="104">
      <c r="A104" s="12" t="s">
        <v>771</v>
      </c>
      <c r="B104" s="12" t="s">
        <v>612</v>
      </c>
      <c r="C104" s="19">
        <v>45862.0</v>
      </c>
      <c r="D104" s="12" t="s">
        <v>775</v>
      </c>
      <c r="F104" s="12" t="s">
        <v>715</v>
      </c>
      <c r="G104" s="12" t="s">
        <v>717</v>
      </c>
      <c r="H104" s="12">
        <v>1.0</v>
      </c>
      <c r="I104" s="17">
        <v>1078.86</v>
      </c>
      <c r="J104" s="17">
        <v>1078.86</v>
      </c>
      <c r="BO104" s="17">
        <v>1078.86</v>
      </c>
      <c r="BR104" s="17">
        <v>1078.86</v>
      </c>
      <c r="BU104" s="12" t="s">
        <v>621</v>
      </c>
    </row>
    <row r="105">
      <c r="A105" s="12" t="s">
        <v>781</v>
      </c>
      <c r="B105" s="12" t="s">
        <v>612</v>
      </c>
      <c r="C105" s="19">
        <v>45862.0</v>
      </c>
      <c r="D105" s="12" t="s">
        <v>156</v>
      </c>
      <c r="F105" s="12" t="s">
        <v>783</v>
      </c>
      <c r="G105" s="12" t="s">
        <v>786</v>
      </c>
      <c r="H105" s="12">
        <v>1.0</v>
      </c>
      <c r="I105" s="17">
        <v>262.46</v>
      </c>
      <c r="J105" s="17">
        <v>262.46</v>
      </c>
      <c r="BO105" s="17">
        <v>262.46</v>
      </c>
      <c r="BR105" s="17">
        <v>262.46</v>
      </c>
      <c r="BU105" s="12" t="s">
        <v>621</v>
      </c>
    </row>
    <row r="106">
      <c r="A106" s="12">
        <v>1.43797426E8</v>
      </c>
      <c r="B106" s="12" t="s">
        <v>612</v>
      </c>
      <c r="C106" s="19">
        <v>45862.0</v>
      </c>
      <c r="D106" s="12" t="s">
        <v>156</v>
      </c>
      <c r="F106" s="12" t="s">
        <v>783</v>
      </c>
      <c r="G106" s="12" t="s">
        <v>797</v>
      </c>
      <c r="H106" s="12">
        <v>1.0</v>
      </c>
      <c r="I106" s="17">
        <v>792.84</v>
      </c>
      <c r="J106" s="17">
        <v>792.84</v>
      </c>
      <c r="BO106" s="17">
        <v>792.84</v>
      </c>
      <c r="BR106" s="17">
        <v>792.84</v>
      </c>
      <c r="BU106" s="12" t="s">
        <v>621</v>
      </c>
    </row>
    <row r="107">
      <c r="A107" s="12" t="s">
        <v>802</v>
      </c>
      <c r="B107" s="12" t="s">
        <v>612</v>
      </c>
      <c r="C107" s="19">
        <v>45862.0</v>
      </c>
      <c r="D107" s="17">
        <v>6.8893939E7</v>
      </c>
      <c r="F107" s="12" t="s">
        <v>715</v>
      </c>
      <c r="G107" s="12" t="s">
        <v>717</v>
      </c>
      <c r="H107" s="12">
        <v>1.0</v>
      </c>
      <c r="I107" s="17">
        <v>1863.85</v>
      </c>
      <c r="J107" s="17">
        <v>1863.85</v>
      </c>
      <c r="BO107" s="17">
        <v>1863.85</v>
      </c>
      <c r="BR107" s="17">
        <v>1863.85</v>
      </c>
      <c r="BU107" s="12" t="s">
        <v>621</v>
      </c>
    </row>
    <row r="108">
      <c r="A108" s="12" t="s">
        <v>813</v>
      </c>
      <c r="B108" s="12" t="s">
        <v>612</v>
      </c>
      <c r="C108" s="19">
        <v>45872.0</v>
      </c>
      <c r="D108" s="12" t="s">
        <v>818</v>
      </c>
      <c r="F108" s="12" t="s">
        <v>819</v>
      </c>
      <c r="G108" s="12" t="s">
        <v>820</v>
      </c>
      <c r="H108" s="12">
        <v>1.0</v>
      </c>
      <c r="I108" s="17">
        <v>185.25</v>
      </c>
      <c r="J108" s="17">
        <v>185.25</v>
      </c>
      <c r="BO108" s="17">
        <v>185.25</v>
      </c>
      <c r="BR108" s="17">
        <v>185.25</v>
      </c>
      <c r="BU108" s="12" t="s">
        <v>621</v>
      </c>
    </row>
    <row r="109">
      <c r="A109" s="12" t="s">
        <v>828</v>
      </c>
      <c r="B109" s="12" t="s">
        <v>612</v>
      </c>
      <c r="C109" s="19">
        <v>45873.0</v>
      </c>
      <c r="D109" s="12" t="s">
        <v>831</v>
      </c>
      <c r="F109" s="12" t="s">
        <v>834</v>
      </c>
      <c r="G109" s="12" t="s">
        <v>836</v>
      </c>
      <c r="H109" s="12">
        <v>1.0</v>
      </c>
      <c r="I109" s="17">
        <v>3031.41</v>
      </c>
      <c r="J109" s="17">
        <v>3031.41</v>
      </c>
      <c r="BO109" s="17">
        <v>3031.41</v>
      </c>
      <c r="BR109" s="17">
        <v>3031.41</v>
      </c>
      <c r="BU109" s="12" t="s">
        <v>621</v>
      </c>
    </row>
    <row r="110">
      <c r="A110" s="12" t="s">
        <v>844</v>
      </c>
      <c r="B110" s="12" t="s">
        <v>612</v>
      </c>
      <c r="C110" s="19">
        <v>45873.0</v>
      </c>
      <c r="D110" s="12" t="s">
        <v>848</v>
      </c>
      <c r="F110" s="12" t="s">
        <v>850</v>
      </c>
      <c r="G110" s="12" t="s">
        <v>852</v>
      </c>
      <c r="H110" s="12">
        <v>1.0</v>
      </c>
      <c r="I110" s="17">
        <v>4000.0</v>
      </c>
      <c r="J110" s="17">
        <v>4000.0</v>
      </c>
      <c r="BO110" s="17">
        <v>4000.0</v>
      </c>
      <c r="BR110" s="17">
        <v>4000.0</v>
      </c>
      <c r="BU110" s="12" t="s">
        <v>621</v>
      </c>
    </row>
    <row r="111">
      <c r="A111" s="12" t="s">
        <v>861</v>
      </c>
      <c r="B111" s="12" t="s">
        <v>612</v>
      </c>
      <c r="C111" s="19">
        <v>45873.0</v>
      </c>
      <c r="D111" s="12" t="s">
        <v>870</v>
      </c>
      <c r="F111" s="12" t="s">
        <v>872</v>
      </c>
      <c r="G111" s="12" t="s">
        <v>874</v>
      </c>
      <c r="H111" s="12">
        <v>1.0</v>
      </c>
      <c r="I111" s="17">
        <v>125.0</v>
      </c>
      <c r="J111" s="17">
        <v>125.0</v>
      </c>
      <c r="BO111" s="17">
        <v>125.0</v>
      </c>
      <c r="BR111" s="17">
        <v>125.0</v>
      </c>
      <c r="BU111" s="12" t="s">
        <v>621</v>
      </c>
    </row>
    <row r="112">
      <c r="A112" s="12" t="s">
        <v>882</v>
      </c>
      <c r="B112" s="12" t="s">
        <v>612</v>
      </c>
      <c r="C112" s="19">
        <v>45874.0</v>
      </c>
      <c r="D112" s="12" t="s">
        <v>156</v>
      </c>
      <c r="F112" s="12" t="s">
        <v>884</v>
      </c>
      <c r="G112" s="12" t="s">
        <v>887</v>
      </c>
      <c r="H112" s="12">
        <v>1.0</v>
      </c>
      <c r="I112" s="17">
        <v>6432.66</v>
      </c>
      <c r="J112" s="17">
        <v>6432.66</v>
      </c>
      <c r="BO112" s="17">
        <v>6432.66</v>
      </c>
      <c r="BR112" s="17">
        <v>6432.66</v>
      </c>
      <c r="BU112" s="12" t="s">
        <v>621</v>
      </c>
    </row>
    <row r="113">
      <c r="A113" s="12" t="s">
        <v>895</v>
      </c>
      <c r="B113" s="12" t="s">
        <v>612</v>
      </c>
      <c r="C113" s="19">
        <v>45880.0</v>
      </c>
      <c r="D113" s="12" t="s">
        <v>897</v>
      </c>
      <c r="F113" s="12" t="s">
        <v>898</v>
      </c>
      <c r="G113" s="12" t="s">
        <v>899</v>
      </c>
      <c r="H113" s="12">
        <v>1.0</v>
      </c>
      <c r="I113" s="17">
        <v>785.06</v>
      </c>
      <c r="J113" s="17">
        <v>785.06</v>
      </c>
      <c r="BO113" s="17">
        <v>785.06</v>
      </c>
      <c r="BR113" s="17">
        <v>785.06</v>
      </c>
      <c r="BU113" s="12" t="s">
        <v>621</v>
      </c>
    </row>
    <row r="114">
      <c r="A114" s="12" t="s">
        <v>904</v>
      </c>
      <c r="B114" s="12" t="s">
        <v>612</v>
      </c>
      <c r="C114" s="19">
        <v>45880.0</v>
      </c>
      <c r="D114" s="12" t="s">
        <v>897</v>
      </c>
      <c r="F114" s="12" t="s">
        <v>909</v>
      </c>
      <c r="G114" s="12" t="s">
        <v>911</v>
      </c>
      <c r="H114" s="12">
        <v>1.0</v>
      </c>
      <c r="I114" s="17">
        <v>0.0</v>
      </c>
      <c r="J114" s="17">
        <v>0.0</v>
      </c>
      <c r="BO114" s="17">
        <v>0.0</v>
      </c>
      <c r="BR114" s="17">
        <v>0.0</v>
      </c>
      <c r="BU114" s="12" t="s">
        <v>621</v>
      </c>
    </row>
    <row r="115">
      <c r="A115" s="12" t="s">
        <v>919</v>
      </c>
      <c r="B115" s="12" t="s">
        <v>612</v>
      </c>
      <c r="C115" s="19">
        <v>45881.0</v>
      </c>
      <c r="D115" s="12" t="s">
        <v>923</v>
      </c>
      <c r="F115" s="12" t="s">
        <v>924</v>
      </c>
      <c r="G115" s="12" t="s">
        <v>925</v>
      </c>
      <c r="H115" s="12">
        <v>1.0</v>
      </c>
      <c r="I115" s="17">
        <v>429.74</v>
      </c>
      <c r="J115" s="17">
        <v>429.74</v>
      </c>
      <c r="BO115" s="17">
        <v>429.74</v>
      </c>
      <c r="BR115" s="17">
        <v>429.74</v>
      </c>
      <c r="BU115" s="12" t="s">
        <v>621</v>
      </c>
    </row>
    <row r="116">
      <c r="A116" s="12" t="s">
        <v>930</v>
      </c>
      <c r="B116" s="12" t="s">
        <v>612</v>
      </c>
      <c r="C116" s="19">
        <v>45882.0</v>
      </c>
      <c r="D116" s="12" t="s">
        <v>933</v>
      </c>
      <c r="F116" s="12" t="s">
        <v>934</v>
      </c>
      <c r="G116" s="12" t="s">
        <v>936</v>
      </c>
      <c r="H116" s="12">
        <v>1.0</v>
      </c>
      <c r="I116" s="17">
        <v>500.0</v>
      </c>
      <c r="J116" s="17">
        <v>500.0</v>
      </c>
      <c r="BO116" s="17">
        <v>500.0</v>
      </c>
      <c r="BR116" s="17">
        <v>500.0</v>
      </c>
      <c r="BU116" s="12" t="s">
        <v>621</v>
      </c>
    </row>
    <row r="117">
      <c r="A117" s="12" t="s">
        <v>944</v>
      </c>
      <c r="B117" s="12" t="s">
        <v>612</v>
      </c>
      <c r="C117" s="19">
        <v>45883.0</v>
      </c>
      <c r="D117" s="17">
        <v>9.6759515E7</v>
      </c>
      <c r="F117" s="12" t="s">
        <v>949</v>
      </c>
      <c r="G117" s="12" t="s">
        <v>618</v>
      </c>
      <c r="H117" s="12">
        <v>1.0</v>
      </c>
      <c r="I117" s="17">
        <v>3000.0</v>
      </c>
      <c r="J117" s="17">
        <v>3000.0</v>
      </c>
      <c r="BO117" s="17">
        <v>3000.0</v>
      </c>
      <c r="BR117" s="17">
        <v>3000.0</v>
      </c>
      <c r="BU117" s="12" t="s">
        <v>621</v>
      </c>
    </row>
    <row r="118">
      <c r="A118" s="12" t="s">
        <v>956</v>
      </c>
      <c r="B118" s="12" t="s">
        <v>612</v>
      </c>
      <c r="C118" s="19">
        <v>45883.0</v>
      </c>
      <c r="D118" s="12" t="s">
        <v>689</v>
      </c>
      <c r="F118" s="12" t="s">
        <v>959</v>
      </c>
      <c r="G118" s="12" t="s">
        <v>693</v>
      </c>
      <c r="H118" s="12">
        <v>1.0</v>
      </c>
      <c r="I118" s="17">
        <v>5000.0</v>
      </c>
      <c r="J118" s="17">
        <v>5000.0</v>
      </c>
      <c r="BO118" s="17">
        <v>5000.0</v>
      </c>
      <c r="BR118" s="17">
        <v>5000.0</v>
      </c>
      <c r="BU118" s="12" t="s">
        <v>621</v>
      </c>
    </row>
    <row r="119">
      <c r="A119" s="12" t="s">
        <v>964</v>
      </c>
      <c r="B119" s="12" t="s">
        <v>612</v>
      </c>
      <c r="C119" s="19">
        <v>45887.0</v>
      </c>
      <c r="F119" s="12" t="s">
        <v>968</v>
      </c>
      <c r="G119" s="12" t="s">
        <v>702</v>
      </c>
      <c r="H119" s="12">
        <v>1.0</v>
      </c>
      <c r="I119" s="17">
        <v>1649.05</v>
      </c>
      <c r="J119" s="17">
        <v>1649.05</v>
      </c>
      <c r="BO119" s="17">
        <v>1649.05</v>
      </c>
      <c r="BR119" s="17">
        <v>1649.05</v>
      </c>
      <c r="BU119" s="12" t="s">
        <v>621</v>
      </c>
      <c r="BV119" s="12" t="s">
        <v>975</v>
      </c>
    </row>
    <row r="120">
      <c r="A120" s="12" t="s">
        <v>976</v>
      </c>
      <c r="B120" s="12" t="s">
        <v>612</v>
      </c>
      <c r="C120" s="19">
        <v>45887.0</v>
      </c>
      <c r="F120" s="12" t="s">
        <v>979</v>
      </c>
      <c r="G120" s="12" t="s">
        <v>702</v>
      </c>
      <c r="H120" s="12">
        <v>1.0</v>
      </c>
      <c r="I120" s="17">
        <v>1735.02</v>
      </c>
      <c r="J120" s="17">
        <v>1735.02</v>
      </c>
      <c r="BO120" s="17">
        <v>1735.02</v>
      </c>
      <c r="BR120" s="17">
        <v>1735.02</v>
      </c>
      <c r="BU120" s="12" t="s">
        <v>621</v>
      </c>
      <c r="BV120" s="12" t="s">
        <v>984</v>
      </c>
    </row>
    <row r="121">
      <c r="A121" s="12" t="s">
        <v>988</v>
      </c>
      <c r="B121" s="12" t="s">
        <v>612</v>
      </c>
      <c r="C121" s="19">
        <v>45887.0</v>
      </c>
      <c r="F121" s="12" t="s">
        <v>979</v>
      </c>
      <c r="G121" s="12" t="s">
        <v>702</v>
      </c>
      <c r="H121" s="12">
        <v>1.0</v>
      </c>
      <c r="I121" s="17">
        <v>1616.01</v>
      </c>
      <c r="J121" s="17">
        <v>1616.01</v>
      </c>
      <c r="BO121" s="17">
        <v>1616.01</v>
      </c>
      <c r="BR121" s="17">
        <v>1616.01</v>
      </c>
      <c r="BU121" s="12" t="s">
        <v>621</v>
      </c>
      <c r="BV121" s="12" t="s">
        <v>999</v>
      </c>
    </row>
    <row r="122">
      <c r="A122" s="12" t="s">
        <v>1001</v>
      </c>
      <c r="B122" s="12" t="s">
        <v>612</v>
      </c>
      <c r="C122" s="19">
        <v>45887.0</v>
      </c>
      <c r="F122" s="12" t="s">
        <v>979</v>
      </c>
      <c r="G122" s="12" t="s">
        <v>702</v>
      </c>
      <c r="H122" s="12">
        <v>1.0</v>
      </c>
      <c r="I122" s="17">
        <v>530.0</v>
      </c>
      <c r="J122" s="17">
        <v>530.0</v>
      </c>
      <c r="BO122" s="17">
        <v>530.0</v>
      </c>
      <c r="BR122" s="17">
        <v>530.0</v>
      </c>
      <c r="BU122" s="12" t="s">
        <v>621</v>
      </c>
      <c r="BV122" s="12" t="s">
        <v>1007</v>
      </c>
    </row>
    <row r="123">
      <c r="A123" s="12" t="s">
        <v>1010</v>
      </c>
      <c r="B123" s="12" t="s">
        <v>612</v>
      </c>
      <c r="C123" s="19">
        <v>45887.0</v>
      </c>
      <c r="F123" s="12" t="s">
        <v>979</v>
      </c>
      <c r="G123" s="12" t="s">
        <v>702</v>
      </c>
      <c r="H123" s="12">
        <v>1.0</v>
      </c>
      <c r="I123" s="17">
        <v>6841.73</v>
      </c>
      <c r="J123" s="17">
        <v>6841.73</v>
      </c>
      <c r="BO123" s="17">
        <v>6841.73</v>
      </c>
      <c r="BR123" s="17">
        <v>6841.73</v>
      </c>
      <c r="BU123" s="12" t="s">
        <v>621</v>
      </c>
      <c r="BV123" s="12" t="s">
        <v>1019</v>
      </c>
    </row>
    <row r="124">
      <c r="A124" s="12" t="s">
        <v>1022</v>
      </c>
      <c r="B124" s="12" t="s">
        <v>612</v>
      </c>
      <c r="C124" s="19">
        <v>45887.0</v>
      </c>
      <c r="D124" s="12" t="s">
        <v>590</v>
      </c>
      <c r="F124" s="12" t="s">
        <v>1025</v>
      </c>
      <c r="G124" s="12" t="s">
        <v>1028</v>
      </c>
      <c r="H124" s="12">
        <v>1.0</v>
      </c>
      <c r="I124" s="17">
        <v>572.64</v>
      </c>
      <c r="J124" s="17">
        <v>572.64</v>
      </c>
      <c r="BO124" s="17">
        <v>572.64</v>
      </c>
      <c r="BR124" s="17">
        <v>572.64</v>
      </c>
      <c r="BU124" s="12" t="s">
        <v>621</v>
      </c>
    </row>
    <row r="125">
      <c r="A125" s="12" t="s">
        <v>1035</v>
      </c>
      <c r="B125" s="12" t="s">
        <v>612</v>
      </c>
      <c r="C125" s="19">
        <v>45887.0</v>
      </c>
      <c r="D125" s="12" t="s">
        <v>933</v>
      </c>
      <c r="F125" s="12" t="s">
        <v>1039</v>
      </c>
      <c r="G125" s="12" t="s">
        <v>1040</v>
      </c>
      <c r="H125" s="12">
        <v>1.0</v>
      </c>
      <c r="I125" s="17">
        <v>3642.49</v>
      </c>
      <c r="J125" s="17">
        <v>3642.49</v>
      </c>
      <c r="BO125" s="17">
        <v>3642.49</v>
      </c>
      <c r="BR125" s="17">
        <v>3642.49</v>
      </c>
      <c r="BU125" s="12" t="s">
        <v>621</v>
      </c>
    </row>
    <row r="126">
      <c r="A126" s="12" t="s">
        <v>1049</v>
      </c>
      <c r="B126" s="12" t="s">
        <v>612</v>
      </c>
      <c r="C126" s="19">
        <v>45887.0</v>
      </c>
      <c r="D126" s="12" t="s">
        <v>734</v>
      </c>
      <c r="F126" s="12" t="s">
        <v>1055</v>
      </c>
      <c r="G126" s="12" t="s">
        <v>1056</v>
      </c>
      <c r="H126" s="12">
        <v>1.0</v>
      </c>
      <c r="I126" s="17">
        <v>1031.45</v>
      </c>
      <c r="J126" s="17">
        <v>1031.45</v>
      </c>
      <c r="BO126" s="17">
        <v>1031.45</v>
      </c>
      <c r="BR126" s="17">
        <v>1031.45</v>
      </c>
      <c r="BU126" s="12" t="s">
        <v>621</v>
      </c>
    </row>
    <row r="127">
      <c r="A127" s="12" t="s">
        <v>1062</v>
      </c>
      <c r="B127" s="12" t="s">
        <v>612</v>
      </c>
      <c r="C127" s="19">
        <v>45887.0</v>
      </c>
      <c r="D127" s="12" t="s">
        <v>1067</v>
      </c>
      <c r="F127" s="12" t="s">
        <v>1068</v>
      </c>
      <c r="G127" s="12" t="s">
        <v>741</v>
      </c>
      <c r="H127" s="12">
        <v>1.0</v>
      </c>
      <c r="I127" s="17">
        <v>705.2</v>
      </c>
      <c r="J127" s="17">
        <v>705.2</v>
      </c>
      <c r="BO127" s="17">
        <v>705.2</v>
      </c>
      <c r="BR127" s="17">
        <v>705.2</v>
      </c>
      <c r="BU127" s="12" t="s">
        <v>621</v>
      </c>
    </row>
    <row r="128">
      <c r="A128" s="12" t="s">
        <v>1073</v>
      </c>
      <c r="B128" s="12" t="s">
        <v>612</v>
      </c>
      <c r="C128" s="19">
        <v>45887.0</v>
      </c>
      <c r="D128" s="12" t="s">
        <v>1076</v>
      </c>
      <c r="F128" s="12" t="s">
        <v>1079</v>
      </c>
      <c r="G128" s="12" t="s">
        <v>1082</v>
      </c>
      <c r="H128" s="12">
        <v>1.0</v>
      </c>
      <c r="I128" s="17">
        <v>1361.0</v>
      </c>
      <c r="J128" s="17">
        <v>1361.0</v>
      </c>
      <c r="BO128" s="17">
        <v>1361.0</v>
      </c>
      <c r="BR128" s="17">
        <v>1361.0</v>
      </c>
      <c r="BU128" s="12" t="s">
        <v>621</v>
      </c>
    </row>
    <row r="129">
      <c r="A129" s="12" t="s">
        <v>1091</v>
      </c>
      <c r="B129" s="12" t="s">
        <v>612</v>
      </c>
      <c r="C129" s="19">
        <v>45890.0</v>
      </c>
      <c r="D129" s="12" t="s">
        <v>1094</v>
      </c>
      <c r="F129" s="12" t="s">
        <v>1098</v>
      </c>
      <c r="G129" s="17">
        <v>2.3273172E7</v>
      </c>
      <c r="H129" s="12">
        <v>1.0</v>
      </c>
      <c r="I129" s="17">
        <v>350.0</v>
      </c>
      <c r="J129" s="17">
        <v>350.0</v>
      </c>
      <c r="BO129" s="17">
        <v>350.0</v>
      </c>
      <c r="BR129" s="17">
        <v>350.0</v>
      </c>
      <c r="BU129" s="12" t="s">
        <v>621</v>
      </c>
    </row>
    <row r="130">
      <c r="A130" s="12" t="s">
        <v>1108</v>
      </c>
      <c r="B130" s="12" t="s">
        <v>612</v>
      </c>
      <c r="C130" s="19">
        <v>45894.0</v>
      </c>
      <c r="F130" s="12" t="s">
        <v>1112</v>
      </c>
      <c r="G130" s="12" t="s">
        <v>1113</v>
      </c>
      <c r="H130" s="12">
        <v>1.0</v>
      </c>
      <c r="I130" s="17">
        <v>500.0</v>
      </c>
      <c r="J130" s="17">
        <v>500.0</v>
      </c>
      <c r="BO130" s="17">
        <v>500.0</v>
      </c>
      <c r="BR130" s="17">
        <v>500.0</v>
      </c>
      <c r="BU130" s="12" t="s">
        <v>621</v>
      </c>
      <c r="BV130" s="12" t="s">
        <v>1121</v>
      </c>
    </row>
    <row r="131">
      <c r="A131" s="12" t="s">
        <v>1123</v>
      </c>
      <c r="B131" s="12" t="s">
        <v>612</v>
      </c>
      <c r="C131" s="19">
        <v>45896.0</v>
      </c>
      <c r="F131" s="12" t="s">
        <v>1128</v>
      </c>
      <c r="G131" s="12" t="s">
        <v>1113</v>
      </c>
      <c r="H131" s="12">
        <v>1.0</v>
      </c>
      <c r="I131" s="17">
        <v>100.0</v>
      </c>
      <c r="J131" s="17">
        <v>100.0</v>
      </c>
      <c r="BO131" s="17">
        <v>100.0</v>
      </c>
      <c r="BR131" s="17">
        <v>100.0</v>
      </c>
      <c r="BU131" s="12" t="s">
        <v>621</v>
      </c>
      <c r="BV131" s="12" t="s">
        <v>1144</v>
      </c>
    </row>
    <row r="132">
      <c r="A132" s="12" t="s">
        <v>1147</v>
      </c>
      <c r="B132" s="12" t="s">
        <v>612</v>
      </c>
      <c r="C132" s="19">
        <v>45902.0</v>
      </c>
      <c r="D132" s="12" t="s">
        <v>818</v>
      </c>
      <c r="F132" s="12" t="s">
        <v>819</v>
      </c>
      <c r="G132" s="12" t="s">
        <v>820</v>
      </c>
      <c r="H132" s="12">
        <v>1.0</v>
      </c>
      <c r="I132" s="17">
        <v>189.47</v>
      </c>
      <c r="J132" s="17">
        <v>189.47</v>
      </c>
      <c r="BO132" s="17">
        <v>189.47</v>
      </c>
      <c r="BR132" s="17">
        <v>189.47</v>
      </c>
      <c r="BU132" s="12" t="s">
        <v>621</v>
      </c>
    </row>
    <row r="133">
      <c r="A133" s="12" t="s">
        <v>1154</v>
      </c>
      <c r="B133" s="12" t="s">
        <v>612</v>
      </c>
      <c r="C133" s="19">
        <v>45902.0</v>
      </c>
      <c r="D133" s="12" t="s">
        <v>831</v>
      </c>
      <c r="F133" s="12" t="s">
        <v>834</v>
      </c>
      <c r="G133" s="12" t="s">
        <v>836</v>
      </c>
      <c r="H133" s="12">
        <v>1.0</v>
      </c>
      <c r="I133" s="17">
        <v>2031.41</v>
      </c>
      <c r="J133" s="17">
        <v>2031.41</v>
      </c>
      <c r="BO133" s="17">
        <v>2031.41</v>
      </c>
      <c r="BR133" s="17">
        <v>2031.41</v>
      </c>
      <c r="BU133" s="12" t="s">
        <v>621</v>
      </c>
    </row>
    <row r="134">
      <c r="A134" s="12" t="s">
        <v>1162</v>
      </c>
      <c r="B134" s="12" t="s">
        <v>612</v>
      </c>
      <c r="C134" s="19">
        <v>45902.0</v>
      </c>
      <c r="D134" s="12" t="s">
        <v>848</v>
      </c>
      <c r="F134" s="19">
        <v>45934.0</v>
      </c>
      <c r="G134" s="12" t="s">
        <v>852</v>
      </c>
      <c r="H134" s="12">
        <v>1.0</v>
      </c>
      <c r="I134" s="17">
        <v>4000.0</v>
      </c>
      <c r="J134" s="17">
        <v>4000.0</v>
      </c>
      <c r="BO134" s="17">
        <v>4000.0</v>
      </c>
      <c r="BR134" s="17">
        <v>4000.0</v>
      </c>
      <c r="BU134" s="12" t="s">
        <v>621</v>
      </c>
    </row>
    <row r="135">
      <c r="A135" s="12" t="s">
        <v>1168</v>
      </c>
      <c r="B135" s="12" t="s">
        <v>54</v>
      </c>
      <c r="C135" s="19">
        <v>45903.0</v>
      </c>
      <c r="F135" s="12" t="s">
        <v>1170</v>
      </c>
      <c r="G135" s="12" t="s">
        <v>702</v>
      </c>
      <c r="H135" s="12">
        <v>1.0</v>
      </c>
      <c r="I135" s="17">
        <v>2079.67</v>
      </c>
      <c r="J135" s="17">
        <v>2079.67</v>
      </c>
      <c r="BO135" s="17">
        <v>2079.67</v>
      </c>
      <c r="BR135" s="17">
        <v>2079.67</v>
      </c>
      <c r="BU135" s="12" t="s">
        <v>621</v>
      </c>
      <c r="BV135" s="12" t="s">
        <v>62</v>
      </c>
    </row>
    <row r="136">
      <c r="A136" s="12" t="s">
        <v>1177</v>
      </c>
      <c r="B136" s="12" t="s">
        <v>54</v>
      </c>
      <c r="C136" s="19">
        <v>45903.0</v>
      </c>
      <c r="F136" s="12" t="s">
        <v>1170</v>
      </c>
      <c r="G136" s="12" t="s">
        <v>702</v>
      </c>
      <c r="H136" s="12">
        <v>1.0</v>
      </c>
      <c r="I136" s="17">
        <v>1545.99</v>
      </c>
      <c r="J136" s="17">
        <v>1545.99</v>
      </c>
      <c r="BO136" s="17">
        <v>1545.99</v>
      </c>
      <c r="BR136" s="17">
        <v>1545.99</v>
      </c>
      <c r="BU136" s="12" t="s">
        <v>621</v>
      </c>
      <c r="BV136" s="12" t="s">
        <v>1183</v>
      </c>
    </row>
    <row r="137">
      <c r="A137" s="12" t="s">
        <v>1185</v>
      </c>
      <c r="B137" s="12" t="s">
        <v>54</v>
      </c>
      <c r="C137" s="19">
        <v>45903.0</v>
      </c>
      <c r="F137" s="12" t="s">
        <v>1187</v>
      </c>
      <c r="G137" s="12" t="s">
        <v>702</v>
      </c>
      <c r="H137" s="12">
        <v>1.0</v>
      </c>
      <c r="I137" s="17">
        <v>1961.24</v>
      </c>
      <c r="J137" s="17">
        <v>1961.24</v>
      </c>
      <c r="BO137" s="17">
        <v>1961.24</v>
      </c>
      <c r="BR137" s="17">
        <v>1961.24</v>
      </c>
      <c r="BU137" s="12" t="s">
        <v>621</v>
      </c>
      <c r="BV137" s="12" t="s">
        <v>1192</v>
      </c>
    </row>
    <row r="138">
      <c r="A138" s="12" t="s">
        <v>1193</v>
      </c>
      <c r="B138" s="12" t="s">
        <v>54</v>
      </c>
      <c r="C138" s="19">
        <v>45903.0</v>
      </c>
      <c r="F138" s="12" t="s">
        <v>1170</v>
      </c>
      <c r="G138" s="12" t="s">
        <v>1196</v>
      </c>
      <c r="H138" s="12">
        <v>1.0</v>
      </c>
      <c r="I138" s="17">
        <v>1680.43</v>
      </c>
      <c r="J138" s="17">
        <v>1680.43</v>
      </c>
      <c r="BO138" s="17">
        <v>1680.43</v>
      </c>
      <c r="BR138" s="17">
        <v>1680.43</v>
      </c>
      <c r="BU138" s="12" t="s">
        <v>621</v>
      </c>
      <c r="BV138" s="12" t="s">
        <v>78</v>
      </c>
    </row>
    <row r="139">
      <c r="A139" s="12" t="s">
        <v>1202</v>
      </c>
      <c r="B139" s="12" t="s">
        <v>54</v>
      </c>
      <c r="C139" s="19">
        <v>45903.0</v>
      </c>
      <c r="D139" s="12" t="s">
        <v>1204</v>
      </c>
      <c r="F139" s="12" t="s">
        <v>1205</v>
      </c>
      <c r="G139" s="12" t="s">
        <v>1206</v>
      </c>
      <c r="H139" s="12">
        <v>1.0</v>
      </c>
      <c r="I139" s="17">
        <v>4413.5</v>
      </c>
      <c r="J139" s="17">
        <v>4413.5</v>
      </c>
      <c r="BO139" s="17">
        <v>4413.5</v>
      </c>
      <c r="BR139" s="17">
        <v>4413.5</v>
      </c>
      <c r="BU139" s="12" t="s">
        <v>621</v>
      </c>
    </row>
    <row r="140">
      <c r="A140" s="12" t="s">
        <v>1213</v>
      </c>
      <c r="B140" s="12" t="s">
        <v>54</v>
      </c>
      <c r="C140" s="19">
        <v>45872.0</v>
      </c>
      <c r="D140" s="12" t="s">
        <v>1215</v>
      </c>
      <c r="F140" s="12" t="s">
        <v>1216</v>
      </c>
      <c r="G140" s="12" t="s">
        <v>1028</v>
      </c>
      <c r="H140" s="12">
        <v>1.0</v>
      </c>
      <c r="I140" s="17">
        <v>399.9</v>
      </c>
      <c r="J140" s="17">
        <v>399.9</v>
      </c>
      <c r="BO140" s="17">
        <v>399.9</v>
      </c>
      <c r="BR140" s="17">
        <v>399.9</v>
      </c>
      <c r="BU140" s="12" t="s">
        <v>621</v>
      </c>
    </row>
    <row r="141">
      <c r="A141" s="12" t="s">
        <v>1223</v>
      </c>
      <c r="B141" s="12" t="s">
        <v>54</v>
      </c>
      <c r="C141" s="19">
        <v>45903.0</v>
      </c>
      <c r="D141" s="12" t="s">
        <v>848</v>
      </c>
      <c r="F141" s="12" t="s">
        <v>1226</v>
      </c>
      <c r="G141" s="12" t="s">
        <v>852</v>
      </c>
      <c r="H141" s="12">
        <v>1.0</v>
      </c>
      <c r="I141" s="17">
        <v>4000.0</v>
      </c>
      <c r="J141" s="17">
        <v>4000.0</v>
      </c>
      <c r="BO141" s="17">
        <v>4000.0</v>
      </c>
      <c r="BR141" s="17">
        <v>4000.0</v>
      </c>
      <c r="BU141" s="12" t="s">
        <v>621</v>
      </c>
    </row>
    <row r="142">
      <c r="A142" s="12" t="s">
        <v>1232</v>
      </c>
      <c r="B142" s="12" t="s">
        <v>54</v>
      </c>
      <c r="C142" s="19">
        <v>45904.0</v>
      </c>
      <c r="D142" s="12" t="s">
        <v>156</v>
      </c>
      <c r="F142" s="12" t="s">
        <v>1235</v>
      </c>
      <c r="G142" s="12" t="s">
        <v>1236</v>
      </c>
      <c r="H142" s="12">
        <v>1.0</v>
      </c>
      <c r="I142" s="17">
        <v>1223.19</v>
      </c>
      <c r="J142" s="17">
        <v>1223.19</v>
      </c>
      <c r="BO142" s="17">
        <v>1223.19</v>
      </c>
      <c r="BR142" s="17">
        <v>1223.19</v>
      </c>
      <c r="BU142" s="12" t="s">
        <v>621</v>
      </c>
    </row>
    <row r="143">
      <c r="A143" s="12" t="s">
        <v>1241</v>
      </c>
      <c r="B143" s="12" t="s">
        <v>54</v>
      </c>
      <c r="C143" s="19">
        <v>45907.0</v>
      </c>
      <c r="D143" s="12" t="s">
        <v>1245</v>
      </c>
      <c r="F143" s="12" t="s">
        <v>1247</v>
      </c>
      <c r="G143" s="12" t="s">
        <v>1082</v>
      </c>
      <c r="H143" s="12">
        <v>1.0</v>
      </c>
      <c r="I143" s="17">
        <v>600.0</v>
      </c>
      <c r="J143" s="17">
        <v>600.0</v>
      </c>
      <c r="BO143" s="17">
        <v>600.0</v>
      </c>
      <c r="BR143" s="17">
        <v>600.0</v>
      </c>
      <c r="BU143" s="12" t="s">
        <v>621</v>
      </c>
    </row>
    <row r="144">
      <c r="A144" s="12" t="s">
        <v>1251</v>
      </c>
      <c r="B144" s="12" t="s">
        <v>54</v>
      </c>
      <c r="C144" s="19">
        <v>45908.0</v>
      </c>
      <c r="D144" s="12" t="s">
        <v>156</v>
      </c>
      <c r="F144" s="12" t="s">
        <v>1255</v>
      </c>
      <c r="G144" s="12" t="s">
        <v>1236</v>
      </c>
      <c r="H144" s="12">
        <v>1.0</v>
      </c>
      <c r="I144" s="17">
        <v>1325.79</v>
      </c>
      <c r="J144" s="17">
        <v>1325.79</v>
      </c>
      <c r="BO144" s="17">
        <v>1325.79</v>
      </c>
      <c r="BR144" s="17">
        <v>1325.79</v>
      </c>
      <c r="BU144" s="12" t="s">
        <v>621</v>
      </c>
    </row>
    <row r="145">
      <c r="A145" s="12" t="s">
        <v>1259</v>
      </c>
      <c r="B145" s="12" t="s">
        <v>54</v>
      </c>
      <c r="C145" s="19">
        <v>45908.0</v>
      </c>
      <c r="D145" s="12" t="s">
        <v>156</v>
      </c>
      <c r="F145" s="12" t="s">
        <v>1261</v>
      </c>
      <c r="G145" s="12" t="s">
        <v>797</v>
      </c>
      <c r="H145" s="12">
        <v>1.0</v>
      </c>
      <c r="I145" s="17">
        <v>28.0</v>
      </c>
      <c r="J145" s="17">
        <v>28.0</v>
      </c>
      <c r="BO145" s="17">
        <v>28.0</v>
      </c>
      <c r="BR145" s="17">
        <v>28.0</v>
      </c>
      <c r="BU145" s="12" t="s">
        <v>621</v>
      </c>
    </row>
    <row r="146">
      <c r="A146" s="12" t="s">
        <v>1265</v>
      </c>
      <c r="B146" s="12" t="s">
        <v>54</v>
      </c>
      <c r="C146" s="19">
        <v>45909.0</v>
      </c>
      <c r="D146" s="12" t="s">
        <v>156</v>
      </c>
      <c r="F146" s="12" t="s">
        <v>1267</v>
      </c>
      <c r="G146" s="12" t="s">
        <v>1236</v>
      </c>
      <c r="H146" s="12">
        <v>1.0</v>
      </c>
      <c r="I146" s="17">
        <v>54.0</v>
      </c>
      <c r="J146" s="17">
        <v>54.0</v>
      </c>
      <c r="BO146" s="17">
        <v>54.0</v>
      </c>
      <c r="BR146" s="17">
        <v>54.0</v>
      </c>
      <c r="BU146" s="12" t="s">
        <v>621</v>
      </c>
    </row>
    <row r="147">
      <c r="A147" s="12" t="s">
        <v>1272</v>
      </c>
      <c r="B147" s="12" t="s">
        <v>54</v>
      </c>
      <c r="C147" s="19">
        <v>45909.0</v>
      </c>
      <c r="D147" s="12" t="s">
        <v>156</v>
      </c>
      <c r="F147" s="12" t="s">
        <v>1275</v>
      </c>
      <c r="G147" s="12" t="s">
        <v>1236</v>
      </c>
      <c r="H147" s="12">
        <v>1.0</v>
      </c>
      <c r="I147" s="17">
        <v>160.0</v>
      </c>
      <c r="J147" s="17">
        <v>160.0</v>
      </c>
      <c r="BO147" s="17">
        <v>160.0</v>
      </c>
      <c r="BR147" s="17">
        <v>160.0</v>
      </c>
      <c r="BU147" s="12" t="s">
        <v>621</v>
      </c>
    </row>
    <row r="148">
      <c r="A148" s="12" t="s">
        <v>1278</v>
      </c>
      <c r="B148" s="12" t="s">
        <v>54</v>
      </c>
      <c r="C148" s="19">
        <v>45909.0</v>
      </c>
      <c r="D148" s="12" t="s">
        <v>156</v>
      </c>
      <c r="F148" s="12" t="s">
        <v>1275</v>
      </c>
      <c r="G148" s="12" t="s">
        <v>1236</v>
      </c>
      <c r="H148" s="12">
        <v>1.0</v>
      </c>
      <c r="I148" s="17">
        <v>5898.0</v>
      </c>
      <c r="J148" s="17">
        <v>5898.0</v>
      </c>
      <c r="BO148" s="17">
        <v>5898.0</v>
      </c>
      <c r="BR148" s="17">
        <v>5898.0</v>
      </c>
      <c r="BU148" s="12" t="s">
        <v>621</v>
      </c>
    </row>
    <row r="149">
      <c r="A149" s="12" t="s">
        <v>1285</v>
      </c>
      <c r="B149" s="12" t="s">
        <v>54</v>
      </c>
      <c r="C149" s="19">
        <v>45909.0</v>
      </c>
      <c r="D149" s="12" t="s">
        <v>156</v>
      </c>
      <c r="F149" s="12" t="s">
        <v>1275</v>
      </c>
      <c r="G149" s="12" t="s">
        <v>1236</v>
      </c>
      <c r="H149" s="12">
        <v>1.0</v>
      </c>
      <c r="I149" s="17">
        <v>56.8</v>
      </c>
      <c r="J149" s="17">
        <v>56.8</v>
      </c>
      <c r="BO149" s="17">
        <v>56.8</v>
      </c>
      <c r="BR149" s="17">
        <v>56.8</v>
      </c>
      <c r="BU149" s="12" t="s">
        <v>621</v>
      </c>
    </row>
    <row r="150">
      <c r="A150" s="12" t="s">
        <v>1293</v>
      </c>
      <c r="B150" s="12" t="s">
        <v>54</v>
      </c>
      <c r="C150" s="19">
        <v>45909.0</v>
      </c>
      <c r="D150" s="12" t="s">
        <v>156</v>
      </c>
      <c r="F150" s="12" t="s">
        <v>1275</v>
      </c>
      <c r="G150" s="12" t="s">
        <v>1236</v>
      </c>
      <c r="H150" s="12">
        <v>1.0</v>
      </c>
      <c r="I150" s="17">
        <v>2127.0</v>
      </c>
      <c r="J150" s="17">
        <v>2127.0</v>
      </c>
      <c r="BO150" s="17">
        <v>2127.0</v>
      </c>
      <c r="BR150" s="17">
        <v>2127.0</v>
      </c>
      <c r="BU150" s="12" t="s">
        <v>621</v>
      </c>
    </row>
    <row r="151">
      <c r="A151" s="12" t="s">
        <v>1298</v>
      </c>
      <c r="B151" s="12" t="s">
        <v>54</v>
      </c>
      <c r="C151" s="19">
        <v>45910.0</v>
      </c>
      <c r="D151" s="12" t="s">
        <v>156</v>
      </c>
      <c r="F151" s="12" t="s">
        <v>1303</v>
      </c>
      <c r="G151" s="12" t="s">
        <v>1236</v>
      </c>
      <c r="H151" s="12">
        <v>1.0</v>
      </c>
      <c r="I151" s="17">
        <v>8.0</v>
      </c>
      <c r="J151" s="17">
        <v>8.0</v>
      </c>
      <c r="BO151" s="17">
        <v>8.0</v>
      </c>
      <c r="BR151" s="17">
        <v>8.0</v>
      </c>
      <c r="BU151" s="12" t="s">
        <v>621</v>
      </c>
    </row>
    <row r="152">
      <c r="A152" s="12" t="s">
        <v>1306</v>
      </c>
      <c r="B152" s="12" t="s">
        <v>54</v>
      </c>
      <c r="C152" s="19">
        <v>45910.0</v>
      </c>
      <c r="D152" s="12" t="s">
        <v>156</v>
      </c>
      <c r="F152" s="12" t="s">
        <v>1303</v>
      </c>
      <c r="G152" s="12" t="s">
        <v>1236</v>
      </c>
      <c r="H152" s="12">
        <v>1.0</v>
      </c>
      <c r="I152" s="17">
        <v>3356.8</v>
      </c>
      <c r="J152" s="17">
        <v>3356.8</v>
      </c>
      <c r="BO152" s="17">
        <v>3356.8</v>
      </c>
      <c r="BR152" s="17">
        <v>3356.8</v>
      </c>
      <c r="BU152" s="12" t="s">
        <v>621</v>
      </c>
    </row>
    <row r="153">
      <c r="A153" s="12" t="s">
        <v>1314</v>
      </c>
      <c r="B153" s="12" t="s">
        <v>54</v>
      </c>
      <c r="C153" s="19">
        <v>45910.0</v>
      </c>
      <c r="D153" s="12" t="s">
        <v>1316</v>
      </c>
      <c r="F153" s="12" t="s">
        <v>1317</v>
      </c>
      <c r="G153" s="12" t="s">
        <v>1318</v>
      </c>
      <c r="H153" s="12">
        <v>1.0</v>
      </c>
      <c r="I153" s="17">
        <v>1000.0</v>
      </c>
      <c r="J153" s="17">
        <v>1000.0</v>
      </c>
      <c r="BO153" s="17">
        <v>1000.0</v>
      </c>
      <c r="BR153" s="17">
        <v>1000.0</v>
      </c>
      <c r="BU153" s="12" t="s">
        <v>621</v>
      </c>
    </row>
    <row r="154">
      <c r="A154" s="12" t="s">
        <v>1324</v>
      </c>
      <c r="B154" s="12" t="s">
        <v>54</v>
      </c>
      <c r="C154" s="19">
        <v>45911.0</v>
      </c>
      <c r="F154" s="12" t="s">
        <v>1112</v>
      </c>
      <c r="G154" s="12" t="s">
        <v>1113</v>
      </c>
      <c r="H154" s="12">
        <v>1.0</v>
      </c>
      <c r="I154" s="17">
        <v>500.0</v>
      </c>
      <c r="J154" s="17">
        <v>500.0</v>
      </c>
      <c r="BO154" s="17">
        <v>500.0</v>
      </c>
      <c r="BR154" s="17">
        <v>500.0</v>
      </c>
      <c r="BU154" s="12" t="s">
        <v>621</v>
      </c>
      <c r="BV154" s="12" t="s">
        <v>1183</v>
      </c>
    </row>
    <row r="155">
      <c r="A155" s="12" t="s">
        <v>1324</v>
      </c>
      <c r="B155" s="12" t="s">
        <v>54</v>
      </c>
      <c r="C155" s="19">
        <v>45911.0</v>
      </c>
      <c r="F155" s="12" t="s">
        <v>1112</v>
      </c>
      <c r="G155" s="12" t="s">
        <v>1113</v>
      </c>
      <c r="H155" s="12">
        <v>1.0</v>
      </c>
      <c r="I155" s="17">
        <v>500.0</v>
      </c>
      <c r="J155" s="17">
        <v>500.0</v>
      </c>
      <c r="BO155" s="17">
        <v>500.0</v>
      </c>
      <c r="BR155" s="17">
        <v>500.0</v>
      </c>
      <c r="BU155" s="12" t="s">
        <v>621</v>
      </c>
      <c r="BV155" s="12" t="s">
        <v>1183</v>
      </c>
    </row>
    <row r="156">
      <c r="A156" s="12" t="s">
        <v>904</v>
      </c>
      <c r="B156" s="12" t="s">
        <v>54</v>
      </c>
      <c r="C156" s="19">
        <v>45912.0</v>
      </c>
      <c r="D156" s="12" t="s">
        <v>897</v>
      </c>
      <c r="F156" s="12" t="s">
        <v>909</v>
      </c>
      <c r="G156" s="12" t="s">
        <v>911</v>
      </c>
      <c r="H156" s="12">
        <v>1.0</v>
      </c>
      <c r="I156" s="17">
        <v>0.0</v>
      </c>
      <c r="J156" s="17">
        <v>0.0</v>
      </c>
      <c r="BO156" s="17">
        <v>0.0</v>
      </c>
      <c r="BR156" s="17">
        <v>0.0</v>
      </c>
      <c r="BU156" s="12" t="s">
        <v>621</v>
      </c>
    </row>
    <row r="157">
      <c r="A157" s="12" t="s">
        <v>1344</v>
      </c>
      <c r="B157" s="12" t="s">
        <v>54</v>
      </c>
      <c r="C157" s="19">
        <v>45912.0</v>
      </c>
      <c r="D157" s="12" t="s">
        <v>933</v>
      </c>
      <c r="F157" s="12" t="s">
        <v>1346</v>
      </c>
      <c r="G157" s="12" t="s">
        <v>936</v>
      </c>
      <c r="H157" s="12">
        <v>1.0</v>
      </c>
      <c r="I157" s="17">
        <v>500.0</v>
      </c>
      <c r="J157" s="17">
        <v>500.0</v>
      </c>
      <c r="BO157" s="17">
        <v>500.0</v>
      </c>
      <c r="BR157" s="17">
        <v>500.0</v>
      </c>
      <c r="BU157" s="12" t="s">
        <v>621</v>
      </c>
    </row>
    <row r="158">
      <c r="A158" s="12" t="s">
        <v>904</v>
      </c>
      <c r="B158" s="12" t="s">
        <v>54</v>
      </c>
      <c r="C158" s="19">
        <v>45912.0</v>
      </c>
      <c r="D158" s="12" t="s">
        <v>897</v>
      </c>
      <c r="F158" s="12" t="s">
        <v>909</v>
      </c>
      <c r="G158" s="12" t="s">
        <v>911</v>
      </c>
      <c r="H158" s="12">
        <v>1.0</v>
      </c>
      <c r="I158" s="17">
        <v>0.0</v>
      </c>
      <c r="J158" s="17">
        <v>0.0</v>
      </c>
      <c r="BO158" s="17">
        <v>0.0</v>
      </c>
      <c r="BR158" s="17">
        <v>0.0</v>
      </c>
      <c r="BU158" s="12" t="s">
        <v>621</v>
      </c>
    </row>
    <row r="159">
      <c r="A159" s="12" t="s">
        <v>1344</v>
      </c>
      <c r="B159" s="12" t="s">
        <v>54</v>
      </c>
      <c r="C159" s="19">
        <v>45912.0</v>
      </c>
      <c r="D159" s="12" t="s">
        <v>933</v>
      </c>
      <c r="F159" s="12" t="s">
        <v>1346</v>
      </c>
      <c r="G159" s="12" t="s">
        <v>936</v>
      </c>
      <c r="H159" s="12">
        <v>1.0</v>
      </c>
      <c r="I159" s="17">
        <v>500.0</v>
      </c>
      <c r="J159" s="17">
        <v>500.0</v>
      </c>
      <c r="BO159" s="17">
        <v>500.0</v>
      </c>
      <c r="BR159" s="17">
        <v>500.0</v>
      </c>
      <c r="BU159" s="12" t="s">
        <v>621</v>
      </c>
    </row>
    <row r="160">
      <c r="A160" s="12" t="s">
        <v>1368</v>
      </c>
      <c r="B160" s="12" t="s">
        <v>54</v>
      </c>
      <c r="C160" s="19">
        <v>45915.0</v>
      </c>
      <c r="D160" s="17">
        <v>9.6759515E7</v>
      </c>
      <c r="F160" s="12" t="s">
        <v>1372</v>
      </c>
      <c r="G160" s="12" t="s">
        <v>618</v>
      </c>
      <c r="H160" s="12">
        <v>1.0</v>
      </c>
      <c r="I160" s="17">
        <v>3000.0</v>
      </c>
      <c r="J160" s="17">
        <v>3000.0</v>
      </c>
      <c r="BO160" s="17">
        <v>3000.0</v>
      </c>
      <c r="BR160" s="17">
        <v>3000.0</v>
      </c>
      <c r="BU160" s="12" t="s">
        <v>621</v>
      </c>
    </row>
    <row r="161">
      <c r="A161" s="12" t="s">
        <v>956</v>
      </c>
      <c r="B161" s="12" t="s">
        <v>54</v>
      </c>
      <c r="C161" s="19">
        <v>45915.0</v>
      </c>
      <c r="D161" s="12" t="s">
        <v>689</v>
      </c>
      <c r="F161" s="12" t="s">
        <v>959</v>
      </c>
      <c r="G161" s="12" t="s">
        <v>693</v>
      </c>
      <c r="H161" s="12">
        <v>1.0</v>
      </c>
      <c r="I161" s="17">
        <v>5000.0</v>
      </c>
      <c r="J161" s="17">
        <v>5000.0</v>
      </c>
      <c r="BO161" s="17">
        <v>5000.0</v>
      </c>
      <c r="BR161" s="17">
        <v>5000.0</v>
      </c>
      <c r="BU161" s="12" t="s">
        <v>621</v>
      </c>
    </row>
    <row r="162">
      <c r="A162" s="12" t="s">
        <v>1386</v>
      </c>
      <c r="B162" s="12" t="s">
        <v>54</v>
      </c>
      <c r="C162" s="19">
        <v>45915.0</v>
      </c>
      <c r="D162" s="12" t="s">
        <v>156</v>
      </c>
      <c r="F162" s="12" t="s">
        <v>1391</v>
      </c>
      <c r="G162" s="12" t="s">
        <v>797</v>
      </c>
      <c r="H162" s="12">
        <v>1.0</v>
      </c>
      <c r="I162" s="17">
        <v>4419.98</v>
      </c>
      <c r="J162" s="17">
        <v>4419.98</v>
      </c>
      <c r="BO162" s="17">
        <v>4419.98</v>
      </c>
      <c r="BR162" s="17">
        <v>4419.98</v>
      </c>
      <c r="BU162" s="12" t="s">
        <v>621</v>
      </c>
    </row>
    <row r="163">
      <c r="A163" s="12" t="s">
        <v>1395</v>
      </c>
      <c r="B163" s="12" t="s">
        <v>54</v>
      </c>
      <c r="C163" s="19">
        <v>45915.0</v>
      </c>
      <c r="D163" s="12" t="s">
        <v>156</v>
      </c>
      <c r="F163" s="12" t="s">
        <v>1397</v>
      </c>
      <c r="G163" s="12" t="s">
        <v>797</v>
      </c>
      <c r="H163" s="12">
        <v>1.0</v>
      </c>
      <c r="I163" s="17">
        <v>56.0</v>
      </c>
      <c r="J163" s="17">
        <v>56.0</v>
      </c>
      <c r="BO163" s="17">
        <v>56.0</v>
      </c>
      <c r="BR163" s="17">
        <v>56.0</v>
      </c>
      <c r="BU163" s="12" t="s">
        <v>621</v>
      </c>
    </row>
    <row r="164">
      <c r="A164" s="12" t="s">
        <v>1403</v>
      </c>
      <c r="B164" s="12" t="s">
        <v>54</v>
      </c>
      <c r="C164" s="19">
        <v>45915.0</v>
      </c>
      <c r="D164" s="12" t="s">
        <v>156</v>
      </c>
      <c r="F164" s="12" t="s">
        <v>1406</v>
      </c>
      <c r="G164" s="12" t="s">
        <v>797</v>
      </c>
      <c r="H164" s="12">
        <v>1.0</v>
      </c>
      <c r="I164" s="17">
        <v>534.27</v>
      </c>
      <c r="J164" s="17">
        <v>534.27</v>
      </c>
      <c r="BO164" s="17">
        <v>534.27</v>
      </c>
      <c r="BR164" s="17">
        <v>534.27</v>
      </c>
      <c r="BU164" s="12" t="s">
        <v>621</v>
      </c>
    </row>
    <row r="165">
      <c r="A165" s="12" t="s">
        <v>1411</v>
      </c>
      <c r="B165" s="12" t="s">
        <v>54</v>
      </c>
      <c r="C165" s="19">
        <v>45915.0</v>
      </c>
      <c r="D165" s="12" t="s">
        <v>1414</v>
      </c>
      <c r="F165" s="12" t="s">
        <v>1415</v>
      </c>
      <c r="G165" s="12" t="s">
        <v>1416</v>
      </c>
      <c r="H165" s="12">
        <v>1.0</v>
      </c>
      <c r="I165" s="17">
        <v>2135.0</v>
      </c>
      <c r="J165" s="17">
        <v>2135.0</v>
      </c>
      <c r="BO165" s="17">
        <v>2135.0</v>
      </c>
      <c r="BR165" s="17">
        <v>2135.0</v>
      </c>
      <c r="BU165" s="12" t="s">
        <v>621</v>
      </c>
    </row>
    <row r="166">
      <c r="A166" s="12" t="s">
        <v>1425</v>
      </c>
      <c r="B166" s="12" t="s">
        <v>54</v>
      </c>
      <c r="C166" s="19">
        <v>45916.0</v>
      </c>
      <c r="D166" s="12" t="s">
        <v>1427</v>
      </c>
      <c r="F166" s="12" t="s">
        <v>1430</v>
      </c>
      <c r="G166" s="12" t="s">
        <v>1432</v>
      </c>
      <c r="H166" s="12">
        <v>1.0</v>
      </c>
      <c r="I166" s="17">
        <v>231.84</v>
      </c>
      <c r="J166" s="17">
        <v>231.84</v>
      </c>
      <c r="BO166" s="17">
        <v>231.84</v>
      </c>
      <c r="BR166" s="17">
        <v>231.84</v>
      </c>
      <c r="BU166" s="12" t="s">
        <v>621</v>
      </c>
    </row>
    <row r="167">
      <c r="A167" s="12" t="s">
        <v>1437</v>
      </c>
      <c r="B167" s="12" t="s">
        <v>54</v>
      </c>
      <c r="C167" s="19">
        <v>45916.0</v>
      </c>
      <c r="D167" s="12" t="s">
        <v>1438</v>
      </c>
      <c r="F167" s="12" t="s">
        <v>1440</v>
      </c>
      <c r="G167" s="12" t="s">
        <v>1442</v>
      </c>
      <c r="H167" s="12">
        <v>1.0</v>
      </c>
      <c r="I167" s="17">
        <v>39.0</v>
      </c>
      <c r="J167" s="17">
        <v>39.0</v>
      </c>
      <c r="BO167" s="17">
        <v>39.0</v>
      </c>
      <c r="BR167" s="17">
        <v>39.0</v>
      </c>
      <c r="BU167" s="12" t="s">
        <v>621</v>
      </c>
    </row>
    <row r="168">
      <c r="A168" s="12" t="s">
        <v>1447</v>
      </c>
      <c r="B168" s="12" t="s">
        <v>54</v>
      </c>
      <c r="C168" s="19">
        <v>45917.0</v>
      </c>
      <c r="D168" s="12" t="s">
        <v>435</v>
      </c>
      <c r="F168" s="12" t="s">
        <v>1450</v>
      </c>
      <c r="G168" s="12" t="s">
        <v>1442</v>
      </c>
      <c r="H168" s="12">
        <v>1.0</v>
      </c>
      <c r="I168" s="17">
        <v>143.03</v>
      </c>
      <c r="J168" s="17">
        <v>143.03</v>
      </c>
      <c r="BO168" s="17">
        <v>143.03</v>
      </c>
      <c r="BR168" s="17">
        <v>143.03</v>
      </c>
      <c r="BU168" s="12" t="s">
        <v>621</v>
      </c>
    </row>
    <row r="169">
      <c r="A169" s="12" t="s">
        <v>1457</v>
      </c>
      <c r="B169" s="12" t="s">
        <v>54</v>
      </c>
      <c r="C169" s="19">
        <v>45918.0</v>
      </c>
      <c r="D169" s="12" t="s">
        <v>1067</v>
      </c>
      <c r="F169" s="12" t="s">
        <v>1460</v>
      </c>
      <c r="G169" s="12" t="s">
        <v>741</v>
      </c>
      <c r="H169" s="12">
        <v>1.0</v>
      </c>
      <c r="I169" s="17">
        <v>324.26</v>
      </c>
      <c r="J169" s="17">
        <v>324.26</v>
      </c>
      <c r="BO169" s="17">
        <v>324.26</v>
      </c>
      <c r="BR169" s="17">
        <v>324.26</v>
      </c>
      <c r="BU169" s="12" t="s">
        <v>621</v>
      </c>
    </row>
    <row r="170">
      <c r="A170" s="12" t="s">
        <v>1463</v>
      </c>
      <c r="B170" s="12" t="s">
        <v>54</v>
      </c>
      <c r="C170" s="19">
        <v>45919.0</v>
      </c>
      <c r="D170" s="12" t="s">
        <v>734</v>
      </c>
      <c r="F170" s="12" t="s">
        <v>1466</v>
      </c>
      <c r="G170" s="12" t="s">
        <v>1056</v>
      </c>
      <c r="H170" s="12">
        <v>1.0</v>
      </c>
      <c r="I170" s="17">
        <v>1314.05</v>
      </c>
      <c r="J170" s="17">
        <v>1314.05</v>
      </c>
      <c r="BO170" s="17">
        <v>1314.05</v>
      </c>
      <c r="BR170" s="17">
        <v>1314.05</v>
      </c>
      <c r="BU170" s="12" t="s">
        <v>621</v>
      </c>
    </row>
    <row r="171">
      <c r="A171" s="12" t="s">
        <v>1470</v>
      </c>
      <c r="B171" s="12" t="s">
        <v>54</v>
      </c>
      <c r="C171" s="19">
        <v>45919.0</v>
      </c>
      <c r="D171" s="12" t="s">
        <v>1067</v>
      </c>
      <c r="F171" s="12" t="s">
        <v>1068</v>
      </c>
      <c r="G171" s="12" t="s">
        <v>741</v>
      </c>
      <c r="H171" s="12">
        <v>1.0</v>
      </c>
      <c r="I171" s="17">
        <v>911.98</v>
      </c>
      <c r="J171" s="17">
        <v>911.98</v>
      </c>
      <c r="BO171" s="17">
        <v>911.98</v>
      </c>
      <c r="BR171" s="17">
        <v>911.98</v>
      </c>
      <c r="BU171" s="12" t="s">
        <v>621</v>
      </c>
    </row>
    <row r="172">
      <c r="A172" s="12" t="s">
        <v>1478</v>
      </c>
      <c r="B172" s="12" t="s">
        <v>54</v>
      </c>
      <c r="C172" s="19">
        <v>45919.0</v>
      </c>
      <c r="D172" s="12" t="s">
        <v>1484</v>
      </c>
      <c r="F172" s="12" t="s">
        <v>1485</v>
      </c>
      <c r="G172" s="12" t="s">
        <v>1486</v>
      </c>
      <c r="H172" s="12">
        <v>1.0</v>
      </c>
      <c r="I172" s="17">
        <v>0.0</v>
      </c>
      <c r="J172" s="17">
        <v>0.0</v>
      </c>
      <c r="BO172" s="17">
        <v>0.0</v>
      </c>
      <c r="BR172" s="17">
        <v>0.0</v>
      </c>
      <c r="BU172" s="12" t="s">
        <v>621</v>
      </c>
    </row>
    <row r="173">
      <c r="A173" s="12" t="s">
        <v>1492</v>
      </c>
      <c r="B173" s="12" t="s">
        <v>54</v>
      </c>
      <c r="C173" s="19">
        <v>45919.0</v>
      </c>
      <c r="D173" s="12" t="s">
        <v>933</v>
      </c>
      <c r="F173" s="12" t="s">
        <v>1494</v>
      </c>
      <c r="G173" s="12" t="s">
        <v>1040</v>
      </c>
      <c r="H173" s="12">
        <v>1.0</v>
      </c>
      <c r="I173" s="17">
        <v>0.0</v>
      </c>
      <c r="J173" s="17">
        <v>0.0</v>
      </c>
      <c r="BO173" s="17">
        <v>0.0</v>
      </c>
      <c r="BR173" s="17">
        <v>0.0</v>
      </c>
      <c r="BU173" s="12" t="s">
        <v>621</v>
      </c>
    </row>
    <row r="174">
      <c r="A174" s="12" t="s">
        <v>1500</v>
      </c>
      <c r="B174" s="12" t="s">
        <v>54</v>
      </c>
      <c r="C174" s="19">
        <v>45919.0</v>
      </c>
      <c r="D174" s="12" t="s">
        <v>1503</v>
      </c>
      <c r="F174" s="12" t="s">
        <v>1039</v>
      </c>
      <c r="G174" s="12" t="s">
        <v>1040</v>
      </c>
      <c r="H174" s="12">
        <v>1.0</v>
      </c>
      <c r="I174" s="17">
        <v>5732.51</v>
      </c>
      <c r="J174" s="17">
        <v>5732.51</v>
      </c>
      <c r="BO174" s="17">
        <v>5732.51</v>
      </c>
      <c r="BR174" s="17">
        <v>5732.51</v>
      </c>
      <c r="BU174" s="12" t="s">
        <v>621</v>
      </c>
    </row>
    <row r="175">
      <c r="A175" s="12" t="s">
        <v>1509</v>
      </c>
      <c r="B175" s="12" t="s">
        <v>54</v>
      </c>
      <c r="C175" s="19">
        <v>45922.0</v>
      </c>
      <c r="D175" s="12" t="s">
        <v>1510</v>
      </c>
      <c r="F175" s="12" t="s">
        <v>1511</v>
      </c>
      <c r="G175" s="12" t="s">
        <v>768</v>
      </c>
      <c r="H175" s="12">
        <v>1.0</v>
      </c>
      <c r="I175" s="17">
        <v>50.0</v>
      </c>
      <c r="J175" s="17">
        <v>50.0</v>
      </c>
      <c r="BO175" s="17">
        <v>50.0</v>
      </c>
      <c r="BR175" s="17">
        <v>50.0</v>
      </c>
      <c r="BU175" s="12" t="s">
        <v>621</v>
      </c>
    </row>
    <row r="176">
      <c r="A176" s="12" t="s">
        <v>1518</v>
      </c>
      <c r="B176" s="12" t="s">
        <v>54</v>
      </c>
      <c r="C176" s="19">
        <v>45922.0</v>
      </c>
      <c r="D176" s="12" t="s">
        <v>1519</v>
      </c>
      <c r="F176" s="12" t="s">
        <v>1520</v>
      </c>
      <c r="G176" s="12" t="s">
        <v>1521</v>
      </c>
      <c r="H176" s="12">
        <v>1.0</v>
      </c>
      <c r="I176" s="17">
        <v>2506.79</v>
      </c>
      <c r="J176" s="17">
        <v>2506.79</v>
      </c>
      <c r="BO176" s="17">
        <v>2506.79</v>
      </c>
      <c r="BR176" s="17">
        <v>2506.79</v>
      </c>
      <c r="BU176" s="12" t="s">
        <v>621</v>
      </c>
    </row>
    <row r="177">
      <c r="A177" s="12">
        <v>1.87332537E8</v>
      </c>
      <c r="B177" s="12" t="s">
        <v>54</v>
      </c>
      <c r="C177" s="19">
        <v>45924.0</v>
      </c>
      <c r="D177" s="12" t="s">
        <v>1094</v>
      </c>
      <c r="F177" s="12" t="s">
        <v>1531</v>
      </c>
      <c r="G177" s="17">
        <v>2.3273172E7</v>
      </c>
      <c r="H177" s="12">
        <v>1.0</v>
      </c>
      <c r="I177" s="17">
        <v>350.0</v>
      </c>
      <c r="J177" s="17">
        <v>350.0</v>
      </c>
      <c r="BO177" s="17">
        <v>350.0</v>
      </c>
      <c r="BR177" s="17">
        <v>350.0</v>
      </c>
      <c r="BU177" s="12" t="s">
        <v>621</v>
      </c>
    </row>
    <row r="178">
      <c r="A178" s="12" t="s">
        <v>1536</v>
      </c>
      <c r="B178" s="12" t="s">
        <v>54</v>
      </c>
      <c r="C178" s="19">
        <v>45929.0</v>
      </c>
      <c r="D178" s="12" t="s">
        <v>156</v>
      </c>
      <c r="F178" s="12" t="s">
        <v>1537</v>
      </c>
      <c r="G178" s="12" t="s">
        <v>797</v>
      </c>
      <c r="H178" s="12">
        <v>1.0</v>
      </c>
      <c r="I178" s="17">
        <v>1170.06</v>
      </c>
      <c r="J178" s="17">
        <v>1170.06</v>
      </c>
      <c r="BO178" s="17">
        <v>1170.06</v>
      </c>
      <c r="BR178" s="17">
        <v>1170.06</v>
      </c>
      <c r="BU178" s="12" t="s">
        <v>621</v>
      </c>
    </row>
    <row r="179">
      <c r="A179" s="12" t="s">
        <v>1539</v>
      </c>
      <c r="B179" s="12" t="s">
        <v>54</v>
      </c>
      <c r="C179" s="19">
        <v>45929.0</v>
      </c>
      <c r="D179" s="12" t="s">
        <v>156</v>
      </c>
      <c r="F179" s="12" t="s">
        <v>1542</v>
      </c>
      <c r="G179" s="12" t="s">
        <v>797</v>
      </c>
      <c r="H179" s="12">
        <v>1.0</v>
      </c>
      <c r="I179" s="17">
        <v>2228.9</v>
      </c>
      <c r="J179" s="17">
        <v>2228.9</v>
      </c>
      <c r="BO179" s="17">
        <v>2228.9</v>
      </c>
      <c r="BR179" s="17">
        <v>2228.9</v>
      </c>
      <c r="BU179" s="12" t="s">
        <v>621</v>
      </c>
    </row>
    <row r="180">
      <c r="A180" s="12" t="s">
        <v>1547</v>
      </c>
      <c r="B180" s="12" t="s">
        <v>54</v>
      </c>
      <c r="C180" s="19">
        <v>45929.0</v>
      </c>
      <c r="D180" s="12" t="s">
        <v>156</v>
      </c>
      <c r="F180" s="12" t="s">
        <v>1550</v>
      </c>
      <c r="G180" s="12" t="s">
        <v>1551</v>
      </c>
      <c r="H180" s="12">
        <v>1.0</v>
      </c>
      <c r="I180" s="17">
        <v>8.0</v>
      </c>
      <c r="J180" s="17">
        <v>8.0</v>
      </c>
      <c r="BO180" s="17">
        <v>8.0</v>
      </c>
      <c r="BR180" s="17">
        <v>8.0</v>
      </c>
      <c r="BU180" s="12" t="s">
        <v>621</v>
      </c>
    </row>
    <row r="181">
      <c r="A181" s="12" t="s">
        <v>1555</v>
      </c>
      <c r="B181" s="12" t="s">
        <v>54</v>
      </c>
      <c r="C181" s="19">
        <v>45929.0</v>
      </c>
      <c r="D181" s="12" t="s">
        <v>156</v>
      </c>
      <c r="F181" s="12" t="s">
        <v>1559</v>
      </c>
      <c r="G181" s="12" t="s">
        <v>1551</v>
      </c>
      <c r="H181" s="12">
        <v>1.0</v>
      </c>
      <c r="I181" s="17">
        <v>37.82</v>
      </c>
      <c r="J181" s="17">
        <v>37.82</v>
      </c>
      <c r="BO181" s="17">
        <v>37.82</v>
      </c>
      <c r="BR181" s="17">
        <v>37.82</v>
      </c>
      <c r="BU181" s="12" t="s">
        <v>621</v>
      </c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  <c r="F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3" t="s">
        <v>4</v>
      </c>
      <c r="B1" s="3" t="s">
        <v>8</v>
      </c>
      <c r="C1" s="3" t="s">
        <v>10</v>
      </c>
      <c r="D1" s="3" t="s">
        <v>11</v>
      </c>
      <c r="E1" s="3" t="s">
        <v>12</v>
      </c>
      <c r="F1" s="3" t="s">
        <v>6</v>
      </c>
      <c r="G1" s="3" t="s">
        <v>15</v>
      </c>
      <c r="H1" s="3" t="s">
        <v>18</v>
      </c>
      <c r="I1" s="3" t="s">
        <v>21</v>
      </c>
      <c r="J1" s="3" t="s">
        <v>24</v>
      </c>
      <c r="K1" s="3" t="s">
        <v>28</v>
      </c>
      <c r="L1" s="3" t="s">
        <v>29</v>
      </c>
      <c r="M1" s="3" t="s">
        <v>32</v>
      </c>
      <c r="N1" s="3" t="s">
        <v>36</v>
      </c>
      <c r="O1" s="3" t="s">
        <v>40</v>
      </c>
      <c r="P1" s="3" t="s">
        <v>42</v>
      </c>
      <c r="Q1" s="3" t="s">
        <v>43</v>
      </c>
      <c r="R1" s="3" t="s">
        <v>44</v>
      </c>
      <c r="S1" s="3" t="s">
        <v>46</v>
      </c>
      <c r="T1" s="3" t="s">
        <v>48</v>
      </c>
      <c r="U1" s="3" t="s">
        <v>51</v>
      </c>
      <c r="V1" s="3" t="s">
        <v>52</v>
      </c>
      <c r="W1" s="3" t="s">
        <v>55</v>
      </c>
      <c r="X1" s="3" t="s">
        <v>56</v>
      </c>
      <c r="Y1" s="3" t="s">
        <v>61</v>
      </c>
      <c r="Z1" s="3" t="s">
        <v>64</v>
      </c>
      <c r="AA1" s="3" t="s">
        <v>66</v>
      </c>
      <c r="AB1" s="3" t="s">
        <v>68</v>
      </c>
      <c r="AC1" s="3" t="s">
        <v>70</v>
      </c>
      <c r="AD1" s="3" t="s">
        <v>73</v>
      </c>
      <c r="AE1" s="3" t="s">
        <v>75</v>
      </c>
      <c r="AF1" s="3" t="s">
        <v>76</v>
      </c>
      <c r="AG1" s="3" t="s">
        <v>80</v>
      </c>
      <c r="AH1" s="3" t="s">
        <v>83</v>
      </c>
      <c r="AI1" s="3" t="s">
        <v>85</v>
      </c>
      <c r="AJ1" s="3" t="s">
        <v>86</v>
      </c>
      <c r="AK1" s="3" t="s">
        <v>87</v>
      </c>
      <c r="AL1" s="3" t="s">
        <v>89</v>
      </c>
      <c r="AM1" s="3" t="s">
        <v>90</v>
      </c>
      <c r="AN1" s="3" t="s">
        <v>92</v>
      </c>
      <c r="AO1" s="3" t="s">
        <v>95</v>
      </c>
      <c r="AP1" s="3" t="s">
        <v>97</v>
      </c>
      <c r="AQ1" s="3" t="s">
        <v>99</v>
      </c>
      <c r="AR1" s="3" t="s">
        <v>101</v>
      </c>
      <c r="AS1" s="3" t="s">
        <v>103</v>
      </c>
      <c r="AT1" s="3" t="s">
        <v>104</v>
      </c>
      <c r="AU1" s="3" t="s">
        <v>107</v>
      </c>
      <c r="AV1" s="3" t="s">
        <v>108</v>
      </c>
      <c r="AW1" s="3" t="s">
        <v>110</v>
      </c>
      <c r="AX1" s="3" t="s">
        <v>112</v>
      </c>
      <c r="AY1" s="3" t="s">
        <v>114</v>
      </c>
      <c r="AZ1" s="3" t="s">
        <v>117</v>
      </c>
      <c r="BA1" s="3" t="s">
        <v>118</v>
      </c>
      <c r="BB1" s="3" t="s">
        <v>119</v>
      </c>
      <c r="BC1" s="3" t="s">
        <v>121</v>
      </c>
      <c r="BD1" s="3" t="s">
        <v>123</v>
      </c>
      <c r="BE1" s="3" t="s">
        <v>124</v>
      </c>
      <c r="BF1" s="3" t="s">
        <v>125</v>
      </c>
      <c r="BG1" s="3" t="s">
        <v>126</v>
      </c>
      <c r="BH1" s="3" t="s">
        <v>128</v>
      </c>
      <c r="BI1" s="3" t="s">
        <v>129</v>
      </c>
      <c r="BJ1" s="3" t="s">
        <v>130</v>
      </c>
      <c r="BK1" s="3" t="s">
        <v>132</v>
      </c>
      <c r="BL1" s="3" t="s">
        <v>135</v>
      </c>
      <c r="BM1" s="3" t="s">
        <v>138</v>
      </c>
      <c r="BN1" s="3" t="s">
        <v>141</v>
      </c>
      <c r="BO1" s="3" t="s">
        <v>144</v>
      </c>
      <c r="BP1" s="3" t="s">
        <v>20</v>
      </c>
      <c r="BQ1" s="3" t="s">
        <v>22</v>
      </c>
      <c r="BR1" s="3" t="s">
        <v>147</v>
      </c>
      <c r="BS1" s="3" t="s">
        <v>0</v>
      </c>
      <c r="BT1" s="3" t="s">
        <v>23</v>
      </c>
      <c r="BU1" s="3" t="s">
        <v>25</v>
      </c>
      <c r="BV1" s="3" t="s">
        <v>17</v>
      </c>
      <c r="BW1" s="3" t="s">
        <v>30</v>
      </c>
      <c r="BX1" s="3" t="s">
        <v>34</v>
      </c>
      <c r="BY1" s="3" t="s">
        <v>37</v>
      </c>
    </row>
    <row r="2">
      <c r="A2" s="12" t="s">
        <v>49</v>
      </c>
      <c r="B2" s="12" t="s">
        <v>54</v>
      </c>
      <c r="C2" s="15">
        <v>45852.0</v>
      </c>
      <c r="D2" s="12" t="s">
        <v>58</v>
      </c>
      <c r="E2" s="12" t="s">
        <v>60</v>
      </c>
      <c r="F2" s="12" t="s">
        <v>65</v>
      </c>
      <c r="BP2" s="12" t="s">
        <v>63</v>
      </c>
      <c r="BQ2" s="12" t="b">
        <v>0</v>
      </c>
      <c r="BS2" s="16" t="s">
        <v>171</v>
      </c>
      <c r="BT2" s="12" t="b">
        <v>1</v>
      </c>
      <c r="BU2" s="12" t="s">
        <v>69</v>
      </c>
    </row>
    <row r="3">
      <c r="A3" s="12" t="s">
        <v>72</v>
      </c>
      <c r="B3" s="12" t="s">
        <v>54</v>
      </c>
      <c r="C3" s="15">
        <v>45853.0</v>
      </c>
      <c r="D3" s="12" t="s">
        <v>77</v>
      </c>
      <c r="E3" s="12" t="s">
        <v>79</v>
      </c>
      <c r="F3" s="12" t="s">
        <v>82</v>
      </c>
      <c r="BP3" s="12" t="s">
        <v>81</v>
      </c>
      <c r="BQ3" s="12" t="b">
        <v>0</v>
      </c>
      <c r="BS3" s="16" t="s">
        <v>187</v>
      </c>
      <c r="BT3" s="12" t="b">
        <v>1</v>
      </c>
      <c r="BU3" s="12" t="s">
        <v>69</v>
      </c>
    </row>
    <row r="4">
      <c r="A4" s="12" t="s">
        <v>88</v>
      </c>
      <c r="B4" s="12" t="s">
        <v>54</v>
      </c>
      <c r="C4" s="15">
        <v>45854.0</v>
      </c>
      <c r="D4" s="12" t="s">
        <v>93</v>
      </c>
      <c r="E4" s="12" t="s">
        <v>96</v>
      </c>
      <c r="F4" s="12" t="s">
        <v>100</v>
      </c>
      <c r="BP4" s="12" t="s">
        <v>98</v>
      </c>
      <c r="BQ4" s="12" t="b">
        <v>0</v>
      </c>
      <c r="BS4" s="16" t="s">
        <v>197</v>
      </c>
      <c r="BT4" s="12" t="b">
        <v>1</v>
      </c>
      <c r="BU4" s="12" t="s">
        <v>69</v>
      </c>
    </row>
    <row r="5">
      <c r="A5" s="12" t="s">
        <v>105</v>
      </c>
      <c r="B5" s="12" t="s">
        <v>54</v>
      </c>
      <c r="C5" s="15">
        <v>45854.0</v>
      </c>
      <c r="D5" s="12" t="s">
        <v>109</v>
      </c>
      <c r="E5" s="12" t="s">
        <v>111</v>
      </c>
      <c r="F5" s="12" t="s">
        <v>115</v>
      </c>
      <c r="BP5" s="12" t="s">
        <v>113</v>
      </c>
      <c r="BQ5" s="12" t="b">
        <v>0</v>
      </c>
      <c r="BS5" s="16" t="s">
        <v>207</v>
      </c>
      <c r="BT5" s="12" t="b">
        <v>1</v>
      </c>
      <c r="BU5" s="12" t="s">
        <v>69</v>
      </c>
      <c r="BW5" s="12"/>
      <c r="BX5" s="12"/>
      <c r="BY5" s="12"/>
    </row>
    <row r="6">
      <c r="A6" s="12" t="s">
        <v>134</v>
      </c>
      <c r="B6" s="12" t="s">
        <v>54</v>
      </c>
      <c r="C6" s="15">
        <v>45853.0</v>
      </c>
      <c r="D6" s="12" t="s">
        <v>137</v>
      </c>
      <c r="E6" s="12" t="s">
        <v>139</v>
      </c>
      <c r="F6" s="12" t="s">
        <v>143</v>
      </c>
      <c r="BP6" s="12" t="s">
        <v>140</v>
      </c>
      <c r="BQ6" s="12" t="b">
        <v>0</v>
      </c>
      <c r="BS6" s="16" t="s">
        <v>219</v>
      </c>
      <c r="BT6" s="12" t="b">
        <v>1</v>
      </c>
      <c r="BU6" s="12" t="s">
        <v>69</v>
      </c>
    </row>
    <row r="7">
      <c r="A7" s="12" t="s">
        <v>145</v>
      </c>
      <c r="B7" s="12" t="s">
        <v>54</v>
      </c>
      <c r="C7" s="15">
        <v>45854.0</v>
      </c>
      <c r="D7" s="12" t="s">
        <v>148</v>
      </c>
      <c r="E7" s="12" t="s">
        <v>150</v>
      </c>
      <c r="F7" s="12" t="s">
        <v>153</v>
      </c>
      <c r="BP7" s="12" t="s">
        <v>151</v>
      </c>
      <c r="BQ7" s="12" t="b">
        <v>0</v>
      </c>
      <c r="BS7" s="16" t="s">
        <v>235</v>
      </c>
      <c r="BT7" s="12" t="b">
        <v>1</v>
      </c>
      <c r="BU7" s="12" t="s">
        <v>69</v>
      </c>
    </row>
    <row r="8">
      <c r="A8" s="12" t="s">
        <v>155</v>
      </c>
      <c r="B8" s="12" t="s">
        <v>54</v>
      </c>
      <c r="C8" s="14">
        <v>45848.0</v>
      </c>
      <c r="D8" s="12" t="s">
        <v>156</v>
      </c>
      <c r="E8" s="12" t="s">
        <v>158</v>
      </c>
      <c r="F8" s="12" t="s">
        <v>160</v>
      </c>
      <c r="BP8" s="12" t="s">
        <v>159</v>
      </c>
      <c r="BQ8" s="12" t="b">
        <v>0</v>
      </c>
      <c r="BS8" s="12"/>
      <c r="BT8" s="12" t="b">
        <v>0</v>
      </c>
      <c r="BU8" s="12" t="s">
        <v>69</v>
      </c>
    </row>
    <row r="9">
      <c r="A9" s="12" t="s">
        <v>161</v>
      </c>
      <c r="B9" s="12" t="s">
        <v>54</v>
      </c>
      <c r="C9" s="15">
        <v>45856.0</v>
      </c>
      <c r="D9" s="12" t="s">
        <v>137</v>
      </c>
      <c r="E9" s="12" t="s">
        <v>163</v>
      </c>
      <c r="F9" s="12" t="s">
        <v>165</v>
      </c>
      <c r="BP9" s="12" t="s">
        <v>164</v>
      </c>
      <c r="BQ9" s="12" t="b">
        <v>0</v>
      </c>
      <c r="BS9" s="16" t="s">
        <v>255</v>
      </c>
      <c r="BT9" s="12" t="b">
        <v>1</v>
      </c>
      <c r="BU9" s="12" t="s">
        <v>69</v>
      </c>
      <c r="BW9" s="12"/>
      <c r="BX9" s="12"/>
    </row>
    <row r="10">
      <c r="A10" s="12" t="s">
        <v>167</v>
      </c>
      <c r="B10" s="12" t="s">
        <v>54</v>
      </c>
      <c r="C10" s="14">
        <v>45856.0</v>
      </c>
      <c r="D10" s="12" t="s">
        <v>168</v>
      </c>
      <c r="E10" s="12" t="s">
        <v>170</v>
      </c>
      <c r="F10" s="12" t="s">
        <v>173</v>
      </c>
      <c r="BP10" s="12" t="s">
        <v>172</v>
      </c>
      <c r="BQ10" s="12" t="b">
        <v>0</v>
      </c>
      <c r="BS10" s="16" t="s">
        <v>265</v>
      </c>
      <c r="BT10" s="12" t="b">
        <v>1</v>
      </c>
      <c r="BU10" s="12" t="s">
        <v>69</v>
      </c>
    </row>
    <row r="11">
      <c r="A11" s="12" t="s">
        <v>174</v>
      </c>
      <c r="B11" s="12" t="s">
        <v>54</v>
      </c>
      <c r="C11" s="14">
        <v>45856.0</v>
      </c>
      <c r="D11" s="12" t="s">
        <v>175</v>
      </c>
      <c r="E11" s="12" t="s">
        <v>176</v>
      </c>
      <c r="F11" s="12" t="s">
        <v>178</v>
      </c>
      <c r="BP11" s="12" t="s">
        <v>177</v>
      </c>
      <c r="BQ11" s="12" t="b">
        <v>0</v>
      </c>
      <c r="BS11" s="16" t="s">
        <v>273</v>
      </c>
      <c r="BT11" s="12" t="b">
        <v>1</v>
      </c>
      <c r="BU11" s="12" t="s">
        <v>69</v>
      </c>
    </row>
    <row r="12">
      <c r="A12" s="12" t="s">
        <v>181</v>
      </c>
      <c r="B12" s="12" t="s">
        <v>54</v>
      </c>
      <c r="C12" s="14">
        <v>45857.0</v>
      </c>
      <c r="D12" s="12" t="s">
        <v>182</v>
      </c>
      <c r="E12" s="12" t="s">
        <v>184</v>
      </c>
      <c r="F12" s="12" t="s">
        <v>186</v>
      </c>
      <c r="BP12" s="12" t="s">
        <v>185</v>
      </c>
      <c r="BQ12" s="12" t="b">
        <v>0</v>
      </c>
      <c r="BS12" s="16" t="s">
        <v>283</v>
      </c>
      <c r="BT12" s="12" t="b">
        <v>1</v>
      </c>
      <c r="BU12" s="12" t="s">
        <v>69</v>
      </c>
    </row>
    <row r="13">
      <c r="A13" s="12" t="s">
        <v>189</v>
      </c>
      <c r="B13" s="12" t="s">
        <v>54</v>
      </c>
      <c r="C13" s="15">
        <v>45856.0</v>
      </c>
      <c r="D13" s="12" t="s">
        <v>190</v>
      </c>
      <c r="E13" s="12" t="s">
        <v>193</v>
      </c>
      <c r="F13" s="12" t="s">
        <v>196</v>
      </c>
      <c r="BP13" s="12" t="s">
        <v>195</v>
      </c>
      <c r="BQ13" s="12" t="b">
        <v>0</v>
      </c>
      <c r="BS13" s="16" t="s">
        <v>295</v>
      </c>
      <c r="BT13" s="12" t="b">
        <v>1</v>
      </c>
      <c r="BU13" s="12" t="s">
        <v>69</v>
      </c>
    </row>
    <row r="14">
      <c r="A14" s="12" t="s">
        <v>199</v>
      </c>
      <c r="B14" s="12" t="s">
        <v>54</v>
      </c>
      <c r="C14" s="14">
        <v>45858.0</v>
      </c>
      <c r="D14" s="12" t="s">
        <v>182</v>
      </c>
      <c r="E14" s="12" t="s">
        <v>201</v>
      </c>
      <c r="F14" s="12" t="s">
        <v>204</v>
      </c>
      <c r="BP14" s="12" t="s">
        <v>203</v>
      </c>
      <c r="BQ14" s="12" t="b">
        <v>0</v>
      </c>
      <c r="BS14" s="16" t="s">
        <v>304</v>
      </c>
      <c r="BT14" s="12" t="b">
        <v>1</v>
      </c>
      <c r="BU14" s="12" t="s">
        <v>69</v>
      </c>
    </row>
    <row r="15">
      <c r="A15" s="12" t="s">
        <v>206</v>
      </c>
      <c r="B15" s="12" t="s">
        <v>54</v>
      </c>
      <c r="C15" s="14">
        <v>45858.0</v>
      </c>
      <c r="D15" s="12" t="s">
        <v>77</v>
      </c>
      <c r="E15" s="12" t="s">
        <v>208</v>
      </c>
      <c r="F15" s="12" t="s">
        <v>82</v>
      </c>
      <c r="BP15" s="12" t="s">
        <v>209</v>
      </c>
      <c r="BQ15" s="12" t="b">
        <v>0</v>
      </c>
      <c r="BS15" s="16" t="s">
        <v>313</v>
      </c>
      <c r="BT15" s="12" t="b">
        <v>1</v>
      </c>
      <c r="BU15" s="12" t="s">
        <v>69</v>
      </c>
    </row>
    <row r="16">
      <c r="A16" s="12" t="s">
        <v>211</v>
      </c>
      <c r="B16" s="12" t="s">
        <v>54</v>
      </c>
      <c r="C16" s="14">
        <v>45860.0</v>
      </c>
      <c r="D16" s="12" t="s">
        <v>212</v>
      </c>
      <c r="E16" s="12" t="s">
        <v>214</v>
      </c>
      <c r="F16" s="12" t="s">
        <v>216</v>
      </c>
      <c r="BP16" s="12" t="s">
        <v>215</v>
      </c>
      <c r="BQ16" s="12" t="b">
        <v>0</v>
      </c>
      <c r="BS16" s="16" t="s">
        <v>322</v>
      </c>
      <c r="BT16" s="12" t="b">
        <v>1</v>
      </c>
      <c r="BU16" s="12" t="s">
        <v>69</v>
      </c>
    </row>
    <row r="17">
      <c r="A17" s="12" t="s">
        <v>218</v>
      </c>
      <c r="B17" s="12" t="s">
        <v>54</v>
      </c>
      <c r="C17" s="14">
        <v>45859.0</v>
      </c>
      <c r="D17" s="12" t="s">
        <v>220</v>
      </c>
      <c r="E17" s="12" t="s">
        <v>222</v>
      </c>
      <c r="F17" s="12" t="s">
        <v>224</v>
      </c>
      <c r="BP17" s="12" t="s">
        <v>223</v>
      </c>
      <c r="BQ17" s="12" t="b">
        <v>0</v>
      </c>
      <c r="BS17" s="16" t="s">
        <v>331</v>
      </c>
      <c r="BT17" s="12" t="b">
        <v>1</v>
      </c>
      <c r="BU17" s="12" t="s">
        <v>69</v>
      </c>
    </row>
    <row r="18">
      <c r="A18" s="12" t="s">
        <v>226</v>
      </c>
      <c r="B18" s="12" t="s">
        <v>54</v>
      </c>
      <c r="C18" s="14">
        <v>45860.0</v>
      </c>
      <c r="D18" s="12" t="s">
        <v>220</v>
      </c>
      <c r="E18" s="12" t="s">
        <v>231</v>
      </c>
      <c r="F18" s="12" t="s">
        <v>234</v>
      </c>
      <c r="BP18" s="12" t="s">
        <v>232</v>
      </c>
      <c r="BQ18" s="12" t="b">
        <v>0</v>
      </c>
      <c r="BS18" s="16" t="s">
        <v>338</v>
      </c>
      <c r="BT18" s="12" t="b">
        <v>1</v>
      </c>
      <c r="BU18" s="12" t="s">
        <v>69</v>
      </c>
    </row>
    <row r="19">
      <c r="A19" s="12" t="s">
        <v>237</v>
      </c>
      <c r="B19" s="12" t="s">
        <v>54</v>
      </c>
      <c r="C19" s="14">
        <v>45859.0</v>
      </c>
      <c r="D19" s="12" t="s">
        <v>190</v>
      </c>
      <c r="E19" s="12" t="s">
        <v>239</v>
      </c>
      <c r="F19" s="12" t="s">
        <v>242</v>
      </c>
      <c r="BP19" s="12" t="s">
        <v>240</v>
      </c>
      <c r="BQ19" s="12" t="b">
        <v>0</v>
      </c>
      <c r="BS19" s="16" t="s">
        <v>342</v>
      </c>
      <c r="BT19" s="12" t="b">
        <v>1</v>
      </c>
      <c r="BU19" s="12" t="s">
        <v>69</v>
      </c>
    </row>
    <row r="20">
      <c r="A20" s="12" t="s">
        <v>244</v>
      </c>
      <c r="B20" s="12" t="s">
        <v>54</v>
      </c>
      <c r="C20" s="14">
        <v>45861.0</v>
      </c>
      <c r="D20" s="12" t="s">
        <v>245</v>
      </c>
      <c r="E20" s="12" t="s">
        <v>247</v>
      </c>
      <c r="F20" s="12" t="s">
        <v>249</v>
      </c>
      <c r="BP20" s="12" t="s">
        <v>248</v>
      </c>
      <c r="BQ20" s="12" t="b">
        <v>0</v>
      </c>
      <c r="BS20" s="16" t="s">
        <v>352</v>
      </c>
      <c r="BT20" s="12" t="b">
        <v>1</v>
      </c>
      <c r="BU20" s="12" t="s">
        <v>69</v>
      </c>
    </row>
    <row r="21">
      <c r="A21" s="12" t="s">
        <v>250</v>
      </c>
      <c r="B21" s="12" t="s">
        <v>54</v>
      </c>
      <c r="C21" s="14">
        <v>45860.0</v>
      </c>
      <c r="D21" s="12" t="s">
        <v>156</v>
      </c>
      <c r="E21" s="12" t="s">
        <v>252</v>
      </c>
      <c r="F21" s="12" t="s">
        <v>254</v>
      </c>
      <c r="BP21" s="12" t="s">
        <v>253</v>
      </c>
      <c r="BQ21" s="12" t="b">
        <v>0</v>
      </c>
      <c r="BT21" s="12" t="b">
        <v>0</v>
      </c>
      <c r="BU21" s="12" t="s">
        <v>69</v>
      </c>
      <c r="BW21" s="12" t="s">
        <v>256</v>
      </c>
      <c r="BX21" s="12" t="s">
        <v>257</v>
      </c>
    </row>
    <row r="22">
      <c r="A22" s="12" t="s">
        <v>258</v>
      </c>
      <c r="B22" s="12" t="s">
        <v>54</v>
      </c>
      <c r="C22" s="14">
        <v>45863.0</v>
      </c>
      <c r="D22" s="12" t="s">
        <v>175</v>
      </c>
      <c r="E22" s="12" t="s">
        <v>260</v>
      </c>
      <c r="F22" s="12" t="s">
        <v>262</v>
      </c>
      <c r="BP22" s="12" t="s">
        <v>261</v>
      </c>
      <c r="BQ22" s="12" t="b">
        <v>0</v>
      </c>
      <c r="BS22" s="16" t="s">
        <v>373</v>
      </c>
      <c r="BT22" s="12" t="b">
        <v>1</v>
      </c>
      <c r="BU22" s="12" t="s">
        <v>69</v>
      </c>
    </row>
    <row r="23">
      <c r="A23" s="12" t="s">
        <v>264</v>
      </c>
      <c r="B23" s="12" t="s">
        <v>54</v>
      </c>
      <c r="C23" s="14">
        <v>45863.0</v>
      </c>
      <c r="D23" s="12" t="s">
        <v>220</v>
      </c>
      <c r="E23" s="12" t="s">
        <v>266</v>
      </c>
      <c r="F23" s="12" t="s">
        <v>268</v>
      </c>
      <c r="BP23" s="12" t="s">
        <v>267</v>
      </c>
      <c r="BQ23" s="12" t="b">
        <v>0</v>
      </c>
      <c r="BS23" s="16" t="s">
        <v>381</v>
      </c>
      <c r="BT23" s="12" t="b">
        <v>1</v>
      </c>
      <c r="BU23" s="12" t="s">
        <v>69</v>
      </c>
    </row>
    <row r="24">
      <c r="A24" s="12" t="s">
        <v>270</v>
      </c>
      <c r="B24" s="12" t="s">
        <v>54</v>
      </c>
      <c r="C24" s="14">
        <v>45864.0</v>
      </c>
      <c r="D24" s="12" t="s">
        <v>77</v>
      </c>
      <c r="E24" s="12" t="s">
        <v>271</v>
      </c>
      <c r="F24" s="12" t="s">
        <v>274</v>
      </c>
      <c r="BP24" s="12" t="s">
        <v>272</v>
      </c>
      <c r="BQ24" s="12" t="b">
        <v>0</v>
      </c>
      <c r="BS24" s="16" t="s">
        <v>390</v>
      </c>
      <c r="BT24" s="12" t="b">
        <v>1</v>
      </c>
      <c r="BU24" s="12" t="s">
        <v>69</v>
      </c>
    </row>
    <row r="25">
      <c r="A25" s="12" t="s">
        <v>275</v>
      </c>
      <c r="B25" s="12" t="s">
        <v>54</v>
      </c>
      <c r="C25" s="14">
        <v>45865.0</v>
      </c>
      <c r="D25" s="12" t="s">
        <v>77</v>
      </c>
      <c r="E25" s="12" t="s">
        <v>277</v>
      </c>
      <c r="F25" s="12" t="s">
        <v>279</v>
      </c>
      <c r="BP25" s="12" t="s">
        <v>278</v>
      </c>
      <c r="BQ25" s="12" t="b">
        <v>0</v>
      </c>
      <c r="BS25" s="16" t="s">
        <v>402</v>
      </c>
      <c r="BT25" s="12" t="b">
        <v>1</v>
      </c>
      <c r="BU25" s="12" t="s">
        <v>69</v>
      </c>
    </row>
    <row r="26">
      <c r="A26" s="12" t="s">
        <v>282</v>
      </c>
      <c r="B26" s="12" t="s">
        <v>54</v>
      </c>
      <c r="C26" s="14">
        <v>45865.0</v>
      </c>
      <c r="D26" s="12" t="s">
        <v>182</v>
      </c>
      <c r="E26" s="12" t="s">
        <v>284</v>
      </c>
      <c r="F26" s="12" t="s">
        <v>287</v>
      </c>
      <c r="BP26" s="12" t="s">
        <v>285</v>
      </c>
      <c r="BQ26" s="12" t="b">
        <v>0</v>
      </c>
      <c r="BS26" s="16" t="s">
        <v>415</v>
      </c>
      <c r="BT26" s="12" t="b">
        <v>1</v>
      </c>
      <c r="BU26" s="12" t="s">
        <v>69</v>
      </c>
    </row>
    <row r="27">
      <c r="A27" s="12" t="s">
        <v>289</v>
      </c>
      <c r="B27" s="12" t="s">
        <v>54</v>
      </c>
      <c r="C27" s="14">
        <v>45862.0</v>
      </c>
      <c r="D27" s="12" t="s">
        <v>156</v>
      </c>
      <c r="E27" s="12" t="s">
        <v>291</v>
      </c>
      <c r="F27" s="12" t="s">
        <v>293</v>
      </c>
      <c r="BP27" s="12" t="s">
        <v>292</v>
      </c>
      <c r="BQ27" s="12" t="b">
        <v>0</v>
      </c>
      <c r="BT27" s="12" t="b">
        <v>0</v>
      </c>
      <c r="BU27" s="12" t="s">
        <v>69</v>
      </c>
      <c r="BW27" s="12" t="s">
        <v>294</v>
      </c>
      <c r="BX27" s="12" t="s">
        <v>296</v>
      </c>
    </row>
    <row r="28">
      <c r="A28" s="12" t="s">
        <v>297</v>
      </c>
      <c r="B28" s="12" t="s">
        <v>54</v>
      </c>
      <c r="C28" s="14">
        <v>45868.0</v>
      </c>
      <c r="D28" s="12" t="s">
        <v>77</v>
      </c>
      <c r="E28" s="12" t="s">
        <v>299</v>
      </c>
      <c r="F28" s="12" t="s">
        <v>301</v>
      </c>
      <c r="BP28" s="12" t="s">
        <v>300</v>
      </c>
      <c r="BQ28" s="12" t="b">
        <v>0</v>
      </c>
      <c r="BS28" s="16" t="s">
        <v>432</v>
      </c>
      <c r="BT28" s="12" t="b">
        <v>1</v>
      </c>
      <c r="BU28" s="12" t="s">
        <v>69</v>
      </c>
    </row>
    <row r="29">
      <c r="A29" s="12" t="s">
        <v>303</v>
      </c>
      <c r="B29" s="12" t="s">
        <v>54</v>
      </c>
      <c r="C29" s="14">
        <v>45869.0</v>
      </c>
      <c r="D29" s="12" t="s">
        <v>220</v>
      </c>
      <c r="E29" s="12" t="s">
        <v>305</v>
      </c>
      <c r="F29" s="12" t="s">
        <v>268</v>
      </c>
      <c r="BP29" s="12" t="s">
        <v>306</v>
      </c>
      <c r="BQ29" s="12" t="b">
        <v>0</v>
      </c>
      <c r="BS29" s="16" t="s">
        <v>446</v>
      </c>
      <c r="BT29" s="12" t="b">
        <v>1</v>
      </c>
      <c r="BU29" s="12" t="s">
        <v>69</v>
      </c>
    </row>
    <row r="30">
      <c r="A30" s="12" t="s">
        <v>308</v>
      </c>
      <c r="B30" s="12" t="s">
        <v>54</v>
      </c>
      <c r="C30" s="14">
        <v>45871.0</v>
      </c>
      <c r="D30" s="12" t="s">
        <v>182</v>
      </c>
      <c r="E30" s="12" t="s">
        <v>309</v>
      </c>
      <c r="F30" s="12" t="s">
        <v>312</v>
      </c>
      <c r="BP30" s="12" t="s">
        <v>310</v>
      </c>
      <c r="BQ30" s="12" t="b">
        <v>0</v>
      </c>
      <c r="BS30" s="16" t="s">
        <v>454</v>
      </c>
      <c r="BT30" s="12" t="b">
        <v>1</v>
      </c>
      <c r="BU30" s="12" t="s">
        <v>69</v>
      </c>
    </row>
    <row r="31">
      <c r="A31" s="12" t="s">
        <v>315</v>
      </c>
      <c r="B31" s="12" t="s">
        <v>54</v>
      </c>
      <c r="C31" s="14">
        <v>45871.0</v>
      </c>
      <c r="D31" s="12" t="s">
        <v>220</v>
      </c>
      <c r="E31" s="12" t="s">
        <v>318</v>
      </c>
      <c r="F31" s="12" t="s">
        <v>320</v>
      </c>
      <c r="BP31" s="12" t="s">
        <v>319</v>
      </c>
      <c r="BQ31" s="12" t="b">
        <v>0</v>
      </c>
      <c r="BS31" s="16" t="s">
        <v>462</v>
      </c>
      <c r="BT31" s="12" t="b">
        <v>1</v>
      </c>
      <c r="BU31" s="12" t="s">
        <v>69</v>
      </c>
    </row>
    <row r="32">
      <c r="A32" s="12" t="s">
        <v>323</v>
      </c>
      <c r="B32" s="12" t="s">
        <v>54</v>
      </c>
      <c r="C32" s="14">
        <v>45873.0</v>
      </c>
      <c r="D32" s="12" t="s">
        <v>324</v>
      </c>
      <c r="E32" s="12" t="s">
        <v>325</v>
      </c>
      <c r="F32" s="12" t="s">
        <v>328</v>
      </c>
      <c r="BP32" s="12" t="s">
        <v>326</v>
      </c>
      <c r="BQ32" s="12" t="b">
        <v>0</v>
      </c>
      <c r="BS32" s="16" t="s">
        <v>475</v>
      </c>
      <c r="BT32" s="12" t="b">
        <v>1</v>
      </c>
      <c r="BU32" s="12" t="s">
        <v>69</v>
      </c>
    </row>
    <row r="33">
      <c r="A33" s="12" t="s">
        <v>330</v>
      </c>
      <c r="B33" s="12" t="s">
        <v>54</v>
      </c>
      <c r="C33" s="14">
        <v>45873.0</v>
      </c>
      <c r="D33" s="12" t="s">
        <v>324</v>
      </c>
      <c r="E33" s="12" t="s">
        <v>333</v>
      </c>
      <c r="F33" s="12" t="s">
        <v>336</v>
      </c>
      <c r="BP33" s="12" t="s">
        <v>334</v>
      </c>
      <c r="BQ33" s="12" t="b">
        <v>0</v>
      </c>
      <c r="BS33" s="16" t="s">
        <v>489</v>
      </c>
      <c r="BT33" s="12" t="b">
        <v>1</v>
      </c>
      <c r="BU33" s="12" t="s">
        <v>69</v>
      </c>
    </row>
    <row r="34">
      <c r="A34" s="12" t="s">
        <v>337</v>
      </c>
      <c r="B34" s="12" t="s">
        <v>54</v>
      </c>
      <c r="C34" s="14">
        <v>45874.0</v>
      </c>
      <c r="D34" s="12" t="s">
        <v>324</v>
      </c>
      <c r="E34" s="12" t="s">
        <v>340</v>
      </c>
      <c r="F34" s="12" t="s">
        <v>328</v>
      </c>
      <c r="BP34" s="12" t="s">
        <v>341</v>
      </c>
      <c r="BQ34" s="12" t="b">
        <v>0</v>
      </c>
      <c r="BS34" s="16" t="s">
        <v>499</v>
      </c>
      <c r="BT34" s="12" t="b">
        <v>1</v>
      </c>
      <c r="BU34" s="12" t="s">
        <v>69</v>
      </c>
    </row>
    <row r="35">
      <c r="A35" s="12" t="s">
        <v>344</v>
      </c>
      <c r="B35" s="12" t="s">
        <v>54</v>
      </c>
      <c r="C35" s="15">
        <v>45873.0</v>
      </c>
      <c r="D35" s="12" t="s">
        <v>345</v>
      </c>
      <c r="E35" s="12" t="s">
        <v>346</v>
      </c>
      <c r="F35" s="12" t="s">
        <v>349</v>
      </c>
      <c r="BP35" s="12" t="s">
        <v>348</v>
      </c>
      <c r="BQ35" s="12" t="b">
        <v>0</v>
      </c>
      <c r="BS35" s="16" t="s">
        <v>509</v>
      </c>
      <c r="BT35" s="12" t="b">
        <v>1</v>
      </c>
      <c r="BU35" s="12" t="s">
        <v>69</v>
      </c>
    </row>
    <row r="36">
      <c r="A36" s="12" t="s">
        <v>354</v>
      </c>
      <c r="B36" s="12" t="s">
        <v>54</v>
      </c>
      <c r="C36" s="14">
        <v>45873.0</v>
      </c>
      <c r="D36" s="12" t="s">
        <v>355</v>
      </c>
      <c r="E36" s="12" t="s">
        <v>358</v>
      </c>
      <c r="F36" s="12" t="s">
        <v>360</v>
      </c>
      <c r="BP36" s="12" t="s">
        <v>359</v>
      </c>
      <c r="BQ36" s="12" t="b">
        <v>0</v>
      </c>
      <c r="BS36" s="16" t="s">
        <v>517</v>
      </c>
      <c r="BT36" s="12" t="b">
        <v>1</v>
      </c>
      <c r="BU36" s="12" t="s">
        <v>69</v>
      </c>
    </row>
    <row r="37">
      <c r="A37" s="12" t="s">
        <v>363</v>
      </c>
      <c r="B37" s="12" t="s">
        <v>54</v>
      </c>
      <c r="C37" s="14">
        <v>45860.0</v>
      </c>
      <c r="D37" s="12" t="s">
        <v>156</v>
      </c>
      <c r="E37" s="12" t="s">
        <v>365</v>
      </c>
      <c r="F37" s="12" t="s">
        <v>368</v>
      </c>
      <c r="BP37" s="12" t="s">
        <v>366</v>
      </c>
      <c r="BQ37" s="12" t="b">
        <v>0</v>
      </c>
      <c r="BT37" s="12" t="b">
        <v>0</v>
      </c>
      <c r="BU37" s="12" t="s">
        <v>69</v>
      </c>
      <c r="BW37" s="12" t="s">
        <v>370</v>
      </c>
      <c r="BX37" s="12" t="s">
        <v>371</v>
      </c>
    </row>
    <row r="38">
      <c r="A38" s="12" t="s">
        <v>374</v>
      </c>
      <c r="B38" s="12" t="s">
        <v>54</v>
      </c>
      <c r="C38" s="14">
        <v>45875.0</v>
      </c>
      <c r="D38" s="12" t="s">
        <v>375</v>
      </c>
      <c r="E38" s="12" t="s">
        <v>376</v>
      </c>
      <c r="F38" s="12" t="s">
        <v>378</v>
      </c>
      <c r="BP38" s="12" t="s">
        <v>377</v>
      </c>
      <c r="BQ38" s="12" t="b">
        <v>0</v>
      </c>
      <c r="BS38" s="16" t="s">
        <v>542</v>
      </c>
      <c r="BT38" s="12" t="b">
        <v>1</v>
      </c>
      <c r="BU38" s="12" t="s">
        <v>69</v>
      </c>
    </row>
    <row r="39">
      <c r="A39" s="12" t="s">
        <v>380</v>
      </c>
      <c r="B39" s="12" t="s">
        <v>54</v>
      </c>
      <c r="C39" s="14">
        <v>45873.0</v>
      </c>
      <c r="D39" s="12" t="s">
        <v>156</v>
      </c>
      <c r="E39" s="12" t="s">
        <v>383</v>
      </c>
      <c r="F39" s="12" t="s">
        <v>254</v>
      </c>
      <c r="BP39" s="12" t="s">
        <v>384</v>
      </c>
      <c r="BQ39" s="12" t="b">
        <v>0</v>
      </c>
      <c r="BT39" s="12" t="b">
        <v>0</v>
      </c>
      <c r="BU39" s="12" t="s">
        <v>69</v>
      </c>
      <c r="BW39" s="12" t="s">
        <v>385</v>
      </c>
      <c r="BX39" s="12" t="s">
        <v>386</v>
      </c>
      <c r="BY39" s="12" t="s">
        <v>388</v>
      </c>
    </row>
    <row r="40">
      <c r="A40" s="12" t="s">
        <v>389</v>
      </c>
      <c r="B40" s="12" t="s">
        <v>54</v>
      </c>
      <c r="C40" s="14">
        <v>45875.0</v>
      </c>
      <c r="D40" s="12" t="s">
        <v>392</v>
      </c>
      <c r="E40" s="12" t="s">
        <v>393</v>
      </c>
      <c r="F40" s="12" t="s">
        <v>395</v>
      </c>
      <c r="BP40" s="12" t="s">
        <v>394</v>
      </c>
      <c r="BQ40" s="12" t="b">
        <v>0</v>
      </c>
      <c r="BS40" s="16" t="s">
        <v>574</v>
      </c>
      <c r="BT40" s="12" t="b">
        <v>1</v>
      </c>
      <c r="BU40" s="12" t="s">
        <v>69</v>
      </c>
    </row>
    <row r="41">
      <c r="A41" s="12" t="s">
        <v>397</v>
      </c>
      <c r="B41" s="12" t="s">
        <v>54</v>
      </c>
      <c r="C41" s="14">
        <v>45874.0</v>
      </c>
      <c r="D41" s="12" t="s">
        <v>190</v>
      </c>
      <c r="E41" s="12" t="s">
        <v>399</v>
      </c>
      <c r="F41" s="12" t="s">
        <v>401</v>
      </c>
      <c r="BP41" s="12" t="s">
        <v>400</v>
      </c>
      <c r="BQ41" s="12" t="b">
        <v>0</v>
      </c>
      <c r="BS41" s="16" t="s">
        <v>582</v>
      </c>
      <c r="BT41" s="12" t="b">
        <v>1</v>
      </c>
      <c r="BU41" s="12" t="s">
        <v>69</v>
      </c>
    </row>
    <row r="42">
      <c r="A42" s="12" t="s">
        <v>404</v>
      </c>
      <c r="B42" s="12" t="s">
        <v>54</v>
      </c>
      <c r="C42" s="14">
        <v>45875.0</v>
      </c>
      <c r="D42" s="12" t="s">
        <v>190</v>
      </c>
      <c r="E42" s="12" t="s">
        <v>406</v>
      </c>
      <c r="F42" s="12" t="s">
        <v>401</v>
      </c>
      <c r="BP42" s="12" t="s">
        <v>407</v>
      </c>
      <c r="BQ42" s="12" t="b">
        <v>0</v>
      </c>
      <c r="BS42" s="16" t="s">
        <v>595</v>
      </c>
      <c r="BT42" s="12" t="b">
        <v>1</v>
      </c>
      <c r="BU42" s="12" t="s">
        <v>69</v>
      </c>
    </row>
    <row r="43">
      <c r="A43" s="12" t="s">
        <v>409</v>
      </c>
      <c r="B43" s="12" t="s">
        <v>54</v>
      </c>
      <c r="C43" s="14">
        <v>45872.0</v>
      </c>
      <c r="D43" s="12" t="s">
        <v>220</v>
      </c>
      <c r="E43" s="12" t="s">
        <v>410</v>
      </c>
      <c r="F43" s="12" t="s">
        <v>413</v>
      </c>
      <c r="BP43" s="12" t="s">
        <v>412</v>
      </c>
      <c r="BQ43" s="12" t="b">
        <v>0</v>
      </c>
      <c r="BS43" s="16" t="s">
        <v>608</v>
      </c>
      <c r="BT43" s="12" t="b">
        <v>1</v>
      </c>
      <c r="BU43" s="12" t="s">
        <v>69</v>
      </c>
    </row>
    <row r="44">
      <c r="A44" s="12" t="s">
        <v>416</v>
      </c>
      <c r="B44" s="12" t="s">
        <v>54</v>
      </c>
      <c r="C44" s="14">
        <v>45910.0</v>
      </c>
      <c r="D44" s="12" t="s">
        <v>418</v>
      </c>
      <c r="E44" s="12" t="s">
        <v>421</v>
      </c>
      <c r="F44" s="12" t="s">
        <v>423</v>
      </c>
      <c r="BP44" s="12" t="s">
        <v>422</v>
      </c>
      <c r="BQ44" s="12" t="b">
        <v>0</v>
      </c>
      <c r="BT44" s="12" t="b">
        <v>0</v>
      </c>
      <c r="BU44" s="12" t="s">
        <v>69</v>
      </c>
    </row>
    <row r="45">
      <c r="A45" s="12" t="s">
        <v>426</v>
      </c>
      <c r="B45" s="12" t="s">
        <v>54</v>
      </c>
      <c r="C45" s="14">
        <v>45876.0</v>
      </c>
      <c r="D45" s="12" t="s">
        <v>220</v>
      </c>
      <c r="E45" s="12" t="s">
        <v>428</v>
      </c>
      <c r="F45" s="12" t="s">
        <v>431</v>
      </c>
      <c r="BP45" s="12" t="s">
        <v>429</v>
      </c>
      <c r="BQ45" s="12" t="b">
        <v>0</v>
      </c>
      <c r="BS45" s="16" t="s">
        <v>634</v>
      </c>
      <c r="BT45" s="12" t="b">
        <v>1</v>
      </c>
      <c r="BU45" s="12" t="s">
        <v>69</v>
      </c>
    </row>
    <row r="46">
      <c r="A46" s="12" t="s">
        <v>434</v>
      </c>
      <c r="B46" s="12" t="s">
        <v>54</v>
      </c>
      <c r="C46" s="14">
        <v>45877.0</v>
      </c>
      <c r="D46" s="12" t="s">
        <v>435</v>
      </c>
      <c r="E46" s="12" t="s">
        <v>436</v>
      </c>
      <c r="F46" s="12" t="s">
        <v>439</v>
      </c>
      <c r="BP46" s="12" t="s">
        <v>437</v>
      </c>
      <c r="BQ46" s="12" t="b">
        <v>0</v>
      </c>
      <c r="BS46" s="16" t="s">
        <v>649</v>
      </c>
      <c r="BT46" s="12" t="b">
        <v>1</v>
      </c>
      <c r="BU46" s="12" t="s">
        <v>69</v>
      </c>
    </row>
    <row r="47">
      <c r="A47" s="12" t="s">
        <v>440</v>
      </c>
      <c r="B47" s="12" t="s">
        <v>54</v>
      </c>
      <c r="C47" s="14">
        <v>45876.0</v>
      </c>
      <c r="D47" s="12" t="s">
        <v>441</v>
      </c>
      <c r="E47" s="12" t="s">
        <v>442</v>
      </c>
      <c r="F47" s="12" t="s">
        <v>445</v>
      </c>
      <c r="BP47" s="12" t="s">
        <v>444</v>
      </c>
      <c r="BQ47" s="12" t="b">
        <v>0</v>
      </c>
      <c r="BS47" s="16" t="s">
        <v>664</v>
      </c>
      <c r="BT47" s="12" t="b">
        <v>1</v>
      </c>
      <c r="BU47" s="12" t="s">
        <v>69</v>
      </c>
    </row>
    <row r="48">
      <c r="A48" s="12" t="s">
        <v>447</v>
      </c>
      <c r="B48" s="12" t="s">
        <v>54</v>
      </c>
      <c r="C48" s="14">
        <v>45877.0</v>
      </c>
      <c r="D48" s="12" t="s">
        <v>212</v>
      </c>
      <c r="E48" s="12" t="s">
        <v>448</v>
      </c>
      <c r="F48" s="12" t="s">
        <v>451</v>
      </c>
      <c r="BP48" s="12" t="s">
        <v>449</v>
      </c>
      <c r="BQ48" s="12" t="b">
        <v>0</v>
      </c>
      <c r="BS48" s="16" t="s">
        <v>675</v>
      </c>
      <c r="BT48" s="12" t="b">
        <v>1</v>
      </c>
      <c r="BU48" s="12" t="s">
        <v>69</v>
      </c>
    </row>
    <row r="49">
      <c r="A49" s="12" t="s">
        <v>453</v>
      </c>
      <c r="B49" s="12" t="s">
        <v>54</v>
      </c>
      <c r="C49" s="15">
        <v>45878.0</v>
      </c>
      <c r="D49" s="12" t="s">
        <v>220</v>
      </c>
      <c r="E49" s="12" t="s">
        <v>455</v>
      </c>
      <c r="F49" s="12" t="s">
        <v>457</v>
      </c>
      <c r="BP49" s="12" t="s">
        <v>456</v>
      </c>
      <c r="BQ49" s="12" t="b">
        <v>0</v>
      </c>
      <c r="BS49" s="16" t="s">
        <v>692</v>
      </c>
      <c r="BT49" s="12" t="b">
        <v>1</v>
      </c>
      <c r="BU49" s="12" t="s">
        <v>69</v>
      </c>
    </row>
    <row r="50">
      <c r="A50" s="12" t="s">
        <v>459</v>
      </c>
      <c r="B50" s="12" t="s">
        <v>54</v>
      </c>
      <c r="C50" s="15">
        <v>45880.0</v>
      </c>
      <c r="D50" s="12" t="s">
        <v>461</v>
      </c>
      <c r="E50" s="12" t="s">
        <v>463</v>
      </c>
      <c r="F50" s="12" t="s">
        <v>466</v>
      </c>
      <c r="BP50" s="12" t="s">
        <v>464</v>
      </c>
      <c r="BQ50" s="12" t="b">
        <v>0</v>
      </c>
      <c r="BS50" s="16" t="s">
        <v>699</v>
      </c>
      <c r="BT50" s="12" t="b">
        <v>1</v>
      </c>
      <c r="BU50" s="12" t="s">
        <v>69</v>
      </c>
    </row>
    <row r="51">
      <c r="A51" s="12" t="s">
        <v>468</v>
      </c>
      <c r="B51" s="12" t="s">
        <v>54</v>
      </c>
      <c r="C51" s="15">
        <v>45880.0</v>
      </c>
      <c r="D51" s="12" t="s">
        <v>470</v>
      </c>
      <c r="E51" s="12" t="s">
        <v>471</v>
      </c>
      <c r="F51" s="12" t="s">
        <v>82</v>
      </c>
      <c r="BP51" s="12" t="s">
        <v>472</v>
      </c>
      <c r="BQ51" s="12" t="b">
        <v>0</v>
      </c>
      <c r="BS51" s="16" t="s">
        <v>707</v>
      </c>
      <c r="BT51" s="12" t="b">
        <v>1</v>
      </c>
      <c r="BU51" s="12" t="s">
        <v>69</v>
      </c>
    </row>
    <row r="52">
      <c r="A52" s="12" t="s">
        <v>476</v>
      </c>
      <c r="B52" s="12" t="s">
        <v>54</v>
      </c>
      <c r="C52" s="15">
        <v>45876.0</v>
      </c>
      <c r="D52" s="12" t="s">
        <v>478</v>
      </c>
      <c r="E52" s="12" t="s">
        <v>479</v>
      </c>
      <c r="F52" s="12" t="s">
        <v>482</v>
      </c>
      <c r="BP52" s="12" t="s">
        <v>480</v>
      </c>
      <c r="BQ52" s="12" t="b">
        <v>0</v>
      </c>
      <c r="BS52" s="16" t="s">
        <v>721</v>
      </c>
      <c r="BT52" s="12" t="b">
        <v>1</v>
      </c>
      <c r="BU52" s="12" t="s">
        <v>69</v>
      </c>
      <c r="BW52" s="12" t="s">
        <v>483</v>
      </c>
    </row>
    <row r="53">
      <c r="A53" s="16" t="s">
        <v>724</v>
      </c>
      <c r="B53" s="12" t="s">
        <v>54</v>
      </c>
      <c r="C53" s="15">
        <v>45874.0</v>
      </c>
      <c r="D53" s="12" t="s">
        <v>156</v>
      </c>
      <c r="E53" s="12" t="s">
        <v>486</v>
      </c>
      <c r="F53" s="12" t="s">
        <v>488</v>
      </c>
      <c r="BP53" s="12" t="s">
        <v>487</v>
      </c>
      <c r="BQ53" s="12" t="b">
        <v>0</v>
      </c>
      <c r="BT53" s="12" t="b">
        <v>0</v>
      </c>
      <c r="BU53" s="12" t="s">
        <v>69</v>
      </c>
      <c r="BW53" s="12" t="s">
        <v>491</v>
      </c>
      <c r="BX53" s="12" t="s">
        <v>492</v>
      </c>
    </row>
    <row r="54">
      <c r="A54" s="12" t="s">
        <v>493</v>
      </c>
      <c r="B54" s="12" t="s">
        <v>54</v>
      </c>
      <c r="C54" s="15">
        <v>45874.0</v>
      </c>
      <c r="D54" s="12" t="s">
        <v>156</v>
      </c>
      <c r="E54" s="12" t="s">
        <v>486</v>
      </c>
      <c r="F54" s="12" t="s">
        <v>488</v>
      </c>
      <c r="BP54" s="12" t="s">
        <v>495</v>
      </c>
      <c r="BQ54" s="12" t="b">
        <v>0</v>
      </c>
      <c r="BT54" s="12" t="b">
        <v>0</v>
      </c>
      <c r="BU54" s="12" t="s">
        <v>69</v>
      </c>
    </row>
    <row r="55">
      <c r="A55" s="12" t="s">
        <v>497</v>
      </c>
      <c r="B55" s="12" t="s">
        <v>54</v>
      </c>
      <c r="C55" s="15">
        <v>45881.0</v>
      </c>
      <c r="D55" s="12" t="s">
        <v>220</v>
      </c>
      <c r="E55" s="12" t="s">
        <v>500</v>
      </c>
      <c r="F55" s="12" t="s">
        <v>502</v>
      </c>
      <c r="BP55" s="12" t="s">
        <v>501</v>
      </c>
      <c r="BQ55" s="12" t="b">
        <v>0</v>
      </c>
      <c r="BS55" s="16" t="s">
        <v>754</v>
      </c>
      <c r="BT55" s="12" t="b">
        <v>1</v>
      </c>
      <c r="BU55" s="12" t="s">
        <v>69</v>
      </c>
    </row>
    <row r="56">
      <c r="A56" s="12" t="s">
        <v>503</v>
      </c>
      <c r="B56" s="12" t="s">
        <v>54</v>
      </c>
      <c r="C56" s="14">
        <v>45881.0</v>
      </c>
      <c r="D56" s="12" t="s">
        <v>504</v>
      </c>
      <c r="E56" s="12" t="s">
        <v>505</v>
      </c>
      <c r="F56" s="12" t="s">
        <v>507</v>
      </c>
      <c r="BP56" s="12" t="s">
        <v>506</v>
      </c>
      <c r="BQ56" s="12" t="b">
        <v>0</v>
      </c>
      <c r="BS56" s="16" t="s">
        <v>762</v>
      </c>
      <c r="BT56" s="12" t="b">
        <v>1</v>
      </c>
      <c r="BU56" s="12" t="s">
        <v>69</v>
      </c>
    </row>
    <row r="57">
      <c r="A57" s="12" t="s">
        <v>510</v>
      </c>
      <c r="B57" s="12" t="s">
        <v>54</v>
      </c>
      <c r="C57" s="14">
        <v>45881.0</v>
      </c>
      <c r="D57" s="12" t="s">
        <v>512</v>
      </c>
      <c r="E57" s="12" t="s">
        <v>513</v>
      </c>
      <c r="F57" s="12" t="s">
        <v>515</v>
      </c>
      <c r="BP57" s="12" t="s">
        <v>514</v>
      </c>
      <c r="BQ57" s="12" t="b">
        <v>0</v>
      </c>
      <c r="BS57" s="16" t="s">
        <v>776</v>
      </c>
      <c r="BT57" s="12" t="b">
        <v>1</v>
      </c>
      <c r="BU57" s="12" t="s">
        <v>69</v>
      </c>
    </row>
    <row r="58">
      <c r="A58" s="12" t="s">
        <v>518</v>
      </c>
      <c r="B58" s="12" t="s">
        <v>54</v>
      </c>
      <c r="C58" s="15">
        <v>45881.0</v>
      </c>
      <c r="D58" s="12" t="s">
        <v>175</v>
      </c>
      <c r="E58" s="12" t="s">
        <v>519</v>
      </c>
      <c r="F58" s="12" t="s">
        <v>522</v>
      </c>
      <c r="BP58" s="12" t="s">
        <v>521</v>
      </c>
      <c r="BQ58" s="12" t="b">
        <v>0</v>
      </c>
      <c r="BS58" s="16" t="s">
        <v>788</v>
      </c>
      <c r="BT58" s="12" t="b">
        <v>1</v>
      </c>
      <c r="BU58" s="12" t="s">
        <v>69</v>
      </c>
    </row>
    <row r="59">
      <c r="A59" s="12" t="s">
        <v>523</v>
      </c>
      <c r="B59" s="12" t="s">
        <v>54</v>
      </c>
      <c r="C59" s="15">
        <v>45882.0</v>
      </c>
      <c r="D59" s="12" t="s">
        <v>182</v>
      </c>
      <c r="E59" s="12" t="s">
        <v>525</v>
      </c>
      <c r="F59" s="12" t="s">
        <v>527</v>
      </c>
      <c r="BP59" s="12" t="s">
        <v>526</v>
      </c>
      <c r="BQ59" s="12" t="b">
        <v>0</v>
      </c>
      <c r="BS59" s="16" t="s">
        <v>804</v>
      </c>
      <c r="BT59" s="12" t="b">
        <v>1</v>
      </c>
      <c r="BU59" s="12" t="s">
        <v>69</v>
      </c>
    </row>
    <row r="60">
      <c r="A60" s="12" t="s">
        <v>530</v>
      </c>
      <c r="B60" s="12" t="s">
        <v>54</v>
      </c>
      <c r="C60" s="15">
        <v>45883.0</v>
      </c>
      <c r="D60" s="12" t="s">
        <v>532</v>
      </c>
      <c r="E60" s="12" t="s">
        <v>533</v>
      </c>
      <c r="F60" s="12" t="s">
        <v>536</v>
      </c>
      <c r="BP60" s="12" t="s">
        <v>535</v>
      </c>
      <c r="BQ60" s="12" t="b">
        <v>0</v>
      </c>
      <c r="BS60" s="16" t="s">
        <v>814</v>
      </c>
      <c r="BT60" s="12" t="b">
        <v>1</v>
      </c>
      <c r="BU60" s="12" t="s">
        <v>69</v>
      </c>
    </row>
    <row r="61">
      <c r="A61" s="12" t="s">
        <v>538</v>
      </c>
      <c r="B61" s="12" t="s">
        <v>54</v>
      </c>
      <c r="C61" s="15">
        <v>45884.0</v>
      </c>
      <c r="D61" s="12" t="s">
        <v>540</v>
      </c>
      <c r="E61" s="12" t="s">
        <v>541</v>
      </c>
      <c r="F61" s="12" t="s">
        <v>545</v>
      </c>
      <c r="BP61" s="12" t="s">
        <v>543</v>
      </c>
      <c r="BQ61" s="12" t="b">
        <v>0</v>
      </c>
      <c r="BS61" s="16" t="s">
        <v>827</v>
      </c>
      <c r="BT61" s="12" t="b">
        <v>1</v>
      </c>
      <c r="BU61" s="12" t="s">
        <v>69</v>
      </c>
    </row>
    <row r="62">
      <c r="A62" s="12" t="s">
        <v>547</v>
      </c>
      <c r="B62" s="12" t="s">
        <v>54</v>
      </c>
      <c r="C62" s="15">
        <v>45884.0</v>
      </c>
      <c r="D62" s="12" t="s">
        <v>220</v>
      </c>
      <c r="E62" s="12" t="s">
        <v>549</v>
      </c>
      <c r="F62" s="12" t="s">
        <v>552</v>
      </c>
      <c r="BP62" s="12" t="s">
        <v>550</v>
      </c>
      <c r="BQ62" s="12" t="b">
        <v>0</v>
      </c>
      <c r="BS62" s="16" t="s">
        <v>846</v>
      </c>
      <c r="BT62" s="12" t="b">
        <v>1</v>
      </c>
      <c r="BU62" s="12" t="s">
        <v>69</v>
      </c>
    </row>
    <row r="63">
      <c r="A63" s="12" t="s">
        <v>555</v>
      </c>
      <c r="B63" s="12" t="s">
        <v>54</v>
      </c>
      <c r="C63" s="15">
        <v>45883.0</v>
      </c>
      <c r="D63" s="12" t="s">
        <v>556</v>
      </c>
      <c r="E63" s="12" t="s">
        <v>558</v>
      </c>
      <c r="F63" s="12" t="s">
        <v>561</v>
      </c>
      <c r="BP63" s="12" t="s">
        <v>560</v>
      </c>
      <c r="BQ63" s="12" t="b">
        <v>0</v>
      </c>
      <c r="BS63" s="16" t="s">
        <v>863</v>
      </c>
      <c r="BT63" s="12" t="b">
        <v>1</v>
      </c>
      <c r="BU63" s="12" t="s">
        <v>69</v>
      </c>
    </row>
    <row r="64">
      <c r="A64" s="12" t="s">
        <v>564</v>
      </c>
      <c r="B64" s="12" t="s">
        <v>54</v>
      </c>
      <c r="C64" s="15">
        <v>45885.0</v>
      </c>
      <c r="D64" s="12" t="s">
        <v>182</v>
      </c>
      <c r="E64" s="12" t="s">
        <v>565</v>
      </c>
      <c r="F64" s="12" t="s">
        <v>457</v>
      </c>
      <c r="BP64" s="12" t="s">
        <v>567</v>
      </c>
      <c r="BQ64" s="12" t="b">
        <v>0</v>
      </c>
      <c r="BS64" s="16" t="s">
        <v>877</v>
      </c>
      <c r="BT64" s="12" t="b">
        <v>1</v>
      </c>
      <c r="BU64" s="12" t="s">
        <v>69</v>
      </c>
    </row>
    <row r="65">
      <c r="A65" s="12" t="s">
        <v>569</v>
      </c>
      <c r="B65" s="12" t="s">
        <v>54</v>
      </c>
      <c r="C65" s="15">
        <v>45886.0</v>
      </c>
      <c r="D65" s="12" t="s">
        <v>182</v>
      </c>
      <c r="E65" s="12" t="s">
        <v>571</v>
      </c>
      <c r="F65" s="12" t="s">
        <v>575</v>
      </c>
      <c r="BP65" s="12" t="s">
        <v>573</v>
      </c>
      <c r="BQ65" s="12" t="b">
        <v>0</v>
      </c>
      <c r="BS65" s="16" t="s">
        <v>890</v>
      </c>
      <c r="BT65" s="12" t="b">
        <v>1</v>
      </c>
      <c r="BU65" s="12" t="s">
        <v>69</v>
      </c>
    </row>
    <row r="66">
      <c r="A66" s="12" t="s">
        <v>576</v>
      </c>
      <c r="B66" s="12" t="s">
        <v>54</v>
      </c>
      <c r="C66" s="15">
        <v>45888.0</v>
      </c>
      <c r="D66" s="12" t="s">
        <v>375</v>
      </c>
      <c r="E66" s="12" t="s">
        <v>578</v>
      </c>
      <c r="F66" s="12" t="s">
        <v>580</v>
      </c>
      <c r="BP66" s="12" t="s">
        <v>579</v>
      </c>
      <c r="BQ66" s="12" t="b">
        <v>0</v>
      </c>
      <c r="BS66" s="16" t="s">
        <v>915</v>
      </c>
      <c r="BT66" s="12" t="b">
        <v>1</v>
      </c>
      <c r="BU66" s="12" t="s">
        <v>69</v>
      </c>
    </row>
    <row r="67">
      <c r="A67" s="12" t="s">
        <v>581</v>
      </c>
      <c r="B67" s="12" t="s">
        <v>54</v>
      </c>
      <c r="C67" s="15">
        <v>45887.0</v>
      </c>
      <c r="D67" s="12" t="s">
        <v>156</v>
      </c>
      <c r="E67" s="12" t="s">
        <v>584</v>
      </c>
      <c r="F67" s="12" t="s">
        <v>586</v>
      </c>
      <c r="BP67" s="12" t="s">
        <v>585</v>
      </c>
      <c r="BQ67" s="12" t="b">
        <v>0</v>
      </c>
      <c r="BT67" s="12" t="b">
        <v>0</v>
      </c>
      <c r="BU67" s="12" t="s">
        <v>69</v>
      </c>
      <c r="BW67" s="12" t="s">
        <v>587</v>
      </c>
    </row>
    <row r="68">
      <c r="A68" s="12" t="s">
        <v>588</v>
      </c>
      <c r="B68" s="12" t="s">
        <v>54</v>
      </c>
      <c r="C68" s="15">
        <v>45883.0</v>
      </c>
      <c r="D68" s="12" t="s">
        <v>590</v>
      </c>
      <c r="E68" s="12" t="s">
        <v>591</v>
      </c>
      <c r="F68" s="12" t="s">
        <v>594</v>
      </c>
      <c r="BP68" s="12" t="s">
        <v>592</v>
      </c>
      <c r="BQ68" s="12" t="b">
        <v>0</v>
      </c>
      <c r="BS68" s="16" t="s">
        <v>942</v>
      </c>
      <c r="BT68" s="12" t="b">
        <v>1</v>
      </c>
      <c r="BU68" s="12" t="s">
        <v>69</v>
      </c>
    </row>
    <row r="69">
      <c r="A69" s="12" t="s">
        <v>596</v>
      </c>
      <c r="B69" s="12" t="s">
        <v>54</v>
      </c>
      <c r="C69" s="15">
        <v>45888.0</v>
      </c>
      <c r="D69" s="12" t="s">
        <v>220</v>
      </c>
      <c r="E69" s="12" t="s">
        <v>597</v>
      </c>
      <c r="F69" s="12" t="s">
        <v>599</v>
      </c>
      <c r="BP69" s="12" t="s">
        <v>598</v>
      </c>
      <c r="BQ69" s="12" t="b">
        <v>0</v>
      </c>
      <c r="BS69" s="16" t="s">
        <v>957</v>
      </c>
      <c r="BT69" s="12" t="b">
        <v>1</v>
      </c>
      <c r="BU69" s="12" t="s">
        <v>69</v>
      </c>
    </row>
    <row r="70">
      <c r="A70" s="12" t="s">
        <v>601</v>
      </c>
      <c r="B70" s="12" t="s">
        <v>54</v>
      </c>
      <c r="C70" s="15">
        <v>45887.0</v>
      </c>
      <c r="D70" s="12" t="s">
        <v>603</v>
      </c>
      <c r="E70" s="12" t="s">
        <v>605</v>
      </c>
      <c r="F70" s="12" t="s">
        <v>607</v>
      </c>
      <c r="BP70" s="12" t="s">
        <v>606</v>
      </c>
      <c r="BQ70" s="12" t="b">
        <v>0</v>
      </c>
      <c r="BS70" s="16" t="s">
        <v>970</v>
      </c>
      <c r="BT70" s="12" t="b">
        <v>1</v>
      </c>
      <c r="BU70" s="12" t="s">
        <v>69</v>
      </c>
    </row>
    <row r="71">
      <c r="A71" s="12" t="s">
        <v>611</v>
      </c>
      <c r="B71" s="12" t="s">
        <v>54</v>
      </c>
      <c r="C71" s="15">
        <v>45887.0</v>
      </c>
      <c r="D71" s="12" t="s">
        <v>190</v>
      </c>
      <c r="E71" s="12" t="s">
        <v>613</v>
      </c>
      <c r="F71" s="12" t="s">
        <v>616</v>
      </c>
      <c r="BP71" s="12" t="s">
        <v>614</v>
      </c>
      <c r="BQ71" s="12" t="b">
        <v>0</v>
      </c>
      <c r="BS71" s="16" t="s">
        <v>983</v>
      </c>
      <c r="BT71" s="12" t="b">
        <v>1</v>
      </c>
      <c r="BU71" s="12" t="s">
        <v>69</v>
      </c>
    </row>
    <row r="72">
      <c r="A72" s="16" t="s">
        <v>985</v>
      </c>
      <c r="B72" s="12" t="s">
        <v>54</v>
      </c>
      <c r="C72" s="15">
        <v>45887.0</v>
      </c>
      <c r="D72" s="12" t="s">
        <v>220</v>
      </c>
      <c r="E72" s="12" t="s">
        <v>620</v>
      </c>
      <c r="F72" s="12" t="s">
        <v>625</v>
      </c>
      <c r="BP72" s="12" t="s">
        <v>622</v>
      </c>
      <c r="BQ72" s="12" t="b">
        <v>0</v>
      </c>
      <c r="BS72" s="16" t="s">
        <v>996</v>
      </c>
      <c r="BT72" s="12" t="b">
        <v>1</v>
      </c>
      <c r="BU72" s="12" t="s">
        <v>69</v>
      </c>
    </row>
    <row r="73">
      <c r="A73" s="12" t="s">
        <v>630</v>
      </c>
      <c r="B73" s="12" t="s">
        <v>54</v>
      </c>
      <c r="C73" s="15">
        <v>45887.0</v>
      </c>
      <c r="D73" s="12" t="s">
        <v>156</v>
      </c>
      <c r="E73" s="12" t="s">
        <v>632</v>
      </c>
      <c r="F73" s="12" t="s">
        <v>293</v>
      </c>
      <c r="BP73" s="12" t="s">
        <v>633</v>
      </c>
      <c r="BQ73" s="12" t="b">
        <v>0</v>
      </c>
      <c r="BT73" s="12" t="b">
        <v>0</v>
      </c>
      <c r="BU73" s="12" t="s">
        <v>69</v>
      </c>
      <c r="BW73" s="12" t="s">
        <v>635</v>
      </c>
      <c r="BX73" s="12" t="s">
        <v>638</v>
      </c>
      <c r="BY73" s="12" t="s">
        <v>639</v>
      </c>
    </row>
    <row r="74">
      <c r="A74" s="16" t="s">
        <v>1014</v>
      </c>
      <c r="B74" s="12" t="s">
        <v>54</v>
      </c>
      <c r="C74" s="15">
        <v>45887.0</v>
      </c>
      <c r="D74" s="12" t="s">
        <v>156</v>
      </c>
      <c r="E74" s="12" t="s">
        <v>642</v>
      </c>
      <c r="F74" s="12" t="s">
        <v>646</v>
      </c>
      <c r="BP74" s="12" t="s">
        <v>645</v>
      </c>
      <c r="BQ74" s="12" t="b">
        <v>0</v>
      </c>
      <c r="BT74" s="12" t="b">
        <v>0</v>
      </c>
      <c r="BU74" s="12" t="s">
        <v>69</v>
      </c>
      <c r="BW74" s="12" t="s">
        <v>648</v>
      </c>
    </row>
    <row r="75">
      <c r="A75" s="12" t="s">
        <v>651</v>
      </c>
      <c r="B75" s="12" t="s">
        <v>54</v>
      </c>
      <c r="C75" s="15">
        <v>45887.0</v>
      </c>
      <c r="D75" s="12" t="s">
        <v>156</v>
      </c>
      <c r="E75" s="12" t="s">
        <v>654</v>
      </c>
      <c r="F75" s="12" t="s">
        <v>657</v>
      </c>
      <c r="BP75" s="12" t="s">
        <v>655</v>
      </c>
      <c r="BQ75" s="12" t="b">
        <v>0</v>
      </c>
      <c r="BT75" s="12" t="b">
        <v>0</v>
      </c>
      <c r="BU75" s="12" t="s">
        <v>69</v>
      </c>
      <c r="BW75" s="12" t="s">
        <v>660</v>
      </c>
    </row>
    <row r="76">
      <c r="A76" s="12" t="s">
        <v>663</v>
      </c>
      <c r="B76" s="12" t="s">
        <v>54</v>
      </c>
      <c r="C76" s="15">
        <v>45890.0</v>
      </c>
      <c r="D76" s="12" t="s">
        <v>666</v>
      </c>
      <c r="E76" s="12" t="s">
        <v>667</v>
      </c>
      <c r="F76" s="12" t="s">
        <v>669</v>
      </c>
      <c r="BP76" s="12" t="s">
        <v>668</v>
      </c>
      <c r="BQ76" s="12" t="b">
        <v>0</v>
      </c>
      <c r="BS76" s="16" t="s">
        <v>1053</v>
      </c>
      <c r="BT76" s="12" t="b">
        <v>1</v>
      </c>
      <c r="BU76" s="12" t="s">
        <v>69</v>
      </c>
    </row>
    <row r="77">
      <c r="A77" s="12" t="s">
        <v>672</v>
      </c>
      <c r="B77" s="12" t="s">
        <v>54</v>
      </c>
      <c r="C77" s="15">
        <v>45890.0</v>
      </c>
      <c r="D77" s="12" t="s">
        <v>182</v>
      </c>
      <c r="E77" s="12" t="s">
        <v>676</v>
      </c>
      <c r="F77" s="12" t="s">
        <v>680</v>
      </c>
      <c r="BP77" s="12" t="s">
        <v>679</v>
      </c>
      <c r="BQ77" s="12" t="b">
        <v>0</v>
      </c>
      <c r="BS77" s="16" t="s">
        <v>1065</v>
      </c>
      <c r="BT77" s="12" t="b">
        <v>1</v>
      </c>
      <c r="BU77" s="12" t="s">
        <v>69</v>
      </c>
    </row>
    <row r="78">
      <c r="A78" s="12" t="s">
        <v>682</v>
      </c>
      <c r="B78" s="12" t="s">
        <v>54</v>
      </c>
      <c r="C78" s="15">
        <v>45887.0</v>
      </c>
      <c r="D78" s="12" t="s">
        <v>683</v>
      </c>
      <c r="E78" s="12" t="s">
        <v>684</v>
      </c>
      <c r="F78" s="12" t="s">
        <v>687</v>
      </c>
      <c r="BP78" s="12" t="s">
        <v>686</v>
      </c>
      <c r="BQ78" s="12" t="b">
        <v>0</v>
      </c>
      <c r="BS78" s="16" t="s">
        <v>1078</v>
      </c>
      <c r="BT78" s="12" t="b">
        <v>1</v>
      </c>
      <c r="BU78" s="12" t="s">
        <v>69</v>
      </c>
    </row>
    <row r="79">
      <c r="A79" s="12" t="s">
        <v>691</v>
      </c>
      <c r="B79" s="12" t="s">
        <v>54</v>
      </c>
      <c r="C79" s="15">
        <v>45891.0</v>
      </c>
      <c r="D79" s="12" t="s">
        <v>220</v>
      </c>
      <c r="E79" s="12" t="s">
        <v>694</v>
      </c>
      <c r="F79" s="12" t="s">
        <v>268</v>
      </c>
      <c r="BP79" s="12" t="s">
        <v>695</v>
      </c>
      <c r="BQ79" s="12" t="b">
        <v>0</v>
      </c>
      <c r="BS79" s="16" t="s">
        <v>1095</v>
      </c>
      <c r="BT79" s="12" t="b">
        <v>1</v>
      </c>
      <c r="BU79" s="12" t="s">
        <v>69</v>
      </c>
    </row>
    <row r="80">
      <c r="A80" s="12" t="s">
        <v>698</v>
      </c>
      <c r="B80" s="12" t="s">
        <v>54</v>
      </c>
      <c r="C80" s="15">
        <v>45892.0</v>
      </c>
      <c r="D80" s="12" t="s">
        <v>182</v>
      </c>
      <c r="E80" s="12" t="s">
        <v>701</v>
      </c>
      <c r="F80" s="12" t="s">
        <v>704</v>
      </c>
      <c r="BP80" s="12" t="s">
        <v>703</v>
      </c>
      <c r="BQ80" s="12" t="b">
        <v>0</v>
      </c>
      <c r="BS80" s="16" t="s">
        <v>1111</v>
      </c>
      <c r="BT80" s="12" t="b">
        <v>1</v>
      </c>
      <c r="BU80" s="12" t="s">
        <v>69</v>
      </c>
    </row>
    <row r="81">
      <c r="A81" s="12" t="s">
        <v>706</v>
      </c>
      <c r="B81" s="12" t="s">
        <v>54</v>
      </c>
      <c r="C81" s="15">
        <v>45894.0</v>
      </c>
      <c r="D81" s="12" t="s">
        <v>190</v>
      </c>
      <c r="E81" s="12" t="s">
        <v>710</v>
      </c>
      <c r="F81" s="12" t="s">
        <v>713</v>
      </c>
      <c r="BP81" s="12" t="s">
        <v>712</v>
      </c>
      <c r="BQ81" s="12" t="b">
        <v>0</v>
      </c>
      <c r="BS81" s="16" t="s">
        <v>1127</v>
      </c>
      <c r="BT81" s="12" t="b">
        <v>1</v>
      </c>
      <c r="BU81" s="12" t="s">
        <v>69</v>
      </c>
    </row>
    <row r="82">
      <c r="A82" s="12" t="s">
        <v>716</v>
      </c>
      <c r="B82" s="12" t="s">
        <v>54</v>
      </c>
      <c r="C82" s="15">
        <v>45894.0</v>
      </c>
      <c r="D82" s="12" t="s">
        <v>245</v>
      </c>
      <c r="E82" s="12" t="s">
        <v>718</v>
      </c>
      <c r="F82" s="12" t="s">
        <v>722</v>
      </c>
      <c r="BP82" s="12" t="s">
        <v>720</v>
      </c>
      <c r="BQ82" s="12" t="b">
        <v>0</v>
      </c>
      <c r="BS82" s="16" t="s">
        <v>1139</v>
      </c>
      <c r="BT82" s="12" t="b">
        <v>1</v>
      </c>
      <c r="BU82" s="12" t="s">
        <v>69</v>
      </c>
    </row>
    <row r="83">
      <c r="A83" s="12" t="s">
        <v>726</v>
      </c>
      <c r="B83" s="12" t="s">
        <v>54</v>
      </c>
      <c r="C83" s="15">
        <v>45894.0</v>
      </c>
      <c r="D83" s="12" t="s">
        <v>728</v>
      </c>
      <c r="E83" s="12" t="s">
        <v>731</v>
      </c>
      <c r="F83" s="12" t="s">
        <v>733</v>
      </c>
      <c r="BP83" s="12" t="s">
        <v>732</v>
      </c>
      <c r="BQ83" s="12" t="b">
        <v>0</v>
      </c>
      <c r="BS83" s="16" t="s">
        <v>1152</v>
      </c>
      <c r="BT83" s="12" t="b">
        <v>1</v>
      </c>
      <c r="BU83" s="12" t="s">
        <v>69</v>
      </c>
    </row>
    <row r="84">
      <c r="A84" s="12" t="s">
        <v>737</v>
      </c>
      <c r="B84" s="12" t="s">
        <v>54</v>
      </c>
      <c r="C84" s="14">
        <v>45894.0</v>
      </c>
      <c r="D84" s="12" t="s">
        <v>738</v>
      </c>
      <c r="E84" s="12" t="s">
        <v>739</v>
      </c>
      <c r="F84" s="12" t="s">
        <v>742</v>
      </c>
      <c r="BP84" s="12" t="s">
        <v>740</v>
      </c>
      <c r="BQ84" s="12" t="b">
        <v>0</v>
      </c>
      <c r="BS84" s="16" t="s">
        <v>1165</v>
      </c>
      <c r="BT84" s="12" t="b">
        <v>1</v>
      </c>
      <c r="BU84" s="12" t="s">
        <v>69</v>
      </c>
    </row>
    <row r="85">
      <c r="A85" s="12" t="s">
        <v>743</v>
      </c>
      <c r="B85" s="12" t="s">
        <v>54</v>
      </c>
      <c r="C85" s="14">
        <v>45894.0</v>
      </c>
      <c r="D85" s="12" t="s">
        <v>745</v>
      </c>
      <c r="E85" s="12" t="s">
        <v>746</v>
      </c>
      <c r="F85" s="12" t="s">
        <v>748</v>
      </c>
      <c r="BP85" s="12" t="s">
        <v>747</v>
      </c>
      <c r="BQ85" s="12" t="b">
        <v>0</v>
      </c>
      <c r="BS85" s="16" t="s">
        <v>1178</v>
      </c>
      <c r="BT85" s="12" t="b">
        <v>1</v>
      </c>
      <c r="BU85" s="12" t="s">
        <v>69</v>
      </c>
    </row>
    <row r="86">
      <c r="A86" s="12" t="s">
        <v>751</v>
      </c>
      <c r="B86" s="12" t="s">
        <v>54</v>
      </c>
      <c r="C86" s="14">
        <v>45894.0</v>
      </c>
      <c r="D86" s="12" t="s">
        <v>745</v>
      </c>
      <c r="E86" s="12" t="s">
        <v>746</v>
      </c>
      <c r="F86" s="12" t="s">
        <v>748</v>
      </c>
      <c r="BP86" s="12" t="s">
        <v>757</v>
      </c>
      <c r="BQ86" s="12" t="b">
        <v>0</v>
      </c>
      <c r="BS86" s="16" t="s">
        <v>1191</v>
      </c>
      <c r="BT86" s="12" t="b">
        <v>1</v>
      </c>
      <c r="BU86" s="12" t="s">
        <v>69</v>
      </c>
    </row>
    <row r="87">
      <c r="A87" s="12" t="s">
        <v>758</v>
      </c>
      <c r="B87" s="12" t="s">
        <v>54</v>
      </c>
      <c r="C87" s="14">
        <v>45894.0</v>
      </c>
      <c r="D87" s="12" t="s">
        <v>58</v>
      </c>
      <c r="E87" s="12" t="s">
        <v>760</v>
      </c>
      <c r="F87" s="12" t="s">
        <v>378</v>
      </c>
      <c r="BP87" s="12" t="s">
        <v>763</v>
      </c>
      <c r="BQ87" s="12" t="b">
        <v>0</v>
      </c>
      <c r="BS87" s="16" t="s">
        <v>1207</v>
      </c>
      <c r="BT87" s="12" t="b">
        <v>1</v>
      </c>
      <c r="BU87" s="12" t="s">
        <v>69</v>
      </c>
    </row>
    <row r="88">
      <c r="A88" s="12" t="s">
        <v>766</v>
      </c>
      <c r="B88" s="12" t="s">
        <v>54</v>
      </c>
      <c r="C88" s="14">
        <v>45894.0</v>
      </c>
      <c r="D88" s="12" t="s">
        <v>769</v>
      </c>
      <c r="E88" s="12" t="s">
        <v>770</v>
      </c>
      <c r="F88" s="12" t="s">
        <v>774</v>
      </c>
      <c r="BP88" s="12" t="s">
        <v>772</v>
      </c>
      <c r="BQ88" s="12" t="b">
        <v>0</v>
      </c>
      <c r="BS88" s="16" t="s">
        <v>1225</v>
      </c>
      <c r="BT88" s="12" t="b">
        <v>1</v>
      </c>
      <c r="BU88" s="12" t="s">
        <v>69</v>
      </c>
    </row>
    <row r="89">
      <c r="A89" s="12" t="s">
        <v>777</v>
      </c>
      <c r="B89" s="12" t="s">
        <v>54</v>
      </c>
      <c r="C89" s="14">
        <v>45895.0</v>
      </c>
      <c r="D89" s="12" t="s">
        <v>470</v>
      </c>
      <c r="E89" s="12" t="s">
        <v>779</v>
      </c>
      <c r="F89" s="12" t="s">
        <v>268</v>
      </c>
      <c r="BP89" s="12" t="s">
        <v>780</v>
      </c>
      <c r="BQ89" s="12" t="b">
        <v>0</v>
      </c>
      <c r="BS89" s="16" t="s">
        <v>1242</v>
      </c>
      <c r="BT89" s="12" t="b">
        <v>1</v>
      </c>
      <c r="BU89" s="12" t="s">
        <v>69</v>
      </c>
    </row>
    <row r="90">
      <c r="A90" s="12" t="s">
        <v>782</v>
      </c>
      <c r="B90" s="12" t="s">
        <v>54</v>
      </c>
      <c r="C90" s="14">
        <v>45895.0</v>
      </c>
      <c r="D90" s="12" t="s">
        <v>784</v>
      </c>
      <c r="E90" s="12" t="s">
        <v>785</v>
      </c>
      <c r="F90" s="12" t="s">
        <v>715</v>
      </c>
      <c r="BP90" s="12" t="s">
        <v>787</v>
      </c>
      <c r="BQ90" s="12" t="b">
        <v>0</v>
      </c>
      <c r="BT90" s="12" t="b">
        <v>0</v>
      </c>
      <c r="BU90" s="12" t="s">
        <v>69</v>
      </c>
      <c r="BW90" s="12" t="s">
        <v>789</v>
      </c>
    </row>
    <row r="91">
      <c r="A91" s="12" t="s">
        <v>791</v>
      </c>
      <c r="B91" s="12" t="s">
        <v>54</v>
      </c>
      <c r="C91" s="14">
        <v>45895.0</v>
      </c>
      <c r="D91" s="12" t="s">
        <v>784</v>
      </c>
      <c r="E91" s="12" t="s">
        <v>785</v>
      </c>
      <c r="F91" s="12" t="s">
        <v>715</v>
      </c>
      <c r="BP91" s="12" t="s">
        <v>792</v>
      </c>
      <c r="BQ91" s="12" t="b">
        <v>0</v>
      </c>
      <c r="BT91" s="12" t="b">
        <v>0</v>
      </c>
      <c r="BU91" s="12" t="s">
        <v>69</v>
      </c>
      <c r="BW91" s="12" t="s">
        <v>794</v>
      </c>
    </row>
    <row r="92">
      <c r="A92" s="12" t="s">
        <v>795</v>
      </c>
      <c r="B92" s="12" t="s">
        <v>54</v>
      </c>
      <c r="C92" s="15">
        <v>45895.0</v>
      </c>
      <c r="D92" s="12" t="s">
        <v>784</v>
      </c>
      <c r="E92" s="12" t="s">
        <v>785</v>
      </c>
      <c r="F92" s="12" t="s">
        <v>715</v>
      </c>
      <c r="BP92" s="12" t="s">
        <v>798</v>
      </c>
      <c r="BQ92" s="12" t="b">
        <v>0</v>
      </c>
      <c r="BT92" s="12" t="b">
        <v>0</v>
      </c>
      <c r="BU92" s="12" t="s">
        <v>69</v>
      </c>
      <c r="BW92" s="12" t="s">
        <v>800</v>
      </c>
    </row>
    <row r="93">
      <c r="A93" s="16" t="s">
        <v>1281</v>
      </c>
      <c r="B93" s="12" t="s">
        <v>54</v>
      </c>
      <c r="C93" s="14">
        <v>45896.0</v>
      </c>
      <c r="D93" s="12" t="s">
        <v>324</v>
      </c>
      <c r="E93" s="12" t="s">
        <v>803</v>
      </c>
      <c r="F93" s="12" t="s">
        <v>733</v>
      </c>
      <c r="BP93" s="12" t="s">
        <v>805</v>
      </c>
      <c r="BQ93" s="12" t="b">
        <v>0</v>
      </c>
      <c r="BS93" s="16" t="s">
        <v>1288</v>
      </c>
      <c r="BT93" s="12" t="b">
        <v>1</v>
      </c>
      <c r="BU93" s="12" t="s">
        <v>69</v>
      </c>
    </row>
    <row r="94">
      <c r="A94" s="12" t="s">
        <v>806</v>
      </c>
      <c r="B94" s="12" t="s">
        <v>54</v>
      </c>
      <c r="C94" s="14">
        <v>45896.0</v>
      </c>
      <c r="D94" s="12" t="s">
        <v>324</v>
      </c>
      <c r="E94" s="12" t="s">
        <v>808</v>
      </c>
      <c r="F94" s="12" t="s">
        <v>328</v>
      </c>
      <c r="BP94" s="12" t="s">
        <v>809</v>
      </c>
      <c r="BQ94" s="12" t="b">
        <v>0</v>
      </c>
      <c r="BS94" s="16" t="s">
        <v>1299</v>
      </c>
      <c r="BT94" s="12" t="b">
        <v>1</v>
      </c>
      <c r="BU94" s="12" t="s">
        <v>69</v>
      </c>
    </row>
    <row r="95">
      <c r="A95" s="12" t="s">
        <v>811</v>
      </c>
      <c r="B95" s="12" t="s">
        <v>54</v>
      </c>
      <c r="C95" s="14">
        <v>45889.0</v>
      </c>
      <c r="D95" s="12" t="s">
        <v>784</v>
      </c>
      <c r="E95" s="12" t="s">
        <v>815</v>
      </c>
      <c r="F95" s="12" t="s">
        <v>715</v>
      </c>
      <c r="BP95" s="12" t="s">
        <v>817</v>
      </c>
      <c r="BQ95" s="12" t="b">
        <v>0</v>
      </c>
      <c r="BT95" s="12" t="b">
        <v>0</v>
      </c>
      <c r="BU95" s="12" t="s">
        <v>69</v>
      </c>
      <c r="BW95" s="12" t="s">
        <v>821</v>
      </c>
    </row>
    <row r="96">
      <c r="A96" s="12" t="s">
        <v>822</v>
      </c>
      <c r="B96" s="12" t="s">
        <v>54</v>
      </c>
      <c r="C96" s="14">
        <v>45898.0</v>
      </c>
      <c r="D96" s="12" t="s">
        <v>220</v>
      </c>
      <c r="E96" s="12" t="s">
        <v>824</v>
      </c>
      <c r="F96" s="12" t="s">
        <v>826</v>
      </c>
      <c r="BP96" s="12" t="s">
        <v>825</v>
      </c>
      <c r="BQ96" s="12" t="b">
        <v>0</v>
      </c>
      <c r="BS96" s="16" t="s">
        <v>1320</v>
      </c>
      <c r="BT96" s="12" t="b">
        <v>1</v>
      </c>
      <c r="BU96" s="12" t="s">
        <v>69</v>
      </c>
    </row>
    <row r="97">
      <c r="A97" s="12" t="s">
        <v>829</v>
      </c>
      <c r="B97" s="12" t="s">
        <v>54</v>
      </c>
      <c r="C97" s="14">
        <v>45895.0</v>
      </c>
      <c r="D97" s="12" t="s">
        <v>355</v>
      </c>
      <c r="E97" s="12" t="s">
        <v>830</v>
      </c>
      <c r="F97" s="12" t="s">
        <v>835</v>
      </c>
      <c r="BP97" s="12" t="s">
        <v>832</v>
      </c>
      <c r="BQ97" s="12" t="b">
        <v>0</v>
      </c>
      <c r="BS97" s="16" t="s">
        <v>1328</v>
      </c>
      <c r="BT97" s="12" t="b">
        <v>1</v>
      </c>
      <c r="BU97" s="12" t="s">
        <v>69</v>
      </c>
    </row>
    <row r="98">
      <c r="A98" s="12" t="s">
        <v>837</v>
      </c>
      <c r="B98" s="12" t="s">
        <v>54</v>
      </c>
      <c r="C98" s="14">
        <v>45898.0</v>
      </c>
      <c r="D98" s="12" t="s">
        <v>838</v>
      </c>
      <c r="E98" s="12" t="s">
        <v>839</v>
      </c>
      <c r="F98" s="12" t="s">
        <v>842</v>
      </c>
      <c r="BP98" s="12" t="s">
        <v>841</v>
      </c>
      <c r="BQ98" s="12" t="b">
        <v>0</v>
      </c>
      <c r="BS98" s="16" t="s">
        <v>1334</v>
      </c>
      <c r="BT98" s="12" t="b">
        <v>1</v>
      </c>
      <c r="BU98" s="12" t="s">
        <v>69</v>
      </c>
    </row>
    <row r="99">
      <c r="A99" s="12" t="s">
        <v>845</v>
      </c>
      <c r="B99" s="12" t="s">
        <v>54</v>
      </c>
      <c r="C99" s="14">
        <v>45901.0</v>
      </c>
      <c r="D99" s="12" t="s">
        <v>375</v>
      </c>
      <c r="E99" s="12" t="s">
        <v>849</v>
      </c>
      <c r="F99" s="12" t="s">
        <v>853</v>
      </c>
      <c r="BP99" s="12" t="s">
        <v>851</v>
      </c>
      <c r="BQ99" s="12" t="b">
        <v>0</v>
      </c>
      <c r="BS99" s="16" t="s">
        <v>1341</v>
      </c>
      <c r="BT99" s="12" t="b">
        <v>1</v>
      </c>
      <c r="BU99" s="12" t="s">
        <v>69</v>
      </c>
    </row>
    <row r="100">
      <c r="A100" s="12" t="s">
        <v>855</v>
      </c>
      <c r="B100" s="12" t="s">
        <v>54</v>
      </c>
      <c r="C100" s="14">
        <v>45901.0</v>
      </c>
      <c r="D100" s="12" t="s">
        <v>109</v>
      </c>
      <c r="E100" s="12" t="s">
        <v>856</v>
      </c>
      <c r="F100" s="12" t="s">
        <v>859</v>
      </c>
      <c r="BP100" s="12" t="s">
        <v>858</v>
      </c>
      <c r="BQ100" s="12" t="b">
        <v>0</v>
      </c>
      <c r="BS100" s="16" t="s">
        <v>1353</v>
      </c>
      <c r="BT100" s="12" t="b">
        <v>1</v>
      </c>
      <c r="BU100" s="12" t="s">
        <v>69</v>
      </c>
    </row>
    <row r="101">
      <c r="A101" s="12" t="s">
        <v>862</v>
      </c>
      <c r="B101" s="12" t="s">
        <v>54</v>
      </c>
      <c r="C101" s="14">
        <v>45902.0</v>
      </c>
      <c r="D101" s="12" t="s">
        <v>461</v>
      </c>
      <c r="E101" s="12" t="s">
        <v>865</v>
      </c>
      <c r="F101" s="12" t="s">
        <v>868</v>
      </c>
      <c r="BP101" s="12" t="s">
        <v>866</v>
      </c>
      <c r="BQ101" s="12" t="b">
        <v>0</v>
      </c>
      <c r="BS101" s="16" t="s">
        <v>1363</v>
      </c>
      <c r="BT101" s="12" t="b">
        <v>1</v>
      </c>
      <c r="BU101" s="12" t="s">
        <v>69</v>
      </c>
    </row>
    <row r="102">
      <c r="A102" s="12" t="s">
        <v>869</v>
      </c>
      <c r="B102" s="12" t="s">
        <v>54</v>
      </c>
      <c r="C102" s="15">
        <v>45904.0</v>
      </c>
      <c r="D102" s="12" t="s">
        <v>109</v>
      </c>
      <c r="E102" s="12" t="s">
        <v>873</v>
      </c>
      <c r="F102" s="12" t="s">
        <v>859</v>
      </c>
      <c r="BP102" s="12" t="s">
        <v>875</v>
      </c>
      <c r="BQ102" s="12" t="b">
        <v>0</v>
      </c>
      <c r="BS102" s="16" t="s">
        <v>1376</v>
      </c>
      <c r="BT102" s="12" t="b">
        <v>1</v>
      </c>
      <c r="BU102" s="12" t="s">
        <v>69</v>
      </c>
    </row>
    <row r="103">
      <c r="A103" s="12" t="s">
        <v>876</v>
      </c>
      <c r="B103" s="12" t="s">
        <v>54</v>
      </c>
      <c r="C103" s="14">
        <v>45899.0</v>
      </c>
      <c r="D103" s="12" t="s">
        <v>182</v>
      </c>
      <c r="E103" s="12" t="s">
        <v>878</v>
      </c>
      <c r="F103" s="12" t="s">
        <v>880</v>
      </c>
      <c r="BP103" s="12" t="s">
        <v>879</v>
      </c>
      <c r="BQ103" s="12" t="b">
        <v>0</v>
      </c>
      <c r="BS103" s="16" t="s">
        <v>1387</v>
      </c>
      <c r="BT103" s="12" t="b">
        <v>1</v>
      </c>
      <c r="BU103" s="12" t="s">
        <v>69</v>
      </c>
    </row>
    <row r="104">
      <c r="A104" s="12" t="s">
        <v>883</v>
      </c>
      <c r="B104" s="12" t="s">
        <v>54</v>
      </c>
      <c r="C104" s="14">
        <v>45902.0</v>
      </c>
      <c r="D104" s="12" t="s">
        <v>156</v>
      </c>
      <c r="E104" s="12" t="s">
        <v>885</v>
      </c>
      <c r="F104" s="12" t="s">
        <v>293</v>
      </c>
      <c r="BP104" s="12" t="s">
        <v>886</v>
      </c>
      <c r="BQ104" s="12" t="b">
        <v>0</v>
      </c>
      <c r="BT104" s="12" t="b">
        <v>0</v>
      </c>
      <c r="BU104" s="12" t="s">
        <v>69</v>
      </c>
      <c r="BW104" s="12" t="s">
        <v>888</v>
      </c>
      <c r="BX104" s="12" t="s">
        <v>889</v>
      </c>
      <c r="BY104" s="12" t="s">
        <v>891</v>
      </c>
    </row>
    <row r="105">
      <c r="A105" s="12" t="s">
        <v>892</v>
      </c>
      <c r="B105" s="12" t="s">
        <v>54</v>
      </c>
      <c r="C105" s="14">
        <v>45902.0</v>
      </c>
      <c r="D105" s="12" t="s">
        <v>156</v>
      </c>
      <c r="E105" s="12" t="s">
        <v>885</v>
      </c>
      <c r="F105" s="12" t="s">
        <v>293</v>
      </c>
      <c r="BP105" s="12" t="s">
        <v>894</v>
      </c>
      <c r="BQ105" s="12" t="b">
        <v>0</v>
      </c>
      <c r="BT105" s="12" t="b">
        <v>0</v>
      </c>
      <c r="BU105" s="12" t="s">
        <v>69</v>
      </c>
      <c r="BW105" s="12" t="s">
        <v>896</v>
      </c>
    </row>
    <row r="106">
      <c r="A106" s="16" t="s">
        <v>1422</v>
      </c>
      <c r="B106" s="12" t="s">
        <v>54</v>
      </c>
      <c r="C106" s="14">
        <v>45906.0</v>
      </c>
      <c r="D106" s="12" t="s">
        <v>182</v>
      </c>
      <c r="E106" s="12" t="s">
        <v>900</v>
      </c>
      <c r="F106" s="12" t="s">
        <v>902</v>
      </c>
      <c r="BP106" s="12" t="s">
        <v>901</v>
      </c>
      <c r="BQ106" s="12" t="b">
        <v>0</v>
      </c>
      <c r="BS106" s="16" t="s">
        <v>1428</v>
      </c>
      <c r="BT106" s="12" t="b">
        <v>1</v>
      </c>
      <c r="BU106" s="12" t="s">
        <v>69</v>
      </c>
    </row>
    <row r="107">
      <c r="A107" s="12" t="s">
        <v>903</v>
      </c>
      <c r="B107" s="12" t="s">
        <v>54</v>
      </c>
      <c r="C107" s="14">
        <v>45909.0</v>
      </c>
      <c r="D107" s="12" t="s">
        <v>418</v>
      </c>
      <c r="E107" s="12" t="s">
        <v>905</v>
      </c>
      <c r="F107" s="12" t="s">
        <v>907</v>
      </c>
      <c r="BP107" s="12" t="s">
        <v>906</v>
      </c>
      <c r="BQ107" s="12" t="b">
        <v>0</v>
      </c>
      <c r="BT107" s="12" t="b">
        <v>0</v>
      </c>
      <c r="BU107" s="12" t="s">
        <v>69</v>
      </c>
    </row>
    <row r="108">
      <c r="A108" s="12" t="s">
        <v>910</v>
      </c>
      <c r="B108" s="12" t="s">
        <v>54</v>
      </c>
      <c r="C108" s="14">
        <v>45904.0</v>
      </c>
      <c r="D108" s="12" t="s">
        <v>912</v>
      </c>
      <c r="E108" s="12" t="s">
        <v>913</v>
      </c>
      <c r="F108" s="12" t="s">
        <v>254</v>
      </c>
      <c r="BP108" s="12" t="s">
        <v>914</v>
      </c>
      <c r="BQ108" s="12" t="b">
        <v>0</v>
      </c>
      <c r="BT108" s="12" t="b">
        <v>0</v>
      </c>
      <c r="BU108" s="12" t="s">
        <v>69</v>
      </c>
      <c r="BW108" s="12"/>
      <c r="BX108" s="12"/>
    </row>
    <row r="109">
      <c r="A109" s="12" t="s">
        <v>917</v>
      </c>
      <c r="B109" s="12" t="s">
        <v>54</v>
      </c>
      <c r="C109" s="14">
        <v>45908.0</v>
      </c>
      <c r="D109" s="12" t="s">
        <v>683</v>
      </c>
      <c r="E109" s="12" t="s">
        <v>920</v>
      </c>
      <c r="F109" s="12" t="s">
        <v>859</v>
      </c>
      <c r="BP109" s="12" t="s">
        <v>921</v>
      </c>
      <c r="BQ109" s="12" t="b">
        <v>0</v>
      </c>
      <c r="BS109" s="16" t="s">
        <v>1461</v>
      </c>
      <c r="BT109" s="12" t="b">
        <v>1</v>
      </c>
      <c r="BU109" s="12" t="s">
        <v>69</v>
      </c>
    </row>
    <row r="110">
      <c r="A110" s="12" t="s">
        <v>926</v>
      </c>
      <c r="B110" s="12" t="s">
        <v>54</v>
      </c>
      <c r="C110" s="14">
        <v>45909.0</v>
      </c>
      <c r="D110" s="12" t="s">
        <v>441</v>
      </c>
      <c r="E110" s="12" t="s">
        <v>929</v>
      </c>
      <c r="F110" s="12" t="s">
        <v>932</v>
      </c>
      <c r="BP110" s="12" t="s">
        <v>931</v>
      </c>
      <c r="BQ110" s="12" t="b">
        <v>0</v>
      </c>
      <c r="BS110" s="16" t="s">
        <v>1473</v>
      </c>
      <c r="BT110" s="12" t="b">
        <v>1</v>
      </c>
      <c r="BU110" s="12" t="s">
        <v>69</v>
      </c>
    </row>
    <row r="111">
      <c r="A111" s="12" t="s">
        <v>935</v>
      </c>
      <c r="B111" s="12" t="s">
        <v>54</v>
      </c>
      <c r="C111" s="14">
        <v>45910.0</v>
      </c>
      <c r="D111" s="12" t="s">
        <v>938</v>
      </c>
      <c r="E111" s="12" t="s">
        <v>939</v>
      </c>
      <c r="F111" s="12" t="s">
        <v>941</v>
      </c>
      <c r="BP111" s="12" t="s">
        <v>940</v>
      </c>
      <c r="BQ111" s="12" t="b">
        <v>0</v>
      </c>
      <c r="BS111" s="16" t="s">
        <v>1490</v>
      </c>
      <c r="BT111" s="12" t="b">
        <v>1</v>
      </c>
      <c r="BU111" s="12" t="s">
        <v>69</v>
      </c>
    </row>
    <row r="112">
      <c r="A112" s="12" t="s">
        <v>945</v>
      </c>
      <c r="B112" s="12" t="s">
        <v>54</v>
      </c>
      <c r="C112" s="14">
        <v>45900.0</v>
      </c>
      <c r="D112" s="12" t="s">
        <v>77</v>
      </c>
      <c r="E112" s="12" t="s">
        <v>947</v>
      </c>
      <c r="F112" s="12" t="s">
        <v>950</v>
      </c>
      <c r="BP112" s="12" t="s">
        <v>948</v>
      </c>
      <c r="BQ112" s="12" t="b">
        <v>0</v>
      </c>
      <c r="BS112" s="16" t="s">
        <v>1502</v>
      </c>
      <c r="BT112" s="12" t="b">
        <v>1</v>
      </c>
      <c r="BU112" s="12" t="s">
        <v>69</v>
      </c>
    </row>
    <row r="113">
      <c r="A113" s="12" t="s">
        <v>952</v>
      </c>
      <c r="B113" s="12" t="s">
        <v>54</v>
      </c>
      <c r="C113" s="14">
        <v>45905.0</v>
      </c>
      <c r="D113" s="12" t="s">
        <v>220</v>
      </c>
      <c r="E113" s="12" t="s">
        <v>953</v>
      </c>
      <c r="F113" s="12" t="s">
        <v>268</v>
      </c>
      <c r="BP113" s="12" t="s">
        <v>954</v>
      </c>
      <c r="BQ113" s="12" t="b">
        <v>0</v>
      </c>
      <c r="BS113" s="16" t="s">
        <v>1512</v>
      </c>
      <c r="BT113" s="12" t="b">
        <v>1</v>
      </c>
      <c r="BU113" s="12" t="s">
        <v>69</v>
      </c>
    </row>
    <row r="114">
      <c r="A114" s="12" t="s">
        <v>958</v>
      </c>
      <c r="B114" s="12" t="s">
        <v>54</v>
      </c>
      <c r="C114" s="14">
        <v>45901.0</v>
      </c>
      <c r="D114" s="12" t="s">
        <v>220</v>
      </c>
      <c r="E114" s="12" t="s">
        <v>961</v>
      </c>
      <c r="F114" s="12" t="s">
        <v>268</v>
      </c>
      <c r="BP114" s="12" t="s">
        <v>962</v>
      </c>
      <c r="BQ114" s="12" t="b">
        <v>0</v>
      </c>
      <c r="BS114" s="16" t="s">
        <v>1523</v>
      </c>
      <c r="BT114" s="12" t="b">
        <v>1</v>
      </c>
      <c r="BU114" s="12" t="s">
        <v>69</v>
      </c>
    </row>
    <row r="115">
      <c r="A115" s="16" t="s">
        <v>1525</v>
      </c>
      <c r="B115" s="12" t="s">
        <v>54</v>
      </c>
      <c r="C115" s="14">
        <v>45907.0</v>
      </c>
      <c r="D115" s="12" t="s">
        <v>77</v>
      </c>
      <c r="E115" s="12" t="s">
        <v>965</v>
      </c>
      <c r="F115" s="12" t="s">
        <v>967</v>
      </c>
      <c r="BP115" s="12" t="s">
        <v>966</v>
      </c>
      <c r="BQ115" s="12" t="b">
        <v>0</v>
      </c>
      <c r="BS115" s="16" t="s">
        <v>1534</v>
      </c>
      <c r="BT115" s="12" t="b">
        <v>1</v>
      </c>
      <c r="BU115" s="12" t="s">
        <v>69</v>
      </c>
    </row>
    <row r="116">
      <c r="A116" s="12" t="s">
        <v>971</v>
      </c>
      <c r="B116" s="12" t="s">
        <v>54</v>
      </c>
      <c r="C116" s="14">
        <v>45909.0</v>
      </c>
      <c r="D116" s="12" t="s">
        <v>220</v>
      </c>
      <c r="E116" s="12" t="s">
        <v>973</v>
      </c>
      <c r="F116" s="12" t="s">
        <v>268</v>
      </c>
      <c r="BP116" s="12" t="s">
        <v>974</v>
      </c>
      <c r="BQ116" s="12" t="b">
        <v>0</v>
      </c>
      <c r="BS116" s="16" t="s">
        <v>1545</v>
      </c>
      <c r="BT116" s="12" t="b">
        <v>1</v>
      </c>
      <c r="BU116" s="12" t="s">
        <v>69</v>
      </c>
    </row>
    <row r="117">
      <c r="A117" s="12" t="s">
        <v>978</v>
      </c>
      <c r="B117" s="12" t="s">
        <v>54</v>
      </c>
      <c r="C117" s="14">
        <v>45911.0</v>
      </c>
      <c r="D117" s="12" t="s">
        <v>375</v>
      </c>
      <c r="E117" s="12" t="s">
        <v>981</v>
      </c>
      <c r="F117" s="12" t="s">
        <v>153</v>
      </c>
      <c r="BP117" s="12" t="s">
        <v>982</v>
      </c>
      <c r="BQ117" s="12" t="b">
        <v>0</v>
      </c>
      <c r="BS117" s="16" t="s">
        <v>1556</v>
      </c>
      <c r="BT117" s="12" t="b">
        <v>1</v>
      </c>
      <c r="BU117" s="12" t="s">
        <v>69</v>
      </c>
    </row>
    <row r="118">
      <c r="A118" s="12" t="s">
        <v>986</v>
      </c>
      <c r="B118" s="12" t="s">
        <v>54</v>
      </c>
      <c r="C118" s="14">
        <v>45911.0</v>
      </c>
      <c r="D118" s="12" t="s">
        <v>220</v>
      </c>
      <c r="E118" s="12" t="s">
        <v>989</v>
      </c>
      <c r="F118" s="12" t="s">
        <v>268</v>
      </c>
      <c r="BP118" s="12" t="s">
        <v>990</v>
      </c>
      <c r="BQ118" s="12" t="b">
        <v>0</v>
      </c>
      <c r="BS118" s="16" t="s">
        <v>1564</v>
      </c>
      <c r="BT118" s="12" t="b">
        <v>1</v>
      </c>
      <c r="BU118" s="12" t="s">
        <v>69</v>
      </c>
    </row>
    <row r="119">
      <c r="A119" s="12" t="s">
        <v>993</v>
      </c>
      <c r="B119" s="12" t="s">
        <v>54</v>
      </c>
      <c r="C119" s="14">
        <v>45912.0</v>
      </c>
      <c r="D119" s="12" t="s">
        <v>470</v>
      </c>
      <c r="E119" s="12" t="s">
        <v>995</v>
      </c>
      <c r="F119" s="12" t="s">
        <v>1000</v>
      </c>
      <c r="BP119" s="12" t="s">
        <v>997</v>
      </c>
      <c r="BQ119" s="12" t="b">
        <v>0</v>
      </c>
      <c r="BS119" s="16" t="s">
        <v>1571</v>
      </c>
      <c r="BT119" s="12" t="b">
        <v>1</v>
      </c>
      <c r="BU119" s="12" t="s">
        <v>69</v>
      </c>
    </row>
    <row r="120">
      <c r="A120" s="12" t="s">
        <v>1002</v>
      </c>
      <c r="B120" s="12" t="s">
        <v>54</v>
      </c>
      <c r="C120" s="14">
        <v>45912.0</v>
      </c>
      <c r="D120" s="12" t="s">
        <v>355</v>
      </c>
      <c r="E120" s="12" t="s">
        <v>1004</v>
      </c>
      <c r="F120" s="12" t="s">
        <v>1006</v>
      </c>
      <c r="BP120" s="12" t="s">
        <v>1005</v>
      </c>
      <c r="BQ120" s="12" t="b">
        <v>0</v>
      </c>
      <c r="BS120" s="16" t="s">
        <v>1579</v>
      </c>
      <c r="BT120" s="12" t="b">
        <v>1</v>
      </c>
      <c r="BU120" s="12" t="s">
        <v>69</v>
      </c>
    </row>
    <row r="121">
      <c r="A121" s="12" t="s">
        <v>1009</v>
      </c>
      <c r="B121" s="12" t="s">
        <v>54</v>
      </c>
      <c r="C121" s="14">
        <v>45912.0</v>
      </c>
      <c r="D121" s="12" t="s">
        <v>182</v>
      </c>
      <c r="E121" s="12" t="s">
        <v>1012</v>
      </c>
      <c r="F121" s="12" t="s">
        <v>82</v>
      </c>
      <c r="BP121" s="12" t="s">
        <v>1013</v>
      </c>
      <c r="BQ121" s="12" t="b">
        <v>0</v>
      </c>
      <c r="BS121" s="16" t="s">
        <v>1585</v>
      </c>
      <c r="BT121" s="12" t="b">
        <v>1</v>
      </c>
      <c r="BU121" s="12" t="s">
        <v>69</v>
      </c>
    </row>
    <row r="122">
      <c r="A122" s="12" t="s">
        <v>1016</v>
      </c>
      <c r="B122" s="12" t="s">
        <v>54</v>
      </c>
      <c r="C122" s="14">
        <v>45913.0</v>
      </c>
      <c r="D122" s="12" t="s">
        <v>182</v>
      </c>
      <c r="E122" s="12" t="s">
        <v>1018</v>
      </c>
      <c r="F122" s="12" t="s">
        <v>1021</v>
      </c>
      <c r="BP122" s="12" t="s">
        <v>1020</v>
      </c>
      <c r="BQ122" s="12" t="b">
        <v>0</v>
      </c>
      <c r="BS122" s="16" t="s">
        <v>1591</v>
      </c>
      <c r="BT122" s="12" t="b">
        <v>1</v>
      </c>
      <c r="BU122" s="12" t="s">
        <v>69</v>
      </c>
    </row>
    <row r="123">
      <c r="A123" s="12" t="s">
        <v>1024</v>
      </c>
      <c r="B123" s="12" t="s">
        <v>54</v>
      </c>
      <c r="C123" s="14">
        <v>45914.0</v>
      </c>
      <c r="D123" s="12" t="s">
        <v>182</v>
      </c>
      <c r="E123" s="12" t="s">
        <v>1027</v>
      </c>
      <c r="F123" s="12" t="s">
        <v>457</v>
      </c>
      <c r="BP123" s="12" t="s">
        <v>1030</v>
      </c>
      <c r="BQ123" s="12" t="b">
        <v>0</v>
      </c>
      <c r="BS123" s="16" t="s">
        <v>1598</v>
      </c>
      <c r="BT123" s="12" t="b">
        <v>1</v>
      </c>
      <c r="BU123" s="12" t="s">
        <v>69</v>
      </c>
    </row>
    <row r="124">
      <c r="A124" s="12" t="s">
        <v>1032</v>
      </c>
      <c r="B124" s="12" t="s">
        <v>54</v>
      </c>
      <c r="C124" s="14">
        <v>45912.0</v>
      </c>
      <c r="D124" s="12" t="s">
        <v>683</v>
      </c>
      <c r="E124" s="12" t="s">
        <v>1034</v>
      </c>
      <c r="F124" s="12" t="s">
        <v>1037</v>
      </c>
      <c r="BP124" s="12" t="s">
        <v>1036</v>
      </c>
      <c r="BQ124" s="12" t="b">
        <v>0</v>
      </c>
      <c r="BS124" s="16" t="s">
        <v>1606</v>
      </c>
      <c r="BT124" s="12" t="b">
        <v>1</v>
      </c>
      <c r="BU124" s="12" t="s">
        <v>69</v>
      </c>
    </row>
    <row r="125">
      <c r="A125" s="12" t="s">
        <v>1041</v>
      </c>
      <c r="B125" s="12" t="s">
        <v>54</v>
      </c>
      <c r="C125" s="14">
        <v>45911.0</v>
      </c>
      <c r="D125" s="12" t="s">
        <v>1043</v>
      </c>
      <c r="E125" s="12" t="s">
        <v>1044</v>
      </c>
      <c r="F125" s="12" t="s">
        <v>859</v>
      </c>
      <c r="BP125" s="12" t="s">
        <v>1045</v>
      </c>
      <c r="BQ125" s="12" t="b">
        <v>0</v>
      </c>
      <c r="BS125" s="16" t="s">
        <v>1613</v>
      </c>
      <c r="BT125" s="12" t="b">
        <v>1</v>
      </c>
      <c r="BU125" s="12" t="s">
        <v>69</v>
      </c>
    </row>
    <row r="126">
      <c r="A126" s="12" t="s">
        <v>1048</v>
      </c>
      <c r="B126" s="12" t="s">
        <v>54</v>
      </c>
      <c r="C126" s="14">
        <v>45915.0</v>
      </c>
      <c r="D126" s="12" t="s">
        <v>220</v>
      </c>
      <c r="E126" s="12" t="s">
        <v>1051</v>
      </c>
      <c r="F126" s="12" t="s">
        <v>1054</v>
      </c>
      <c r="BP126" s="12" t="s">
        <v>1052</v>
      </c>
      <c r="BQ126" s="12" t="b">
        <v>0</v>
      </c>
      <c r="BS126" s="16" t="s">
        <v>1620</v>
      </c>
      <c r="BT126" s="12" t="b">
        <v>1</v>
      </c>
      <c r="BU126" s="12" t="s">
        <v>69</v>
      </c>
    </row>
    <row r="127">
      <c r="A127" s="12" t="s">
        <v>1057</v>
      </c>
      <c r="B127" s="12" t="s">
        <v>54</v>
      </c>
      <c r="C127" s="14">
        <v>45915.0</v>
      </c>
      <c r="D127" s="12" t="s">
        <v>156</v>
      </c>
      <c r="E127" s="12" t="s">
        <v>1059</v>
      </c>
      <c r="F127" s="12" t="s">
        <v>254</v>
      </c>
      <c r="BP127" s="12" t="s">
        <v>1060</v>
      </c>
      <c r="BQ127" s="12" t="b">
        <v>0</v>
      </c>
      <c r="BT127" s="12" t="b">
        <v>0</v>
      </c>
      <c r="BU127" s="12" t="s">
        <v>69</v>
      </c>
    </row>
    <row r="128">
      <c r="A128" s="12" t="s">
        <v>1061</v>
      </c>
      <c r="B128" s="12" t="s">
        <v>54</v>
      </c>
      <c r="C128" s="14">
        <v>45916.0</v>
      </c>
      <c r="D128" s="12" t="s">
        <v>784</v>
      </c>
      <c r="E128" s="12" t="s">
        <v>1064</v>
      </c>
      <c r="F128" s="12" t="s">
        <v>715</v>
      </c>
      <c r="BP128" s="12" t="s">
        <v>1066</v>
      </c>
      <c r="BQ128" s="12" t="b">
        <v>0</v>
      </c>
      <c r="BT128" s="12" t="b">
        <v>0</v>
      </c>
      <c r="BU128" s="12" t="s">
        <v>69</v>
      </c>
    </row>
    <row r="129">
      <c r="A129" s="12" t="s">
        <v>1071</v>
      </c>
      <c r="B129" s="12" t="s">
        <v>54</v>
      </c>
      <c r="C129" s="14">
        <v>45916.0</v>
      </c>
      <c r="D129" s="12" t="s">
        <v>784</v>
      </c>
      <c r="E129" s="12" t="s">
        <v>1064</v>
      </c>
      <c r="F129" s="12" t="s">
        <v>715</v>
      </c>
      <c r="BP129" s="12" t="s">
        <v>1072</v>
      </c>
      <c r="BQ129" s="12" t="b">
        <v>0</v>
      </c>
      <c r="BT129" s="12" t="b">
        <v>0</v>
      </c>
      <c r="BU129" s="12" t="s">
        <v>69</v>
      </c>
    </row>
    <row r="130">
      <c r="A130" s="12" t="s">
        <v>1075</v>
      </c>
      <c r="B130" s="12" t="s">
        <v>54</v>
      </c>
      <c r="C130" s="14">
        <v>45916.0</v>
      </c>
      <c r="D130" s="12" t="s">
        <v>156</v>
      </c>
      <c r="E130" s="12" t="s">
        <v>1080</v>
      </c>
      <c r="F130" s="12" t="s">
        <v>1083</v>
      </c>
      <c r="BP130" s="12" t="s">
        <v>1081</v>
      </c>
      <c r="BQ130" s="12" t="b">
        <v>0</v>
      </c>
      <c r="BT130" s="12" t="b">
        <v>0</v>
      </c>
      <c r="BU130" s="12" t="s">
        <v>621</v>
      </c>
    </row>
    <row r="131">
      <c r="A131" s="12" t="s">
        <v>1085</v>
      </c>
      <c r="B131" s="12" t="s">
        <v>54</v>
      </c>
      <c r="C131" s="14">
        <v>45916.0</v>
      </c>
      <c r="D131" s="12" t="s">
        <v>156</v>
      </c>
      <c r="E131" s="12" t="s">
        <v>1087</v>
      </c>
      <c r="F131" s="12" t="s">
        <v>1090</v>
      </c>
      <c r="BP131" s="12" t="s">
        <v>1089</v>
      </c>
      <c r="BQ131" s="12" t="b">
        <v>0</v>
      </c>
      <c r="BT131" s="12" t="b">
        <v>0</v>
      </c>
      <c r="BU131" s="12" t="s">
        <v>621</v>
      </c>
      <c r="BW131" s="12" t="s">
        <v>1093</v>
      </c>
      <c r="BX131" s="12" t="s">
        <v>1097</v>
      </c>
    </row>
    <row r="132">
      <c r="A132" s="12" t="s">
        <v>1100</v>
      </c>
      <c r="B132" s="12" t="s">
        <v>54</v>
      </c>
      <c r="C132" s="14">
        <v>45918.0</v>
      </c>
      <c r="D132" s="12" t="s">
        <v>1103</v>
      </c>
      <c r="E132" s="12" t="s">
        <v>1104</v>
      </c>
      <c r="F132" s="12" t="s">
        <v>1106</v>
      </c>
      <c r="BP132" s="12" t="s">
        <v>1105</v>
      </c>
      <c r="BQ132" s="12" t="b">
        <v>0</v>
      </c>
      <c r="BS132" s="16" t="s">
        <v>1652</v>
      </c>
      <c r="BT132" s="12" t="b">
        <v>1</v>
      </c>
      <c r="BU132" s="12" t="s">
        <v>69</v>
      </c>
    </row>
    <row r="133">
      <c r="A133" s="12" t="s">
        <v>1110</v>
      </c>
      <c r="B133" s="12" t="s">
        <v>54</v>
      </c>
      <c r="C133" s="14">
        <v>45918.0</v>
      </c>
      <c r="D133" s="12" t="s">
        <v>324</v>
      </c>
      <c r="E133" s="12" t="s">
        <v>1114</v>
      </c>
      <c r="F133" s="12" t="s">
        <v>1117</v>
      </c>
      <c r="BP133" s="12" t="s">
        <v>1115</v>
      </c>
      <c r="BQ133" s="12" t="b">
        <v>0</v>
      </c>
      <c r="BS133" s="16" t="s">
        <v>1656</v>
      </c>
      <c r="BT133" s="12" t="b">
        <v>1</v>
      </c>
      <c r="BU133" s="12" t="s">
        <v>69</v>
      </c>
    </row>
    <row r="134">
      <c r="A134" s="12" t="s">
        <v>1120</v>
      </c>
      <c r="B134" s="12" t="s">
        <v>54</v>
      </c>
      <c r="C134" s="14">
        <v>45918.0</v>
      </c>
      <c r="D134" s="12" t="s">
        <v>324</v>
      </c>
      <c r="E134" s="12" t="s">
        <v>1124</v>
      </c>
      <c r="F134" s="12" t="s">
        <v>328</v>
      </c>
      <c r="BP134" s="12" t="s">
        <v>1126</v>
      </c>
      <c r="BQ134" s="12" t="b">
        <v>0</v>
      </c>
      <c r="BS134" s="16" t="s">
        <v>1663</v>
      </c>
      <c r="BT134" s="12" t="b">
        <v>1</v>
      </c>
      <c r="BU134" s="12" t="s">
        <v>69</v>
      </c>
    </row>
    <row r="135">
      <c r="A135" s="12" t="s">
        <v>1131</v>
      </c>
      <c r="B135" s="12" t="s">
        <v>54</v>
      </c>
      <c r="C135" s="14">
        <v>45918.0</v>
      </c>
      <c r="D135" s="12" t="s">
        <v>1043</v>
      </c>
      <c r="E135" s="12" t="s">
        <v>1134</v>
      </c>
      <c r="F135" s="12" t="s">
        <v>859</v>
      </c>
      <c r="BP135" s="12" t="s">
        <v>1135</v>
      </c>
      <c r="BQ135" s="12" t="b">
        <v>0</v>
      </c>
      <c r="BS135" s="16" t="s">
        <v>1669</v>
      </c>
      <c r="BT135" s="12" t="b">
        <v>1</v>
      </c>
      <c r="BU135" s="12" t="s">
        <v>69</v>
      </c>
    </row>
    <row r="136">
      <c r="A136" s="12" t="s">
        <v>1137</v>
      </c>
      <c r="B136" s="12" t="s">
        <v>54</v>
      </c>
      <c r="C136" s="14">
        <v>45919.0</v>
      </c>
      <c r="D136" s="12" t="s">
        <v>461</v>
      </c>
      <c r="E136" s="12" t="s">
        <v>1140</v>
      </c>
      <c r="F136" s="12" t="s">
        <v>1143</v>
      </c>
      <c r="BP136" s="12" t="s">
        <v>1141</v>
      </c>
      <c r="BQ136" s="12" t="b">
        <v>0</v>
      </c>
      <c r="BS136" s="16" t="s">
        <v>1673</v>
      </c>
      <c r="BT136" s="12" t="b">
        <v>1</v>
      </c>
      <c r="BU136" s="12" t="s">
        <v>69</v>
      </c>
    </row>
    <row r="137">
      <c r="A137" s="12" t="s">
        <v>1145</v>
      </c>
      <c r="B137" s="12" t="s">
        <v>54</v>
      </c>
      <c r="C137" s="14">
        <v>45918.0</v>
      </c>
      <c r="D137" s="12" t="s">
        <v>220</v>
      </c>
      <c r="E137" s="12" t="s">
        <v>1148</v>
      </c>
      <c r="F137" s="12" t="s">
        <v>186</v>
      </c>
      <c r="BP137" s="12" t="s">
        <v>1150</v>
      </c>
      <c r="BQ137" s="12" t="b">
        <v>0</v>
      </c>
      <c r="BS137" s="16" t="s">
        <v>1677</v>
      </c>
      <c r="BT137" s="12" t="b">
        <v>1</v>
      </c>
      <c r="BU137" s="12" t="s">
        <v>69</v>
      </c>
    </row>
    <row r="138">
      <c r="A138" s="12" t="s">
        <v>1155</v>
      </c>
      <c r="B138" s="12" t="s">
        <v>54</v>
      </c>
      <c r="C138" s="14">
        <v>45917.0</v>
      </c>
      <c r="D138" s="12" t="s">
        <v>220</v>
      </c>
      <c r="E138" s="12" t="s">
        <v>1157</v>
      </c>
      <c r="F138" s="12" t="s">
        <v>1160</v>
      </c>
      <c r="BP138" s="12" t="s">
        <v>1159</v>
      </c>
      <c r="BQ138" s="12" t="b">
        <v>0</v>
      </c>
      <c r="BS138" s="16" t="s">
        <v>1683</v>
      </c>
      <c r="BT138" s="12" t="b">
        <v>1</v>
      </c>
      <c r="BU138" s="12" t="s">
        <v>69</v>
      </c>
    </row>
    <row r="139">
      <c r="A139" s="12" t="s">
        <v>1163</v>
      </c>
      <c r="B139" s="12" t="s">
        <v>54</v>
      </c>
      <c r="C139" s="14">
        <v>45922.0</v>
      </c>
      <c r="D139" s="12" t="s">
        <v>220</v>
      </c>
      <c r="E139" s="12" t="s">
        <v>1166</v>
      </c>
      <c r="F139" s="12" t="s">
        <v>1054</v>
      </c>
      <c r="BP139" s="12" t="s">
        <v>1169</v>
      </c>
      <c r="BQ139" s="12" t="b">
        <v>0</v>
      </c>
      <c r="BS139" s="16" t="s">
        <v>1688</v>
      </c>
      <c r="BT139" s="12" t="b">
        <v>1</v>
      </c>
      <c r="BU139" s="12" t="s">
        <v>69</v>
      </c>
    </row>
    <row r="140">
      <c r="A140" s="12" t="s">
        <v>1173</v>
      </c>
      <c r="B140" s="12" t="s">
        <v>54</v>
      </c>
      <c r="C140" s="14">
        <v>45920.0</v>
      </c>
      <c r="D140" s="12" t="s">
        <v>182</v>
      </c>
      <c r="E140" s="12" t="s">
        <v>1176</v>
      </c>
      <c r="F140" s="12" t="s">
        <v>457</v>
      </c>
      <c r="BP140" s="12" t="s">
        <v>1179</v>
      </c>
      <c r="BQ140" s="12" t="b">
        <v>0</v>
      </c>
      <c r="BS140" s="16" t="s">
        <v>1692</v>
      </c>
      <c r="BT140" s="12" t="b">
        <v>1</v>
      </c>
      <c r="BU140" s="12" t="s">
        <v>69</v>
      </c>
    </row>
    <row r="141">
      <c r="A141" s="12" t="s">
        <v>1182</v>
      </c>
      <c r="B141" s="12" t="s">
        <v>54</v>
      </c>
      <c r="C141" s="14">
        <v>45922.0</v>
      </c>
      <c r="D141" s="12" t="s">
        <v>345</v>
      </c>
      <c r="E141" s="12" t="s">
        <v>1186</v>
      </c>
      <c r="F141" s="12" t="s">
        <v>1189</v>
      </c>
      <c r="BP141" s="12" t="s">
        <v>1188</v>
      </c>
      <c r="BQ141" s="12" t="b">
        <v>0</v>
      </c>
      <c r="BS141" s="16" t="s">
        <v>1694</v>
      </c>
      <c r="BT141" s="12" t="b">
        <v>1</v>
      </c>
      <c r="BU141" s="12" t="s">
        <v>69</v>
      </c>
    </row>
    <row r="142">
      <c r="A142" s="12" t="s">
        <v>1194</v>
      </c>
      <c r="B142" s="12" t="s">
        <v>54</v>
      </c>
      <c r="C142" s="14">
        <v>45924.0</v>
      </c>
      <c r="D142" s="12" t="s">
        <v>1103</v>
      </c>
      <c r="E142" s="12" t="s">
        <v>1198</v>
      </c>
      <c r="F142" s="12" t="s">
        <v>153</v>
      </c>
      <c r="BP142" s="12" t="s">
        <v>1200</v>
      </c>
      <c r="BQ142" s="12" t="b">
        <v>0</v>
      </c>
      <c r="BS142" s="16" t="s">
        <v>1699</v>
      </c>
      <c r="BT142" s="12" t="b">
        <v>1</v>
      </c>
      <c r="BU142" s="12" t="s">
        <v>69</v>
      </c>
    </row>
    <row r="143">
      <c r="A143" s="12" t="s">
        <v>1203</v>
      </c>
      <c r="B143" s="12" t="s">
        <v>54</v>
      </c>
      <c r="C143" s="14">
        <v>45924.0</v>
      </c>
      <c r="D143" s="12" t="s">
        <v>441</v>
      </c>
      <c r="E143" s="12" t="s">
        <v>1209</v>
      </c>
      <c r="F143" s="12" t="s">
        <v>1211</v>
      </c>
      <c r="BP143" s="12" t="s">
        <v>1210</v>
      </c>
      <c r="BQ143" s="12" t="b">
        <v>0</v>
      </c>
      <c r="BS143" s="16" t="s">
        <v>1701</v>
      </c>
      <c r="BT143" s="12" t="b">
        <v>1</v>
      </c>
      <c r="BU143" s="12" t="s">
        <v>69</v>
      </c>
    </row>
    <row r="144">
      <c r="A144" s="12" t="s">
        <v>1214</v>
      </c>
      <c r="B144" s="12" t="s">
        <v>54</v>
      </c>
      <c r="C144" s="14">
        <v>45924.0</v>
      </c>
      <c r="D144" s="12" t="s">
        <v>1218</v>
      </c>
      <c r="E144" s="12" t="s">
        <v>1219</v>
      </c>
      <c r="F144" s="12" t="s">
        <v>1222</v>
      </c>
      <c r="BP144" s="12" t="s">
        <v>1221</v>
      </c>
      <c r="BQ144" s="12" t="b">
        <v>0</v>
      </c>
      <c r="BS144" s="16" t="s">
        <v>1706</v>
      </c>
      <c r="BT144" s="12" t="b">
        <v>1</v>
      </c>
      <c r="BU144" s="12" t="s">
        <v>69</v>
      </c>
    </row>
    <row r="145">
      <c r="A145" s="12" t="s">
        <v>1227</v>
      </c>
      <c r="B145" s="12" t="s">
        <v>54</v>
      </c>
      <c r="C145" s="14">
        <v>45923.0</v>
      </c>
      <c r="D145" s="12" t="s">
        <v>77</v>
      </c>
      <c r="E145" s="12" t="s">
        <v>1230</v>
      </c>
      <c r="F145" s="12" t="s">
        <v>1233</v>
      </c>
      <c r="BP145" s="12" t="s">
        <v>1231</v>
      </c>
      <c r="BQ145" s="12" t="b">
        <v>0</v>
      </c>
      <c r="BS145" s="16" t="s">
        <v>1710</v>
      </c>
      <c r="BT145" s="12" t="b">
        <v>1</v>
      </c>
      <c r="BU145" s="12" t="s">
        <v>69</v>
      </c>
    </row>
    <row r="146">
      <c r="A146" s="12" t="s">
        <v>1237</v>
      </c>
      <c r="B146" s="12" t="s">
        <v>54</v>
      </c>
      <c r="C146" s="14">
        <v>45924.0</v>
      </c>
      <c r="D146" s="12" t="s">
        <v>175</v>
      </c>
      <c r="E146" s="12" t="s">
        <v>1240</v>
      </c>
      <c r="F146" s="12" t="s">
        <v>1244</v>
      </c>
      <c r="BP146" s="12" t="s">
        <v>1243</v>
      </c>
      <c r="BQ146" s="12" t="b">
        <v>0</v>
      </c>
      <c r="BS146" s="16" t="s">
        <v>1716</v>
      </c>
      <c r="BT146" s="12" t="b">
        <v>1</v>
      </c>
      <c r="BU146" s="12" t="s">
        <v>69</v>
      </c>
    </row>
    <row r="147">
      <c r="A147" s="12" t="s">
        <v>1249</v>
      </c>
      <c r="B147" s="12" t="s">
        <v>54</v>
      </c>
      <c r="C147" s="14">
        <v>45925.0</v>
      </c>
      <c r="D147" s="12" t="s">
        <v>435</v>
      </c>
      <c r="E147" s="12" t="s">
        <v>1252</v>
      </c>
      <c r="F147" s="12" t="s">
        <v>1256</v>
      </c>
      <c r="BP147" s="12" t="s">
        <v>1253</v>
      </c>
      <c r="BQ147" s="12" t="b">
        <v>0</v>
      </c>
      <c r="BS147" s="16" t="s">
        <v>1720</v>
      </c>
      <c r="BT147" s="12" t="b">
        <v>1</v>
      </c>
      <c r="BU147" s="12" t="s">
        <v>69</v>
      </c>
    </row>
    <row r="148">
      <c r="A148" s="12" t="s">
        <v>1260</v>
      </c>
      <c r="B148" s="12" t="s">
        <v>54</v>
      </c>
      <c r="C148" s="14">
        <v>45925.0</v>
      </c>
      <c r="D148" s="12" t="s">
        <v>220</v>
      </c>
      <c r="E148" s="12" t="s">
        <v>1263</v>
      </c>
      <c r="F148" s="12" t="s">
        <v>268</v>
      </c>
      <c r="BP148" s="12" t="s">
        <v>1264</v>
      </c>
      <c r="BQ148" s="12" t="b">
        <v>0</v>
      </c>
      <c r="BS148" s="16" t="s">
        <v>1723</v>
      </c>
      <c r="BT148" s="12" t="b">
        <v>1</v>
      </c>
      <c r="BU148" s="12" t="s">
        <v>69</v>
      </c>
    </row>
    <row r="149">
      <c r="A149" s="12" t="s">
        <v>1268</v>
      </c>
      <c r="B149" s="12" t="s">
        <v>54</v>
      </c>
      <c r="C149" s="14">
        <v>45927.0</v>
      </c>
      <c r="D149" s="12" t="s">
        <v>182</v>
      </c>
      <c r="E149" s="12" t="s">
        <v>1270</v>
      </c>
      <c r="F149" s="12" t="s">
        <v>457</v>
      </c>
      <c r="BP149" s="12" t="s">
        <v>1273</v>
      </c>
      <c r="BQ149" s="12" t="b">
        <v>0</v>
      </c>
      <c r="BS149" s="16" t="s">
        <v>1731</v>
      </c>
      <c r="BT149" s="12" t="b">
        <v>1</v>
      </c>
      <c r="BU149" s="12" t="s">
        <v>69</v>
      </c>
    </row>
    <row r="150">
      <c r="A150" s="12" t="s">
        <v>1277</v>
      </c>
      <c r="B150" s="12" t="s">
        <v>54</v>
      </c>
      <c r="C150" s="14">
        <v>45929.0</v>
      </c>
      <c r="D150" s="12" t="s">
        <v>182</v>
      </c>
      <c r="E150" s="12" t="s">
        <v>1282</v>
      </c>
      <c r="F150" s="12" t="s">
        <v>312</v>
      </c>
      <c r="BP150" s="12" t="s">
        <v>1283</v>
      </c>
      <c r="BQ150" s="12" t="b">
        <v>0</v>
      </c>
      <c r="BS150" s="16" t="s">
        <v>1738</v>
      </c>
      <c r="BT150" s="12" t="b">
        <v>1</v>
      </c>
      <c r="BU150" s="12" t="s">
        <v>69</v>
      </c>
    </row>
    <row r="151">
      <c r="A151" s="12" t="s">
        <v>1287</v>
      </c>
      <c r="B151" s="12" t="s">
        <v>54</v>
      </c>
      <c r="C151" s="14">
        <v>45930.0</v>
      </c>
      <c r="D151" s="12" t="s">
        <v>182</v>
      </c>
      <c r="E151" s="12" t="s">
        <v>1290</v>
      </c>
      <c r="F151" s="12" t="s">
        <v>1222</v>
      </c>
      <c r="BP151" s="12" t="s">
        <v>1291</v>
      </c>
      <c r="BQ151" s="12" t="b">
        <v>0</v>
      </c>
      <c r="BS151" s="16" t="s">
        <v>1742</v>
      </c>
      <c r="BT151" s="12" t="b">
        <v>1</v>
      </c>
      <c r="BU151" s="12" t="s">
        <v>69</v>
      </c>
    </row>
    <row r="152">
      <c r="A152" s="12" t="s">
        <v>1295</v>
      </c>
      <c r="B152" s="12" t="s">
        <v>54</v>
      </c>
      <c r="C152" s="14">
        <v>45931.0</v>
      </c>
      <c r="D152" s="12" t="s">
        <v>1296</v>
      </c>
      <c r="E152" s="12" t="s">
        <v>1297</v>
      </c>
      <c r="F152" s="12" t="s">
        <v>1302</v>
      </c>
      <c r="BP152" s="12" t="s">
        <v>1301</v>
      </c>
      <c r="BQ152" s="12" t="b">
        <v>0</v>
      </c>
      <c r="BS152" s="16" t="s">
        <v>1747</v>
      </c>
      <c r="BT152" s="12" t="b">
        <v>1</v>
      </c>
      <c r="BU152" s="12" t="s">
        <v>69</v>
      </c>
    </row>
    <row r="153">
      <c r="A153" s="12" t="s">
        <v>1305</v>
      </c>
      <c r="B153" s="12" t="s">
        <v>54</v>
      </c>
      <c r="C153" s="14">
        <v>45932.0</v>
      </c>
      <c r="D153" s="12" t="s">
        <v>220</v>
      </c>
      <c r="E153" s="12" t="s">
        <v>1307</v>
      </c>
      <c r="F153" s="12" t="s">
        <v>1310</v>
      </c>
      <c r="BP153" s="12" t="s">
        <v>1309</v>
      </c>
      <c r="BQ153" s="12" t="b">
        <v>0</v>
      </c>
      <c r="BS153" s="16" t="s">
        <v>1753</v>
      </c>
      <c r="BT153" s="12" t="b">
        <v>1</v>
      </c>
      <c r="BU153" s="12" t="s">
        <v>69</v>
      </c>
    </row>
    <row r="154">
      <c r="A154" s="12" t="s">
        <v>1313</v>
      </c>
      <c r="B154" s="12" t="s">
        <v>54</v>
      </c>
      <c r="C154" s="14">
        <v>45932.0</v>
      </c>
      <c r="D154" s="12" t="s">
        <v>355</v>
      </c>
      <c r="E154" s="12" t="s">
        <v>1319</v>
      </c>
      <c r="F154" s="12" t="s">
        <v>1322</v>
      </c>
      <c r="BP154" s="12" t="s">
        <v>1321</v>
      </c>
      <c r="BQ154" s="12" t="b">
        <v>0</v>
      </c>
      <c r="BS154" s="16" t="s">
        <v>1764</v>
      </c>
      <c r="BT154" s="12" t="b">
        <v>1</v>
      </c>
      <c r="BU154" s="12" t="s">
        <v>69</v>
      </c>
    </row>
    <row r="155">
      <c r="A155" s="12" t="s">
        <v>1325</v>
      </c>
      <c r="B155" s="12" t="s">
        <v>54</v>
      </c>
      <c r="C155" s="14">
        <v>45933.0</v>
      </c>
      <c r="D155" s="12" t="s">
        <v>375</v>
      </c>
      <c r="E155" s="12" t="s">
        <v>1327</v>
      </c>
      <c r="F155" s="12" t="s">
        <v>153</v>
      </c>
      <c r="BP155" s="12" t="s">
        <v>1329</v>
      </c>
      <c r="BQ155" s="12" t="b">
        <v>0</v>
      </c>
      <c r="BS155" s="16" t="s">
        <v>1770</v>
      </c>
      <c r="BT155" s="12" t="b">
        <v>1</v>
      </c>
      <c r="BU155" s="12" t="s">
        <v>69</v>
      </c>
    </row>
    <row r="156">
      <c r="A156" s="12" t="s">
        <v>1331</v>
      </c>
      <c r="B156" s="12" t="s">
        <v>54</v>
      </c>
      <c r="C156" s="14">
        <v>45929.0</v>
      </c>
      <c r="D156" s="12" t="s">
        <v>156</v>
      </c>
      <c r="E156" s="12" t="s">
        <v>1333</v>
      </c>
      <c r="F156" s="12" t="s">
        <v>293</v>
      </c>
      <c r="BP156" s="12" t="s">
        <v>1335</v>
      </c>
      <c r="BQ156" s="12" t="b">
        <v>0</v>
      </c>
      <c r="BT156" s="12" t="b">
        <v>0</v>
      </c>
      <c r="BU156" s="12" t="s">
        <v>69</v>
      </c>
      <c r="BW156" s="12" t="s">
        <v>1337</v>
      </c>
      <c r="BX156" s="12" t="s">
        <v>1338</v>
      </c>
    </row>
    <row r="157">
      <c r="A157" s="12" t="s">
        <v>1339</v>
      </c>
      <c r="B157" s="12" t="s">
        <v>54</v>
      </c>
      <c r="C157" s="14">
        <v>45931.0</v>
      </c>
      <c r="D157" s="12" t="s">
        <v>156</v>
      </c>
      <c r="E157" s="12" t="s">
        <v>1342</v>
      </c>
      <c r="F157" s="12" t="s">
        <v>254</v>
      </c>
      <c r="BP157" s="12" t="s">
        <v>1343</v>
      </c>
      <c r="BQ157" s="12" t="b">
        <v>0</v>
      </c>
      <c r="BT157" s="12" t="b">
        <v>0</v>
      </c>
      <c r="BU157" s="12" t="s">
        <v>69</v>
      </c>
      <c r="BW157" s="12" t="s">
        <v>1345</v>
      </c>
    </row>
    <row r="158">
      <c r="A158" s="12" t="s">
        <v>1347</v>
      </c>
      <c r="B158" s="12" t="s">
        <v>54</v>
      </c>
      <c r="C158" s="14">
        <v>45936.0</v>
      </c>
      <c r="D158" s="12" t="s">
        <v>58</v>
      </c>
      <c r="E158" s="12" t="s">
        <v>1349</v>
      </c>
      <c r="F158" s="12" t="s">
        <v>1351</v>
      </c>
      <c r="BP158" s="12" t="s">
        <v>1350</v>
      </c>
      <c r="BQ158" s="12" t="b">
        <v>0</v>
      </c>
      <c r="BS158" s="16" t="s">
        <v>1791</v>
      </c>
      <c r="BT158" s="12" t="b">
        <v>1</v>
      </c>
      <c r="BU158" s="12" t="s">
        <v>69</v>
      </c>
    </row>
    <row r="159">
      <c r="A159" s="12" t="s">
        <v>1355</v>
      </c>
      <c r="B159" s="12" t="s">
        <v>54</v>
      </c>
      <c r="C159" s="14">
        <v>45937.0</v>
      </c>
      <c r="D159" s="12" t="s">
        <v>375</v>
      </c>
      <c r="E159" s="12" t="s">
        <v>1357</v>
      </c>
      <c r="F159" s="12" t="s">
        <v>153</v>
      </c>
      <c r="BP159" s="12" t="s">
        <v>1358</v>
      </c>
      <c r="BQ159" s="12" t="b">
        <v>0</v>
      </c>
      <c r="BS159" s="16" t="s">
        <v>1798</v>
      </c>
      <c r="BT159" s="12" t="b">
        <v>1</v>
      </c>
      <c r="BU159" s="12" t="s">
        <v>69</v>
      </c>
    </row>
    <row r="160">
      <c r="A160" s="12" t="s">
        <v>1360</v>
      </c>
      <c r="B160" s="12" t="s">
        <v>54</v>
      </c>
      <c r="C160" s="14">
        <v>45938.0</v>
      </c>
      <c r="D160" s="12" t="s">
        <v>532</v>
      </c>
      <c r="E160" s="12" t="s">
        <v>1362</v>
      </c>
      <c r="F160" s="12" t="s">
        <v>1365</v>
      </c>
      <c r="BP160" s="12" t="s">
        <v>1364</v>
      </c>
      <c r="BQ160" s="12" t="b">
        <v>0</v>
      </c>
      <c r="BS160" s="16" t="s">
        <v>1807</v>
      </c>
      <c r="BT160" s="12" t="b">
        <v>1</v>
      </c>
      <c r="BU160" s="12" t="s">
        <v>69</v>
      </c>
    </row>
    <row r="161">
      <c r="A161" s="12" t="s">
        <v>1367</v>
      </c>
      <c r="B161" s="12" t="s">
        <v>54</v>
      </c>
      <c r="C161" s="14">
        <v>45938.0</v>
      </c>
      <c r="D161" s="12" t="s">
        <v>1371</v>
      </c>
      <c r="E161" s="12" t="s">
        <v>1373</v>
      </c>
      <c r="F161" s="12" t="s">
        <v>1365</v>
      </c>
      <c r="BP161" s="12" t="s">
        <v>1374</v>
      </c>
      <c r="BQ161" s="12" t="b">
        <v>0</v>
      </c>
      <c r="BS161" s="16" t="s">
        <v>1815</v>
      </c>
      <c r="BT161" s="12" t="b">
        <v>1</v>
      </c>
      <c r="BU161" s="12" t="s">
        <v>69</v>
      </c>
    </row>
    <row r="162">
      <c r="A162" s="12" t="s">
        <v>1378</v>
      </c>
      <c r="B162" s="12" t="s">
        <v>54</v>
      </c>
      <c r="C162" s="14">
        <v>45935.0</v>
      </c>
      <c r="D162" s="12" t="s">
        <v>182</v>
      </c>
      <c r="E162" s="12" t="s">
        <v>1379</v>
      </c>
      <c r="F162" s="12" t="s">
        <v>312</v>
      </c>
      <c r="BP162" s="12" t="s">
        <v>1381</v>
      </c>
      <c r="BQ162" s="12" t="b">
        <v>0</v>
      </c>
      <c r="BS162" s="16" t="s">
        <v>1819</v>
      </c>
      <c r="BT162" s="12" t="b">
        <v>1</v>
      </c>
      <c r="BU162" s="12" t="s">
        <v>69</v>
      </c>
    </row>
    <row r="163">
      <c r="A163" s="12" t="s">
        <v>1384</v>
      </c>
      <c r="B163" s="12" t="s">
        <v>54</v>
      </c>
      <c r="C163" s="14">
        <v>45939.0</v>
      </c>
      <c r="D163" s="12" t="s">
        <v>182</v>
      </c>
      <c r="E163" s="12" t="s">
        <v>1388</v>
      </c>
      <c r="F163" s="12" t="s">
        <v>312</v>
      </c>
      <c r="BP163" s="12" t="s">
        <v>1389</v>
      </c>
      <c r="BQ163" s="12" t="b">
        <v>0</v>
      </c>
      <c r="BS163" s="16" t="s">
        <v>1828</v>
      </c>
      <c r="BT163" s="12" t="b">
        <v>1</v>
      </c>
      <c r="BU163" s="12" t="s">
        <v>69</v>
      </c>
    </row>
    <row r="164">
      <c r="A164" s="12" t="s">
        <v>1392</v>
      </c>
      <c r="B164" s="12" t="s">
        <v>54</v>
      </c>
      <c r="C164" s="14">
        <v>45934.0</v>
      </c>
      <c r="D164" s="12" t="s">
        <v>182</v>
      </c>
      <c r="E164" s="12" t="s">
        <v>1393</v>
      </c>
      <c r="F164" s="12" t="s">
        <v>880</v>
      </c>
      <c r="BP164" s="12" t="s">
        <v>1396</v>
      </c>
      <c r="BQ164" s="12" t="b">
        <v>0</v>
      </c>
      <c r="BS164" s="16" t="s">
        <v>1836</v>
      </c>
      <c r="BT164" s="12" t="b">
        <v>1</v>
      </c>
      <c r="BU164" s="12" t="s">
        <v>69</v>
      </c>
    </row>
    <row r="165">
      <c r="A165" s="12" t="s">
        <v>1398</v>
      </c>
      <c r="B165" s="12" t="s">
        <v>54</v>
      </c>
      <c r="C165" s="14">
        <v>45936.0</v>
      </c>
      <c r="D165" s="12" t="s">
        <v>220</v>
      </c>
      <c r="E165" s="12" t="s">
        <v>1400</v>
      </c>
      <c r="F165" s="12" t="s">
        <v>1402</v>
      </c>
      <c r="BP165" s="12" t="s">
        <v>1401</v>
      </c>
      <c r="BQ165" s="12" t="b">
        <v>0</v>
      </c>
      <c r="BS165" s="16" t="s">
        <v>1847</v>
      </c>
      <c r="BT165" s="12" t="b">
        <v>1</v>
      </c>
      <c r="BU165" s="12" t="s">
        <v>69</v>
      </c>
    </row>
    <row r="166">
      <c r="A166" s="12" t="s">
        <v>1405</v>
      </c>
      <c r="B166" s="12" t="s">
        <v>54</v>
      </c>
      <c r="C166" s="14">
        <v>45937.0</v>
      </c>
      <c r="D166" s="12" t="s">
        <v>220</v>
      </c>
      <c r="E166" s="12" t="s">
        <v>1407</v>
      </c>
      <c r="F166" s="12" t="s">
        <v>1410</v>
      </c>
      <c r="BP166" s="12" t="s">
        <v>1409</v>
      </c>
      <c r="BQ166" s="12" t="b">
        <v>0</v>
      </c>
      <c r="BS166" s="16" t="s">
        <v>1854</v>
      </c>
      <c r="BT166" s="12" t="b">
        <v>1</v>
      </c>
      <c r="BU166" s="12" t="s">
        <v>69</v>
      </c>
    </row>
    <row r="167">
      <c r="A167" s="12" t="s">
        <v>1413</v>
      </c>
      <c r="B167" s="12" t="s">
        <v>54</v>
      </c>
      <c r="C167" s="14">
        <v>45940.0</v>
      </c>
      <c r="D167" s="12" t="s">
        <v>1417</v>
      </c>
      <c r="E167" s="12" t="s">
        <v>1418</v>
      </c>
      <c r="F167" s="12" t="s">
        <v>1420</v>
      </c>
      <c r="BP167" s="12" t="s">
        <v>1419</v>
      </c>
      <c r="BQ167" s="12" t="b">
        <v>0</v>
      </c>
      <c r="BS167" s="16" t="s">
        <v>1862</v>
      </c>
      <c r="BT167" s="12" t="b">
        <v>1</v>
      </c>
      <c r="BU167" s="12" t="s">
        <v>69</v>
      </c>
    </row>
    <row r="168">
      <c r="A168" s="12" t="s">
        <v>1423</v>
      </c>
      <c r="B168" s="12" t="s">
        <v>54</v>
      </c>
      <c r="C168" s="14">
        <v>45940.0</v>
      </c>
      <c r="D168" s="12" t="s">
        <v>220</v>
      </c>
      <c r="E168" s="12" t="s">
        <v>1426</v>
      </c>
      <c r="F168" s="12" t="s">
        <v>1431</v>
      </c>
      <c r="BP168" s="12" t="s">
        <v>1429</v>
      </c>
      <c r="BQ168" s="12" t="b">
        <v>0</v>
      </c>
      <c r="BS168" s="16" t="s">
        <v>1869</v>
      </c>
      <c r="BT168" s="12" t="b">
        <v>1</v>
      </c>
      <c r="BU168" s="12" t="s">
        <v>69</v>
      </c>
    </row>
    <row r="169">
      <c r="A169" s="12" t="s">
        <v>1433</v>
      </c>
      <c r="B169" s="12" t="s">
        <v>54</v>
      </c>
      <c r="C169" s="14">
        <v>45941.0</v>
      </c>
      <c r="D169" s="12" t="s">
        <v>182</v>
      </c>
      <c r="E169" s="12" t="s">
        <v>1435</v>
      </c>
      <c r="F169" s="12" t="s">
        <v>880</v>
      </c>
      <c r="BP169" s="12" t="s">
        <v>1436</v>
      </c>
      <c r="BQ169" s="12" t="b">
        <v>0</v>
      </c>
      <c r="BS169" s="16" t="s">
        <v>1876</v>
      </c>
      <c r="BT169" s="12" t="b">
        <v>1</v>
      </c>
      <c r="BU169" s="12" t="s">
        <v>69</v>
      </c>
    </row>
    <row r="170">
      <c r="A170" s="12" t="s">
        <v>1439</v>
      </c>
      <c r="B170" s="12" t="s">
        <v>54</v>
      </c>
      <c r="C170" s="14">
        <v>45933.0</v>
      </c>
      <c r="D170" s="12" t="s">
        <v>182</v>
      </c>
      <c r="E170" s="12" t="s">
        <v>1443</v>
      </c>
      <c r="F170" s="12" t="s">
        <v>1445</v>
      </c>
      <c r="BP170" s="12" t="s">
        <v>1444</v>
      </c>
      <c r="BQ170" s="12" t="b">
        <v>0</v>
      </c>
      <c r="BS170" s="16" t="s">
        <v>1881</v>
      </c>
      <c r="BT170" s="12" t="b">
        <v>1</v>
      </c>
      <c r="BU170" s="12" t="s">
        <v>69</v>
      </c>
    </row>
    <row r="171">
      <c r="A171" s="12" t="s">
        <v>1448</v>
      </c>
      <c r="B171" s="12" t="s">
        <v>54</v>
      </c>
      <c r="C171" s="14">
        <v>45944.0</v>
      </c>
      <c r="D171" s="12" t="s">
        <v>375</v>
      </c>
      <c r="E171" s="12" t="s">
        <v>1452</v>
      </c>
      <c r="F171" s="12" t="s">
        <v>153</v>
      </c>
      <c r="BP171" s="12" t="s">
        <v>1453</v>
      </c>
      <c r="BQ171" s="12" t="b">
        <v>0</v>
      </c>
      <c r="BS171" s="16" t="s">
        <v>1888</v>
      </c>
      <c r="BT171" s="12" t="b">
        <v>1</v>
      </c>
      <c r="BU171" s="12" t="s">
        <v>69</v>
      </c>
    </row>
    <row r="172">
      <c r="A172" s="12" t="s">
        <v>1456</v>
      </c>
      <c r="B172" s="12" t="s">
        <v>54</v>
      </c>
      <c r="C172" s="14">
        <v>45944.0</v>
      </c>
      <c r="D172" s="12" t="s">
        <v>1218</v>
      </c>
      <c r="E172" s="12" t="s">
        <v>1458</v>
      </c>
      <c r="F172" s="12" t="s">
        <v>1365</v>
      </c>
      <c r="BP172" s="12" t="s">
        <v>1459</v>
      </c>
      <c r="BQ172" s="12" t="b">
        <v>0</v>
      </c>
      <c r="BS172" s="16" t="s">
        <v>1893</v>
      </c>
      <c r="BT172" s="12" t="b">
        <v>1</v>
      </c>
      <c r="BU172" s="12" t="s">
        <v>69</v>
      </c>
    </row>
    <row r="173">
      <c r="A173" s="12" t="s">
        <v>1462</v>
      </c>
      <c r="B173" s="12" t="s">
        <v>54</v>
      </c>
      <c r="C173" s="14">
        <v>45944.0</v>
      </c>
      <c r="D173" s="12" t="s">
        <v>324</v>
      </c>
      <c r="E173" s="12" t="s">
        <v>1464</v>
      </c>
      <c r="F173" s="12" t="s">
        <v>1467</v>
      </c>
      <c r="BP173" s="12" t="s">
        <v>1465</v>
      </c>
      <c r="BQ173" s="12" t="b">
        <v>0</v>
      </c>
      <c r="BS173" s="16" t="s">
        <v>1899</v>
      </c>
      <c r="BT173" s="12" t="b">
        <v>1</v>
      </c>
      <c r="BU173" s="12" t="s">
        <v>69</v>
      </c>
    </row>
    <row r="174">
      <c r="A174" s="12" t="s">
        <v>1468</v>
      </c>
      <c r="B174" s="12" t="s">
        <v>54</v>
      </c>
      <c r="C174" s="14">
        <v>45942.0</v>
      </c>
      <c r="D174" s="12" t="s">
        <v>182</v>
      </c>
      <c r="E174" s="12" t="s">
        <v>1471</v>
      </c>
      <c r="F174" s="12" t="s">
        <v>1474</v>
      </c>
      <c r="BP174" s="12" t="s">
        <v>1472</v>
      </c>
      <c r="BQ174" s="12" t="b">
        <v>0</v>
      </c>
      <c r="BS174" s="16" t="s">
        <v>1903</v>
      </c>
      <c r="BT174" s="12" t="b">
        <v>1</v>
      </c>
      <c r="BU174" s="12" t="s">
        <v>69</v>
      </c>
    </row>
    <row r="175">
      <c r="A175" s="12" t="s">
        <v>1477</v>
      </c>
      <c r="B175" s="12" t="s">
        <v>54</v>
      </c>
      <c r="C175" s="14">
        <v>45945.0</v>
      </c>
      <c r="D175" s="12" t="s">
        <v>182</v>
      </c>
      <c r="E175" s="12" t="s">
        <v>1480</v>
      </c>
      <c r="F175" s="12" t="s">
        <v>1482</v>
      </c>
      <c r="BP175" s="12" t="s">
        <v>1481</v>
      </c>
      <c r="BQ175" s="12" t="b">
        <v>0</v>
      </c>
      <c r="BS175" s="16" t="s">
        <v>1913</v>
      </c>
      <c r="BT175" s="12" t="b">
        <v>1</v>
      </c>
      <c r="BU175" s="12" t="s">
        <v>69</v>
      </c>
    </row>
    <row r="176">
      <c r="A176" s="12" t="s">
        <v>1487</v>
      </c>
      <c r="B176" s="12" t="s">
        <v>54</v>
      </c>
      <c r="C176" s="14">
        <v>45943.0</v>
      </c>
      <c r="D176" s="12" t="s">
        <v>220</v>
      </c>
      <c r="E176" s="12" t="s">
        <v>1489</v>
      </c>
      <c r="F176" s="12" t="s">
        <v>1493</v>
      </c>
      <c r="BP176" s="12" t="s">
        <v>1491</v>
      </c>
      <c r="BQ176" s="12" t="b">
        <v>0</v>
      </c>
      <c r="BS176" s="16" t="s">
        <v>1924</v>
      </c>
      <c r="BT176" s="12" t="b">
        <v>1</v>
      </c>
      <c r="BU176" s="12" t="s">
        <v>69</v>
      </c>
    </row>
    <row r="177">
      <c r="A177" s="12" t="s">
        <v>1496</v>
      </c>
      <c r="B177" s="12" t="s">
        <v>54</v>
      </c>
      <c r="C177" s="14">
        <v>45944.0</v>
      </c>
      <c r="D177" s="12" t="s">
        <v>156</v>
      </c>
      <c r="E177" s="12" t="s">
        <v>1497</v>
      </c>
      <c r="F177" s="12" t="s">
        <v>293</v>
      </c>
      <c r="BP177" s="12" t="s">
        <v>1499</v>
      </c>
      <c r="BQ177" s="12" t="b">
        <v>0</v>
      </c>
      <c r="BT177" s="12" t="b">
        <v>0</v>
      </c>
      <c r="BU177" s="12" t="s">
        <v>69</v>
      </c>
      <c r="BW177" s="12" t="s">
        <v>1501</v>
      </c>
    </row>
    <row r="178">
      <c r="A178" s="12" t="s">
        <v>1504</v>
      </c>
      <c r="B178" s="12" t="s">
        <v>54</v>
      </c>
      <c r="C178" s="14">
        <v>45945.0</v>
      </c>
      <c r="D178" s="12" t="s">
        <v>156</v>
      </c>
      <c r="E178" s="12" t="s">
        <v>1506</v>
      </c>
      <c r="F178" s="12" t="s">
        <v>254</v>
      </c>
      <c r="BP178" s="12" t="s">
        <v>1508</v>
      </c>
      <c r="BQ178" s="12" t="b">
        <v>0</v>
      </c>
      <c r="BT178" s="12" t="b">
        <v>0</v>
      </c>
      <c r="BU178" s="12" t="s">
        <v>69</v>
      </c>
    </row>
    <row r="179">
      <c r="A179" s="12" t="s">
        <v>1514</v>
      </c>
      <c r="B179" s="12" t="s">
        <v>54</v>
      </c>
      <c r="C179" s="15">
        <v>45933.0</v>
      </c>
      <c r="D179" s="12" t="s">
        <v>1043</v>
      </c>
      <c r="E179" s="12" t="s">
        <v>1515</v>
      </c>
      <c r="F179" s="12" t="s">
        <v>687</v>
      </c>
      <c r="BP179" s="12" t="s">
        <v>1517</v>
      </c>
      <c r="BQ179" s="12" t="b">
        <v>0</v>
      </c>
      <c r="BS179" s="16" t="s">
        <v>1948</v>
      </c>
      <c r="BT179" s="12" t="b">
        <v>1</v>
      </c>
      <c r="BU179" s="12" t="s">
        <v>69</v>
      </c>
    </row>
    <row r="180">
      <c r="A180" s="12" t="s">
        <v>1522</v>
      </c>
      <c r="B180" s="12" t="s">
        <v>54</v>
      </c>
      <c r="C180" s="14">
        <v>45949.0</v>
      </c>
      <c r="D180" s="12" t="s">
        <v>182</v>
      </c>
      <c r="E180" s="12" t="s">
        <v>1526</v>
      </c>
      <c r="F180" s="12" t="s">
        <v>1529</v>
      </c>
      <c r="BP180" s="12" t="s">
        <v>1527</v>
      </c>
      <c r="BQ180" s="12" t="b">
        <v>0</v>
      </c>
      <c r="BS180" s="16" t="s">
        <v>1956</v>
      </c>
      <c r="BT180" s="12" t="b">
        <v>1</v>
      </c>
      <c r="BU180" s="12" t="s">
        <v>69</v>
      </c>
    </row>
    <row r="181">
      <c r="A181" s="12" t="s">
        <v>1532</v>
      </c>
      <c r="B181" s="12" t="s">
        <v>54</v>
      </c>
      <c r="C181" s="14">
        <v>45948.0</v>
      </c>
      <c r="D181" s="12" t="s">
        <v>182</v>
      </c>
      <c r="E181" s="12" t="s">
        <v>1535</v>
      </c>
      <c r="F181" s="12" t="s">
        <v>1544</v>
      </c>
      <c r="BP181" s="12" t="s">
        <v>1540</v>
      </c>
      <c r="BQ181" s="12" t="b">
        <v>0</v>
      </c>
      <c r="BS181" s="16" t="s">
        <v>1973</v>
      </c>
      <c r="BT181" s="12" t="b">
        <v>1</v>
      </c>
      <c r="BU181" s="12" t="s">
        <v>69</v>
      </c>
    </row>
    <row r="182">
      <c r="A182" s="12" t="s">
        <v>1549</v>
      </c>
      <c r="B182" s="12" t="s">
        <v>54</v>
      </c>
      <c r="C182" s="14">
        <v>45947.0</v>
      </c>
      <c r="D182" s="12" t="s">
        <v>220</v>
      </c>
      <c r="E182" s="12" t="s">
        <v>1552</v>
      </c>
      <c r="F182" s="16" t="s">
        <v>1980</v>
      </c>
      <c r="BP182" s="12" t="s">
        <v>1553</v>
      </c>
      <c r="BQ182" s="12" t="b">
        <v>0</v>
      </c>
      <c r="BS182" s="16" t="s">
        <v>1980</v>
      </c>
      <c r="BT182" s="12" t="b">
        <v>1</v>
      </c>
      <c r="BU182" s="12" t="s">
        <v>69</v>
      </c>
    </row>
    <row r="183">
      <c r="A183" s="12" t="s">
        <v>1558</v>
      </c>
      <c r="B183" s="12" t="s">
        <v>54</v>
      </c>
      <c r="C183" s="14">
        <v>45945.0</v>
      </c>
      <c r="D183" s="12" t="s">
        <v>156</v>
      </c>
      <c r="E183" s="12" t="s">
        <v>1506</v>
      </c>
      <c r="F183" s="12" t="s">
        <v>254</v>
      </c>
      <c r="BP183" s="12" t="s">
        <v>1560</v>
      </c>
      <c r="BQ183" s="12" t="b">
        <v>0</v>
      </c>
      <c r="BT183" s="12" t="b">
        <v>0</v>
      </c>
      <c r="BU183" s="12" t="s">
        <v>69</v>
      </c>
    </row>
    <row r="184">
      <c r="A184" s="12" t="s">
        <v>1563</v>
      </c>
      <c r="B184" s="12" t="s">
        <v>54</v>
      </c>
      <c r="C184" s="14">
        <v>45946.0</v>
      </c>
      <c r="D184" s="12" t="s">
        <v>590</v>
      </c>
      <c r="E184" s="12" t="s">
        <v>1565</v>
      </c>
      <c r="F184" s="12" t="s">
        <v>1568</v>
      </c>
      <c r="BP184" s="12" t="s">
        <v>1566</v>
      </c>
      <c r="BQ184" s="12" t="b">
        <v>0</v>
      </c>
      <c r="BS184" s="16" t="s">
        <v>1998</v>
      </c>
      <c r="BT184" s="12" t="b">
        <v>1</v>
      </c>
      <c r="BU184" s="12" t="s">
        <v>69</v>
      </c>
    </row>
    <row r="185">
      <c r="A185" s="12" t="s">
        <v>1570</v>
      </c>
      <c r="B185" s="12" t="s">
        <v>54</v>
      </c>
      <c r="C185" s="14">
        <v>45950.0</v>
      </c>
      <c r="D185" s="12" t="s">
        <v>1573</v>
      </c>
      <c r="E185" s="12" t="s">
        <v>1574</v>
      </c>
      <c r="F185" s="12" t="s">
        <v>1577</v>
      </c>
      <c r="BP185" s="12" t="s">
        <v>1575</v>
      </c>
      <c r="BQ185" s="12" t="b">
        <v>0</v>
      </c>
      <c r="BS185" s="16" t="s">
        <v>2007</v>
      </c>
      <c r="BT185" s="12" t="b">
        <v>1</v>
      </c>
      <c r="BU185" s="12" t="s">
        <v>69</v>
      </c>
    </row>
    <row r="186">
      <c r="A186" s="12" t="s">
        <v>1578</v>
      </c>
      <c r="B186" s="12" t="s">
        <v>54</v>
      </c>
      <c r="C186" s="14">
        <v>45952.0</v>
      </c>
      <c r="D186" s="12" t="s">
        <v>345</v>
      </c>
      <c r="E186" s="12" t="s">
        <v>1581</v>
      </c>
      <c r="F186" s="12" t="s">
        <v>1583</v>
      </c>
      <c r="BP186" s="12" t="s">
        <v>1582</v>
      </c>
      <c r="BQ186" s="12" t="b">
        <v>0</v>
      </c>
      <c r="BS186" s="16" t="s">
        <v>2020</v>
      </c>
      <c r="BT186" s="12" t="b">
        <v>1</v>
      </c>
      <c r="BU186" s="12" t="s">
        <v>69</v>
      </c>
    </row>
    <row r="187">
      <c r="A187" s="12" t="s">
        <v>1587</v>
      </c>
      <c r="B187" s="12" t="s">
        <v>54</v>
      </c>
      <c r="C187" s="14">
        <v>45916.0</v>
      </c>
      <c r="D187" s="12" t="s">
        <v>784</v>
      </c>
      <c r="E187" s="12" t="s">
        <v>1064</v>
      </c>
      <c r="F187" s="12" t="s">
        <v>715</v>
      </c>
      <c r="BP187" s="12" t="s">
        <v>1589</v>
      </c>
      <c r="BQ187" s="12" t="b">
        <v>0</v>
      </c>
      <c r="BT187" s="12" t="b">
        <v>0</v>
      </c>
      <c r="BU187" s="12" t="s">
        <v>69</v>
      </c>
    </row>
    <row r="188">
      <c r="A188" s="12" t="s">
        <v>1592</v>
      </c>
      <c r="B188" s="12" t="s">
        <v>54</v>
      </c>
      <c r="C188" s="14">
        <v>45953.0</v>
      </c>
      <c r="D188" s="12" t="s">
        <v>1103</v>
      </c>
      <c r="E188" s="12" t="s">
        <v>1593</v>
      </c>
      <c r="F188" s="12" t="s">
        <v>1595</v>
      </c>
      <c r="BP188" s="12" t="s">
        <v>1594</v>
      </c>
      <c r="BQ188" s="12" t="b">
        <v>0</v>
      </c>
      <c r="BS188" s="16" t="s">
        <v>2037</v>
      </c>
      <c r="BT188" s="12" t="b">
        <v>1</v>
      </c>
      <c r="BU188" s="12" t="s">
        <v>69</v>
      </c>
    </row>
    <row r="189">
      <c r="A189" s="12" t="s">
        <v>1597</v>
      </c>
      <c r="B189" s="12" t="s">
        <v>54</v>
      </c>
      <c r="C189" s="14">
        <v>45953.0</v>
      </c>
      <c r="D189" s="12" t="s">
        <v>220</v>
      </c>
      <c r="E189" s="12" t="s">
        <v>1599</v>
      </c>
      <c r="F189" s="12" t="s">
        <v>1602</v>
      </c>
      <c r="BP189" s="12" t="s">
        <v>1601</v>
      </c>
      <c r="BQ189" s="12" t="b">
        <v>0</v>
      </c>
      <c r="BS189" s="16" t="s">
        <v>2046</v>
      </c>
      <c r="BT189" s="12" t="b">
        <v>1</v>
      </c>
      <c r="BU189" s="12" t="s">
        <v>69</v>
      </c>
    </row>
    <row r="190">
      <c r="A190" s="12" t="s">
        <v>1604</v>
      </c>
      <c r="B190" s="12" t="s">
        <v>54</v>
      </c>
      <c r="C190" s="14">
        <v>45951.0</v>
      </c>
      <c r="D190" s="12" t="s">
        <v>556</v>
      </c>
      <c r="E190" s="12" t="s">
        <v>1607</v>
      </c>
      <c r="F190" s="12" t="s">
        <v>1609</v>
      </c>
      <c r="BP190" s="12" t="s">
        <v>1608</v>
      </c>
      <c r="BQ190" s="12" t="b">
        <v>0</v>
      </c>
      <c r="BS190" s="16" t="s">
        <v>2058</v>
      </c>
      <c r="BT190" s="12" t="b">
        <v>1</v>
      </c>
      <c r="BU190" s="12" t="s">
        <v>69</v>
      </c>
    </row>
    <row r="191">
      <c r="A191" s="12" t="s">
        <v>1612</v>
      </c>
      <c r="B191" s="12" t="s">
        <v>54</v>
      </c>
      <c r="C191" s="14">
        <v>45954.0</v>
      </c>
      <c r="D191" s="12" t="s">
        <v>556</v>
      </c>
      <c r="E191" s="12" t="s">
        <v>1615</v>
      </c>
      <c r="F191" s="12" t="s">
        <v>1037</v>
      </c>
      <c r="BP191" s="12" t="s">
        <v>1616</v>
      </c>
      <c r="BQ191" s="12" t="b">
        <v>0</v>
      </c>
      <c r="BS191" s="16" t="s">
        <v>2067</v>
      </c>
      <c r="BT191" s="12" t="b">
        <v>1</v>
      </c>
      <c r="BU191" s="12" t="s">
        <v>69</v>
      </c>
    </row>
    <row r="192">
      <c r="A192" s="12" t="s">
        <v>1618</v>
      </c>
      <c r="B192" s="12" t="s">
        <v>54</v>
      </c>
      <c r="C192" s="14">
        <v>45954.0</v>
      </c>
      <c r="D192" s="12" t="s">
        <v>324</v>
      </c>
      <c r="E192" s="12" t="s">
        <v>1621</v>
      </c>
      <c r="F192" s="12" t="s">
        <v>1623</v>
      </c>
      <c r="BP192" s="12" t="s">
        <v>1622</v>
      </c>
      <c r="BQ192" s="12" t="b">
        <v>0</v>
      </c>
      <c r="BS192" s="16" t="s">
        <v>2074</v>
      </c>
      <c r="BT192" s="12" t="b">
        <v>1</v>
      </c>
      <c r="BU192" s="12" t="s">
        <v>69</v>
      </c>
    </row>
    <row r="193">
      <c r="A193" s="12" t="s">
        <v>1624</v>
      </c>
      <c r="B193" s="12" t="s">
        <v>54</v>
      </c>
      <c r="C193" s="14">
        <v>45971.0</v>
      </c>
      <c r="D193" s="12" t="s">
        <v>897</v>
      </c>
      <c r="E193" s="12" t="s">
        <v>1625</v>
      </c>
      <c r="F193" s="12" t="s">
        <v>1628</v>
      </c>
      <c r="BP193" s="12" t="s">
        <v>1627</v>
      </c>
      <c r="BQ193" s="12" t="b">
        <v>0</v>
      </c>
      <c r="BT193" s="12" t="b">
        <v>0</v>
      </c>
      <c r="BU193" s="12" t="s">
        <v>69</v>
      </c>
    </row>
    <row r="194">
      <c r="A194" s="12" t="s">
        <v>1629</v>
      </c>
      <c r="B194" s="12" t="s">
        <v>54</v>
      </c>
      <c r="C194" s="14">
        <v>45956.0</v>
      </c>
      <c r="D194" s="12" t="s">
        <v>220</v>
      </c>
      <c r="E194" s="12" t="s">
        <v>1631</v>
      </c>
      <c r="F194" s="12" t="s">
        <v>1633</v>
      </c>
      <c r="BP194" s="12" t="s">
        <v>1632</v>
      </c>
      <c r="BQ194" s="12" t="b">
        <v>0</v>
      </c>
      <c r="BS194" s="16" t="s">
        <v>2082</v>
      </c>
      <c r="BT194" s="12" t="b">
        <v>1</v>
      </c>
      <c r="BU194" s="12" t="s">
        <v>69</v>
      </c>
    </row>
    <row r="195">
      <c r="A195" s="12" t="s">
        <v>1634</v>
      </c>
      <c r="B195" s="12" t="s">
        <v>54</v>
      </c>
      <c r="C195" s="14">
        <v>45957.0</v>
      </c>
      <c r="D195" s="12" t="s">
        <v>441</v>
      </c>
      <c r="E195" s="12" t="s">
        <v>1636</v>
      </c>
      <c r="F195" s="12" t="s">
        <v>1639</v>
      </c>
      <c r="BP195" s="12" t="s">
        <v>1638</v>
      </c>
      <c r="BQ195" s="12" t="b">
        <v>0</v>
      </c>
      <c r="BS195" s="16" t="s">
        <v>2088</v>
      </c>
      <c r="BT195" s="12" t="b">
        <v>1</v>
      </c>
      <c r="BU195" s="12" t="s">
        <v>69</v>
      </c>
    </row>
    <row r="196">
      <c r="A196" s="12" t="s">
        <v>1640</v>
      </c>
      <c r="B196" s="12" t="s">
        <v>54</v>
      </c>
      <c r="C196" s="14">
        <v>45937.0</v>
      </c>
      <c r="D196" s="12" t="s">
        <v>818</v>
      </c>
      <c r="F196" s="12" t="s">
        <v>819</v>
      </c>
      <c r="G196" s="12" t="s">
        <v>820</v>
      </c>
      <c r="H196" s="12">
        <v>1.0</v>
      </c>
      <c r="I196" s="17">
        <v>0.0</v>
      </c>
      <c r="J196" s="17">
        <v>0.0</v>
      </c>
      <c r="BO196" s="17">
        <v>0.0</v>
      </c>
      <c r="BR196" s="17">
        <v>0.0</v>
      </c>
      <c r="BU196" s="12" t="s">
        <v>621</v>
      </c>
    </row>
    <row r="197">
      <c r="A197" s="12" t="s">
        <v>1642</v>
      </c>
      <c r="B197" s="12" t="s">
        <v>54</v>
      </c>
      <c r="C197" s="14">
        <v>45934.0</v>
      </c>
      <c r="F197" s="12" t="s">
        <v>1644</v>
      </c>
      <c r="G197" s="12" t="s">
        <v>1196</v>
      </c>
      <c r="H197" s="12">
        <v>1.0</v>
      </c>
      <c r="I197" s="17">
        <v>3500.0</v>
      </c>
      <c r="J197" s="17">
        <v>3500.0</v>
      </c>
      <c r="BO197" s="17">
        <v>3500.0</v>
      </c>
      <c r="BR197" s="17">
        <v>3500.0</v>
      </c>
      <c r="BU197" s="12" t="s">
        <v>191</v>
      </c>
      <c r="BV197" s="12" t="s">
        <v>727</v>
      </c>
    </row>
    <row r="198">
      <c r="A198" s="12" t="s">
        <v>1645</v>
      </c>
      <c r="B198" s="12" t="s">
        <v>54</v>
      </c>
      <c r="C198" s="14">
        <v>45934.0</v>
      </c>
      <c r="F198" s="12" t="s">
        <v>1646</v>
      </c>
      <c r="G198" s="12" t="s">
        <v>1196</v>
      </c>
      <c r="H198" s="12">
        <v>1.0</v>
      </c>
      <c r="I198" s="17">
        <v>3721.04</v>
      </c>
      <c r="J198" s="17">
        <v>3721.04</v>
      </c>
      <c r="BO198" s="17">
        <v>3721.04</v>
      </c>
      <c r="BR198" s="17">
        <v>3721.04</v>
      </c>
      <c r="BU198" s="12" t="s">
        <v>191</v>
      </c>
      <c r="BV198" s="12" t="s">
        <v>727</v>
      </c>
    </row>
    <row r="199">
      <c r="A199" s="12" t="s">
        <v>1648</v>
      </c>
      <c r="B199" s="12" t="s">
        <v>54</v>
      </c>
      <c r="C199" s="14">
        <v>45934.0</v>
      </c>
      <c r="F199" s="12" t="s">
        <v>1649</v>
      </c>
      <c r="G199" s="12" t="s">
        <v>1196</v>
      </c>
      <c r="H199" s="12">
        <v>1.0</v>
      </c>
      <c r="I199" s="17">
        <v>1955.22</v>
      </c>
      <c r="J199" s="17">
        <v>1955.22</v>
      </c>
      <c r="BO199" s="17">
        <v>1955.22</v>
      </c>
      <c r="BR199" s="17">
        <v>1955.22</v>
      </c>
      <c r="BU199" s="12" t="s">
        <v>191</v>
      </c>
      <c r="BV199" s="12" t="s">
        <v>62</v>
      </c>
    </row>
    <row r="200">
      <c r="A200" s="12" t="s">
        <v>1650</v>
      </c>
      <c r="B200" s="12" t="s">
        <v>54</v>
      </c>
      <c r="C200" s="14">
        <v>45934.0</v>
      </c>
      <c r="F200" s="12" t="s">
        <v>1649</v>
      </c>
      <c r="G200" s="12" t="s">
        <v>1196</v>
      </c>
      <c r="H200" s="12">
        <v>1.0</v>
      </c>
      <c r="I200" s="17">
        <v>2136.9</v>
      </c>
      <c r="J200" s="17">
        <v>2136.9</v>
      </c>
      <c r="BO200" s="17">
        <v>2136.9</v>
      </c>
      <c r="BR200" s="17">
        <v>2136.9</v>
      </c>
      <c r="BU200" s="12" t="s">
        <v>191</v>
      </c>
      <c r="BV200" s="12" t="s">
        <v>78</v>
      </c>
    </row>
    <row r="201">
      <c r="A201" s="12" t="s">
        <v>1651</v>
      </c>
      <c r="B201" s="12" t="s">
        <v>54</v>
      </c>
      <c r="C201" s="14">
        <v>45934.0</v>
      </c>
      <c r="F201" s="12" t="s">
        <v>1649</v>
      </c>
      <c r="G201" s="12" t="s">
        <v>1196</v>
      </c>
      <c r="H201" s="12">
        <v>1.0</v>
      </c>
      <c r="I201" s="17">
        <v>1415.4</v>
      </c>
      <c r="J201" s="17">
        <v>1415.4</v>
      </c>
      <c r="BO201" s="17">
        <v>1415.4</v>
      </c>
      <c r="BR201" s="17">
        <v>1415.4</v>
      </c>
      <c r="BU201" s="12" t="s">
        <v>191</v>
      </c>
      <c r="BV201" s="12" t="s">
        <v>1183</v>
      </c>
    </row>
    <row r="202">
      <c r="A202" s="12" t="s">
        <v>1654</v>
      </c>
      <c r="B202" s="12" t="s">
        <v>54</v>
      </c>
      <c r="C202" s="14">
        <v>45937.0</v>
      </c>
      <c r="D202" s="12" t="s">
        <v>848</v>
      </c>
      <c r="F202" s="12" t="s">
        <v>1226</v>
      </c>
      <c r="G202" s="12" t="s">
        <v>852</v>
      </c>
      <c r="H202" s="12">
        <v>1.0</v>
      </c>
      <c r="I202" s="17">
        <v>4000.0</v>
      </c>
      <c r="J202" s="17">
        <v>4000.0</v>
      </c>
      <c r="BO202" s="17">
        <v>4000.0</v>
      </c>
      <c r="BR202" s="17">
        <v>4000.0</v>
      </c>
      <c r="BU202" s="12" t="s">
        <v>621</v>
      </c>
    </row>
    <row r="203">
      <c r="A203" s="12" t="s">
        <v>1658</v>
      </c>
      <c r="B203" s="12" t="s">
        <v>54</v>
      </c>
      <c r="C203" s="14">
        <v>45937.0</v>
      </c>
      <c r="D203" s="12" t="s">
        <v>1245</v>
      </c>
      <c r="F203" s="12" t="s">
        <v>1659</v>
      </c>
      <c r="G203" s="12" t="s">
        <v>1082</v>
      </c>
      <c r="H203" s="12">
        <v>1.0</v>
      </c>
      <c r="I203" s="17">
        <v>600.0</v>
      </c>
      <c r="J203" s="17">
        <v>600.0</v>
      </c>
      <c r="BO203" s="17">
        <v>600.0</v>
      </c>
      <c r="BR203" s="17">
        <v>600.0</v>
      </c>
      <c r="BU203" s="12" t="s">
        <v>621</v>
      </c>
    </row>
    <row r="204">
      <c r="A204" s="12" t="s">
        <v>1661</v>
      </c>
      <c r="B204" s="12" t="s">
        <v>54</v>
      </c>
      <c r="C204" s="14">
        <v>45939.0</v>
      </c>
      <c r="D204" s="12" t="s">
        <v>1316</v>
      </c>
      <c r="F204" s="12" t="s">
        <v>1662</v>
      </c>
      <c r="G204" s="12" t="s">
        <v>1756</v>
      </c>
      <c r="H204" s="12">
        <v>1.0</v>
      </c>
      <c r="I204" s="17">
        <v>914.16</v>
      </c>
      <c r="J204" s="17">
        <v>914.16</v>
      </c>
      <c r="BO204" s="17">
        <v>914.16</v>
      </c>
      <c r="BR204" s="17">
        <v>914.16</v>
      </c>
      <c r="BU204" s="12" t="s">
        <v>621</v>
      </c>
    </row>
    <row r="205">
      <c r="A205" s="12" t="s">
        <v>1665</v>
      </c>
      <c r="B205" s="12" t="s">
        <v>54</v>
      </c>
      <c r="C205" s="14">
        <v>45931.0</v>
      </c>
      <c r="D205" s="12" t="s">
        <v>831</v>
      </c>
      <c r="F205" s="12" t="s">
        <v>834</v>
      </c>
      <c r="G205" s="12" t="s">
        <v>836</v>
      </c>
      <c r="H205" s="12">
        <v>1.0</v>
      </c>
      <c r="I205" s="17">
        <v>2031.41</v>
      </c>
      <c r="J205" s="17">
        <v>2031.41</v>
      </c>
      <c r="BO205" s="17">
        <v>2031.41</v>
      </c>
      <c r="BR205" s="17">
        <v>2031.41</v>
      </c>
      <c r="BU205" s="12" t="s">
        <v>621</v>
      </c>
    </row>
    <row r="206">
      <c r="A206" s="12" t="s">
        <v>1667</v>
      </c>
      <c r="B206" s="12" t="s">
        <v>54</v>
      </c>
      <c r="C206" s="14">
        <v>45939.0</v>
      </c>
      <c r="D206" s="12" t="s">
        <v>1668</v>
      </c>
      <c r="F206" s="12" t="s">
        <v>1671</v>
      </c>
      <c r="G206" s="12" t="s">
        <v>874</v>
      </c>
      <c r="H206" s="12">
        <v>1.0</v>
      </c>
      <c r="I206" s="17">
        <v>125.0</v>
      </c>
      <c r="J206" s="17">
        <v>125.0</v>
      </c>
      <c r="BO206" s="17">
        <v>125.0</v>
      </c>
      <c r="BR206" s="17">
        <v>125.0</v>
      </c>
      <c r="BU206" s="12" t="s">
        <v>621</v>
      </c>
    </row>
    <row r="207">
      <c r="A207" s="12" t="s">
        <v>1674</v>
      </c>
      <c r="B207" s="12" t="s">
        <v>54</v>
      </c>
      <c r="C207" s="14">
        <v>45939.0</v>
      </c>
      <c r="D207" s="12" t="s">
        <v>933</v>
      </c>
      <c r="F207" s="12" t="s">
        <v>1346</v>
      </c>
      <c r="G207" s="12" t="s">
        <v>936</v>
      </c>
      <c r="H207" s="12">
        <v>1.0</v>
      </c>
      <c r="I207" s="17">
        <v>500.0</v>
      </c>
      <c r="J207" s="17">
        <v>500.0</v>
      </c>
      <c r="BO207" s="17">
        <v>500.0</v>
      </c>
      <c r="BR207" s="17">
        <v>500.0</v>
      </c>
      <c r="BU207" s="12" t="s">
        <v>621</v>
      </c>
    </row>
    <row r="208">
      <c r="A208" s="12" t="s">
        <v>1676</v>
      </c>
      <c r="B208" s="12" t="s">
        <v>54</v>
      </c>
      <c r="C208" s="14">
        <v>45939.0</v>
      </c>
      <c r="D208" s="12" t="s">
        <v>897</v>
      </c>
      <c r="F208" s="12" t="s">
        <v>909</v>
      </c>
      <c r="G208" s="12" t="s">
        <v>911</v>
      </c>
      <c r="H208" s="12">
        <v>1.0</v>
      </c>
      <c r="I208" s="17">
        <v>0.0</v>
      </c>
      <c r="J208" s="17">
        <v>0.0</v>
      </c>
      <c r="BO208" s="17">
        <v>0.0</v>
      </c>
      <c r="BR208" s="17">
        <v>0.0</v>
      </c>
      <c r="BU208" s="12" t="s">
        <v>621</v>
      </c>
    </row>
    <row r="209">
      <c r="A209" s="12" t="s">
        <v>1679</v>
      </c>
      <c r="B209" s="12" t="s">
        <v>54</v>
      </c>
      <c r="C209" s="14">
        <v>45944.0</v>
      </c>
      <c r="D209" s="17">
        <v>9.6759515E7</v>
      </c>
      <c r="F209" s="12" t="s">
        <v>1681</v>
      </c>
      <c r="G209" s="12" t="s">
        <v>618</v>
      </c>
      <c r="H209" s="12">
        <v>1.0</v>
      </c>
      <c r="I209" s="17">
        <v>3000.0</v>
      </c>
      <c r="J209" s="17">
        <v>3000.0</v>
      </c>
      <c r="BO209" s="17">
        <v>3000.0</v>
      </c>
      <c r="BR209" s="17">
        <v>3000.0</v>
      </c>
      <c r="BU209" s="12" t="s">
        <v>621</v>
      </c>
    </row>
    <row r="210">
      <c r="A210" s="12" t="s">
        <v>1682</v>
      </c>
      <c r="B210" s="12" t="s">
        <v>54</v>
      </c>
      <c r="C210" s="14">
        <v>45944.0</v>
      </c>
      <c r="D210" s="12" t="s">
        <v>912</v>
      </c>
      <c r="F210" s="12" t="s">
        <v>1685</v>
      </c>
      <c r="G210" s="12" t="s">
        <v>797</v>
      </c>
      <c r="H210" s="12">
        <v>1.0</v>
      </c>
      <c r="I210" s="17">
        <v>2062.0</v>
      </c>
      <c r="J210" s="17">
        <v>2062.0</v>
      </c>
      <c r="BO210" s="17">
        <v>2062.0</v>
      </c>
      <c r="BR210" s="17">
        <v>2062.0</v>
      </c>
      <c r="BU210" s="12" t="s">
        <v>621</v>
      </c>
    </row>
    <row r="211">
      <c r="A211" s="12" t="s">
        <v>1686</v>
      </c>
      <c r="B211" s="12" t="s">
        <v>54</v>
      </c>
      <c r="C211" s="14">
        <v>45944.0</v>
      </c>
      <c r="F211" s="12" t="s">
        <v>1687</v>
      </c>
      <c r="G211" s="12" t="s">
        <v>1113</v>
      </c>
      <c r="H211" s="12">
        <v>1.0</v>
      </c>
      <c r="I211" s="17">
        <v>500.0</v>
      </c>
      <c r="J211" s="17">
        <v>500.0</v>
      </c>
      <c r="BO211" s="17">
        <v>500.0</v>
      </c>
      <c r="BR211" s="17">
        <v>500.0</v>
      </c>
      <c r="BU211" s="12" t="s">
        <v>621</v>
      </c>
      <c r="BV211" s="12" t="s">
        <v>1183</v>
      </c>
    </row>
    <row r="212">
      <c r="A212" s="12" t="s">
        <v>1689</v>
      </c>
      <c r="B212" s="12" t="s">
        <v>54</v>
      </c>
      <c r="C212" s="14">
        <v>45944.0</v>
      </c>
      <c r="D212" s="12" t="s">
        <v>689</v>
      </c>
      <c r="F212" s="12" t="s">
        <v>959</v>
      </c>
      <c r="G212" s="12" t="s">
        <v>693</v>
      </c>
      <c r="H212" s="12">
        <v>1.0</v>
      </c>
      <c r="I212" s="17">
        <v>5000.0</v>
      </c>
      <c r="J212" s="17">
        <v>5000.0</v>
      </c>
      <c r="BO212" s="17">
        <v>5000.0</v>
      </c>
      <c r="BR212" s="17">
        <v>5000.0</v>
      </c>
      <c r="BU212" s="12" t="s">
        <v>621</v>
      </c>
    </row>
    <row r="213">
      <c r="A213" s="12" t="s">
        <v>1691</v>
      </c>
      <c r="B213" s="12" t="s">
        <v>54</v>
      </c>
      <c r="C213" s="14">
        <v>45944.0</v>
      </c>
      <c r="D213" s="12" t="s">
        <v>156</v>
      </c>
      <c r="F213" s="12" t="s">
        <v>1693</v>
      </c>
      <c r="G213" s="12" t="s">
        <v>797</v>
      </c>
      <c r="H213" s="12">
        <v>1.0</v>
      </c>
      <c r="I213" s="17">
        <v>758.81</v>
      </c>
      <c r="J213" s="17">
        <v>758.81</v>
      </c>
      <c r="BO213" s="17">
        <v>758.81</v>
      </c>
      <c r="BR213" s="17">
        <v>758.81</v>
      </c>
      <c r="BU213" s="12" t="s">
        <v>621</v>
      </c>
    </row>
    <row r="214">
      <c r="A214" s="12" t="s">
        <v>956</v>
      </c>
      <c r="B214" s="12" t="s">
        <v>612</v>
      </c>
      <c r="C214" s="14"/>
      <c r="D214" s="12" t="s">
        <v>689</v>
      </c>
      <c r="F214" s="12" t="s">
        <v>959</v>
      </c>
      <c r="G214" s="12" t="s">
        <v>693</v>
      </c>
      <c r="H214" s="12">
        <v>1.0</v>
      </c>
      <c r="I214" s="17">
        <v>5000.0</v>
      </c>
      <c r="J214" s="17">
        <v>5000.0</v>
      </c>
      <c r="BO214" s="17">
        <v>5000.0</v>
      </c>
      <c r="BR214" s="17">
        <v>5000.0</v>
      </c>
      <c r="BU214" s="12" t="s">
        <v>621</v>
      </c>
    </row>
    <row r="215">
      <c r="A215" s="12" t="s">
        <v>1695</v>
      </c>
      <c r="B215" s="12" t="s">
        <v>54</v>
      </c>
      <c r="C215" s="14">
        <v>45951.0</v>
      </c>
      <c r="D215" s="12" t="s">
        <v>156</v>
      </c>
      <c r="F215" s="12" t="s">
        <v>1697</v>
      </c>
      <c r="G215" s="12" t="s">
        <v>786</v>
      </c>
      <c r="H215" s="12">
        <v>1.0</v>
      </c>
      <c r="I215" s="17">
        <v>3930.17</v>
      </c>
      <c r="J215" s="17">
        <v>3930.17</v>
      </c>
      <c r="BO215" s="17">
        <v>3930.17</v>
      </c>
      <c r="BR215" s="17">
        <v>3930.17</v>
      </c>
      <c r="BU215" s="12" t="s">
        <v>621</v>
      </c>
    </row>
    <row r="216">
      <c r="A216" s="12">
        <v>1140.0</v>
      </c>
      <c r="B216" s="12" t="s">
        <v>54</v>
      </c>
      <c r="C216" s="14">
        <v>45947.0</v>
      </c>
      <c r="D216" s="12" t="s">
        <v>933</v>
      </c>
      <c r="F216" s="12" t="s">
        <v>1494</v>
      </c>
      <c r="G216" s="12" t="s">
        <v>1040</v>
      </c>
      <c r="H216" s="12">
        <v>1.0</v>
      </c>
      <c r="I216" s="17">
        <v>8086.0</v>
      </c>
      <c r="J216" s="17">
        <v>8086.0</v>
      </c>
      <c r="BO216" s="17">
        <v>8086.0</v>
      </c>
      <c r="BR216" s="17">
        <v>8086.0</v>
      </c>
      <c r="BU216" s="12" t="s">
        <v>621</v>
      </c>
    </row>
    <row r="217">
      <c r="A217" s="12">
        <v>1141.0</v>
      </c>
      <c r="B217" s="12" t="s">
        <v>54</v>
      </c>
      <c r="C217" s="14">
        <v>45946.0</v>
      </c>
      <c r="D217" s="12" t="s">
        <v>734</v>
      </c>
      <c r="F217" s="12" t="s">
        <v>1466</v>
      </c>
      <c r="G217" s="12" t="s">
        <v>1056</v>
      </c>
      <c r="H217" s="12">
        <v>1.0</v>
      </c>
      <c r="I217" s="17">
        <v>1445.21</v>
      </c>
      <c r="J217" s="17">
        <v>1445.21</v>
      </c>
      <c r="BO217" s="17">
        <v>1445.21</v>
      </c>
      <c r="BR217" s="17">
        <v>1445.21</v>
      </c>
      <c r="BU217" s="12" t="s">
        <v>621</v>
      </c>
    </row>
    <row r="218">
      <c r="A218" s="12">
        <v>1142.0</v>
      </c>
      <c r="B218" s="12" t="s">
        <v>54</v>
      </c>
      <c r="C218" s="14">
        <v>45946.0</v>
      </c>
      <c r="D218" s="12" t="s">
        <v>1067</v>
      </c>
      <c r="F218" s="12" t="s">
        <v>1068</v>
      </c>
      <c r="G218" s="12" t="s">
        <v>741</v>
      </c>
      <c r="H218" s="12">
        <v>1.0</v>
      </c>
      <c r="I218" s="17">
        <v>807.71</v>
      </c>
      <c r="J218" s="17">
        <v>807.71</v>
      </c>
      <c r="BO218" s="17">
        <v>807.71</v>
      </c>
      <c r="BR218" s="17">
        <v>807.71</v>
      </c>
      <c r="BU218" s="12" t="s">
        <v>621</v>
      </c>
    </row>
    <row r="219">
      <c r="A219" s="12">
        <v>1143.0</v>
      </c>
      <c r="B219" s="12" t="s">
        <v>54</v>
      </c>
      <c r="C219" s="14">
        <v>45946.0</v>
      </c>
      <c r="D219" s="12" t="s">
        <v>1484</v>
      </c>
      <c r="F219" s="12" t="s">
        <v>1485</v>
      </c>
      <c r="G219" s="12" t="s">
        <v>1486</v>
      </c>
      <c r="H219" s="12">
        <v>1.0</v>
      </c>
      <c r="I219" s="17">
        <v>0.0</v>
      </c>
      <c r="J219" s="17">
        <v>0.0</v>
      </c>
      <c r="BO219" s="17">
        <v>0.0</v>
      </c>
      <c r="BR219" s="17">
        <v>0.0</v>
      </c>
      <c r="BU219" s="12" t="s">
        <v>621</v>
      </c>
    </row>
    <row r="220">
      <c r="A220" s="12" t="s">
        <v>1703</v>
      </c>
      <c r="B220" s="12" t="s">
        <v>54</v>
      </c>
      <c r="C220" s="14">
        <v>45939.0</v>
      </c>
      <c r="D220" s="12" t="s">
        <v>1414</v>
      </c>
      <c r="F220" s="12" t="s">
        <v>1705</v>
      </c>
      <c r="G220" s="12" t="s">
        <v>1416</v>
      </c>
      <c r="H220" s="12">
        <v>1.0</v>
      </c>
      <c r="I220" s="17">
        <v>2020.0</v>
      </c>
      <c r="J220" s="17">
        <v>2020.0</v>
      </c>
      <c r="BO220" s="17">
        <v>2020.0</v>
      </c>
      <c r="BR220" s="17">
        <v>2020.0</v>
      </c>
      <c r="BU220" s="12" t="s">
        <v>621</v>
      </c>
    </row>
    <row r="221">
      <c r="A221" s="12" t="s">
        <v>1707</v>
      </c>
      <c r="B221" s="12" t="s">
        <v>54</v>
      </c>
      <c r="C221" s="14">
        <v>45950.0</v>
      </c>
      <c r="F221" s="12" t="s">
        <v>1709</v>
      </c>
      <c r="G221" s="12" t="s">
        <v>1113</v>
      </c>
      <c r="H221" s="12">
        <v>1.0</v>
      </c>
      <c r="I221" s="17">
        <v>100.0</v>
      </c>
      <c r="J221" s="17">
        <v>100.0</v>
      </c>
      <c r="BO221" s="17">
        <v>100.0</v>
      </c>
      <c r="BR221" s="17">
        <v>100.0</v>
      </c>
      <c r="BU221" s="12" t="s">
        <v>621</v>
      </c>
      <c r="BV221" s="12" t="s">
        <v>62</v>
      </c>
    </row>
    <row r="222">
      <c r="A222" s="12">
        <v>1144.0</v>
      </c>
      <c r="B222" s="12" t="s">
        <v>54</v>
      </c>
      <c r="C222" s="14">
        <v>45946.0</v>
      </c>
      <c r="D222" s="12" t="s">
        <v>818</v>
      </c>
      <c r="F222" s="12" t="s">
        <v>819</v>
      </c>
      <c r="G222" s="12" t="s">
        <v>820</v>
      </c>
      <c r="H222" s="12">
        <v>1.0</v>
      </c>
      <c r="I222" s="17">
        <v>0.0</v>
      </c>
      <c r="J222" s="17">
        <v>0.0</v>
      </c>
      <c r="BO222" s="17">
        <v>0.0</v>
      </c>
      <c r="BR222" s="17">
        <v>0.0</v>
      </c>
      <c r="BU222" s="12" t="s">
        <v>621</v>
      </c>
    </row>
    <row r="223">
      <c r="A223" s="12" t="s">
        <v>1711</v>
      </c>
      <c r="B223" s="12" t="s">
        <v>54</v>
      </c>
      <c r="C223" s="14">
        <v>45951.0</v>
      </c>
      <c r="D223" s="12" t="s">
        <v>1712</v>
      </c>
      <c r="F223" s="12" t="s">
        <v>1713</v>
      </c>
      <c r="G223" s="12" t="s">
        <v>1818</v>
      </c>
      <c r="H223" s="12">
        <v>1.0</v>
      </c>
      <c r="I223" s="17">
        <v>394.85</v>
      </c>
      <c r="J223" s="17">
        <v>394.85</v>
      </c>
      <c r="BO223" s="17">
        <v>394.85</v>
      </c>
      <c r="BR223" s="17">
        <v>394.85</v>
      </c>
      <c r="BU223" s="12" t="s">
        <v>621</v>
      </c>
    </row>
    <row r="224">
      <c r="A224" s="12" t="s">
        <v>1714</v>
      </c>
      <c r="B224" s="12" t="s">
        <v>54</v>
      </c>
      <c r="C224" s="14">
        <v>45951.0</v>
      </c>
      <c r="D224" s="12" t="s">
        <v>1715</v>
      </c>
      <c r="F224" s="12" t="s">
        <v>1713</v>
      </c>
      <c r="G224" s="12" t="s">
        <v>1818</v>
      </c>
      <c r="H224" s="12">
        <v>1.0</v>
      </c>
      <c r="I224" s="17">
        <v>462.29</v>
      </c>
      <c r="J224" s="17">
        <v>462.29</v>
      </c>
      <c r="BO224" s="17">
        <v>462.29</v>
      </c>
      <c r="BR224" s="17">
        <v>462.29</v>
      </c>
      <c r="BU224" s="12" t="s">
        <v>621</v>
      </c>
    </row>
    <row r="225">
      <c r="A225" s="12" t="s">
        <v>1717</v>
      </c>
      <c r="B225" s="12" t="s">
        <v>54</v>
      </c>
      <c r="C225" s="14">
        <v>45955.0</v>
      </c>
      <c r="D225" s="12" t="s">
        <v>1718</v>
      </c>
      <c r="F225" s="12" t="s">
        <v>1719</v>
      </c>
      <c r="G225" s="12" t="s">
        <v>1823</v>
      </c>
      <c r="H225" s="12">
        <v>1.0</v>
      </c>
      <c r="I225" s="17">
        <v>224.96</v>
      </c>
      <c r="J225" s="17">
        <v>224.96</v>
      </c>
      <c r="BO225" s="17">
        <v>224.96</v>
      </c>
      <c r="BR225" s="17">
        <v>224.96</v>
      </c>
      <c r="BU225" s="12" t="s">
        <v>621</v>
      </c>
    </row>
    <row r="226">
      <c r="A226" s="12">
        <v>1147.0</v>
      </c>
      <c r="B226" s="12" t="s">
        <v>54</v>
      </c>
      <c r="C226" s="14">
        <v>45951.0</v>
      </c>
      <c r="D226" s="12" t="s">
        <v>1712</v>
      </c>
      <c r="F226" s="19">
        <v>45931.0</v>
      </c>
      <c r="G226" s="12" t="s">
        <v>1818</v>
      </c>
      <c r="H226" s="12">
        <v>1.0</v>
      </c>
      <c r="I226" s="17">
        <v>236.83</v>
      </c>
      <c r="J226" s="17">
        <v>236.83</v>
      </c>
      <c r="BO226" s="17">
        <v>236.83</v>
      </c>
      <c r="BR226" s="17">
        <v>236.83</v>
      </c>
      <c r="BU226" s="12" t="s">
        <v>621</v>
      </c>
    </row>
    <row r="227">
      <c r="A227" s="12">
        <v>1148.0</v>
      </c>
      <c r="B227" s="12" t="s">
        <v>54</v>
      </c>
      <c r="C227" s="14">
        <v>45951.0</v>
      </c>
      <c r="D227" s="12" t="s">
        <v>1715</v>
      </c>
      <c r="F227" s="19">
        <v>45717.0</v>
      </c>
      <c r="G227" s="12" t="s">
        <v>1818</v>
      </c>
      <c r="H227" s="12">
        <v>1.0</v>
      </c>
      <c r="I227" s="17">
        <v>65.15</v>
      </c>
      <c r="J227" s="17">
        <v>65.15</v>
      </c>
      <c r="BO227" s="17">
        <v>65.15</v>
      </c>
      <c r="BR227" s="17">
        <v>65.15</v>
      </c>
      <c r="BU227" s="12" t="s">
        <v>621</v>
      </c>
    </row>
    <row r="228">
      <c r="A228" s="12" t="s">
        <v>1721</v>
      </c>
      <c r="B228" s="12" t="s">
        <v>54</v>
      </c>
      <c r="C228" s="14">
        <v>45957.0</v>
      </c>
      <c r="D228" s="12" t="s">
        <v>156</v>
      </c>
      <c r="F228" s="12" t="s">
        <v>1722</v>
      </c>
      <c r="G228" s="12" t="s">
        <v>797</v>
      </c>
      <c r="H228" s="12">
        <v>1.0</v>
      </c>
      <c r="I228" s="17">
        <v>2676.92</v>
      </c>
      <c r="J228" s="17">
        <v>2676.92</v>
      </c>
      <c r="BO228" s="17">
        <v>2676.92</v>
      </c>
      <c r="BR228" s="17">
        <v>2676.92</v>
      </c>
      <c r="BU228" s="12" t="s">
        <v>621</v>
      </c>
    </row>
    <row r="229">
      <c r="A229" s="12" t="s">
        <v>1724</v>
      </c>
      <c r="B229" s="12" t="s">
        <v>54</v>
      </c>
      <c r="C229" s="14">
        <v>45958.0</v>
      </c>
      <c r="F229" s="12" t="s">
        <v>1112</v>
      </c>
      <c r="G229" s="12" t="s">
        <v>1113</v>
      </c>
      <c r="H229" s="12">
        <v>1.0</v>
      </c>
      <c r="I229" s="17">
        <v>80.0</v>
      </c>
      <c r="J229" s="17">
        <v>80.0</v>
      </c>
      <c r="BO229" s="17">
        <v>80.0</v>
      </c>
      <c r="BR229" s="17">
        <v>80.0</v>
      </c>
      <c r="BU229" s="12" t="s">
        <v>621</v>
      </c>
      <c r="BV229" s="12" t="s">
        <v>78</v>
      </c>
    </row>
    <row r="230">
      <c r="A230" s="12" t="s">
        <v>1729</v>
      </c>
      <c r="B230" s="12" t="s">
        <v>54</v>
      </c>
      <c r="C230" s="14">
        <v>45958.0</v>
      </c>
      <c r="D230" s="12" t="s">
        <v>1730</v>
      </c>
      <c r="F230" s="12" t="s">
        <v>1719</v>
      </c>
      <c r="G230" s="12" t="s">
        <v>1823</v>
      </c>
      <c r="H230" s="12">
        <v>1.0</v>
      </c>
      <c r="I230" s="17">
        <v>205.91</v>
      </c>
      <c r="J230" s="17">
        <v>205.91</v>
      </c>
      <c r="BO230" s="17">
        <v>205.91</v>
      </c>
      <c r="BR230" s="17">
        <v>205.91</v>
      </c>
      <c r="BU230" s="12" t="s">
        <v>621</v>
      </c>
    </row>
    <row r="231">
      <c r="A231" s="12" t="s">
        <v>1733</v>
      </c>
      <c r="B231" s="12" t="s">
        <v>54</v>
      </c>
      <c r="C231" s="14">
        <v>45957.0</v>
      </c>
      <c r="D231" s="12" t="s">
        <v>156</v>
      </c>
      <c r="F231" s="12" t="s">
        <v>1734</v>
      </c>
      <c r="G231" s="12" t="s">
        <v>1236</v>
      </c>
      <c r="H231" s="12">
        <v>1.0</v>
      </c>
      <c r="I231" s="17">
        <v>226.8</v>
      </c>
      <c r="J231" s="17">
        <v>226.8</v>
      </c>
      <c r="BO231" s="17">
        <v>226.8</v>
      </c>
      <c r="BR231" s="17">
        <v>226.8</v>
      </c>
      <c r="BU231" s="12" t="s">
        <v>621</v>
      </c>
    </row>
    <row r="232">
      <c r="A232" s="12" t="s">
        <v>1736</v>
      </c>
      <c r="B232" s="12" t="s">
        <v>54</v>
      </c>
      <c r="C232" s="14">
        <v>45957.0</v>
      </c>
      <c r="D232" s="12" t="s">
        <v>156</v>
      </c>
      <c r="F232" s="12" t="s">
        <v>1737</v>
      </c>
      <c r="G232" s="12" t="s">
        <v>1236</v>
      </c>
      <c r="H232" s="12">
        <v>1.0</v>
      </c>
      <c r="I232" s="17">
        <v>281.25</v>
      </c>
      <c r="J232" s="17">
        <v>281.25</v>
      </c>
      <c r="BO232" s="17">
        <v>281.25</v>
      </c>
      <c r="BR232" s="17">
        <v>281.25</v>
      </c>
      <c r="BU232" s="12" t="s">
        <v>621</v>
      </c>
    </row>
    <row r="233">
      <c r="A233" s="12">
        <v>1154.0</v>
      </c>
      <c r="B233" s="12" t="s">
        <v>612</v>
      </c>
      <c r="C233" s="14"/>
      <c r="D233" s="12" t="s">
        <v>848</v>
      </c>
      <c r="F233" s="12" t="s">
        <v>1226</v>
      </c>
      <c r="G233" s="12" t="s">
        <v>852</v>
      </c>
      <c r="H233" s="12">
        <v>1.0</v>
      </c>
      <c r="I233" s="17">
        <v>4000.0</v>
      </c>
      <c r="J233" s="17">
        <v>4000.0</v>
      </c>
      <c r="BO233" s="17">
        <v>4000.0</v>
      </c>
      <c r="BR233" s="17">
        <v>4000.0</v>
      </c>
      <c r="BU233" s="12" t="s">
        <v>621</v>
      </c>
    </row>
    <row r="234">
      <c r="A234" s="12" t="s">
        <v>1740</v>
      </c>
      <c r="B234" s="12" t="s">
        <v>54</v>
      </c>
      <c r="C234" s="14">
        <v>45958.0</v>
      </c>
      <c r="D234" s="12" t="s">
        <v>1414</v>
      </c>
      <c r="F234" s="12" t="s">
        <v>1743</v>
      </c>
      <c r="G234" s="12" t="s">
        <v>1416</v>
      </c>
      <c r="H234" s="12">
        <v>1.0</v>
      </c>
      <c r="I234" s="17">
        <v>2144.0</v>
      </c>
      <c r="J234" s="17">
        <v>2144.0</v>
      </c>
      <c r="BO234" s="17">
        <v>2144.0</v>
      </c>
      <c r="BR234" s="17">
        <v>2144.0</v>
      </c>
      <c r="BU234" s="12" t="s">
        <v>621</v>
      </c>
    </row>
    <row r="235">
      <c r="A235" s="12" t="s">
        <v>1745</v>
      </c>
      <c r="B235" s="12" t="s">
        <v>612</v>
      </c>
      <c r="C235" s="14"/>
      <c r="D235" s="17">
        <v>9.6759515E7</v>
      </c>
      <c r="F235" s="12" t="s">
        <v>1746</v>
      </c>
      <c r="G235" s="12" t="s">
        <v>618</v>
      </c>
      <c r="H235" s="12">
        <v>1.0</v>
      </c>
      <c r="I235" s="17">
        <v>3000.0</v>
      </c>
      <c r="J235" s="17">
        <v>3000.0</v>
      </c>
      <c r="BO235" s="17">
        <v>3000.0</v>
      </c>
      <c r="BR235" s="17">
        <v>3000.0</v>
      </c>
      <c r="BU235" s="12" t="s">
        <v>621</v>
      </c>
    </row>
    <row r="236">
      <c r="A236" s="12" t="s">
        <v>1749</v>
      </c>
      <c r="B236" s="12" t="s">
        <v>54</v>
      </c>
      <c r="C236" s="14"/>
      <c r="D236" s="12" t="s">
        <v>1414</v>
      </c>
      <c r="F236" s="12" t="s">
        <v>1705</v>
      </c>
      <c r="G236" s="12" t="s">
        <v>1416</v>
      </c>
      <c r="H236" s="12">
        <v>1.0</v>
      </c>
      <c r="I236" s="17">
        <v>1555.0</v>
      </c>
      <c r="J236" s="17">
        <v>1555.0</v>
      </c>
      <c r="BO236" s="17">
        <v>1555.0</v>
      </c>
      <c r="BR236" s="17">
        <v>1555.0</v>
      </c>
      <c r="BU236" s="12" t="s">
        <v>621</v>
      </c>
    </row>
    <row r="237">
      <c r="A237" s="16" t="s">
        <v>2356</v>
      </c>
      <c r="B237" s="12" t="s">
        <v>54</v>
      </c>
      <c r="C237" s="14">
        <v>45959.0</v>
      </c>
      <c r="D237" s="12" t="s">
        <v>190</v>
      </c>
      <c r="E237" s="12" t="s">
        <v>1751</v>
      </c>
      <c r="F237" s="12" t="s">
        <v>1754</v>
      </c>
      <c r="BP237" s="12" t="s">
        <v>1752</v>
      </c>
      <c r="BQ237" s="12" t="b">
        <v>0</v>
      </c>
      <c r="BS237" s="16" t="s">
        <v>2364</v>
      </c>
      <c r="BT237" s="12" t="b">
        <v>1</v>
      </c>
      <c r="BU237" s="12" t="s">
        <v>69</v>
      </c>
    </row>
    <row r="238">
      <c r="A238" s="12" t="s">
        <v>1757</v>
      </c>
      <c r="B238" s="12" t="s">
        <v>54</v>
      </c>
      <c r="C238" s="14">
        <v>45957.0</v>
      </c>
      <c r="D238" s="12" t="s">
        <v>220</v>
      </c>
      <c r="E238" s="12" t="s">
        <v>1759</v>
      </c>
      <c r="F238" s="12" t="s">
        <v>1761</v>
      </c>
      <c r="BP238" s="12" t="s">
        <v>1760</v>
      </c>
      <c r="BQ238" s="12" t="b">
        <v>0</v>
      </c>
      <c r="BS238" s="16" t="s">
        <v>2374</v>
      </c>
      <c r="BT238" s="12" t="b">
        <v>1</v>
      </c>
      <c r="BU238" s="12" t="s">
        <v>69</v>
      </c>
    </row>
    <row r="239">
      <c r="A239" s="12" t="s">
        <v>1762</v>
      </c>
      <c r="B239" s="12" t="s">
        <v>54</v>
      </c>
      <c r="C239" s="14">
        <v>45959.0</v>
      </c>
      <c r="D239" s="12" t="s">
        <v>728</v>
      </c>
      <c r="E239" s="12" t="s">
        <v>1765</v>
      </c>
      <c r="F239" s="12" t="s">
        <v>733</v>
      </c>
      <c r="BP239" s="12" t="s">
        <v>1766</v>
      </c>
      <c r="BQ239" s="12" t="b">
        <v>0</v>
      </c>
      <c r="BS239" s="16" t="s">
        <v>2383</v>
      </c>
      <c r="BT239" s="12" t="b">
        <v>1</v>
      </c>
      <c r="BU239" s="12" t="s">
        <v>69</v>
      </c>
    </row>
    <row r="240">
      <c r="A240" s="12" t="s">
        <v>1768</v>
      </c>
      <c r="B240" s="12" t="s">
        <v>54</v>
      </c>
      <c r="C240" s="14">
        <v>45960.0</v>
      </c>
      <c r="D240" s="12" t="s">
        <v>1769</v>
      </c>
      <c r="E240" s="12" t="s">
        <v>1771</v>
      </c>
      <c r="F240" s="12" t="s">
        <v>1774</v>
      </c>
      <c r="BP240" s="12" t="s">
        <v>1773</v>
      </c>
      <c r="BQ240" s="12" t="b">
        <v>0</v>
      </c>
      <c r="BS240" s="16" t="s">
        <v>2391</v>
      </c>
      <c r="BT240" s="12" t="b">
        <v>1</v>
      </c>
      <c r="BU240" s="12" t="s">
        <v>69</v>
      </c>
    </row>
    <row r="241">
      <c r="A241" s="16" t="s">
        <v>2396</v>
      </c>
      <c r="B241" s="12" t="s">
        <v>54</v>
      </c>
      <c r="C241" s="14">
        <v>45960.0</v>
      </c>
      <c r="D241" s="12" t="s">
        <v>375</v>
      </c>
      <c r="E241" s="12" t="s">
        <v>1776</v>
      </c>
      <c r="F241" s="12" t="s">
        <v>1778</v>
      </c>
      <c r="BP241" s="12" t="s">
        <v>1777</v>
      </c>
      <c r="BQ241" s="12" t="b">
        <v>0</v>
      </c>
      <c r="BS241" s="16" t="s">
        <v>2404</v>
      </c>
      <c r="BT241" s="12" t="b">
        <v>1</v>
      </c>
      <c r="BU241" s="12" t="s">
        <v>69</v>
      </c>
    </row>
    <row r="242">
      <c r="A242" s="12">
        <v>1161.0</v>
      </c>
      <c r="B242" s="12" t="s">
        <v>54</v>
      </c>
      <c r="C242" s="14"/>
      <c r="D242" s="12" t="s">
        <v>1668</v>
      </c>
      <c r="F242" s="12" t="s">
        <v>1671</v>
      </c>
      <c r="G242" s="12" t="s">
        <v>874</v>
      </c>
      <c r="H242" s="12">
        <v>1.0</v>
      </c>
      <c r="I242" s="17">
        <v>125.0</v>
      </c>
      <c r="J242" s="17">
        <v>125.0</v>
      </c>
      <c r="BO242" s="17">
        <v>125.0</v>
      </c>
      <c r="BR242" s="17">
        <v>125.0</v>
      </c>
      <c r="BU242" s="12" t="s">
        <v>621</v>
      </c>
    </row>
    <row r="243">
      <c r="A243" s="12" t="s">
        <v>1781</v>
      </c>
      <c r="B243" s="12" t="s">
        <v>54</v>
      </c>
      <c r="C243" s="14"/>
      <c r="D243" s="12" t="s">
        <v>156</v>
      </c>
      <c r="F243" s="12" t="s">
        <v>1783</v>
      </c>
      <c r="G243" s="12" t="s">
        <v>1551</v>
      </c>
      <c r="H243" s="12">
        <v>1.0</v>
      </c>
      <c r="I243" s="17">
        <v>10.0</v>
      </c>
      <c r="J243" s="17">
        <v>10.0</v>
      </c>
      <c r="BO243" s="17">
        <v>10.0</v>
      </c>
      <c r="BR243" s="17">
        <v>10.0</v>
      </c>
      <c r="BU243" s="12" t="s">
        <v>1784</v>
      </c>
    </row>
    <row r="244">
      <c r="A244" s="12" t="s">
        <v>1785</v>
      </c>
      <c r="B244" s="12" t="s">
        <v>54</v>
      </c>
      <c r="C244" s="14"/>
      <c r="D244" s="12" t="s">
        <v>156</v>
      </c>
      <c r="F244" s="12" t="s">
        <v>1787</v>
      </c>
      <c r="G244" s="12" t="s">
        <v>786</v>
      </c>
      <c r="H244" s="12">
        <v>1.0</v>
      </c>
      <c r="I244" s="17">
        <v>2151.98</v>
      </c>
      <c r="J244" s="17">
        <v>2151.98</v>
      </c>
      <c r="BO244" s="17">
        <v>2151.98</v>
      </c>
      <c r="BR244" s="17">
        <v>2151.98</v>
      </c>
      <c r="BU244" s="12" t="s">
        <v>1784</v>
      </c>
    </row>
    <row r="245">
      <c r="A245" s="12" t="s">
        <v>1788</v>
      </c>
      <c r="B245" s="12" t="s">
        <v>54</v>
      </c>
      <c r="C245" s="14"/>
      <c r="D245" s="12" t="s">
        <v>156</v>
      </c>
      <c r="F245" s="12" t="s">
        <v>1790</v>
      </c>
      <c r="G245" s="12" t="s">
        <v>1236</v>
      </c>
      <c r="H245" s="12">
        <v>1.0</v>
      </c>
      <c r="I245" s="17">
        <v>733.49</v>
      </c>
      <c r="J245" s="17">
        <v>733.49</v>
      </c>
      <c r="BO245" s="17">
        <v>733.49</v>
      </c>
      <c r="BR245" s="17">
        <v>733.49</v>
      </c>
      <c r="BU245" s="12" t="s">
        <v>1784</v>
      </c>
    </row>
    <row r="246">
      <c r="A246" s="12" t="s">
        <v>1793</v>
      </c>
      <c r="B246" s="12" t="s">
        <v>54</v>
      </c>
      <c r="C246" s="14">
        <v>45958.0</v>
      </c>
      <c r="D246" s="12" t="s">
        <v>156</v>
      </c>
      <c r="E246" s="12" t="s">
        <v>1794</v>
      </c>
      <c r="F246" s="12" t="s">
        <v>293</v>
      </c>
      <c r="BP246" s="12" t="s">
        <v>1796</v>
      </c>
      <c r="BQ246" s="12" t="b">
        <v>0</v>
      </c>
      <c r="BT246" s="12" t="b">
        <v>0</v>
      </c>
      <c r="BU246" s="12" t="s">
        <v>69</v>
      </c>
      <c r="BW246" s="12" t="s">
        <v>1797</v>
      </c>
    </row>
    <row r="247">
      <c r="A247" s="12" t="s">
        <v>1800</v>
      </c>
      <c r="B247" s="12" t="s">
        <v>54</v>
      </c>
      <c r="C247" s="14">
        <v>45958.0</v>
      </c>
      <c r="D247" s="12" t="s">
        <v>156</v>
      </c>
      <c r="E247" s="12" t="s">
        <v>1801</v>
      </c>
      <c r="F247" s="12" t="s">
        <v>1804</v>
      </c>
      <c r="BP247" s="12" t="s">
        <v>1803</v>
      </c>
      <c r="BQ247" s="12" t="b">
        <v>0</v>
      </c>
      <c r="BT247" s="12" t="b">
        <v>0</v>
      </c>
      <c r="BU247" s="12" t="s">
        <v>69</v>
      </c>
    </row>
    <row r="248">
      <c r="A248" s="12" t="s">
        <v>1805</v>
      </c>
      <c r="B248" s="12" t="s">
        <v>54</v>
      </c>
      <c r="C248" s="14">
        <v>45959.0</v>
      </c>
      <c r="D248" s="12" t="s">
        <v>156</v>
      </c>
      <c r="E248" s="12" t="s">
        <v>1808</v>
      </c>
      <c r="F248" s="12" t="s">
        <v>586</v>
      </c>
      <c r="BP248" s="12" t="s">
        <v>1809</v>
      </c>
      <c r="BQ248" s="12" t="b">
        <v>0</v>
      </c>
      <c r="BT248" s="12" t="b">
        <v>0</v>
      </c>
      <c r="BU248" s="12" t="s">
        <v>1784</v>
      </c>
      <c r="BW248" s="12" t="s">
        <v>1811</v>
      </c>
    </row>
    <row r="249">
      <c r="A249" s="12" t="s">
        <v>1812</v>
      </c>
      <c r="B249" s="12" t="s">
        <v>54</v>
      </c>
      <c r="C249" s="14"/>
      <c r="F249" s="12" t="s">
        <v>1814</v>
      </c>
      <c r="G249" s="12" t="s">
        <v>1196</v>
      </c>
      <c r="H249" s="12">
        <v>1.0</v>
      </c>
      <c r="I249" s="17">
        <v>585.0</v>
      </c>
      <c r="J249" s="17">
        <v>585.0</v>
      </c>
      <c r="BO249" s="17">
        <v>585.0</v>
      </c>
      <c r="BR249" s="17">
        <v>585.0</v>
      </c>
      <c r="BU249" s="12" t="s">
        <v>191</v>
      </c>
      <c r="BV249" s="12" t="s">
        <v>259</v>
      </c>
    </row>
    <row r="250">
      <c r="A250" s="12">
        <v>1166.0</v>
      </c>
      <c r="B250" s="12" t="s">
        <v>612</v>
      </c>
      <c r="C250" s="14"/>
      <c r="D250" s="12" t="s">
        <v>897</v>
      </c>
      <c r="F250" s="12" t="s">
        <v>909</v>
      </c>
      <c r="G250" s="12" t="s">
        <v>911</v>
      </c>
      <c r="H250" s="12">
        <v>1.0</v>
      </c>
      <c r="I250" s="17">
        <v>0.0</v>
      </c>
      <c r="J250" s="17">
        <v>0.0</v>
      </c>
      <c r="BO250" s="17">
        <v>0.0</v>
      </c>
      <c r="BR250" s="17">
        <v>0.0</v>
      </c>
      <c r="BU250" s="12" t="s">
        <v>621</v>
      </c>
    </row>
    <row r="251">
      <c r="A251" s="12">
        <v>1167.0</v>
      </c>
      <c r="B251" s="12" t="s">
        <v>612</v>
      </c>
      <c r="C251" s="14"/>
      <c r="D251" s="12" t="s">
        <v>933</v>
      </c>
      <c r="F251" s="12" t="s">
        <v>1346</v>
      </c>
      <c r="G251" s="12" t="s">
        <v>936</v>
      </c>
      <c r="H251" s="12">
        <v>1.0</v>
      </c>
      <c r="I251" s="17">
        <v>500.0</v>
      </c>
      <c r="J251" s="17">
        <v>500.0</v>
      </c>
      <c r="BO251" s="17">
        <v>500.0</v>
      </c>
      <c r="BR251" s="17">
        <v>500.0</v>
      </c>
      <c r="BU251" s="12" t="s">
        <v>621</v>
      </c>
    </row>
    <row r="252">
      <c r="A252" s="12" t="s">
        <v>1821</v>
      </c>
      <c r="B252" s="12" t="s">
        <v>54</v>
      </c>
      <c r="C252" s="14">
        <v>45962.0</v>
      </c>
      <c r="D252" s="12" t="s">
        <v>182</v>
      </c>
      <c r="E252" s="12" t="s">
        <v>1824</v>
      </c>
      <c r="F252" s="12" t="s">
        <v>1529</v>
      </c>
      <c r="BP252" s="12" t="s">
        <v>1825</v>
      </c>
      <c r="BQ252" s="12" t="b">
        <v>0</v>
      </c>
      <c r="BS252" s="16" t="s">
        <v>2508</v>
      </c>
      <c r="BT252" s="12" t="b">
        <v>1</v>
      </c>
      <c r="BU252" s="12" t="s">
        <v>69</v>
      </c>
    </row>
    <row r="253">
      <c r="A253" s="12" t="s">
        <v>1827</v>
      </c>
      <c r="B253" s="12" t="s">
        <v>54</v>
      </c>
      <c r="C253" s="14">
        <v>45961.0</v>
      </c>
      <c r="D253" s="12" t="s">
        <v>220</v>
      </c>
      <c r="E253" s="12" t="s">
        <v>1830</v>
      </c>
      <c r="F253" s="12" t="s">
        <v>1832</v>
      </c>
      <c r="BP253" s="12" t="s">
        <v>1831</v>
      </c>
      <c r="BQ253" s="12" t="b">
        <v>0</v>
      </c>
      <c r="BS253" s="16" t="s">
        <v>2520</v>
      </c>
      <c r="BT253" s="12" t="b">
        <v>1</v>
      </c>
      <c r="BU253" s="12" t="s">
        <v>69</v>
      </c>
    </row>
    <row r="254">
      <c r="A254" s="12" t="s">
        <v>1834</v>
      </c>
      <c r="B254" s="12" t="s">
        <v>54</v>
      </c>
      <c r="C254" s="14">
        <v>45963.0</v>
      </c>
      <c r="D254" s="12" t="s">
        <v>182</v>
      </c>
      <c r="E254" s="12" t="s">
        <v>1837</v>
      </c>
      <c r="F254" s="12" t="s">
        <v>1839</v>
      </c>
      <c r="BP254" s="12" t="s">
        <v>1838</v>
      </c>
      <c r="BQ254" s="12" t="b">
        <v>0</v>
      </c>
      <c r="BS254" s="16" t="s">
        <v>2529</v>
      </c>
      <c r="BT254" s="12" t="b">
        <v>1</v>
      </c>
      <c r="BU254" s="12" t="s">
        <v>69</v>
      </c>
    </row>
    <row r="255">
      <c r="A255" s="12" t="s">
        <v>1841</v>
      </c>
      <c r="B255" s="12" t="s">
        <v>54</v>
      </c>
      <c r="C255" s="14">
        <v>45959.0</v>
      </c>
      <c r="D255" s="12" t="s">
        <v>220</v>
      </c>
      <c r="E255" s="12" t="s">
        <v>1843</v>
      </c>
      <c r="F255" s="12" t="s">
        <v>1846</v>
      </c>
      <c r="BP255" s="12" t="s">
        <v>1844</v>
      </c>
      <c r="BQ255" s="12" t="b">
        <v>0</v>
      </c>
      <c r="BS255" s="16" t="s">
        <v>2542</v>
      </c>
      <c r="BT255" s="12" t="b">
        <v>1</v>
      </c>
      <c r="BU255" s="12" t="s">
        <v>69</v>
      </c>
    </row>
    <row r="256">
      <c r="A256" s="12" t="s">
        <v>1848</v>
      </c>
      <c r="B256" s="12" t="s">
        <v>54</v>
      </c>
      <c r="C256" s="14">
        <v>45955.0</v>
      </c>
      <c r="D256" s="12" t="s">
        <v>182</v>
      </c>
      <c r="E256" s="12" t="s">
        <v>1850</v>
      </c>
      <c r="F256" s="12" t="s">
        <v>1852</v>
      </c>
      <c r="BP256" s="12" t="s">
        <v>1851</v>
      </c>
      <c r="BQ256" s="12" t="b">
        <v>0</v>
      </c>
      <c r="BS256" s="16" t="s">
        <v>2547</v>
      </c>
      <c r="BT256" s="12" t="b">
        <v>1</v>
      </c>
      <c r="BU256" s="12" t="s">
        <v>69</v>
      </c>
    </row>
    <row r="257">
      <c r="A257" s="12" t="s">
        <v>1855</v>
      </c>
      <c r="B257" s="12" t="s">
        <v>54</v>
      </c>
      <c r="C257" s="14">
        <v>45963.0</v>
      </c>
      <c r="D257" s="12" t="s">
        <v>182</v>
      </c>
      <c r="E257" s="12" t="s">
        <v>1857</v>
      </c>
      <c r="F257" s="12" t="s">
        <v>1852</v>
      </c>
      <c r="BP257" s="12" t="s">
        <v>1858</v>
      </c>
      <c r="BQ257" s="12" t="b">
        <v>0</v>
      </c>
      <c r="BS257" s="16" t="s">
        <v>2551</v>
      </c>
      <c r="BT257" s="12" t="b">
        <v>1</v>
      </c>
      <c r="BU257" s="12" t="s">
        <v>1784</v>
      </c>
    </row>
    <row r="258">
      <c r="A258" s="12" t="s">
        <v>1860</v>
      </c>
      <c r="B258" s="12" t="s">
        <v>54</v>
      </c>
      <c r="C258" s="14">
        <v>45964.0</v>
      </c>
      <c r="D258" s="12" t="s">
        <v>1043</v>
      </c>
      <c r="E258" s="12" t="s">
        <v>1863</v>
      </c>
      <c r="F258" s="12" t="s">
        <v>1865</v>
      </c>
      <c r="BP258" s="12" t="s">
        <v>1864</v>
      </c>
      <c r="BQ258" s="12" t="b">
        <v>0</v>
      </c>
      <c r="BS258" s="16" t="s">
        <v>2559</v>
      </c>
      <c r="BT258" s="12" t="b">
        <v>1</v>
      </c>
      <c r="BU258" s="12" t="s">
        <v>69</v>
      </c>
    </row>
    <row r="259">
      <c r="A259" s="12" t="s">
        <v>1867</v>
      </c>
      <c r="B259" s="12" t="s">
        <v>54</v>
      </c>
      <c r="C259" s="14">
        <v>45964.0</v>
      </c>
      <c r="D259" s="12" t="s">
        <v>1870</v>
      </c>
      <c r="E259" s="12" t="s">
        <v>1871</v>
      </c>
      <c r="F259" s="12" t="s">
        <v>65</v>
      </c>
      <c r="BP259" s="12" t="s">
        <v>1872</v>
      </c>
      <c r="BQ259" s="12" t="b">
        <v>0</v>
      </c>
      <c r="BS259" s="16" t="s">
        <v>2570</v>
      </c>
      <c r="BT259" s="12" t="b">
        <v>1</v>
      </c>
      <c r="BU259" s="12" t="s">
        <v>69</v>
      </c>
    </row>
    <row r="260">
      <c r="A260" s="12" t="s">
        <v>1874</v>
      </c>
      <c r="B260" s="12" t="s">
        <v>54</v>
      </c>
      <c r="C260" s="14">
        <v>45964.0</v>
      </c>
      <c r="F260" s="12" t="s">
        <v>1112</v>
      </c>
      <c r="G260" s="12" t="s">
        <v>1113</v>
      </c>
      <c r="H260" s="12">
        <v>1.0</v>
      </c>
      <c r="I260" s="17">
        <v>100.0</v>
      </c>
      <c r="J260" s="17">
        <v>100.0</v>
      </c>
      <c r="BO260" s="17">
        <v>100.0</v>
      </c>
      <c r="BR260" s="17">
        <v>100.0</v>
      </c>
      <c r="BU260" s="12" t="s">
        <v>621</v>
      </c>
      <c r="BV260" s="12" t="s">
        <v>78</v>
      </c>
    </row>
    <row r="261">
      <c r="A261" s="12" t="s">
        <v>1878</v>
      </c>
      <c r="B261" s="12" t="s">
        <v>54</v>
      </c>
      <c r="C261" s="14">
        <v>45964.0</v>
      </c>
      <c r="D261" s="12" t="s">
        <v>1245</v>
      </c>
      <c r="F261" s="12" t="s">
        <v>1879</v>
      </c>
      <c r="G261" s="12" t="s">
        <v>1082</v>
      </c>
      <c r="H261" s="12">
        <v>1.0</v>
      </c>
      <c r="I261" s="17">
        <v>600.0</v>
      </c>
      <c r="J261" s="17">
        <v>600.0</v>
      </c>
      <c r="BO261" s="17">
        <v>600.0</v>
      </c>
      <c r="BR261" s="17">
        <v>600.0</v>
      </c>
      <c r="BU261" s="12" t="s">
        <v>621</v>
      </c>
    </row>
    <row r="262">
      <c r="A262" s="12" t="s">
        <v>1882</v>
      </c>
      <c r="B262" s="12" t="s">
        <v>54</v>
      </c>
      <c r="C262" s="14">
        <v>45965.0</v>
      </c>
      <c r="F262" s="12" t="s">
        <v>1884</v>
      </c>
      <c r="G262" s="12" t="s">
        <v>1196</v>
      </c>
      <c r="H262" s="12">
        <v>1.0</v>
      </c>
      <c r="I262" s="17">
        <v>1469.15</v>
      </c>
      <c r="J262" s="17">
        <v>1469.15</v>
      </c>
      <c r="BO262" s="17">
        <v>1469.15</v>
      </c>
      <c r="BR262" s="17">
        <v>1469.15</v>
      </c>
      <c r="BU262" s="12" t="s">
        <v>191</v>
      </c>
      <c r="BV262" s="12" t="s">
        <v>1183</v>
      </c>
    </row>
    <row r="263">
      <c r="A263" s="12" t="s">
        <v>1886</v>
      </c>
      <c r="B263" s="12" t="s">
        <v>54</v>
      </c>
      <c r="C263" s="14">
        <v>45965.0</v>
      </c>
      <c r="F263" s="12" t="s">
        <v>1644</v>
      </c>
      <c r="G263" s="12" t="s">
        <v>1196</v>
      </c>
      <c r="H263" s="12">
        <v>1.0</v>
      </c>
      <c r="I263" s="17">
        <v>3500.0</v>
      </c>
      <c r="J263" s="17">
        <v>3500.0</v>
      </c>
      <c r="BO263" s="17">
        <v>3500.0</v>
      </c>
      <c r="BR263" s="17">
        <v>3500.0</v>
      </c>
      <c r="BU263" s="12" t="s">
        <v>191</v>
      </c>
      <c r="BV263" s="12" t="s">
        <v>727</v>
      </c>
    </row>
    <row r="264">
      <c r="A264" s="12" t="s">
        <v>1889</v>
      </c>
      <c r="B264" s="12" t="s">
        <v>54</v>
      </c>
      <c r="C264" s="14">
        <v>45965.0</v>
      </c>
      <c r="F264" s="12" t="s">
        <v>1884</v>
      </c>
      <c r="G264" s="12" t="s">
        <v>1196</v>
      </c>
      <c r="H264" s="12">
        <v>1.0</v>
      </c>
      <c r="I264" s="17">
        <v>3684.76</v>
      </c>
      <c r="J264" s="17">
        <v>3684.76</v>
      </c>
      <c r="BO264" s="17">
        <v>3684.76</v>
      </c>
      <c r="BR264" s="17">
        <v>3684.76</v>
      </c>
      <c r="BU264" s="12" t="s">
        <v>191</v>
      </c>
      <c r="BV264" s="12" t="s">
        <v>727</v>
      </c>
    </row>
    <row r="265">
      <c r="A265" s="12" t="s">
        <v>1892</v>
      </c>
      <c r="B265" s="12" t="s">
        <v>54</v>
      </c>
      <c r="C265" s="14">
        <v>45965.0</v>
      </c>
      <c r="F265" s="12" t="s">
        <v>1884</v>
      </c>
      <c r="G265" s="12" t="s">
        <v>1196</v>
      </c>
      <c r="H265" s="12">
        <v>1.0</v>
      </c>
      <c r="I265" s="17">
        <v>1950.82</v>
      </c>
      <c r="J265" s="17">
        <v>1950.82</v>
      </c>
      <c r="BO265" s="17">
        <v>1950.82</v>
      </c>
      <c r="BR265" s="17">
        <v>1950.82</v>
      </c>
      <c r="BU265" s="12" t="s">
        <v>191</v>
      </c>
      <c r="BV265" s="12" t="s">
        <v>62</v>
      </c>
    </row>
    <row r="266">
      <c r="A266" s="12" t="s">
        <v>1895</v>
      </c>
      <c r="B266" s="12" t="s">
        <v>54</v>
      </c>
      <c r="C266" s="14">
        <v>45965.0</v>
      </c>
      <c r="F266" s="12" t="s">
        <v>1884</v>
      </c>
      <c r="G266" s="12" t="s">
        <v>1196</v>
      </c>
      <c r="H266" s="12">
        <v>1.0</v>
      </c>
      <c r="I266" s="17">
        <v>2224.16</v>
      </c>
      <c r="J266" s="17">
        <v>2224.16</v>
      </c>
      <c r="BO266" s="17">
        <v>2224.16</v>
      </c>
      <c r="BR266" s="17">
        <v>2224.16</v>
      </c>
      <c r="BU266" s="12" t="s">
        <v>191</v>
      </c>
      <c r="BV266" s="12" t="s">
        <v>78</v>
      </c>
    </row>
    <row r="267">
      <c r="A267" s="12" t="s">
        <v>1897</v>
      </c>
      <c r="B267" s="12" t="s">
        <v>54</v>
      </c>
      <c r="C267" s="14">
        <v>45965.0</v>
      </c>
      <c r="F267" s="12" t="s">
        <v>1884</v>
      </c>
      <c r="G267" s="12" t="s">
        <v>1196</v>
      </c>
      <c r="H267" s="12">
        <v>1.0</v>
      </c>
      <c r="I267" s="17">
        <v>2257.26</v>
      </c>
      <c r="J267" s="17">
        <v>2257.26</v>
      </c>
      <c r="BO267" s="17">
        <v>2257.26</v>
      </c>
      <c r="BR267" s="17">
        <v>2257.26</v>
      </c>
      <c r="BU267" s="12" t="s">
        <v>191</v>
      </c>
      <c r="BV267" s="12" t="s">
        <v>1900</v>
      </c>
    </row>
    <row r="268">
      <c r="A268" s="12">
        <v>1176.0</v>
      </c>
      <c r="B268" s="12" t="s">
        <v>612</v>
      </c>
      <c r="C268" s="14"/>
      <c r="D268" s="12" t="s">
        <v>689</v>
      </c>
      <c r="F268" s="12" t="s">
        <v>959</v>
      </c>
      <c r="G268" s="12" t="s">
        <v>693</v>
      </c>
      <c r="H268" s="12">
        <v>1.0</v>
      </c>
      <c r="I268" s="17">
        <v>5000.0</v>
      </c>
      <c r="J268" s="17">
        <v>5000.0</v>
      </c>
      <c r="BO268" s="17">
        <v>5000.0</v>
      </c>
      <c r="BR268" s="17">
        <v>5000.0</v>
      </c>
      <c r="BU268" s="12" t="s">
        <v>621</v>
      </c>
    </row>
    <row r="269">
      <c r="A269" s="12">
        <v>1177.0</v>
      </c>
      <c r="B269" s="12" t="s">
        <v>54</v>
      </c>
      <c r="C269" s="14"/>
      <c r="D269" s="12" t="s">
        <v>156</v>
      </c>
      <c r="F269" s="12" t="s">
        <v>1905</v>
      </c>
      <c r="G269" s="12" t="s">
        <v>1082</v>
      </c>
      <c r="H269" s="12">
        <v>1.0</v>
      </c>
      <c r="I269" s="17">
        <v>625.0</v>
      </c>
      <c r="J269" s="17">
        <v>625.0</v>
      </c>
      <c r="BO269" s="17">
        <v>625.0</v>
      </c>
      <c r="BR269" s="17">
        <v>625.0</v>
      </c>
      <c r="BU269" s="12" t="s">
        <v>621</v>
      </c>
    </row>
    <row r="270">
      <c r="A270" s="12">
        <v>1178.0</v>
      </c>
      <c r="B270" s="12" t="s">
        <v>54</v>
      </c>
      <c r="C270" s="14"/>
      <c r="D270" s="12" t="s">
        <v>156</v>
      </c>
      <c r="F270" s="12" t="s">
        <v>1909</v>
      </c>
      <c r="G270" s="12" t="s">
        <v>1906</v>
      </c>
      <c r="H270" s="12">
        <v>1.0</v>
      </c>
      <c r="I270" s="17">
        <v>375.0</v>
      </c>
      <c r="J270" s="17">
        <v>375.0</v>
      </c>
      <c r="BO270" s="17">
        <v>375.0</v>
      </c>
      <c r="BR270" s="17">
        <v>375.0</v>
      </c>
      <c r="BU270" s="12" t="s">
        <v>621</v>
      </c>
    </row>
    <row r="271">
      <c r="A271" s="12">
        <v>1179.0</v>
      </c>
      <c r="B271" s="12" t="s">
        <v>54</v>
      </c>
      <c r="C271" s="14"/>
      <c r="D271" s="12" t="s">
        <v>1914</v>
      </c>
      <c r="F271" s="12" t="s">
        <v>1916</v>
      </c>
      <c r="G271" s="12" t="s">
        <v>1908</v>
      </c>
      <c r="H271" s="12">
        <v>1.0</v>
      </c>
      <c r="I271" s="17">
        <v>1110.0</v>
      </c>
      <c r="J271" s="17">
        <v>1110.0</v>
      </c>
      <c r="BO271" s="17">
        <v>1110.0</v>
      </c>
      <c r="BR271" s="17">
        <v>1110.0</v>
      </c>
      <c r="BU271" s="12" t="s">
        <v>621</v>
      </c>
    </row>
    <row r="272">
      <c r="A272" s="12" t="s">
        <v>1918</v>
      </c>
      <c r="B272" s="12" t="s">
        <v>54</v>
      </c>
      <c r="C272" s="14">
        <v>45966.0</v>
      </c>
      <c r="D272" s="12" t="s">
        <v>1921</v>
      </c>
      <c r="E272" s="12" t="s">
        <v>1922</v>
      </c>
      <c r="F272" s="12" t="s">
        <v>1926</v>
      </c>
      <c r="BP272" s="12" t="s">
        <v>1923</v>
      </c>
      <c r="BQ272" s="12" t="b">
        <v>0</v>
      </c>
      <c r="BS272" s="16" t="s">
        <v>2677</v>
      </c>
      <c r="BT272" s="12" t="b">
        <v>1</v>
      </c>
      <c r="BU272" s="12" t="s">
        <v>69</v>
      </c>
    </row>
    <row r="273">
      <c r="A273" s="12" t="s">
        <v>1928</v>
      </c>
      <c r="B273" s="12" t="s">
        <v>54</v>
      </c>
      <c r="C273" s="14">
        <v>45966.0</v>
      </c>
      <c r="D273" s="12" t="s">
        <v>345</v>
      </c>
      <c r="E273" s="12" t="s">
        <v>1931</v>
      </c>
      <c r="F273" s="12" t="s">
        <v>1934</v>
      </c>
      <c r="BP273" s="12" t="s">
        <v>1932</v>
      </c>
      <c r="BQ273" s="12" t="b">
        <v>0</v>
      </c>
      <c r="BS273" s="16" t="s">
        <v>2684</v>
      </c>
      <c r="BT273" s="12" t="b">
        <v>1</v>
      </c>
      <c r="BU273" s="12" t="s">
        <v>1784</v>
      </c>
    </row>
    <row r="274">
      <c r="A274" s="12" t="s">
        <v>1937</v>
      </c>
      <c r="B274" s="12" t="s">
        <v>54</v>
      </c>
      <c r="C274" s="14">
        <v>45965.0</v>
      </c>
      <c r="D274" s="12" t="s">
        <v>375</v>
      </c>
      <c r="E274" s="12" t="s">
        <v>1939</v>
      </c>
      <c r="F274" s="12" t="s">
        <v>1778</v>
      </c>
      <c r="BP274" s="12" t="s">
        <v>1940</v>
      </c>
      <c r="BQ274" s="12" t="b">
        <v>0</v>
      </c>
      <c r="BS274" s="16" t="s">
        <v>2694</v>
      </c>
      <c r="BT274" s="12" t="b">
        <v>1</v>
      </c>
      <c r="BU274" s="12" t="s">
        <v>69</v>
      </c>
    </row>
    <row r="275">
      <c r="A275" s="16" t="s">
        <v>2698</v>
      </c>
      <c r="B275" s="12" t="s">
        <v>54</v>
      </c>
      <c r="C275" s="14">
        <v>45961.0</v>
      </c>
      <c r="D275" s="12" t="s">
        <v>683</v>
      </c>
      <c r="E275" s="12" t="s">
        <v>1943</v>
      </c>
      <c r="F275" s="12" t="s">
        <v>1037</v>
      </c>
      <c r="BP275" s="12" t="s">
        <v>1944</v>
      </c>
      <c r="BQ275" s="12" t="b">
        <v>0</v>
      </c>
      <c r="BS275" s="16" t="s">
        <v>2704</v>
      </c>
      <c r="BT275" s="12" t="b">
        <v>1</v>
      </c>
      <c r="BU275" s="12" t="s">
        <v>69</v>
      </c>
    </row>
    <row r="276">
      <c r="A276" s="12" t="s">
        <v>1949</v>
      </c>
      <c r="B276" s="12" t="s">
        <v>54</v>
      </c>
      <c r="C276" s="14">
        <v>45965.0</v>
      </c>
      <c r="D276" s="12" t="s">
        <v>556</v>
      </c>
      <c r="E276" s="12" t="s">
        <v>1952</v>
      </c>
      <c r="F276" s="12" t="s">
        <v>859</v>
      </c>
      <c r="BP276" s="12" t="s">
        <v>1953</v>
      </c>
      <c r="BQ276" s="12" t="b">
        <v>0</v>
      </c>
      <c r="BS276" s="16" t="s">
        <v>2713</v>
      </c>
      <c r="BT276" s="12" t="b">
        <v>1</v>
      </c>
      <c r="BU276" s="12" t="s">
        <v>69</v>
      </c>
    </row>
    <row r="277">
      <c r="A277" s="12" t="s">
        <v>1911</v>
      </c>
      <c r="B277" s="12" t="s">
        <v>54</v>
      </c>
      <c r="C277" s="14">
        <v>45964.0</v>
      </c>
      <c r="D277" s="12" t="s">
        <v>590</v>
      </c>
      <c r="F277" s="12" t="s">
        <v>1959</v>
      </c>
      <c r="G277" s="12" t="s">
        <v>1912</v>
      </c>
      <c r="H277" s="12">
        <v>1.0</v>
      </c>
      <c r="I277" s="17">
        <v>1299.9</v>
      </c>
      <c r="J277" s="17">
        <v>1299.9</v>
      </c>
      <c r="BO277" s="17">
        <v>1299.9</v>
      </c>
      <c r="BR277" s="17">
        <v>1299.9</v>
      </c>
      <c r="BU277" s="12" t="s">
        <v>621</v>
      </c>
    </row>
    <row r="278">
      <c r="A278" s="12" t="s">
        <v>1917</v>
      </c>
      <c r="B278" s="12" t="s">
        <v>54</v>
      </c>
      <c r="C278" s="14">
        <v>45966.0</v>
      </c>
      <c r="D278" s="12" t="s">
        <v>1963</v>
      </c>
      <c r="F278" s="12" t="s">
        <v>1965</v>
      </c>
      <c r="G278" s="12" t="s">
        <v>1823</v>
      </c>
      <c r="H278" s="12">
        <v>1.0</v>
      </c>
      <c r="I278" s="17">
        <v>700.0</v>
      </c>
      <c r="J278" s="17">
        <v>700.0</v>
      </c>
      <c r="BO278" s="17">
        <v>700.0</v>
      </c>
      <c r="BR278" s="17">
        <v>700.0</v>
      </c>
      <c r="BU278" s="12" t="s">
        <v>621</v>
      </c>
    </row>
    <row r="279">
      <c r="A279" s="12" t="s">
        <v>1920</v>
      </c>
      <c r="B279" s="12" t="s">
        <v>54</v>
      </c>
      <c r="C279" s="14">
        <v>45966.0</v>
      </c>
      <c r="D279" s="12" t="s">
        <v>1969</v>
      </c>
      <c r="F279" s="12" t="s">
        <v>1970</v>
      </c>
      <c r="G279" s="12" t="s">
        <v>1823</v>
      </c>
      <c r="H279" s="12">
        <v>1.0</v>
      </c>
      <c r="I279" s="17">
        <v>2161.6</v>
      </c>
      <c r="J279" s="17">
        <v>2161.6</v>
      </c>
      <c r="BO279" s="17">
        <v>2161.6</v>
      </c>
      <c r="BR279" s="17">
        <v>2161.6</v>
      </c>
      <c r="BU279" s="12" t="s">
        <v>621</v>
      </c>
    </row>
    <row r="280">
      <c r="A280" s="12" t="s">
        <v>1974</v>
      </c>
      <c r="B280" s="12" t="s">
        <v>54</v>
      </c>
      <c r="C280" s="14">
        <v>45966.0</v>
      </c>
      <c r="D280" s="12" t="s">
        <v>441</v>
      </c>
      <c r="E280" s="12" t="s">
        <v>1977</v>
      </c>
      <c r="F280" s="12" t="s">
        <v>1979</v>
      </c>
      <c r="BP280" s="12" t="s">
        <v>1978</v>
      </c>
      <c r="BQ280" s="12" t="b">
        <v>0</v>
      </c>
      <c r="BS280" s="16" t="s">
        <v>2743</v>
      </c>
      <c r="BT280" s="12" t="b">
        <v>1</v>
      </c>
      <c r="BU280" s="12" t="s">
        <v>69</v>
      </c>
    </row>
    <row r="281">
      <c r="A281" s="12" t="s">
        <v>1982</v>
      </c>
      <c r="B281" s="12" t="s">
        <v>54</v>
      </c>
      <c r="C281" s="14">
        <v>45967.0</v>
      </c>
      <c r="D281" s="12" t="s">
        <v>355</v>
      </c>
      <c r="E281" s="12" t="s">
        <v>1985</v>
      </c>
      <c r="F281" s="12" t="s">
        <v>1988</v>
      </c>
      <c r="BP281" s="12" t="s">
        <v>1987</v>
      </c>
      <c r="BQ281" s="12" t="b">
        <v>0</v>
      </c>
      <c r="BS281" s="16" t="s">
        <v>2752</v>
      </c>
      <c r="BT281" s="12" t="b">
        <v>1</v>
      </c>
      <c r="BU281" s="12" t="s">
        <v>69</v>
      </c>
    </row>
    <row r="282">
      <c r="A282" s="12" t="s">
        <v>1927</v>
      </c>
      <c r="B282" s="12" t="s">
        <v>54</v>
      </c>
      <c r="C282" s="14">
        <v>45967.0</v>
      </c>
      <c r="F282" s="12" t="s">
        <v>1991</v>
      </c>
      <c r="G282" s="12" t="s">
        <v>1113</v>
      </c>
      <c r="H282" s="12">
        <v>1.0</v>
      </c>
      <c r="I282" s="17">
        <v>200.0</v>
      </c>
      <c r="J282" s="17">
        <v>200.0</v>
      </c>
      <c r="BO282" s="17">
        <v>200.0</v>
      </c>
      <c r="BR282" s="17">
        <v>200.0</v>
      </c>
      <c r="BU282" s="12" t="s">
        <v>621</v>
      </c>
      <c r="BV282" s="12" t="s">
        <v>78</v>
      </c>
    </row>
    <row r="283">
      <c r="A283" s="12" t="s">
        <v>1930</v>
      </c>
      <c r="B283" s="12" t="s">
        <v>54</v>
      </c>
      <c r="C283" s="14">
        <v>45967.0</v>
      </c>
      <c r="F283" s="12" t="s">
        <v>1991</v>
      </c>
      <c r="G283" s="12" t="s">
        <v>1113</v>
      </c>
      <c r="H283" s="12">
        <v>1.0</v>
      </c>
      <c r="I283" s="17">
        <v>500.0</v>
      </c>
      <c r="J283" s="17">
        <v>500.0</v>
      </c>
      <c r="BO283" s="17">
        <v>500.0</v>
      </c>
      <c r="BR283" s="17">
        <v>500.0</v>
      </c>
      <c r="BU283" s="12" t="s">
        <v>621</v>
      </c>
      <c r="BV283" s="12" t="s">
        <v>1900</v>
      </c>
    </row>
    <row r="284">
      <c r="A284" s="12" t="s">
        <v>1935</v>
      </c>
      <c r="B284" s="12" t="s">
        <v>54</v>
      </c>
      <c r="C284" s="14"/>
      <c r="D284" s="12" t="s">
        <v>1715</v>
      </c>
      <c r="F284" s="12" t="s">
        <v>45</v>
      </c>
      <c r="G284" s="12" t="s">
        <v>1936</v>
      </c>
      <c r="H284" s="12">
        <v>1.0</v>
      </c>
      <c r="I284" s="17">
        <v>621.53</v>
      </c>
      <c r="J284" s="17">
        <v>621.53</v>
      </c>
      <c r="BO284" s="17">
        <v>621.53</v>
      </c>
      <c r="BR284" s="17">
        <v>621.53</v>
      </c>
      <c r="BU284" s="12" t="s">
        <v>1784</v>
      </c>
    </row>
    <row r="285">
      <c r="A285" s="12" t="s">
        <v>2001</v>
      </c>
      <c r="B285" s="12" t="s">
        <v>54</v>
      </c>
      <c r="C285" s="14">
        <v>45968.0</v>
      </c>
      <c r="D285" s="12" t="s">
        <v>556</v>
      </c>
      <c r="E285" s="12" t="s">
        <v>2003</v>
      </c>
      <c r="F285" s="12" t="s">
        <v>687</v>
      </c>
      <c r="BP285" s="12" t="s">
        <v>2006</v>
      </c>
      <c r="BQ285" s="12" t="b">
        <v>0</v>
      </c>
      <c r="BS285" s="16" t="s">
        <v>2774</v>
      </c>
      <c r="BT285" s="12" t="b">
        <v>1</v>
      </c>
      <c r="BU285" s="12" t="s">
        <v>69</v>
      </c>
    </row>
    <row r="286">
      <c r="A286" s="12" t="s">
        <v>2011</v>
      </c>
      <c r="B286" s="12" t="s">
        <v>54</v>
      </c>
      <c r="C286" s="14">
        <v>45968.0</v>
      </c>
      <c r="D286" s="12" t="s">
        <v>2012</v>
      </c>
      <c r="E286" s="12" t="s">
        <v>2014</v>
      </c>
      <c r="F286" s="12" t="s">
        <v>2017</v>
      </c>
      <c r="BP286" s="12" t="s">
        <v>2016</v>
      </c>
      <c r="BQ286" s="12" t="b">
        <v>0</v>
      </c>
      <c r="BS286" s="16" t="s">
        <v>2780</v>
      </c>
      <c r="BT286" s="12" t="b">
        <v>1</v>
      </c>
      <c r="BU286" s="12" t="s">
        <v>69</v>
      </c>
    </row>
    <row r="287">
      <c r="A287" s="12" t="s">
        <v>2021</v>
      </c>
      <c r="B287" s="12" t="s">
        <v>54</v>
      </c>
      <c r="C287" s="14">
        <v>45964.0</v>
      </c>
      <c r="D287" s="12" t="s">
        <v>190</v>
      </c>
      <c r="E287" s="12" t="s">
        <v>2023</v>
      </c>
      <c r="F287" s="12" t="s">
        <v>1754</v>
      </c>
      <c r="BP287" s="12" t="s">
        <v>2025</v>
      </c>
      <c r="BQ287" s="12" t="b">
        <v>0</v>
      </c>
      <c r="BS287" s="16" t="s">
        <v>2787</v>
      </c>
      <c r="BT287" s="12" t="b">
        <v>1</v>
      </c>
      <c r="BU287" s="12" t="s">
        <v>69</v>
      </c>
    </row>
    <row r="288">
      <c r="A288" s="12" t="s">
        <v>2028</v>
      </c>
      <c r="B288" s="12" t="s">
        <v>54</v>
      </c>
      <c r="C288" s="14">
        <v>45967.0</v>
      </c>
      <c r="D288" s="12" t="s">
        <v>220</v>
      </c>
      <c r="E288" s="12" t="s">
        <v>2030</v>
      </c>
      <c r="F288" s="12" t="s">
        <v>2033</v>
      </c>
      <c r="BP288" s="12" t="s">
        <v>2032</v>
      </c>
      <c r="BQ288" s="12" t="b">
        <v>0</v>
      </c>
      <c r="BS288" s="16" t="s">
        <v>2793</v>
      </c>
      <c r="BT288" s="12" t="b">
        <v>1</v>
      </c>
      <c r="BU288" s="12" t="s">
        <v>69</v>
      </c>
    </row>
    <row r="289">
      <c r="A289" s="12" t="s">
        <v>2036</v>
      </c>
      <c r="B289" s="12" t="s">
        <v>54</v>
      </c>
      <c r="C289" s="14">
        <v>45964.0</v>
      </c>
      <c r="D289" s="12" t="s">
        <v>220</v>
      </c>
      <c r="E289" s="12" t="s">
        <v>2038</v>
      </c>
      <c r="F289" s="12" t="s">
        <v>2033</v>
      </c>
      <c r="BP289" s="12" t="s">
        <v>2040</v>
      </c>
      <c r="BQ289" s="12" t="b">
        <v>0</v>
      </c>
      <c r="BS289" s="16" t="s">
        <v>2797</v>
      </c>
      <c r="BT289" s="12" t="b">
        <v>1</v>
      </c>
      <c r="BU289" s="12" t="s">
        <v>69</v>
      </c>
    </row>
    <row r="290">
      <c r="A290" s="12" t="s">
        <v>2043</v>
      </c>
      <c r="B290" s="12" t="s">
        <v>54</v>
      </c>
      <c r="C290" s="14">
        <v>45965.0</v>
      </c>
      <c r="D290" s="12" t="s">
        <v>175</v>
      </c>
      <c r="E290" s="12" t="s">
        <v>2045</v>
      </c>
      <c r="F290" s="12" t="s">
        <v>2050</v>
      </c>
      <c r="BP290" s="12" t="s">
        <v>2048</v>
      </c>
      <c r="BQ290" s="12" t="b">
        <v>0</v>
      </c>
      <c r="BS290" s="16" t="s">
        <v>2805</v>
      </c>
      <c r="BT290" s="12" t="b">
        <v>1</v>
      </c>
      <c r="BU290" s="12" t="s">
        <v>69</v>
      </c>
    </row>
    <row r="291">
      <c r="A291" s="12" t="s">
        <v>2052</v>
      </c>
      <c r="B291" s="12" t="s">
        <v>54</v>
      </c>
      <c r="C291" s="14">
        <v>45969.0</v>
      </c>
      <c r="D291" s="12" t="s">
        <v>182</v>
      </c>
      <c r="E291" s="12" t="s">
        <v>2054</v>
      </c>
      <c r="F291" s="12" t="s">
        <v>1544</v>
      </c>
      <c r="BP291" s="12" t="s">
        <v>2055</v>
      </c>
      <c r="BQ291" s="12" t="b">
        <v>0</v>
      </c>
      <c r="BS291" s="16" t="s">
        <v>2810</v>
      </c>
      <c r="BT291" s="12" t="b">
        <v>1</v>
      </c>
      <c r="BU291" s="12" t="s">
        <v>69</v>
      </c>
    </row>
    <row r="292">
      <c r="A292" s="12" t="s">
        <v>2059</v>
      </c>
      <c r="B292" s="12" t="s">
        <v>54</v>
      </c>
      <c r="C292" s="14">
        <v>45967.0</v>
      </c>
      <c r="D292" s="12" t="s">
        <v>220</v>
      </c>
      <c r="E292" s="12" t="s">
        <v>2062</v>
      </c>
      <c r="F292" s="12" t="s">
        <v>2065</v>
      </c>
      <c r="BP292" s="12" t="s">
        <v>2063</v>
      </c>
      <c r="BQ292" s="12" t="b">
        <v>0</v>
      </c>
      <c r="BS292" s="16" t="s">
        <v>2817</v>
      </c>
      <c r="BT292" s="12" t="b">
        <v>1</v>
      </c>
      <c r="BU292" s="12" t="s">
        <v>69</v>
      </c>
    </row>
    <row r="293">
      <c r="A293" s="12" t="s">
        <v>2068</v>
      </c>
      <c r="B293" s="12" t="s">
        <v>54</v>
      </c>
      <c r="C293" s="14">
        <v>45970.0</v>
      </c>
      <c r="D293" s="12" t="s">
        <v>182</v>
      </c>
      <c r="E293" s="12" t="s">
        <v>2070</v>
      </c>
      <c r="F293" s="12" t="s">
        <v>1852</v>
      </c>
      <c r="BP293" s="12" t="s">
        <v>2071</v>
      </c>
      <c r="BQ293" s="12" t="b">
        <v>0</v>
      </c>
      <c r="BS293" s="16" t="s">
        <v>2830</v>
      </c>
      <c r="BT293" s="12" t="b">
        <v>1</v>
      </c>
      <c r="BU293" s="12" t="s">
        <v>69</v>
      </c>
    </row>
    <row r="294">
      <c r="A294" s="12">
        <v>1186.0</v>
      </c>
      <c r="B294" s="12" t="s">
        <v>612</v>
      </c>
      <c r="C294" s="14"/>
      <c r="D294" s="12" t="s">
        <v>933</v>
      </c>
      <c r="F294" s="12" t="s">
        <v>1494</v>
      </c>
      <c r="G294" s="12" t="s">
        <v>1040</v>
      </c>
      <c r="H294" s="12">
        <v>1.0</v>
      </c>
      <c r="I294" s="17">
        <v>0.0</v>
      </c>
      <c r="J294" s="17">
        <v>0.0</v>
      </c>
      <c r="BO294" s="17">
        <v>0.0</v>
      </c>
      <c r="BR294" s="17">
        <v>0.0</v>
      </c>
      <c r="BU294" s="12" t="s">
        <v>621</v>
      </c>
    </row>
    <row r="295">
      <c r="A295" s="12">
        <v>1187.0</v>
      </c>
      <c r="B295" s="12" t="s">
        <v>612</v>
      </c>
      <c r="C295" s="14"/>
      <c r="D295" s="12" t="s">
        <v>734</v>
      </c>
      <c r="F295" s="12" t="s">
        <v>1466</v>
      </c>
      <c r="G295" s="12" t="s">
        <v>1056</v>
      </c>
      <c r="H295" s="12">
        <v>1.0</v>
      </c>
      <c r="I295" s="17">
        <v>0.0</v>
      </c>
      <c r="J295" s="17">
        <v>0.0</v>
      </c>
      <c r="BO295" s="17">
        <v>0.0</v>
      </c>
      <c r="BR295" s="17">
        <v>0.0</v>
      </c>
      <c r="BU295" s="12" t="s">
        <v>621</v>
      </c>
    </row>
    <row r="296">
      <c r="A296" s="12">
        <v>1188.0</v>
      </c>
      <c r="B296" s="12" t="s">
        <v>612</v>
      </c>
      <c r="C296" s="14"/>
      <c r="D296" s="12" t="s">
        <v>1067</v>
      </c>
      <c r="F296" s="12" t="s">
        <v>1068</v>
      </c>
      <c r="G296" s="12" t="s">
        <v>741</v>
      </c>
      <c r="H296" s="12">
        <v>1.0</v>
      </c>
      <c r="I296" s="17">
        <v>0.0</v>
      </c>
      <c r="J296" s="17">
        <v>0.0</v>
      </c>
      <c r="BO296" s="17">
        <v>0.0</v>
      </c>
      <c r="BR296" s="17">
        <v>0.0</v>
      </c>
      <c r="BU296" s="12" t="s">
        <v>621</v>
      </c>
    </row>
    <row r="297">
      <c r="A297" s="12">
        <v>1189.0</v>
      </c>
      <c r="B297" s="12" t="s">
        <v>612</v>
      </c>
      <c r="C297" s="14"/>
      <c r="D297" s="12" t="s">
        <v>1484</v>
      </c>
      <c r="F297" s="12" t="s">
        <v>1485</v>
      </c>
      <c r="G297" s="12" t="s">
        <v>1486</v>
      </c>
      <c r="H297" s="12">
        <v>1.0</v>
      </c>
      <c r="I297" s="17">
        <v>0.0</v>
      </c>
      <c r="J297" s="17">
        <v>0.0</v>
      </c>
      <c r="BO297" s="17">
        <v>0.0</v>
      </c>
      <c r="BR297" s="17">
        <v>0.0</v>
      </c>
      <c r="BU297" s="12" t="s">
        <v>621</v>
      </c>
    </row>
    <row r="298">
      <c r="A298" s="12" t="s">
        <v>1947</v>
      </c>
      <c r="B298" s="12" t="s">
        <v>54</v>
      </c>
      <c r="C298" s="14">
        <v>45971.0</v>
      </c>
      <c r="D298" s="12" t="s">
        <v>1316</v>
      </c>
      <c r="F298" s="12" t="s">
        <v>2089</v>
      </c>
      <c r="G298" s="12" t="s">
        <v>1318</v>
      </c>
      <c r="H298" s="12">
        <v>1.0</v>
      </c>
      <c r="I298" s="17">
        <v>534.69</v>
      </c>
      <c r="J298" s="17">
        <v>534.69</v>
      </c>
      <c r="BO298" s="17">
        <v>534.69</v>
      </c>
      <c r="BR298" s="17">
        <v>534.69</v>
      </c>
      <c r="BU298" s="12" t="s">
        <v>621</v>
      </c>
    </row>
    <row r="299">
      <c r="A299" s="12" t="s">
        <v>2093</v>
      </c>
      <c r="B299" s="12" t="s">
        <v>54</v>
      </c>
      <c r="C299" s="14">
        <v>45972.0</v>
      </c>
      <c r="D299" s="12" t="s">
        <v>418</v>
      </c>
      <c r="E299" s="12" t="s">
        <v>2096</v>
      </c>
      <c r="F299" s="12" t="s">
        <v>423</v>
      </c>
      <c r="BP299" s="12" t="s">
        <v>2097</v>
      </c>
      <c r="BQ299" s="12" t="b">
        <v>0</v>
      </c>
      <c r="BT299" s="12" t="b">
        <v>0</v>
      </c>
      <c r="BU299" s="12" t="s">
        <v>69</v>
      </c>
    </row>
    <row r="300">
      <c r="A300" s="12" t="s">
        <v>2099</v>
      </c>
      <c r="B300" s="12" t="s">
        <v>54</v>
      </c>
      <c r="C300" s="14">
        <v>45973.0</v>
      </c>
      <c r="D300" s="12" t="s">
        <v>375</v>
      </c>
      <c r="E300" s="12" t="s">
        <v>2101</v>
      </c>
      <c r="F300" s="12" t="s">
        <v>1778</v>
      </c>
      <c r="BP300" s="12" t="s">
        <v>2102</v>
      </c>
      <c r="BQ300" s="12" t="b">
        <v>0</v>
      </c>
      <c r="BS300" s="16" t="s">
        <v>2887</v>
      </c>
      <c r="BT300" s="12" t="b">
        <v>1</v>
      </c>
      <c r="BU300" s="12" t="s">
        <v>69</v>
      </c>
      <c r="BW300" s="12" t="s">
        <v>2105</v>
      </c>
    </row>
    <row r="301">
      <c r="A301" s="12" t="s">
        <v>2107</v>
      </c>
      <c r="B301" s="12" t="s">
        <v>54</v>
      </c>
      <c r="C301" s="14">
        <v>45971.0</v>
      </c>
      <c r="D301" s="12" t="s">
        <v>784</v>
      </c>
      <c r="E301" s="12" t="s">
        <v>2109</v>
      </c>
      <c r="F301" s="12" t="s">
        <v>715</v>
      </c>
      <c r="BP301" s="12" t="s">
        <v>2111</v>
      </c>
      <c r="BQ301" s="12" t="b">
        <v>0</v>
      </c>
      <c r="BT301" s="12" t="b">
        <v>0</v>
      </c>
      <c r="BU301" s="12" t="s">
        <v>69</v>
      </c>
    </row>
    <row r="302">
      <c r="A302" s="12" t="s">
        <v>1951</v>
      </c>
      <c r="B302" s="12" t="s">
        <v>54</v>
      </c>
      <c r="C302" s="14"/>
      <c r="D302" s="12" t="s">
        <v>912</v>
      </c>
      <c r="F302" s="12" t="s">
        <v>2115</v>
      </c>
      <c r="G302" s="12" t="s">
        <v>786</v>
      </c>
      <c r="H302" s="12">
        <v>1.0</v>
      </c>
      <c r="I302" s="17">
        <v>111.0</v>
      </c>
      <c r="J302" s="17">
        <v>111.0</v>
      </c>
      <c r="BO302" s="17">
        <v>111.0</v>
      </c>
      <c r="BR302" s="17">
        <v>111.0</v>
      </c>
      <c r="BU302" s="12" t="s">
        <v>1784</v>
      </c>
    </row>
    <row r="303">
      <c r="A303" s="12" t="s">
        <v>1955</v>
      </c>
      <c r="B303" s="12" t="s">
        <v>54</v>
      </c>
      <c r="C303" s="14"/>
      <c r="D303" s="12" t="s">
        <v>156</v>
      </c>
      <c r="F303" s="12" t="s">
        <v>2118</v>
      </c>
      <c r="G303" s="12" t="s">
        <v>786</v>
      </c>
      <c r="H303" s="12">
        <v>1.0</v>
      </c>
      <c r="I303" s="17">
        <v>4296.0</v>
      </c>
      <c r="J303" s="17">
        <v>4296.0</v>
      </c>
      <c r="BO303" s="17">
        <v>4296.0</v>
      </c>
      <c r="BR303" s="17">
        <v>4296.0</v>
      </c>
      <c r="BU303" s="12" t="s">
        <v>1784</v>
      </c>
    </row>
    <row r="304">
      <c r="A304" s="12" t="s">
        <v>1958</v>
      </c>
      <c r="B304" s="12" t="s">
        <v>54</v>
      </c>
      <c r="C304" s="14">
        <v>45974.0</v>
      </c>
      <c r="D304" s="12" t="s">
        <v>2122</v>
      </c>
      <c r="F304" s="12" t="s">
        <v>1430</v>
      </c>
      <c r="G304" s="12" t="s">
        <v>1432</v>
      </c>
      <c r="H304" s="12">
        <v>1.0</v>
      </c>
      <c r="I304" s="17">
        <v>272.06</v>
      </c>
      <c r="J304" s="17">
        <v>272.06</v>
      </c>
      <c r="BO304" s="17">
        <v>272.06</v>
      </c>
      <c r="BR304" s="17">
        <v>272.06</v>
      </c>
      <c r="BU304" s="12" t="s">
        <v>621</v>
      </c>
    </row>
    <row r="305">
      <c r="A305" s="12" t="s">
        <v>1961</v>
      </c>
      <c r="B305" s="12" t="s">
        <v>54</v>
      </c>
      <c r="C305" s="14">
        <v>45974.0</v>
      </c>
      <c r="D305" s="12" t="s">
        <v>2125</v>
      </c>
      <c r="F305" s="12" t="s">
        <v>2127</v>
      </c>
      <c r="G305" s="12" t="s">
        <v>1962</v>
      </c>
      <c r="H305" s="12">
        <v>1.0</v>
      </c>
      <c r="I305" s="17">
        <v>50.0</v>
      </c>
      <c r="J305" s="17">
        <v>50.0</v>
      </c>
      <c r="BO305" s="17">
        <v>50.0</v>
      </c>
      <c r="BR305" s="17">
        <v>50.0</v>
      </c>
      <c r="BU305" s="12" t="s">
        <v>621</v>
      </c>
    </row>
    <row r="306">
      <c r="A306" s="12">
        <v>1.83758287E8</v>
      </c>
      <c r="B306" s="12" t="s">
        <v>54</v>
      </c>
      <c r="C306" s="14">
        <v>45975.0</v>
      </c>
      <c r="F306" s="12" t="s">
        <v>1112</v>
      </c>
      <c r="G306" s="12" t="s">
        <v>1113</v>
      </c>
      <c r="H306" s="12">
        <v>1.0</v>
      </c>
      <c r="I306" s="17">
        <v>500.0</v>
      </c>
      <c r="J306" s="17">
        <v>500.0</v>
      </c>
      <c r="BO306" s="17">
        <v>500.0</v>
      </c>
      <c r="BR306" s="17">
        <v>500.0</v>
      </c>
      <c r="BU306" s="12" t="s">
        <v>621</v>
      </c>
      <c r="BV306" s="12" t="s">
        <v>1183</v>
      </c>
    </row>
    <row r="307">
      <c r="A307" s="12" t="s">
        <v>1967</v>
      </c>
      <c r="B307" s="12" t="s">
        <v>54</v>
      </c>
      <c r="C307" s="14">
        <v>45975.0</v>
      </c>
      <c r="D307" s="12" t="s">
        <v>175</v>
      </c>
      <c r="F307" s="12" t="s">
        <v>2133</v>
      </c>
      <c r="G307" s="12" t="s">
        <v>1968</v>
      </c>
      <c r="H307" s="12">
        <v>1.0</v>
      </c>
      <c r="I307" s="17">
        <v>34.9</v>
      </c>
      <c r="J307" s="17">
        <v>34.9</v>
      </c>
      <c r="BO307" s="17">
        <v>34.9</v>
      </c>
      <c r="BR307" s="17">
        <v>34.9</v>
      </c>
      <c r="BU307" s="12" t="s">
        <v>621</v>
      </c>
    </row>
    <row r="308">
      <c r="A308" s="12" t="s">
        <v>1972</v>
      </c>
      <c r="B308" s="12" t="s">
        <v>54</v>
      </c>
      <c r="C308" s="14">
        <v>45975.0</v>
      </c>
      <c r="D308" s="12" t="s">
        <v>2136</v>
      </c>
      <c r="F308" s="12" t="s">
        <v>2137</v>
      </c>
      <c r="G308" s="12" t="s">
        <v>1823</v>
      </c>
      <c r="H308" s="12">
        <v>1.0</v>
      </c>
      <c r="I308" s="17">
        <v>389.97</v>
      </c>
      <c r="J308" s="17">
        <v>389.97</v>
      </c>
      <c r="BO308" s="17">
        <v>389.97</v>
      </c>
      <c r="BR308" s="17">
        <v>389.97</v>
      </c>
      <c r="BU308" s="12" t="s">
        <v>621</v>
      </c>
    </row>
    <row r="309">
      <c r="A309" s="12" t="s">
        <v>1976</v>
      </c>
      <c r="B309" s="12" t="s">
        <v>54</v>
      </c>
      <c r="C309" s="14">
        <v>45975.0</v>
      </c>
      <c r="D309" s="12" t="s">
        <v>1730</v>
      </c>
      <c r="F309" s="12" t="s">
        <v>1719</v>
      </c>
      <c r="G309" s="12" t="s">
        <v>1823</v>
      </c>
      <c r="H309" s="12">
        <v>1.0</v>
      </c>
      <c r="I309" s="17">
        <v>486.77</v>
      </c>
      <c r="J309" s="17">
        <v>486.77</v>
      </c>
      <c r="BO309" s="17">
        <v>486.77</v>
      </c>
      <c r="BR309" s="17">
        <v>486.77</v>
      </c>
      <c r="BU309" s="12" t="s">
        <v>621</v>
      </c>
    </row>
    <row r="310">
      <c r="A310" s="12">
        <v>1204.0</v>
      </c>
      <c r="B310" s="12" t="s">
        <v>612</v>
      </c>
      <c r="C310" s="14"/>
      <c r="D310" s="12" t="s">
        <v>818</v>
      </c>
      <c r="F310" s="12" t="s">
        <v>819</v>
      </c>
      <c r="G310" s="12" t="s">
        <v>820</v>
      </c>
      <c r="H310" s="12">
        <v>1.0</v>
      </c>
      <c r="I310" s="17">
        <v>0.0</v>
      </c>
      <c r="J310" s="17">
        <v>0.0</v>
      </c>
      <c r="BO310" s="17">
        <v>0.0</v>
      </c>
      <c r="BR310" s="17">
        <v>0.0</v>
      </c>
      <c r="BU310" s="12" t="s">
        <v>621</v>
      </c>
    </row>
    <row r="311">
      <c r="A311" s="12" t="s">
        <v>2145</v>
      </c>
      <c r="B311" s="12" t="s">
        <v>54</v>
      </c>
      <c r="C311" s="14">
        <v>45972.0</v>
      </c>
      <c r="D311" s="12" t="s">
        <v>556</v>
      </c>
      <c r="E311" s="12" t="s">
        <v>2148</v>
      </c>
      <c r="F311" s="12" t="s">
        <v>687</v>
      </c>
      <c r="BP311" s="12" t="s">
        <v>2149</v>
      </c>
      <c r="BQ311" s="12" t="b">
        <v>0</v>
      </c>
      <c r="BS311" s="16" t="s">
        <v>2978</v>
      </c>
      <c r="BT311" s="12" t="b">
        <v>1</v>
      </c>
      <c r="BU311" s="12" t="s">
        <v>1784</v>
      </c>
    </row>
    <row r="312">
      <c r="A312" s="12" t="s">
        <v>2152</v>
      </c>
      <c r="B312" s="12" t="s">
        <v>54</v>
      </c>
      <c r="C312" s="14">
        <v>45975.0</v>
      </c>
      <c r="D312" s="12" t="s">
        <v>556</v>
      </c>
      <c r="E312" s="12" t="s">
        <v>2155</v>
      </c>
      <c r="F312" s="12" t="s">
        <v>687</v>
      </c>
      <c r="BP312" s="12" t="s">
        <v>2156</v>
      </c>
      <c r="BQ312" s="12" t="b">
        <v>0</v>
      </c>
      <c r="BS312" s="16" t="s">
        <v>2988</v>
      </c>
      <c r="BT312" s="12" t="b">
        <v>1</v>
      </c>
      <c r="BU312" s="12" t="s">
        <v>69</v>
      </c>
    </row>
    <row r="313">
      <c r="A313" s="12" t="s">
        <v>2161</v>
      </c>
      <c r="B313" s="12" t="s">
        <v>54</v>
      </c>
      <c r="C313" s="14">
        <v>45976.0</v>
      </c>
      <c r="D313" s="12" t="s">
        <v>2163</v>
      </c>
      <c r="E313" s="12" t="s">
        <v>2164</v>
      </c>
      <c r="F313" s="12" t="s">
        <v>2168</v>
      </c>
      <c r="BP313" s="12" t="s">
        <v>2166</v>
      </c>
      <c r="BQ313" s="12" t="b">
        <v>0</v>
      </c>
      <c r="BS313" s="16" t="s">
        <v>2998</v>
      </c>
      <c r="BT313" s="12" t="b">
        <v>1</v>
      </c>
      <c r="BU313" s="12" t="s">
        <v>69</v>
      </c>
    </row>
    <row r="314">
      <c r="A314" s="12" t="s">
        <v>1984</v>
      </c>
      <c r="B314" s="12" t="s">
        <v>54</v>
      </c>
      <c r="C314" s="14">
        <v>45976.0</v>
      </c>
      <c r="D314" s="12" t="s">
        <v>2171</v>
      </c>
      <c r="F314" s="12" t="s">
        <v>2172</v>
      </c>
      <c r="G314" s="12" t="s">
        <v>1986</v>
      </c>
      <c r="H314" s="12">
        <v>1.0</v>
      </c>
      <c r="I314" s="17">
        <v>782.75</v>
      </c>
      <c r="J314" s="17">
        <v>782.75</v>
      </c>
      <c r="BO314" s="17">
        <v>782.75</v>
      </c>
      <c r="BR314" s="17">
        <v>782.75</v>
      </c>
      <c r="BU314" s="12" t="s">
        <v>621</v>
      </c>
    </row>
    <row r="315">
      <c r="A315" s="12">
        <v>1206.0</v>
      </c>
      <c r="B315" s="12" t="s">
        <v>54</v>
      </c>
      <c r="C315" s="14"/>
      <c r="D315" s="12" t="s">
        <v>1712</v>
      </c>
      <c r="F315" s="19">
        <v>45931.0</v>
      </c>
      <c r="G315" s="12" t="s">
        <v>1818</v>
      </c>
      <c r="H315" s="12">
        <v>1.0</v>
      </c>
      <c r="I315" s="17">
        <v>236.83</v>
      </c>
      <c r="J315" s="17">
        <v>236.83</v>
      </c>
      <c r="BO315" s="17">
        <v>236.83</v>
      </c>
      <c r="BR315" s="17">
        <v>236.83</v>
      </c>
      <c r="BU315" s="12" t="s">
        <v>1784</v>
      </c>
    </row>
    <row r="316">
      <c r="A316" s="12">
        <v>1207.0</v>
      </c>
      <c r="B316" s="12" t="s">
        <v>54</v>
      </c>
      <c r="C316" s="14"/>
      <c r="D316" s="12" t="s">
        <v>1715</v>
      </c>
      <c r="F316" s="19">
        <v>45717.0</v>
      </c>
      <c r="G316" s="12" t="s">
        <v>1818</v>
      </c>
      <c r="H316" s="12">
        <v>1.0</v>
      </c>
      <c r="I316" s="17">
        <v>65.15</v>
      </c>
      <c r="J316" s="17">
        <v>65.15</v>
      </c>
      <c r="BO316" s="17">
        <v>65.15</v>
      </c>
      <c r="BR316" s="17">
        <v>65.15</v>
      </c>
      <c r="BU316" s="12" t="s">
        <v>1784</v>
      </c>
    </row>
    <row r="317">
      <c r="A317" s="12" t="s">
        <v>1993</v>
      </c>
      <c r="B317" s="12" t="s">
        <v>54</v>
      </c>
      <c r="C317" s="14"/>
      <c r="D317" s="12" t="s">
        <v>156</v>
      </c>
      <c r="F317" s="12" t="s">
        <v>2178</v>
      </c>
      <c r="G317" s="12" t="s">
        <v>1236</v>
      </c>
      <c r="H317" s="12">
        <v>1.0</v>
      </c>
      <c r="I317" s="17">
        <v>1586.28</v>
      </c>
      <c r="J317" s="17">
        <v>1586.28</v>
      </c>
      <c r="BO317" s="17">
        <v>1586.28</v>
      </c>
      <c r="BR317" s="17">
        <v>1586.28</v>
      </c>
      <c r="BU317" s="12" t="s">
        <v>1784</v>
      </c>
    </row>
    <row r="318">
      <c r="A318" s="12" t="s">
        <v>1995</v>
      </c>
      <c r="B318" s="12" t="s">
        <v>54</v>
      </c>
      <c r="C318" s="14">
        <v>45962.0</v>
      </c>
      <c r="F318" s="12" t="s">
        <v>1991</v>
      </c>
      <c r="G318" s="12" t="s">
        <v>1113</v>
      </c>
      <c r="H318" s="12">
        <v>1.0</v>
      </c>
      <c r="I318" s="17">
        <v>100.0</v>
      </c>
      <c r="J318" s="17">
        <v>100.0</v>
      </c>
      <c r="BO318" s="17">
        <v>100.0</v>
      </c>
      <c r="BR318" s="17">
        <v>100.0</v>
      </c>
      <c r="BU318" s="12" t="s">
        <v>621</v>
      </c>
      <c r="BV318" s="12" t="s">
        <v>62</v>
      </c>
    </row>
    <row r="319">
      <c r="A319" s="12" t="s">
        <v>1997</v>
      </c>
      <c r="B319" s="12" t="s">
        <v>54</v>
      </c>
      <c r="C319" s="14">
        <v>45978.0</v>
      </c>
      <c r="F319" s="12" t="s">
        <v>2182</v>
      </c>
      <c r="G319" s="12" t="s">
        <v>1113</v>
      </c>
      <c r="H319" s="12">
        <v>1.0</v>
      </c>
      <c r="I319" s="17">
        <v>1.0</v>
      </c>
      <c r="J319" s="17">
        <v>1.0</v>
      </c>
      <c r="BO319" s="17">
        <v>1.0</v>
      </c>
      <c r="BR319" s="17">
        <v>1.0</v>
      </c>
      <c r="BU319" s="12" t="s">
        <v>180</v>
      </c>
      <c r="BV319" s="12" t="s">
        <v>78</v>
      </c>
    </row>
    <row r="320">
      <c r="A320" s="12" t="s">
        <v>2184</v>
      </c>
      <c r="B320" s="12" t="s">
        <v>54</v>
      </c>
      <c r="C320" s="14">
        <v>45975.0</v>
      </c>
      <c r="D320" s="12" t="s">
        <v>912</v>
      </c>
      <c r="E320" s="12" t="s">
        <v>2187</v>
      </c>
      <c r="F320" s="12" t="s">
        <v>586</v>
      </c>
      <c r="BP320" s="12" t="s">
        <v>2188</v>
      </c>
      <c r="BQ320" s="12" t="b">
        <v>0</v>
      </c>
      <c r="BT320" s="12" t="b">
        <v>0</v>
      </c>
      <c r="BU320" s="12" t="s">
        <v>69</v>
      </c>
      <c r="BW320" s="12" t="s">
        <v>2191</v>
      </c>
    </row>
    <row r="321">
      <c r="A321" s="12" t="s">
        <v>2192</v>
      </c>
      <c r="B321" s="12" t="s">
        <v>54</v>
      </c>
      <c r="C321" s="14">
        <v>45979.0</v>
      </c>
      <c r="D321" s="12" t="s">
        <v>109</v>
      </c>
      <c r="E321" s="12" t="s">
        <v>2195</v>
      </c>
      <c r="F321" s="12" t="s">
        <v>687</v>
      </c>
      <c r="BP321" s="12" t="s">
        <v>2196</v>
      </c>
      <c r="BQ321" s="12" t="b">
        <v>0</v>
      </c>
      <c r="BS321" s="16" t="s">
        <v>3042</v>
      </c>
      <c r="BT321" s="12" t="b">
        <v>1</v>
      </c>
      <c r="BU321" s="12" t="s">
        <v>69</v>
      </c>
    </row>
    <row r="322">
      <c r="A322" s="12" t="s">
        <v>2198</v>
      </c>
      <c r="B322" s="12" t="s">
        <v>54</v>
      </c>
      <c r="C322" s="14">
        <v>45978.0</v>
      </c>
      <c r="D322" s="12" t="s">
        <v>2201</v>
      </c>
      <c r="E322" s="12" t="s">
        <v>2202</v>
      </c>
      <c r="F322" s="12" t="s">
        <v>2205</v>
      </c>
      <c r="BP322" s="12" t="s">
        <v>2203</v>
      </c>
      <c r="BQ322" s="12" t="b">
        <v>0</v>
      </c>
      <c r="BS322" s="16" t="s">
        <v>3050</v>
      </c>
      <c r="BT322" s="12" t="b">
        <v>1</v>
      </c>
      <c r="BU322" s="12" t="s">
        <v>69</v>
      </c>
    </row>
    <row r="323">
      <c r="A323" s="12" t="s">
        <v>2210</v>
      </c>
      <c r="B323" s="12" t="s">
        <v>54</v>
      </c>
      <c r="C323" s="14">
        <v>45978.0</v>
      </c>
      <c r="D323" s="12" t="s">
        <v>77</v>
      </c>
      <c r="E323" s="12" t="s">
        <v>2212</v>
      </c>
      <c r="F323" s="12" t="s">
        <v>2215</v>
      </c>
      <c r="BP323" s="12" t="s">
        <v>2213</v>
      </c>
      <c r="BQ323" s="12" t="b">
        <v>0</v>
      </c>
      <c r="BS323" s="16" t="s">
        <v>3056</v>
      </c>
      <c r="BT323" s="12" t="b">
        <v>1</v>
      </c>
      <c r="BU323" s="12" t="s">
        <v>69</v>
      </c>
    </row>
    <row r="324">
      <c r="A324" s="12" t="s">
        <v>2219</v>
      </c>
      <c r="B324" s="12" t="s">
        <v>54</v>
      </c>
      <c r="C324" s="14">
        <v>45978.0</v>
      </c>
      <c r="D324" s="12" t="s">
        <v>1103</v>
      </c>
      <c r="E324" s="12" t="s">
        <v>2222</v>
      </c>
      <c r="F324" s="12" t="s">
        <v>2224</v>
      </c>
      <c r="BP324" s="12" t="s">
        <v>2223</v>
      </c>
      <c r="BQ324" s="12" t="b">
        <v>0</v>
      </c>
      <c r="BS324" s="16" t="s">
        <v>3067</v>
      </c>
      <c r="BT324" s="12" t="b">
        <v>1</v>
      </c>
      <c r="BU324" s="12" t="s">
        <v>69</v>
      </c>
    </row>
    <row r="325">
      <c r="A325" s="12" t="s">
        <v>2226</v>
      </c>
      <c r="B325" s="12" t="s">
        <v>54</v>
      </c>
      <c r="C325" s="14">
        <v>45979.0</v>
      </c>
      <c r="D325" s="12" t="s">
        <v>1769</v>
      </c>
      <c r="E325" s="12" t="s">
        <v>2228</v>
      </c>
      <c r="F325" s="12" t="s">
        <v>2231</v>
      </c>
      <c r="BP325" s="12" t="s">
        <v>2229</v>
      </c>
      <c r="BQ325" s="12" t="b">
        <v>0</v>
      </c>
      <c r="BS325" s="16" t="s">
        <v>3073</v>
      </c>
      <c r="BT325" s="12" t="b">
        <v>1</v>
      </c>
      <c r="BU325" s="12" t="s">
        <v>69</v>
      </c>
    </row>
    <row r="326">
      <c r="A326" s="12" t="s">
        <v>2233</v>
      </c>
      <c r="B326" s="12" t="s">
        <v>54</v>
      </c>
      <c r="C326" s="14">
        <v>45972.0</v>
      </c>
      <c r="D326" s="12" t="s">
        <v>784</v>
      </c>
      <c r="E326" s="12" t="s">
        <v>2237</v>
      </c>
      <c r="F326" s="12" t="s">
        <v>2240</v>
      </c>
      <c r="BP326" s="12" t="s">
        <v>2238</v>
      </c>
      <c r="BQ326" s="12" t="b">
        <v>0</v>
      </c>
      <c r="BT326" s="12" t="b">
        <v>0</v>
      </c>
      <c r="BU326" s="12" t="s">
        <v>69</v>
      </c>
    </row>
    <row r="327">
      <c r="A327" s="12" t="s">
        <v>2000</v>
      </c>
      <c r="B327" s="12" t="s">
        <v>54</v>
      </c>
      <c r="C327" s="14">
        <v>45979.0</v>
      </c>
      <c r="F327" s="12" t="s">
        <v>1112</v>
      </c>
      <c r="G327" s="12" t="s">
        <v>1113</v>
      </c>
      <c r="H327" s="12">
        <v>1.0</v>
      </c>
      <c r="I327" s="17">
        <v>50.0</v>
      </c>
      <c r="J327" s="17">
        <v>50.0</v>
      </c>
      <c r="BO327" s="17">
        <v>50.0</v>
      </c>
      <c r="BR327" s="17">
        <v>50.0</v>
      </c>
      <c r="BU327" s="12" t="s">
        <v>621</v>
      </c>
      <c r="BV327" s="12" t="s">
        <v>62</v>
      </c>
    </row>
    <row r="328">
      <c r="A328" s="12" t="s">
        <v>2004</v>
      </c>
      <c r="B328" s="12" t="s">
        <v>54</v>
      </c>
      <c r="C328" s="14"/>
      <c r="D328" s="12" t="s">
        <v>1712</v>
      </c>
      <c r="F328" s="12" t="s">
        <v>2245</v>
      </c>
      <c r="G328" s="12" t="s">
        <v>2005</v>
      </c>
      <c r="H328" s="12">
        <v>1.0</v>
      </c>
      <c r="I328" s="17">
        <v>134.0</v>
      </c>
      <c r="J328" s="17">
        <v>134.0</v>
      </c>
      <c r="BO328" s="17">
        <v>134.0</v>
      </c>
      <c r="BR328" s="17">
        <v>134.0</v>
      </c>
      <c r="BU328" s="12" t="s">
        <v>180</v>
      </c>
    </row>
    <row r="329">
      <c r="A329" s="12" t="s">
        <v>2247</v>
      </c>
      <c r="B329" s="12" t="s">
        <v>54</v>
      </c>
      <c r="C329" s="14">
        <v>45973.0</v>
      </c>
      <c r="D329" s="12" t="s">
        <v>156</v>
      </c>
      <c r="E329" s="12" t="s">
        <v>2249</v>
      </c>
      <c r="F329" s="12" t="s">
        <v>586</v>
      </c>
      <c r="BP329" s="12" t="s">
        <v>2250</v>
      </c>
      <c r="BQ329" s="12" t="b">
        <v>0</v>
      </c>
      <c r="BT329" s="12" t="b">
        <v>0</v>
      </c>
      <c r="BU329" s="12" t="s">
        <v>69</v>
      </c>
      <c r="BW329" s="12" t="s">
        <v>2252</v>
      </c>
    </row>
    <row r="330">
      <c r="A330" s="12" t="s">
        <v>2253</v>
      </c>
      <c r="B330" s="12" t="s">
        <v>54</v>
      </c>
      <c r="C330" s="14">
        <v>45972.0</v>
      </c>
      <c r="D330" s="12" t="s">
        <v>156</v>
      </c>
      <c r="E330" s="12" t="s">
        <v>2255</v>
      </c>
      <c r="F330" s="12" t="s">
        <v>2257</v>
      </c>
      <c r="BP330" s="12" t="s">
        <v>2256</v>
      </c>
      <c r="BQ330" s="12" t="b">
        <v>0</v>
      </c>
      <c r="BT330" s="12" t="b">
        <v>0</v>
      </c>
      <c r="BU330" s="12" t="s">
        <v>1784</v>
      </c>
      <c r="BW330" s="12"/>
    </row>
    <row r="331">
      <c r="A331" s="12" t="s">
        <v>2259</v>
      </c>
      <c r="B331" s="12" t="s">
        <v>54</v>
      </c>
      <c r="C331" s="14">
        <v>45972.0</v>
      </c>
      <c r="D331" s="12" t="s">
        <v>156</v>
      </c>
      <c r="E331" s="12" t="s">
        <v>2255</v>
      </c>
      <c r="F331" s="12" t="s">
        <v>2257</v>
      </c>
      <c r="BP331" s="12" t="s">
        <v>2262</v>
      </c>
      <c r="BQ331" s="12" t="b">
        <v>0</v>
      </c>
      <c r="BT331" s="12" t="b">
        <v>0</v>
      </c>
      <c r="BU331" s="12" t="s">
        <v>69</v>
      </c>
    </row>
    <row r="332">
      <c r="A332" s="12" t="s">
        <v>2009</v>
      </c>
      <c r="B332" s="12" t="s">
        <v>54</v>
      </c>
      <c r="C332" s="14"/>
      <c r="D332" s="12" t="s">
        <v>1712</v>
      </c>
      <c r="F332" s="12" t="s">
        <v>2265</v>
      </c>
      <c r="G332" s="12" t="s">
        <v>2010</v>
      </c>
      <c r="H332" s="12">
        <v>1.0</v>
      </c>
      <c r="I332" s="17">
        <v>198.0</v>
      </c>
      <c r="J332" s="17">
        <v>198.0</v>
      </c>
      <c r="BO332" s="17">
        <v>198.0</v>
      </c>
      <c r="BR332" s="17">
        <v>198.0</v>
      </c>
      <c r="BU332" s="12" t="s">
        <v>180</v>
      </c>
    </row>
    <row r="333">
      <c r="A333" s="12" t="s">
        <v>2015</v>
      </c>
      <c r="B333" s="12" t="s">
        <v>54</v>
      </c>
      <c r="C333" s="14">
        <v>45980.0</v>
      </c>
      <c r="F333" s="12" t="s">
        <v>2268</v>
      </c>
      <c r="G333" s="12" t="s">
        <v>1986</v>
      </c>
      <c r="H333" s="12">
        <v>1.0</v>
      </c>
      <c r="I333" s="17">
        <v>620.0</v>
      </c>
      <c r="J333" s="17">
        <v>620.0</v>
      </c>
      <c r="BO333" s="17">
        <v>620.0</v>
      </c>
      <c r="BR333" s="17">
        <v>620.0</v>
      </c>
      <c r="BU333" s="12" t="s">
        <v>621</v>
      </c>
      <c r="BV333" s="12" t="s">
        <v>727</v>
      </c>
    </row>
    <row r="334">
      <c r="A334" s="12" t="s">
        <v>2019</v>
      </c>
      <c r="B334" s="12" t="s">
        <v>54</v>
      </c>
      <c r="C334" s="14"/>
      <c r="F334" s="12" t="s">
        <v>2272</v>
      </c>
      <c r="G334" s="12" t="s">
        <v>1196</v>
      </c>
      <c r="H334" s="12">
        <v>1.0</v>
      </c>
      <c r="I334" s="17">
        <v>0.01</v>
      </c>
      <c r="J334" s="17">
        <v>0.01</v>
      </c>
      <c r="BO334" s="17">
        <v>0.01</v>
      </c>
      <c r="BR334" s="17">
        <v>0.01</v>
      </c>
      <c r="BU334" s="12" t="s">
        <v>1784</v>
      </c>
      <c r="BV334" s="12" t="s">
        <v>1183</v>
      </c>
    </row>
    <row r="335">
      <c r="A335" s="12" t="s">
        <v>2024</v>
      </c>
      <c r="B335" s="12" t="s">
        <v>54</v>
      </c>
      <c r="C335" s="14"/>
      <c r="F335" s="12" t="s">
        <v>2275</v>
      </c>
      <c r="G335" s="12" t="s">
        <v>1196</v>
      </c>
      <c r="H335" s="12">
        <v>1.0</v>
      </c>
      <c r="I335" s="17">
        <v>0.01</v>
      </c>
      <c r="J335" s="17">
        <v>0.01</v>
      </c>
      <c r="BO335" s="17">
        <v>0.01</v>
      </c>
      <c r="BR335" s="17">
        <v>0.01</v>
      </c>
      <c r="BU335" s="12" t="s">
        <v>1784</v>
      </c>
      <c r="BV335" s="12" t="s">
        <v>1183</v>
      </c>
    </row>
    <row r="336">
      <c r="A336" s="12" t="s">
        <v>2027</v>
      </c>
      <c r="B336" s="12" t="s">
        <v>54</v>
      </c>
      <c r="C336" s="14"/>
      <c r="F336" s="12" t="s">
        <v>2272</v>
      </c>
      <c r="G336" s="12" t="s">
        <v>1196</v>
      </c>
      <c r="H336" s="12">
        <v>1.0</v>
      </c>
      <c r="I336" s="17">
        <v>0.01</v>
      </c>
      <c r="J336" s="17">
        <v>0.01</v>
      </c>
      <c r="BO336" s="17">
        <v>0.01</v>
      </c>
      <c r="BR336" s="17">
        <v>0.01</v>
      </c>
      <c r="BU336" s="12" t="s">
        <v>1784</v>
      </c>
      <c r="BV336" s="12" t="s">
        <v>62</v>
      </c>
    </row>
    <row r="337">
      <c r="A337" s="12" t="s">
        <v>2031</v>
      </c>
      <c r="B337" s="12" t="s">
        <v>54</v>
      </c>
      <c r="C337" s="14"/>
      <c r="F337" s="12" t="s">
        <v>2275</v>
      </c>
      <c r="G337" s="12" t="s">
        <v>1196</v>
      </c>
      <c r="H337" s="12">
        <v>1.0</v>
      </c>
      <c r="I337" s="17">
        <v>0.01</v>
      </c>
      <c r="J337" s="17">
        <v>0.01</v>
      </c>
      <c r="BO337" s="17">
        <v>0.01</v>
      </c>
      <c r="BR337" s="17">
        <v>0.01</v>
      </c>
      <c r="BU337" s="12" t="s">
        <v>1784</v>
      </c>
      <c r="BV337" s="12" t="s">
        <v>62</v>
      </c>
    </row>
    <row r="338">
      <c r="A338" s="12" t="s">
        <v>2035</v>
      </c>
      <c r="B338" s="12" t="s">
        <v>54</v>
      </c>
      <c r="C338" s="14"/>
      <c r="F338" s="12" t="s">
        <v>2272</v>
      </c>
      <c r="G338" s="12" t="s">
        <v>1196</v>
      </c>
      <c r="H338" s="12">
        <v>1.0</v>
      </c>
      <c r="I338" s="17">
        <v>0.01</v>
      </c>
      <c r="J338" s="17">
        <v>0.01</v>
      </c>
      <c r="BO338" s="17">
        <v>0.01</v>
      </c>
      <c r="BR338" s="17">
        <v>0.01</v>
      </c>
      <c r="BU338" s="12" t="s">
        <v>1784</v>
      </c>
      <c r="BV338" s="12" t="s">
        <v>78</v>
      </c>
    </row>
    <row r="339">
      <c r="A339" s="12" t="s">
        <v>2041</v>
      </c>
      <c r="B339" s="12" t="s">
        <v>54</v>
      </c>
      <c r="C339" s="14"/>
      <c r="F339" s="12" t="s">
        <v>2275</v>
      </c>
      <c r="G339" s="12" t="s">
        <v>1196</v>
      </c>
      <c r="H339" s="12">
        <v>1.0</v>
      </c>
      <c r="I339" s="17">
        <v>0.01</v>
      </c>
      <c r="J339" s="17">
        <v>0.01</v>
      </c>
      <c r="BO339" s="17">
        <v>0.01</v>
      </c>
      <c r="BR339" s="17">
        <v>0.01</v>
      </c>
      <c r="BU339" s="12" t="s">
        <v>1784</v>
      </c>
      <c r="BV339" s="12" t="s">
        <v>78</v>
      </c>
    </row>
    <row r="340">
      <c r="A340" s="12" t="s">
        <v>2044</v>
      </c>
      <c r="B340" s="12" t="s">
        <v>54</v>
      </c>
      <c r="C340" s="14"/>
      <c r="F340" s="12" t="s">
        <v>2272</v>
      </c>
      <c r="G340" s="12" t="s">
        <v>1196</v>
      </c>
      <c r="H340" s="12">
        <v>1.0</v>
      </c>
      <c r="I340" s="17">
        <v>0.01</v>
      </c>
      <c r="J340" s="17">
        <v>0.01</v>
      </c>
      <c r="BO340" s="17">
        <v>0.01</v>
      </c>
      <c r="BR340" s="17">
        <v>0.01</v>
      </c>
      <c r="BU340" s="12" t="s">
        <v>1784</v>
      </c>
      <c r="BV340" s="12" t="s">
        <v>1900</v>
      </c>
    </row>
    <row r="341">
      <c r="A341" s="12" t="s">
        <v>2049</v>
      </c>
      <c r="B341" s="12" t="s">
        <v>54</v>
      </c>
      <c r="C341" s="14"/>
      <c r="F341" s="12" t="s">
        <v>2275</v>
      </c>
      <c r="G341" s="12" t="s">
        <v>1196</v>
      </c>
      <c r="H341" s="12">
        <v>1.0</v>
      </c>
      <c r="I341" s="17">
        <v>0.01</v>
      </c>
      <c r="J341" s="17">
        <v>0.01</v>
      </c>
      <c r="BO341" s="17">
        <v>0.01</v>
      </c>
      <c r="BR341" s="17">
        <v>0.01</v>
      </c>
      <c r="BU341" s="12" t="s">
        <v>1784</v>
      </c>
      <c r="BV341" s="12" t="s">
        <v>1900</v>
      </c>
    </row>
    <row r="342">
      <c r="A342" s="12" t="s">
        <v>2053</v>
      </c>
      <c r="B342" s="12" t="s">
        <v>54</v>
      </c>
      <c r="C342" s="14"/>
      <c r="F342" s="12" t="s">
        <v>2272</v>
      </c>
      <c r="G342" s="12" t="s">
        <v>1196</v>
      </c>
      <c r="H342" s="12">
        <v>1.0</v>
      </c>
      <c r="I342" s="17">
        <v>0.01</v>
      </c>
      <c r="J342" s="17">
        <v>0.01</v>
      </c>
      <c r="BO342" s="17">
        <v>0.01</v>
      </c>
      <c r="BR342" s="17">
        <v>0.01</v>
      </c>
      <c r="BU342" s="12" t="s">
        <v>1784</v>
      </c>
      <c r="BV342" s="12" t="s">
        <v>727</v>
      </c>
    </row>
    <row r="343">
      <c r="A343" s="12" t="s">
        <v>2057</v>
      </c>
      <c r="B343" s="12" t="s">
        <v>54</v>
      </c>
      <c r="C343" s="14"/>
      <c r="F343" s="12" t="s">
        <v>2275</v>
      </c>
      <c r="G343" s="12" t="s">
        <v>1196</v>
      </c>
      <c r="H343" s="12">
        <v>1.0</v>
      </c>
      <c r="I343" s="17">
        <v>0.01</v>
      </c>
      <c r="J343" s="17">
        <v>0.01</v>
      </c>
      <c r="BO343" s="17">
        <v>0.01</v>
      </c>
      <c r="BR343" s="17">
        <v>0.01</v>
      </c>
      <c r="BU343" s="12" t="s">
        <v>1784</v>
      </c>
      <c r="BV343" s="12" t="s">
        <v>727</v>
      </c>
    </row>
    <row r="344">
      <c r="A344" s="12" t="s">
        <v>2061</v>
      </c>
      <c r="B344" s="12" t="s">
        <v>54</v>
      </c>
      <c r="C344" s="14"/>
      <c r="F344" s="12" t="s">
        <v>2272</v>
      </c>
      <c r="G344" s="12" t="s">
        <v>1196</v>
      </c>
      <c r="H344" s="12">
        <v>1.0</v>
      </c>
      <c r="I344" s="17">
        <v>292.5</v>
      </c>
      <c r="J344" s="17">
        <v>292.5</v>
      </c>
      <c r="BO344" s="17">
        <v>292.5</v>
      </c>
      <c r="BR344" s="17">
        <v>292.5</v>
      </c>
      <c r="BU344" s="12" t="s">
        <v>1784</v>
      </c>
      <c r="BV344" s="12" t="s">
        <v>259</v>
      </c>
    </row>
    <row r="345">
      <c r="A345" s="12" t="s">
        <v>2066</v>
      </c>
      <c r="B345" s="12" t="s">
        <v>54</v>
      </c>
      <c r="C345" s="14"/>
      <c r="F345" s="12" t="s">
        <v>2275</v>
      </c>
      <c r="G345" s="12" t="s">
        <v>1196</v>
      </c>
      <c r="H345" s="12">
        <v>1.0</v>
      </c>
      <c r="I345" s="17">
        <v>292.5</v>
      </c>
      <c r="J345" s="17">
        <v>292.5</v>
      </c>
      <c r="BO345" s="17">
        <v>292.5</v>
      </c>
      <c r="BR345" s="17">
        <v>292.5</v>
      </c>
      <c r="BU345" s="12" t="s">
        <v>1784</v>
      </c>
      <c r="BV345" s="12" t="s">
        <v>259</v>
      </c>
    </row>
    <row r="346">
      <c r="A346" s="12" t="s">
        <v>2293</v>
      </c>
      <c r="B346" s="12" t="s">
        <v>54</v>
      </c>
      <c r="C346" s="14">
        <v>45980.0</v>
      </c>
      <c r="D346" s="12" t="s">
        <v>182</v>
      </c>
      <c r="E346" s="12" t="s">
        <v>2295</v>
      </c>
      <c r="F346" s="12" t="s">
        <v>2297</v>
      </c>
      <c r="BP346" s="12" t="s">
        <v>2296</v>
      </c>
      <c r="BQ346" s="12" t="b">
        <v>0</v>
      </c>
      <c r="BS346" s="16" t="s">
        <v>3221</v>
      </c>
      <c r="BT346" s="12" t="b">
        <v>1</v>
      </c>
      <c r="BU346" s="12" t="s">
        <v>69</v>
      </c>
    </row>
    <row r="347">
      <c r="A347" s="12" t="s">
        <v>2300</v>
      </c>
      <c r="B347" s="12" t="s">
        <v>54</v>
      </c>
      <c r="C347" s="14">
        <v>45981.0</v>
      </c>
      <c r="D347" s="12" t="s">
        <v>182</v>
      </c>
      <c r="E347" s="12" t="s">
        <v>2304</v>
      </c>
      <c r="F347" s="12" t="s">
        <v>1852</v>
      </c>
      <c r="BP347" s="12" t="s">
        <v>2305</v>
      </c>
      <c r="BQ347" s="12" t="b">
        <v>0</v>
      </c>
      <c r="BS347" s="16" t="s">
        <v>3230</v>
      </c>
      <c r="BT347" s="12" t="b">
        <v>1</v>
      </c>
      <c r="BU347" s="12" t="s">
        <v>69</v>
      </c>
    </row>
    <row r="348">
      <c r="A348" s="12" t="s">
        <v>2308</v>
      </c>
      <c r="B348" s="12" t="s">
        <v>54</v>
      </c>
      <c r="C348" s="14">
        <v>45980.0</v>
      </c>
      <c r="D348" s="12" t="s">
        <v>77</v>
      </c>
      <c r="E348" s="12" t="s">
        <v>2311</v>
      </c>
      <c r="F348" s="12" t="s">
        <v>950</v>
      </c>
      <c r="BP348" s="12" t="s">
        <v>2312</v>
      </c>
      <c r="BQ348" s="12" t="b">
        <v>0</v>
      </c>
      <c r="BS348" s="16" t="s">
        <v>3234</v>
      </c>
      <c r="BT348" s="12" t="b">
        <v>1</v>
      </c>
      <c r="BU348" s="12" t="s">
        <v>69</v>
      </c>
    </row>
    <row r="349">
      <c r="A349" s="12">
        <v>1230.0</v>
      </c>
      <c r="B349" s="12" t="s">
        <v>54</v>
      </c>
      <c r="C349" s="14"/>
      <c r="F349" s="12" t="s">
        <v>1644</v>
      </c>
      <c r="G349" s="12" t="s">
        <v>1196</v>
      </c>
      <c r="H349" s="12">
        <v>1.0</v>
      </c>
      <c r="I349" s="17">
        <v>3500.0</v>
      </c>
      <c r="J349" s="17">
        <v>3500.0</v>
      </c>
      <c r="BO349" s="17">
        <v>3500.0</v>
      </c>
      <c r="BR349" s="17">
        <v>3500.0</v>
      </c>
      <c r="BU349" s="12" t="s">
        <v>191</v>
      </c>
      <c r="BV349" s="12" t="s">
        <v>727</v>
      </c>
    </row>
    <row r="350">
      <c r="A350" s="12">
        <v>1231.0</v>
      </c>
      <c r="B350" s="12" t="s">
        <v>54</v>
      </c>
      <c r="C350" s="14"/>
      <c r="F350" s="12" t="s">
        <v>1884</v>
      </c>
      <c r="G350" s="12" t="s">
        <v>1196</v>
      </c>
      <c r="H350" s="12">
        <v>1.0</v>
      </c>
      <c r="I350" s="17">
        <v>1.0</v>
      </c>
      <c r="J350" s="17">
        <v>1.0</v>
      </c>
      <c r="BO350" s="17">
        <v>1.0</v>
      </c>
      <c r="BR350" s="17">
        <v>1.0</v>
      </c>
      <c r="BU350" s="12" t="s">
        <v>191</v>
      </c>
      <c r="BV350" s="12" t="s">
        <v>727</v>
      </c>
    </row>
    <row r="351">
      <c r="A351" s="12">
        <v>1232.0</v>
      </c>
      <c r="B351" s="12" t="s">
        <v>54</v>
      </c>
      <c r="C351" s="14"/>
      <c r="F351" s="12" t="s">
        <v>1884</v>
      </c>
      <c r="G351" s="12" t="s">
        <v>1196</v>
      </c>
      <c r="H351" s="12">
        <v>1.0</v>
      </c>
      <c r="I351" s="17">
        <v>1.0</v>
      </c>
      <c r="J351" s="17">
        <v>1.0</v>
      </c>
      <c r="BO351" s="17">
        <v>1.0</v>
      </c>
      <c r="BR351" s="17">
        <v>1.0</v>
      </c>
      <c r="BU351" s="12" t="s">
        <v>191</v>
      </c>
      <c r="BV351" s="12" t="s">
        <v>1183</v>
      </c>
    </row>
    <row r="352">
      <c r="A352" s="12">
        <v>1233.0</v>
      </c>
      <c r="B352" s="12" t="s">
        <v>54</v>
      </c>
      <c r="C352" s="14"/>
      <c r="F352" s="12" t="s">
        <v>1884</v>
      </c>
      <c r="G352" s="12" t="s">
        <v>1196</v>
      </c>
      <c r="H352" s="12">
        <v>1.0</v>
      </c>
      <c r="I352" s="17">
        <v>1.0</v>
      </c>
      <c r="J352" s="17">
        <v>1.0</v>
      </c>
      <c r="BO352" s="17">
        <v>1.0</v>
      </c>
      <c r="BR352" s="17">
        <v>1.0</v>
      </c>
      <c r="BU352" s="12" t="s">
        <v>191</v>
      </c>
      <c r="BV352" s="12" t="s">
        <v>62</v>
      </c>
    </row>
    <row r="353">
      <c r="A353" s="12">
        <v>1234.0</v>
      </c>
      <c r="B353" s="12" t="s">
        <v>54</v>
      </c>
      <c r="C353" s="14"/>
      <c r="F353" s="12" t="s">
        <v>1884</v>
      </c>
      <c r="G353" s="12" t="s">
        <v>1196</v>
      </c>
      <c r="H353" s="12">
        <v>1.0</v>
      </c>
      <c r="I353" s="17">
        <v>1.0</v>
      </c>
      <c r="J353" s="17">
        <v>1.0</v>
      </c>
      <c r="BO353" s="17">
        <v>1.0</v>
      </c>
      <c r="BR353" s="17">
        <v>1.0</v>
      </c>
      <c r="BU353" s="12" t="s">
        <v>191</v>
      </c>
      <c r="BV353" s="12" t="s">
        <v>78</v>
      </c>
    </row>
    <row r="354">
      <c r="A354" s="12">
        <v>1235.0</v>
      </c>
      <c r="B354" s="12" t="s">
        <v>54</v>
      </c>
      <c r="C354" s="14"/>
      <c r="F354" s="12" t="s">
        <v>1884</v>
      </c>
      <c r="G354" s="12" t="s">
        <v>1196</v>
      </c>
      <c r="H354" s="12">
        <v>1.0</v>
      </c>
      <c r="I354" s="17">
        <v>1.0</v>
      </c>
      <c r="J354" s="17">
        <v>1.0</v>
      </c>
      <c r="BO354" s="17">
        <v>1.0</v>
      </c>
      <c r="BR354" s="17">
        <v>1.0</v>
      </c>
      <c r="BU354" s="12" t="s">
        <v>191</v>
      </c>
      <c r="BV354" s="12" t="s">
        <v>1900</v>
      </c>
    </row>
    <row r="355">
      <c r="A355" s="12" t="s">
        <v>2079</v>
      </c>
      <c r="B355" s="12" t="s">
        <v>54</v>
      </c>
      <c r="C355" s="14"/>
      <c r="D355" s="12" t="s">
        <v>156</v>
      </c>
      <c r="F355" s="12" t="s">
        <v>2327</v>
      </c>
      <c r="G355" s="12" t="s">
        <v>786</v>
      </c>
      <c r="H355" s="12">
        <v>1.0</v>
      </c>
      <c r="I355" s="17">
        <v>111.0</v>
      </c>
      <c r="J355" s="17">
        <v>111.0</v>
      </c>
      <c r="BO355" s="17">
        <v>111.0</v>
      </c>
      <c r="BR355" s="17">
        <v>111.0</v>
      </c>
      <c r="BU355" s="12" t="s">
        <v>1784</v>
      </c>
    </row>
    <row r="356">
      <c r="A356" s="12" t="s">
        <v>2081</v>
      </c>
      <c r="B356" s="12" t="s">
        <v>54</v>
      </c>
      <c r="C356" s="14"/>
      <c r="D356" s="12" t="s">
        <v>156</v>
      </c>
      <c r="F356" s="12" t="s">
        <v>2118</v>
      </c>
      <c r="G356" s="12" t="s">
        <v>786</v>
      </c>
      <c r="H356" s="12">
        <v>1.0</v>
      </c>
      <c r="I356" s="17">
        <v>4296.0</v>
      </c>
      <c r="J356" s="17">
        <v>4296.0</v>
      </c>
      <c r="BO356" s="17">
        <v>4296.0</v>
      </c>
      <c r="BR356" s="17">
        <v>4296.0</v>
      </c>
      <c r="BU356" s="12" t="s">
        <v>1784</v>
      </c>
    </row>
    <row r="357">
      <c r="A357" s="12" t="s">
        <v>2331</v>
      </c>
      <c r="B357" s="12" t="s">
        <v>54</v>
      </c>
      <c r="C357" s="14">
        <v>45974.0</v>
      </c>
      <c r="D357" s="12" t="s">
        <v>182</v>
      </c>
      <c r="E357" s="12" t="s">
        <v>2333</v>
      </c>
      <c r="F357" s="12" t="s">
        <v>2297</v>
      </c>
      <c r="BP357" s="12" t="s">
        <v>2334</v>
      </c>
      <c r="BQ357" s="12" t="b">
        <v>0</v>
      </c>
      <c r="BS357" s="16" t="s">
        <v>3286</v>
      </c>
      <c r="BT357" s="12" t="b">
        <v>1</v>
      </c>
      <c r="BU357" s="12" t="s">
        <v>69</v>
      </c>
    </row>
    <row r="358">
      <c r="A358" s="12" t="s">
        <v>2336</v>
      </c>
      <c r="B358" s="12" t="s">
        <v>54</v>
      </c>
      <c r="C358" s="14">
        <v>45980.0</v>
      </c>
      <c r="D358" s="12" t="s">
        <v>220</v>
      </c>
      <c r="E358" s="12" t="s">
        <v>2338</v>
      </c>
      <c r="F358" s="12" t="s">
        <v>2340</v>
      </c>
      <c r="BP358" s="12" t="s">
        <v>2339</v>
      </c>
      <c r="BQ358" s="12" t="b">
        <v>0</v>
      </c>
      <c r="BS358" s="16" t="s">
        <v>3291</v>
      </c>
      <c r="BT358" s="12" t="b">
        <v>1</v>
      </c>
      <c r="BU358" s="12" t="s">
        <v>69</v>
      </c>
    </row>
    <row r="359">
      <c r="A359" s="12" t="s">
        <v>2345</v>
      </c>
      <c r="B359" s="12" t="s">
        <v>54</v>
      </c>
      <c r="C359" s="14">
        <v>45975.0</v>
      </c>
      <c r="D359" s="12" t="s">
        <v>220</v>
      </c>
      <c r="E359" s="12" t="s">
        <v>2346</v>
      </c>
      <c r="F359" s="12" t="s">
        <v>2340</v>
      </c>
      <c r="BP359" s="12" t="s">
        <v>2347</v>
      </c>
      <c r="BQ359" s="12" t="b">
        <v>0</v>
      </c>
      <c r="BS359" s="16" t="s">
        <v>3302</v>
      </c>
      <c r="BT359" s="12" t="b">
        <v>1</v>
      </c>
      <c r="BU359" s="12" t="s">
        <v>69</v>
      </c>
    </row>
    <row r="360">
      <c r="A360" s="12" t="s">
        <v>2349</v>
      </c>
      <c r="B360" s="12" t="s">
        <v>54</v>
      </c>
      <c r="C360" s="14">
        <v>45971.0</v>
      </c>
      <c r="D360" s="12" t="s">
        <v>220</v>
      </c>
      <c r="E360" s="12" t="s">
        <v>2351</v>
      </c>
      <c r="F360" s="12" t="s">
        <v>2340</v>
      </c>
      <c r="BP360" s="12" t="s">
        <v>2352</v>
      </c>
      <c r="BQ360" s="12" t="b">
        <v>0</v>
      </c>
      <c r="BS360" s="16" t="s">
        <v>3311</v>
      </c>
      <c r="BT360" s="12" t="b">
        <v>1</v>
      </c>
      <c r="BU360" s="12" t="s">
        <v>69</v>
      </c>
    </row>
    <row r="361">
      <c r="A361" s="12" t="s">
        <v>2354</v>
      </c>
      <c r="B361" s="12" t="s">
        <v>54</v>
      </c>
      <c r="C361" s="14">
        <v>45982.0</v>
      </c>
      <c r="D361" s="12" t="s">
        <v>220</v>
      </c>
      <c r="E361" s="12" t="s">
        <v>2357</v>
      </c>
      <c r="F361" s="12" t="s">
        <v>2360</v>
      </c>
      <c r="BP361" s="12" t="s">
        <v>2358</v>
      </c>
      <c r="BQ361" s="12" t="b">
        <v>0</v>
      </c>
      <c r="BS361" s="16" t="s">
        <v>3319</v>
      </c>
      <c r="BT361" s="12" t="b">
        <v>1</v>
      </c>
      <c r="BU361" s="12" t="s">
        <v>69</v>
      </c>
    </row>
    <row r="362">
      <c r="A362" s="12" t="s">
        <v>2363</v>
      </c>
      <c r="B362" s="12" t="s">
        <v>54</v>
      </c>
      <c r="C362" s="14">
        <v>45984.0</v>
      </c>
      <c r="D362" s="12" t="s">
        <v>77</v>
      </c>
      <c r="E362" s="12" t="s">
        <v>2365</v>
      </c>
      <c r="F362" s="12" t="s">
        <v>2368</v>
      </c>
      <c r="BP362" s="12" t="s">
        <v>2367</v>
      </c>
      <c r="BQ362" s="12" t="b">
        <v>0</v>
      </c>
      <c r="BS362" s="16" t="s">
        <v>3328</v>
      </c>
      <c r="BT362" s="12" t="b">
        <v>1</v>
      </c>
      <c r="BU362" s="12" t="s">
        <v>69</v>
      </c>
    </row>
    <row r="363">
      <c r="A363" s="12" t="s">
        <v>2084</v>
      </c>
      <c r="B363" s="12" t="s">
        <v>54</v>
      </c>
      <c r="C363" s="14"/>
      <c r="F363" s="12" t="s">
        <v>1884</v>
      </c>
      <c r="G363" s="12" t="s">
        <v>1196</v>
      </c>
      <c r="H363" s="12">
        <v>1.0</v>
      </c>
      <c r="I363" s="17">
        <v>585.0</v>
      </c>
      <c r="J363" s="17">
        <v>585.0</v>
      </c>
      <c r="BO363" s="17">
        <v>585.0</v>
      </c>
      <c r="BR363" s="17">
        <v>585.0</v>
      </c>
      <c r="BU363" s="12" t="s">
        <v>191</v>
      </c>
      <c r="BV363" s="12" t="s">
        <v>259</v>
      </c>
    </row>
    <row r="364">
      <c r="A364" s="12" t="s">
        <v>2086</v>
      </c>
      <c r="B364" s="12" t="s">
        <v>54</v>
      </c>
      <c r="C364" s="14"/>
      <c r="D364" s="12" t="s">
        <v>156</v>
      </c>
      <c r="F364" s="12" t="s">
        <v>2372</v>
      </c>
      <c r="G364" s="12" t="s">
        <v>2087</v>
      </c>
      <c r="H364" s="12">
        <v>1.0</v>
      </c>
      <c r="I364" s="17">
        <v>83.75</v>
      </c>
      <c r="J364" s="17">
        <v>83.75</v>
      </c>
      <c r="BO364" s="17">
        <v>83.75</v>
      </c>
      <c r="BR364" s="17">
        <v>83.75</v>
      </c>
      <c r="BU364" s="12" t="s">
        <v>1784</v>
      </c>
    </row>
    <row r="365">
      <c r="A365" s="12" t="s">
        <v>2376</v>
      </c>
      <c r="B365" s="12" t="s">
        <v>54</v>
      </c>
      <c r="C365" s="14">
        <v>45985.0</v>
      </c>
      <c r="D365" s="12" t="s">
        <v>355</v>
      </c>
      <c r="E365" s="12" t="s">
        <v>2379</v>
      </c>
      <c r="F365" s="12" t="s">
        <v>2382</v>
      </c>
      <c r="BP365" s="12" t="s">
        <v>2380</v>
      </c>
      <c r="BQ365" s="12" t="b">
        <v>0</v>
      </c>
      <c r="BS365" s="16" t="s">
        <v>3345</v>
      </c>
      <c r="BT365" s="12" t="b">
        <v>1</v>
      </c>
      <c r="BU365" s="12" t="s">
        <v>69</v>
      </c>
    </row>
    <row r="366">
      <c r="A366" s="12" t="s">
        <v>2384</v>
      </c>
      <c r="B366" s="12" t="s">
        <v>54</v>
      </c>
      <c r="C366" s="14">
        <v>45985.0</v>
      </c>
      <c r="D366" s="12" t="s">
        <v>441</v>
      </c>
      <c r="E366" s="12" t="s">
        <v>2386</v>
      </c>
      <c r="F366" s="12" t="s">
        <v>2389</v>
      </c>
      <c r="BP366" s="12" t="s">
        <v>2387</v>
      </c>
      <c r="BQ366" s="12" t="b">
        <v>0</v>
      </c>
      <c r="BS366" s="16" t="s">
        <v>3353</v>
      </c>
      <c r="BT366" s="12" t="b">
        <v>1</v>
      </c>
      <c r="BU366" s="12" t="s">
        <v>69</v>
      </c>
    </row>
    <row r="367">
      <c r="A367" s="12" t="s">
        <v>2390</v>
      </c>
      <c r="B367" s="12" t="s">
        <v>54</v>
      </c>
      <c r="C367" s="14">
        <v>45985.0</v>
      </c>
      <c r="D367" s="12" t="s">
        <v>1103</v>
      </c>
      <c r="E367" s="12" t="s">
        <v>2392</v>
      </c>
      <c r="F367" s="12" t="s">
        <v>853</v>
      </c>
      <c r="BP367" s="12" t="s">
        <v>2393</v>
      </c>
      <c r="BQ367" s="12" t="b">
        <v>0</v>
      </c>
      <c r="BS367" s="16" t="s">
        <v>3359</v>
      </c>
      <c r="BT367" s="12" t="b">
        <v>1</v>
      </c>
      <c r="BU367" s="12" t="s">
        <v>69</v>
      </c>
    </row>
    <row r="368">
      <c r="A368" s="12" t="s">
        <v>2397</v>
      </c>
      <c r="B368" s="12" t="s">
        <v>54</v>
      </c>
      <c r="C368" s="14">
        <v>45985.0</v>
      </c>
      <c r="D368" s="12" t="s">
        <v>532</v>
      </c>
      <c r="E368" s="12" t="s">
        <v>2400</v>
      </c>
      <c r="F368" s="12" t="s">
        <v>2402</v>
      </c>
      <c r="BP368" s="12" t="s">
        <v>2401</v>
      </c>
      <c r="BQ368" s="12" t="b">
        <v>0</v>
      </c>
      <c r="BS368" s="16" t="s">
        <v>3366</v>
      </c>
      <c r="BT368" s="12" t="b">
        <v>1</v>
      </c>
      <c r="BU368" s="12" t="s">
        <v>69</v>
      </c>
    </row>
    <row r="369">
      <c r="A369" s="12" t="s">
        <v>2406</v>
      </c>
      <c r="B369" s="12" t="s">
        <v>54</v>
      </c>
      <c r="C369" s="14">
        <v>45985.0</v>
      </c>
      <c r="D369" s="12" t="s">
        <v>324</v>
      </c>
      <c r="E369" s="12" t="s">
        <v>2407</v>
      </c>
      <c r="F369" s="12" t="s">
        <v>2411</v>
      </c>
      <c r="BP369" s="12" t="s">
        <v>2409</v>
      </c>
      <c r="BQ369" s="12" t="b">
        <v>0</v>
      </c>
      <c r="BS369" s="16" t="s">
        <v>3370</v>
      </c>
      <c r="BT369" s="12" t="b">
        <v>1</v>
      </c>
      <c r="BU369" s="12" t="s">
        <v>69</v>
      </c>
    </row>
    <row r="370">
      <c r="A370" s="12" t="s">
        <v>2091</v>
      </c>
      <c r="B370" s="12" t="s">
        <v>54</v>
      </c>
      <c r="C370" s="14">
        <v>45985.0</v>
      </c>
      <c r="D370" s="12" t="s">
        <v>2414</v>
      </c>
      <c r="F370" s="12" t="s">
        <v>2415</v>
      </c>
      <c r="G370" s="12" t="s">
        <v>2092</v>
      </c>
      <c r="H370" s="12">
        <v>1.0</v>
      </c>
      <c r="I370" s="17">
        <v>1932.0</v>
      </c>
      <c r="J370" s="17">
        <v>1932.0</v>
      </c>
      <c r="BO370" s="17">
        <v>1932.0</v>
      </c>
      <c r="BR370" s="17">
        <v>1932.0</v>
      </c>
      <c r="BU370" s="12" t="s">
        <v>621</v>
      </c>
    </row>
    <row r="371">
      <c r="A371" s="12" t="s">
        <v>2418</v>
      </c>
      <c r="B371" s="12" t="s">
        <v>54</v>
      </c>
      <c r="C371" s="14">
        <v>45986.0</v>
      </c>
      <c r="D371" s="12" t="s">
        <v>2419</v>
      </c>
      <c r="E371" s="12" t="s">
        <v>2421</v>
      </c>
      <c r="F371" s="12" t="s">
        <v>2424</v>
      </c>
      <c r="BP371" s="12" t="s">
        <v>2423</v>
      </c>
      <c r="BQ371" s="12" t="b">
        <v>0</v>
      </c>
      <c r="BS371" s="16" t="s">
        <v>3378</v>
      </c>
      <c r="BT371" s="12" t="b">
        <v>1</v>
      </c>
      <c r="BU371" s="12" t="s">
        <v>69</v>
      </c>
    </row>
    <row r="372">
      <c r="A372" s="12" t="s">
        <v>2426</v>
      </c>
      <c r="B372" s="12" t="s">
        <v>54</v>
      </c>
      <c r="C372" s="14">
        <v>45986.0</v>
      </c>
      <c r="D372" s="12" t="s">
        <v>556</v>
      </c>
      <c r="E372" s="12" t="s">
        <v>2428</v>
      </c>
      <c r="F372" s="12" t="s">
        <v>687</v>
      </c>
      <c r="BP372" s="12" t="s">
        <v>2429</v>
      </c>
      <c r="BQ372" s="12" t="b">
        <v>0</v>
      </c>
      <c r="BS372" s="16" t="s">
        <v>3394</v>
      </c>
      <c r="BT372" s="12" t="b">
        <v>1</v>
      </c>
      <c r="BU372" s="12" t="s">
        <v>69</v>
      </c>
    </row>
    <row r="373">
      <c r="A373" s="12" t="s">
        <v>2432</v>
      </c>
      <c r="B373" s="12" t="s">
        <v>54</v>
      </c>
      <c r="C373" s="14">
        <v>45985.0</v>
      </c>
      <c r="D373" s="12" t="s">
        <v>156</v>
      </c>
      <c r="E373" s="12" t="s">
        <v>2433</v>
      </c>
      <c r="F373" s="12" t="s">
        <v>254</v>
      </c>
      <c r="BP373" s="12" t="s">
        <v>2434</v>
      </c>
      <c r="BQ373" s="12" t="b">
        <v>0</v>
      </c>
      <c r="BT373" s="12" t="b">
        <v>0</v>
      </c>
      <c r="BU373" s="12" t="s">
        <v>69</v>
      </c>
      <c r="BW373" s="12"/>
    </row>
    <row r="374">
      <c r="A374" s="12" t="s">
        <v>2437</v>
      </c>
      <c r="B374" s="12" t="s">
        <v>54</v>
      </c>
      <c r="C374" s="14">
        <v>45982.0</v>
      </c>
      <c r="D374" s="12" t="s">
        <v>156</v>
      </c>
      <c r="E374" s="12" t="s">
        <v>2439</v>
      </c>
      <c r="F374" s="12" t="s">
        <v>254</v>
      </c>
      <c r="BP374" s="12" t="s">
        <v>2441</v>
      </c>
      <c r="BQ374" s="12" t="b">
        <v>0</v>
      </c>
      <c r="BT374" s="12" t="b">
        <v>0</v>
      </c>
      <c r="BU374" s="12" t="s">
        <v>69</v>
      </c>
    </row>
    <row r="375">
      <c r="A375" s="12" t="s">
        <v>2442</v>
      </c>
      <c r="B375" s="12" t="s">
        <v>54</v>
      </c>
      <c r="C375" s="14">
        <v>45987.0</v>
      </c>
      <c r="D375" s="12" t="s">
        <v>77</v>
      </c>
      <c r="E375" s="12" t="s">
        <v>2445</v>
      </c>
      <c r="F375" s="12" t="s">
        <v>82</v>
      </c>
      <c r="BP375" s="12" t="s">
        <v>2446</v>
      </c>
      <c r="BQ375" s="12" t="b">
        <v>0</v>
      </c>
      <c r="BS375" s="16" t="s">
        <v>3409</v>
      </c>
      <c r="BT375" s="12" t="b">
        <v>1</v>
      </c>
      <c r="BU375" s="12" t="s">
        <v>69</v>
      </c>
    </row>
    <row r="376">
      <c r="A376" s="12" t="s">
        <v>2095</v>
      </c>
      <c r="B376" s="12" t="s">
        <v>54</v>
      </c>
      <c r="C376" s="14">
        <v>45987.0</v>
      </c>
      <c r="F376" s="12" t="s">
        <v>1112</v>
      </c>
      <c r="G376" s="12" t="s">
        <v>1113</v>
      </c>
      <c r="H376" s="12">
        <v>1.0</v>
      </c>
      <c r="I376" s="17">
        <v>150.0</v>
      </c>
      <c r="J376" s="17">
        <v>150.0</v>
      </c>
      <c r="BO376" s="17">
        <v>150.0</v>
      </c>
      <c r="BR376" s="17">
        <v>150.0</v>
      </c>
      <c r="BU376" s="12" t="s">
        <v>621</v>
      </c>
      <c r="BV376" s="12" t="s">
        <v>62</v>
      </c>
    </row>
    <row r="377">
      <c r="A377" s="12" t="s">
        <v>2100</v>
      </c>
      <c r="B377" s="12" t="s">
        <v>54</v>
      </c>
      <c r="C377" s="14">
        <v>45988.0</v>
      </c>
      <c r="F377" s="12" t="s">
        <v>2451</v>
      </c>
      <c r="G377" s="12" t="s">
        <v>1113</v>
      </c>
      <c r="H377" s="12">
        <v>1.0</v>
      </c>
      <c r="I377" s="17">
        <v>500.0</v>
      </c>
      <c r="J377" s="17">
        <v>500.0</v>
      </c>
      <c r="BO377" s="17">
        <v>500.0</v>
      </c>
      <c r="BR377" s="17">
        <v>500.0</v>
      </c>
      <c r="BU377" s="12" t="s">
        <v>621</v>
      </c>
      <c r="BV377" s="12" t="s">
        <v>1183</v>
      </c>
    </row>
    <row r="378">
      <c r="A378" s="12" t="s">
        <v>2104</v>
      </c>
      <c r="B378" s="12" t="s">
        <v>54</v>
      </c>
      <c r="C378" s="14">
        <v>45988.0</v>
      </c>
      <c r="F378" s="12" t="s">
        <v>2451</v>
      </c>
      <c r="G378" s="12" t="s">
        <v>1113</v>
      </c>
      <c r="H378" s="12">
        <v>1.0</v>
      </c>
      <c r="I378" s="17">
        <v>150.0</v>
      </c>
      <c r="J378" s="17">
        <v>150.0</v>
      </c>
      <c r="BO378" s="17">
        <v>150.0</v>
      </c>
      <c r="BR378" s="17">
        <v>150.0</v>
      </c>
      <c r="BU378" s="12" t="s">
        <v>621</v>
      </c>
      <c r="BV378" s="12" t="s">
        <v>78</v>
      </c>
    </row>
    <row r="379">
      <c r="A379" s="12" t="s">
        <v>2108</v>
      </c>
      <c r="B379" s="12" t="s">
        <v>54</v>
      </c>
      <c r="C379" s="14">
        <v>45988.0</v>
      </c>
      <c r="F379" s="12" t="s">
        <v>1112</v>
      </c>
      <c r="G379" s="12" t="s">
        <v>1113</v>
      </c>
      <c r="H379" s="12">
        <v>1.0</v>
      </c>
      <c r="I379" s="17">
        <v>300.0</v>
      </c>
      <c r="J379" s="17">
        <v>300.0</v>
      </c>
      <c r="BO379" s="17">
        <v>300.0</v>
      </c>
      <c r="BR379" s="17">
        <v>300.0</v>
      </c>
      <c r="BU379" s="12" t="s">
        <v>191</v>
      </c>
      <c r="BV379" s="12" t="s">
        <v>1900</v>
      </c>
    </row>
    <row r="380">
      <c r="A380" s="12" t="s">
        <v>2456</v>
      </c>
      <c r="B380" s="12" t="s">
        <v>54</v>
      </c>
      <c r="C380" s="14">
        <v>45986.0</v>
      </c>
      <c r="D380" s="12" t="s">
        <v>2458</v>
      </c>
      <c r="E380" s="12" t="s">
        <v>2460</v>
      </c>
      <c r="F380" s="12" t="s">
        <v>2462</v>
      </c>
      <c r="BP380" s="12" t="s">
        <v>2461</v>
      </c>
      <c r="BQ380" s="12" t="b">
        <v>0</v>
      </c>
      <c r="BS380" s="16" t="s">
        <v>3443</v>
      </c>
      <c r="BT380" s="12" t="b">
        <v>1</v>
      </c>
      <c r="BU380" s="12" t="s">
        <v>69</v>
      </c>
    </row>
    <row r="381">
      <c r="A381" s="12" t="s">
        <v>2466</v>
      </c>
      <c r="B381" s="12" t="s">
        <v>54</v>
      </c>
      <c r="C381" s="14">
        <v>45986.0</v>
      </c>
      <c r="D381" s="12" t="s">
        <v>156</v>
      </c>
      <c r="E381" s="12" t="s">
        <v>2467</v>
      </c>
      <c r="F381" s="12" t="s">
        <v>293</v>
      </c>
      <c r="BP381" s="12" t="s">
        <v>2469</v>
      </c>
      <c r="BQ381" s="12" t="b">
        <v>0</v>
      </c>
      <c r="BT381" s="12" t="b">
        <v>0</v>
      </c>
      <c r="BU381" s="12" t="s">
        <v>69</v>
      </c>
      <c r="BW381" s="12" t="s">
        <v>2470</v>
      </c>
    </row>
    <row r="382">
      <c r="A382" s="12" t="s">
        <v>2472</v>
      </c>
      <c r="B382" s="12" t="s">
        <v>54</v>
      </c>
      <c r="C382" s="14">
        <v>45986.0</v>
      </c>
      <c r="D382" s="12" t="s">
        <v>2474</v>
      </c>
      <c r="E382" s="12" t="s">
        <v>2475</v>
      </c>
      <c r="F382" s="12" t="s">
        <v>2477</v>
      </c>
      <c r="BP382" s="12" t="s">
        <v>2476</v>
      </c>
      <c r="BQ382" s="12" t="b">
        <v>0</v>
      </c>
      <c r="BS382" s="16" t="s">
        <v>3443</v>
      </c>
      <c r="BT382" s="12" t="b">
        <v>1</v>
      </c>
      <c r="BU382" s="12" t="s">
        <v>69</v>
      </c>
    </row>
    <row r="383">
      <c r="A383" s="12" t="s">
        <v>2480</v>
      </c>
      <c r="B383" s="12" t="s">
        <v>54</v>
      </c>
      <c r="C383" s="14">
        <v>45986.0</v>
      </c>
      <c r="D383" s="12" t="s">
        <v>220</v>
      </c>
      <c r="E383" s="12" t="s">
        <v>2483</v>
      </c>
      <c r="F383" s="12" t="s">
        <v>2487</v>
      </c>
      <c r="BP383" s="12" t="s">
        <v>2485</v>
      </c>
      <c r="BQ383" s="12" t="b">
        <v>0</v>
      </c>
      <c r="BS383" s="16" t="s">
        <v>3463</v>
      </c>
      <c r="BT383" s="12" t="b">
        <v>1</v>
      </c>
      <c r="BU383" s="12" t="s">
        <v>69</v>
      </c>
    </row>
    <row r="384">
      <c r="A384" s="12" t="s">
        <v>2489</v>
      </c>
      <c r="B384" s="12" t="s">
        <v>54</v>
      </c>
      <c r="C384" s="15">
        <v>45989.0</v>
      </c>
      <c r="D384" s="12" t="s">
        <v>220</v>
      </c>
      <c r="E384" s="12" t="s">
        <v>2491</v>
      </c>
      <c r="F384" s="12" t="s">
        <v>2487</v>
      </c>
      <c r="BP384" s="12" t="s">
        <v>2492</v>
      </c>
      <c r="BQ384" s="12" t="b">
        <v>0</v>
      </c>
      <c r="BS384" s="16" t="s">
        <v>3471</v>
      </c>
      <c r="BT384" s="12" t="b">
        <v>1</v>
      </c>
      <c r="BU384" s="12" t="s">
        <v>69</v>
      </c>
    </row>
    <row r="385">
      <c r="A385" s="12" t="s">
        <v>2112</v>
      </c>
      <c r="B385" s="12" t="s">
        <v>54</v>
      </c>
      <c r="C385" s="19">
        <v>45989.0</v>
      </c>
      <c r="D385" s="12" t="s">
        <v>2495</v>
      </c>
      <c r="F385" s="12" t="s">
        <v>1719</v>
      </c>
      <c r="G385" s="12" t="s">
        <v>1912</v>
      </c>
      <c r="H385" s="12">
        <v>1.0</v>
      </c>
      <c r="I385" s="17">
        <v>291.0</v>
      </c>
      <c r="J385" s="17">
        <v>291.0</v>
      </c>
      <c r="BO385" s="17">
        <v>291.0</v>
      </c>
      <c r="BR385" s="17">
        <v>291.0</v>
      </c>
      <c r="BU385" s="12" t="s">
        <v>621</v>
      </c>
    </row>
    <row r="386">
      <c r="A386" s="12" t="s">
        <v>2498</v>
      </c>
      <c r="B386" s="12" t="s">
        <v>54</v>
      </c>
      <c r="C386" s="15">
        <v>45990.0</v>
      </c>
      <c r="D386" s="12" t="s">
        <v>2500</v>
      </c>
      <c r="E386" s="12" t="s">
        <v>2501</v>
      </c>
      <c r="F386" s="12" t="s">
        <v>2505</v>
      </c>
      <c r="BP386" s="12" t="s">
        <v>2502</v>
      </c>
      <c r="BQ386" s="12" t="b">
        <v>0</v>
      </c>
      <c r="BS386" s="16" t="s">
        <v>3484</v>
      </c>
      <c r="BT386" s="12" t="b">
        <v>1</v>
      </c>
      <c r="BU386" s="12" t="s">
        <v>69</v>
      </c>
    </row>
    <row r="387">
      <c r="A387" s="12" t="s">
        <v>2509</v>
      </c>
      <c r="B387" s="12" t="s">
        <v>54</v>
      </c>
      <c r="C387" s="15">
        <v>45990.0</v>
      </c>
      <c r="D387" s="12" t="s">
        <v>2511</v>
      </c>
      <c r="E387" s="12" t="s">
        <v>2513</v>
      </c>
      <c r="F387" s="12" t="s">
        <v>2515</v>
      </c>
      <c r="BP387" s="12" t="s">
        <v>2514</v>
      </c>
      <c r="BQ387" s="12" t="b">
        <v>0</v>
      </c>
      <c r="BS387" s="16" t="s">
        <v>3488</v>
      </c>
      <c r="BT387" s="12" t="b">
        <v>1</v>
      </c>
      <c r="BU387" s="12" t="s">
        <v>69</v>
      </c>
    </row>
    <row r="388">
      <c r="A388" s="12" t="s">
        <v>2519</v>
      </c>
      <c r="B388" s="12" t="s">
        <v>54</v>
      </c>
      <c r="C388" s="15">
        <v>45986.0</v>
      </c>
      <c r="D388" s="12" t="s">
        <v>220</v>
      </c>
      <c r="E388" s="12" t="s">
        <v>2522</v>
      </c>
      <c r="F388" s="12" t="s">
        <v>599</v>
      </c>
      <c r="BP388" s="12" t="s">
        <v>2523</v>
      </c>
      <c r="BQ388" s="12" t="b">
        <v>0</v>
      </c>
      <c r="BS388" s="16" t="s">
        <v>3500</v>
      </c>
      <c r="BT388" s="12" t="b">
        <v>1</v>
      </c>
      <c r="BU388" s="12" t="s">
        <v>69</v>
      </c>
    </row>
    <row r="389">
      <c r="A389" s="12" t="s">
        <v>2526</v>
      </c>
      <c r="B389" s="12" t="s">
        <v>54</v>
      </c>
      <c r="C389" s="15">
        <v>45986.0</v>
      </c>
      <c r="D389" s="12" t="s">
        <v>220</v>
      </c>
      <c r="E389" s="12" t="s">
        <v>2530</v>
      </c>
      <c r="F389" s="12" t="s">
        <v>2534</v>
      </c>
      <c r="BP389" s="12" t="s">
        <v>2532</v>
      </c>
      <c r="BQ389" s="12" t="b">
        <v>0</v>
      </c>
      <c r="BS389" s="16" t="s">
        <v>3509</v>
      </c>
      <c r="BT389" s="12" t="b">
        <v>1</v>
      </c>
      <c r="BU389" s="12" t="s">
        <v>69</v>
      </c>
    </row>
    <row r="390">
      <c r="A390" s="12" t="s">
        <v>2536</v>
      </c>
      <c r="B390" s="12" t="s">
        <v>54</v>
      </c>
      <c r="C390" s="15">
        <v>45989.0</v>
      </c>
      <c r="D390" s="12" t="s">
        <v>220</v>
      </c>
      <c r="E390" s="12" t="s">
        <v>2537</v>
      </c>
      <c r="F390" s="12" t="s">
        <v>2540</v>
      </c>
      <c r="BP390" s="12" t="s">
        <v>2538</v>
      </c>
      <c r="BQ390" s="12" t="b">
        <v>0</v>
      </c>
      <c r="BS390" s="16" t="s">
        <v>3515</v>
      </c>
      <c r="BT390" s="12" t="b">
        <v>1</v>
      </c>
      <c r="BU390" s="12" t="s">
        <v>69</v>
      </c>
    </row>
    <row r="391">
      <c r="A391" s="12" t="s">
        <v>2556</v>
      </c>
      <c r="B391" s="12" t="s">
        <v>54</v>
      </c>
      <c r="C391" s="15">
        <v>45990.0</v>
      </c>
      <c r="D391" s="12" t="s">
        <v>220</v>
      </c>
      <c r="E391" s="12" t="s">
        <v>2558</v>
      </c>
      <c r="F391" s="12" t="s">
        <v>2487</v>
      </c>
      <c r="BP391" s="12" t="s">
        <v>2560</v>
      </c>
      <c r="BQ391" s="12" t="b">
        <v>0</v>
      </c>
      <c r="BS391" s="16" t="s">
        <v>3523</v>
      </c>
      <c r="BT391" s="12" t="b">
        <v>1</v>
      </c>
      <c r="BU391" s="12" t="s">
        <v>69</v>
      </c>
    </row>
    <row r="392">
      <c r="A392" s="12" t="s">
        <v>2564</v>
      </c>
      <c r="B392" s="12" t="s">
        <v>54</v>
      </c>
      <c r="C392" s="15">
        <v>45991.0</v>
      </c>
      <c r="D392" s="12" t="s">
        <v>182</v>
      </c>
      <c r="E392" s="12" t="s">
        <v>2566</v>
      </c>
      <c r="F392" s="12" t="s">
        <v>457</v>
      </c>
      <c r="BP392" s="12" t="s">
        <v>2568</v>
      </c>
      <c r="BQ392" s="12" t="b">
        <v>0</v>
      </c>
      <c r="BS392" s="16" t="s">
        <v>3527</v>
      </c>
      <c r="BT392" s="12" t="b">
        <v>1</v>
      </c>
      <c r="BU392" s="12" t="s">
        <v>69</v>
      </c>
    </row>
    <row r="393">
      <c r="A393" s="12" t="s">
        <v>2114</v>
      </c>
      <c r="B393" s="12" t="s">
        <v>54</v>
      </c>
      <c r="C393" s="19">
        <v>45991.0</v>
      </c>
      <c r="F393" s="12" t="s">
        <v>1112</v>
      </c>
      <c r="G393" s="12" t="s">
        <v>1113</v>
      </c>
      <c r="H393" s="12">
        <v>1.0</v>
      </c>
      <c r="I393" s="17">
        <v>100.0</v>
      </c>
      <c r="J393" s="17">
        <v>100.0</v>
      </c>
      <c r="BO393" s="17">
        <v>100.0</v>
      </c>
      <c r="BR393" s="17">
        <v>100.0</v>
      </c>
      <c r="BU393" s="12" t="s">
        <v>191</v>
      </c>
      <c r="BV393" s="12" t="s">
        <v>78</v>
      </c>
    </row>
    <row r="394">
      <c r="A394" s="12" t="s">
        <v>2573</v>
      </c>
      <c r="B394" s="12" t="s">
        <v>54</v>
      </c>
      <c r="C394" s="14">
        <v>45970.0</v>
      </c>
      <c r="D394" s="12" t="s">
        <v>478</v>
      </c>
      <c r="E394" s="12" t="s">
        <v>2575</v>
      </c>
      <c r="F394" s="12" t="s">
        <v>2578</v>
      </c>
      <c r="BP394" s="12" t="s">
        <v>2576</v>
      </c>
      <c r="BQ394" s="12" t="b">
        <v>0</v>
      </c>
      <c r="BS394" s="16" t="s">
        <v>3545</v>
      </c>
      <c r="BT394" s="12" t="b">
        <v>1</v>
      </c>
      <c r="BU394" s="12" t="s">
        <v>69</v>
      </c>
      <c r="BW394" s="12" t="s">
        <v>2579</v>
      </c>
    </row>
    <row r="395">
      <c r="A395" s="12" t="s">
        <v>2581</v>
      </c>
      <c r="B395" s="12" t="s">
        <v>54</v>
      </c>
      <c r="C395" s="14">
        <v>45992.0</v>
      </c>
      <c r="D395" s="12" t="s">
        <v>182</v>
      </c>
      <c r="E395" s="12" t="s">
        <v>2583</v>
      </c>
      <c r="F395" s="12" t="s">
        <v>2586</v>
      </c>
      <c r="BP395" s="12" t="s">
        <v>2584</v>
      </c>
      <c r="BQ395" s="12" t="b">
        <v>0</v>
      </c>
      <c r="BS395" s="16" t="s">
        <v>3553</v>
      </c>
      <c r="BT395" s="12" t="b">
        <v>1</v>
      </c>
      <c r="BU395" s="12" t="s">
        <v>69</v>
      </c>
    </row>
    <row r="396">
      <c r="A396" s="12" t="s">
        <v>2587</v>
      </c>
      <c r="B396" s="12" t="s">
        <v>54</v>
      </c>
      <c r="C396" s="15">
        <v>45982.0</v>
      </c>
      <c r="D396" s="12" t="s">
        <v>912</v>
      </c>
      <c r="E396" s="12" t="s">
        <v>2589</v>
      </c>
      <c r="F396" s="12" t="s">
        <v>2592</v>
      </c>
      <c r="BP396" s="12" t="s">
        <v>2591</v>
      </c>
      <c r="BQ396" s="12" t="b">
        <v>0</v>
      </c>
      <c r="BT396" s="12" t="b">
        <v>0</v>
      </c>
      <c r="BU396" s="12" t="s">
        <v>69</v>
      </c>
    </row>
    <row r="397">
      <c r="A397" s="12" t="s">
        <v>2594</v>
      </c>
      <c r="B397" s="12" t="s">
        <v>54</v>
      </c>
      <c r="C397" s="15">
        <v>45989.0</v>
      </c>
      <c r="D397" s="12" t="s">
        <v>912</v>
      </c>
      <c r="E397" s="12" t="s">
        <v>2596</v>
      </c>
      <c r="F397" s="12" t="s">
        <v>368</v>
      </c>
      <c r="BP397" s="12" t="s">
        <v>2597</v>
      </c>
      <c r="BQ397" s="12" t="b">
        <v>0</v>
      </c>
      <c r="BT397" s="12" t="b">
        <v>0</v>
      </c>
      <c r="BU397" s="12" t="s">
        <v>69</v>
      </c>
      <c r="BW397" s="12" t="s">
        <v>2600</v>
      </c>
    </row>
    <row r="398">
      <c r="A398" s="12" t="s">
        <v>2602</v>
      </c>
      <c r="B398" s="12" t="s">
        <v>54</v>
      </c>
      <c r="C398" s="14">
        <v>45992.0</v>
      </c>
      <c r="D398" s="12" t="s">
        <v>58</v>
      </c>
      <c r="E398" s="12" t="s">
        <v>2605</v>
      </c>
      <c r="F398" s="12" t="s">
        <v>2608</v>
      </c>
      <c r="BP398" s="12" t="s">
        <v>2606</v>
      </c>
      <c r="BQ398" s="12" t="b">
        <v>0</v>
      </c>
      <c r="BS398" s="16" t="s">
        <v>3569</v>
      </c>
      <c r="BT398" s="12" t="b">
        <v>1</v>
      </c>
      <c r="BU398" s="12" t="s">
        <v>69</v>
      </c>
    </row>
    <row r="399">
      <c r="A399" s="12" t="s">
        <v>2611</v>
      </c>
      <c r="B399" s="12" t="s">
        <v>54</v>
      </c>
      <c r="C399" s="14">
        <v>45992.0</v>
      </c>
      <c r="D399" s="12" t="s">
        <v>175</v>
      </c>
      <c r="E399" s="12" t="s">
        <v>2614</v>
      </c>
      <c r="F399" s="12" t="s">
        <v>2617</v>
      </c>
      <c r="BP399" s="12" t="s">
        <v>2615</v>
      </c>
      <c r="BQ399" s="12" t="b">
        <v>0</v>
      </c>
      <c r="BS399" s="16" t="s">
        <v>3579</v>
      </c>
      <c r="BT399" s="12" t="b">
        <v>1</v>
      </c>
      <c r="BU399" s="12" t="s">
        <v>69</v>
      </c>
    </row>
    <row r="400">
      <c r="A400" s="12" t="s">
        <v>2619</v>
      </c>
      <c r="B400" s="12" t="s">
        <v>54</v>
      </c>
      <c r="C400" s="15">
        <v>45986.0</v>
      </c>
      <c r="D400" s="12" t="s">
        <v>912</v>
      </c>
      <c r="E400" s="12" t="s">
        <v>2621</v>
      </c>
      <c r="F400" s="12" t="s">
        <v>2624</v>
      </c>
      <c r="BP400" s="12" t="s">
        <v>2622</v>
      </c>
      <c r="BQ400" s="12" t="b">
        <v>0</v>
      </c>
      <c r="BT400" s="12" t="b">
        <v>0</v>
      </c>
      <c r="BU400" s="12" t="s">
        <v>69</v>
      </c>
    </row>
    <row r="401">
      <c r="A401" s="12" t="s">
        <v>2625</v>
      </c>
      <c r="B401" s="12" t="s">
        <v>54</v>
      </c>
      <c r="C401" s="15">
        <v>45950.0</v>
      </c>
      <c r="D401" s="12" t="s">
        <v>2627</v>
      </c>
      <c r="E401" s="12" t="s">
        <v>2628</v>
      </c>
      <c r="F401" s="12" t="s">
        <v>2630</v>
      </c>
      <c r="BP401" s="12" t="s">
        <v>2629</v>
      </c>
      <c r="BQ401" s="12" t="b">
        <v>0</v>
      </c>
      <c r="BT401" s="12" t="b">
        <v>0</v>
      </c>
      <c r="BU401" s="12" t="s">
        <v>69</v>
      </c>
    </row>
    <row r="402">
      <c r="A402" s="12" t="s">
        <v>2632</v>
      </c>
      <c r="B402" s="12" t="s">
        <v>54</v>
      </c>
      <c r="C402" s="15">
        <v>45988.0</v>
      </c>
      <c r="D402" s="12" t="s">
        <v>156</v>
      </c>
      <c r="E402" s="12" t="s">
        <v>2635</v>
      </c>
      <c r="F402" s="12" t="s">
        <v>2637</v>
      </c>
      <c r="BP402" s="12" t="s">
        <v>2636</v>
      </c>
      <c r="BQ402" s="12" t="b">
        <v>0</v>
      </c>
      <c r="BT402" s="12" t="b">
        <v>0</v>
      </c>
      <c r="BU402" s="12" t="s">
        <v>69</v>
      </c>
    </row>
    <row r="403">
      <c r="A403" s="12" t="s">
        <v>2639</v>
      </c>
      <c r="B403" s="12" t="s">
        <v>54</v>
      </c>
      <c r="C403" s="14">
        <v>45992.0</v>
      </c>
      <c r="D403" s="12" t="s">
        <v>556</v>
      </c>
      <c r="E403" s="12" t="s">
        <v>2641</v>
      </c>
      <c r="F403" s="12" t="s">
        <v>859</v>
      </c>
      <c r="BP403" s="12" t="s">
        <v>2642</v>
      </c>
      <c r="BQ403" s="12" t="b">
        <v>0</v>
      </c>
      <c r="BS403" s="16" t="s">
        <v>3608</v>
      </c>
      <c r="BT403" s="12" t="b">
        <v>1</v>
      </c>
      <c r="BU403" s="12" t="s">
        <v>69</v>
      </c>
    </row>
    <row r="404">
      <c r="A404" s="12" t="s">
        <v>2644</v>
      </c>
      <c r="B404" s="12" t="s">
        <v>54</v>
      </c>
      <c r="C404" s="14">
        <v>45993.0</v>
      </c>
      <c r="D404" s="12" t="s">
        <v>1103</v>
      </c>
      <c r="E404" s="12" t="s">
        <v>2647</v>
      </c>
      <c r="F404" s="12" t="s">
        <v>153</v>
      </c>
      <c r="BP404" s="12" t="s">
        <v>2648</v>
      </c>
      <c r="BQ404" s="12" t="b">
        <v>0</v>
      </c>
      <c r="BS404" s="16" t="s">
        <v>3617</v>
      </c>
      <c r="BT404" s="12" t="b">
        <v>1</v>
      </c>
      <c r="BU404" s="12" t="s">
        <v>69</v>
      </c>
    </row>
    <row r="405">
      <c r="A405" s="12" t="s">
        <v>2651</v>
      </c>
      <c r="B405" s="12" t="s">
        <v>54</v>
      </c>
      <c r="C405" s="15">
        <v>45989.0</v>
      </c>
      <c r="D405" s="12" t="s">
        <v>156</v>
      </c>
      <c r="E405" s="12" t="s">
        <v>2654</v>
      </c>
      <c r="F405" s="12" t="s">
        <v>254</v>
      </c>
      <c r="BP405" s="12" t="s">
        <v>2655</v>
      </c>
      <c r="BQ405" s="12" t="b">
        <v>0</v>
      </c>
      <c r="BT405" s="12" t="b">
        <v>0</v>
      </c>
      <c r="BU405" s="12" t="s">
        <v>69</v>
      </c>
    </row>
    <row r="406">
      <c r="A406" s="12">
        <v>1241.0</v>
      </c>
      <c r="B406" s="12" t="s">
        <v>54</v>
      </c>
      <c r="C406" s="19">
        <v>45993.0</v>
      </c>
      <c r="D406" s="12" t="s">
        <v>848</v>
      </c>
      <c r="F406" s="12" t="s">
        <v>1226</v>
      </c>
      <c r="G406" s="12" t="s">
        <v>852</v>
      </c>
      <c r="H406" s="12">
        <v>1.0</v>
      </c>
      <c r="I406" s="17">
        <v>4000.0</v>
      </c>
      <c r="J406" s="17">
        <v>4000.0</v>
      </c>
      <c r="BO406" s="17">
        <v>4000.0</v>
      </c>
      <c r="BR406" s="17">
        <v>4000.0</v>
      </c>
      <c r="BU406" s="12" t="s">
        <v>621</v>
      </c>
    </row>
    <row r="407">
      <c r="A407" s="12" t="s">
        <v>2660</v>
      </c>
      <c r="B407" s="12" t="s">
        <v>54</v>
      </c>
      <c r="C407" s="14">
        <v>45994.0</v>
      </c>
      <c r="D407" s="12" t="s">
        <v>461</v>
      </c>
      <c r="E407" s="12" t="s">
        <v>2662</v>
      </c>
      <c r="F407" s="12" t="s">
        <v>1143</v>
      </c>
      <c r="BP407" s="12" t="s">
        <v>2664</v>
      </c>
      <c r="BQ407" s="12" t="b">
        <v>0</v>
      </c>
      <c r="BS407" s="16" t="s">
        <v>3631</v>
      </c>
      <c r="BT407" s="12" t="b">
        <v>1</v>
      </c>
      <c r="BU407" s="12" t="s">
        <v>69</v>
      </c>
    </row>
    <row r="408">
      <c r="A408" s="12" t="s">
        <v>2666</v>
      </c>
      <c r="B408" s="12" t="s">
        <v>54</v>
      </c>
      <c r="C408" s="14">
        <v>45994.0</v>
      </c>
      <c r="D408" s="12" t="s">
        <v>375</v>
      </c>
      <c r="E408" s="12" t="s">
        <v>2668</v>
      </c>
      <c r="F408" s="12" t="s">
        <v>153</v>
      </c>
      <c r="BP408" s="12" t="s">
        <v>2669</v>
      </c>
      <c r="BQ408" s="12" t="b">
        <v>0</v>
      </c>
      <c r="BS408" s="16" t="s">
        <v>3637</v>
      </c>
      <c r="BT408" s="12" t="b">
        <v>1</v>
      </c>
      <c r="BU408" s="12" t="s">
        <v>69</v>
      </c>
    </row>
    <row r="409">
      <c r="A409" s="12" t="s">
        <v>2672</v>
      </c>
      <c r="B409" s="12" t="s">
        <v>54</v>
      </c>
      <c r="C409" s="14">
        <v>45994.0</v>
      </c>
      <c r="D409" s="12" t="s">
        <v>375</v>
      </c>
      <c r="E409" s="12" t="s">
        <v>2674</v>
      </c>
      <c r="F409" s="12" t="s">
        <v>1778</v>
      </c>
      <c r="BP409" s="12" t="s">
        <v>2675</v>
      </c>
      <c r="BQ409" s="12" t="b">
        <v>0</v>
      </c>
      <c r="BS409" s="16" t="s">
        <v>3644</v>
      </c>
      <c r="BT409" s="12" t="b">
        <v>1</v>
      </c>
      <c r="BU409" s="12" t="s">
        <v>69</v>
      </c>
    </row>
    <row r="410">
      <c r="A410" s="12" t="s">
        <v>2678</v>
      </c>
      <c r="B410" s="12" t="s">
        <v>54</v>
      </c>
      <c r="C410" s="14">
        <v>45994.0</v>
      </c>
      <c r="D410" s="12" t="s">
        <v>182</v>
      </c>
      <c r="E410" s="12" t="s">
        <v>2680</v>
      </c>
      <c r="F410" s="12" t="s">
        <v>312</v>
      </c>
      <c r="BP410" s="12" t="s">
        <v>2681</v>
      </c>
      <c r="BQ410" s="12" t="b">
        <v>0</v>
      </c>
      <c r="BS410" s="16" t="s">
        <v>3652</v>
      </c>
      <c r="BT410" s="12" t="b">
        <v>1</v>
      </c>
      <c r="BU410" s="12" t="s">
        <v>69</v>
      </c>
    </row>
    <row r="411">
      <c r="A411" s="12" t="s">
        <v>2683</v>
      </c>
      <c r="B411" s="12" t="s">
        <v>54</v>
      </c>
      <c r="C411" s="14">
        <v>45994.0</v>
      </c>
      <c r="D411" s="12" t="s">
        <v>784</v>
      </c>
      <c r="E411" s="12" t="s">
        <v>2686</v>
      </c>
      <c r="F411" s="12" t="s">
        <v>715</v>
      </c>
      <c r="BP411" s="12" t="s">
        <v>2687</v>
      </c>
      <c r="BQ411" s="12" t="b">
        <v>0</v>
      </c>
      <c r="BT411" s="12" t="b">
        <v>0</v>
      </c>
      <c r="BU411" s="12" t="s">
        <v>69</v>
      </c>
      <c r="BW411" s="12" t="s">
        <v>2689</v>
      </c>
    </row>
    <row r="412">
      <c r="A412" s="12" t="s">
        <v>2690</v>
      </c>
      <c r="B412" s="12" t="s">
        <v>54</v>
      </c>
      <c r="C412" s="14">
        <v>45994.0</v>
      </c>
      <c r="D412" s="12" t="s">
        <v>2692</v>
      </c>
      <c r="E412" s="12" t="s">
        <v>2693</v>
      </c>
      <c r="F412" s="12" t="s">
        <v>2696</v>
      </c>
      <c r="BP412" s="12" t="s">
        <v>2695</v>
      </c>
      <c r="BQ412" s="12" t="b">
        <v>0</v>
      </c>
      <c r="BT412" s="12" t="b">
        <v>0</v>
      </c>
      <c r="BU412" s="12" t="s">
        <v>69</v>
      </c>
      <c r="BW412" s="12" t="s">
        <v>2699</v>
      </c>
    </row>
    <row r="413">
      <c r="A413" s="12" t="s">
        <v>2701</v>
      </c>
      <c r="B413" s="12" t="s">
        <v>54</v>
      </c>
      <c r="C413" s="14">
        <v>45995.0</v>
      </c>
      <c r="D413" s="12" t="s">
        <v>220</v>
      </c>
      <c r="E413" s="12" t="s">
        <v>2702</v>
      </c>
      <c r="F413" s="12" t="s">
        <v>2340</v>
      </c>
      <c r="BP413" s="12" t="s">
        <v>2705</v>
      </c>
      <c r="BQ413" s="12" t="b">
        <v>0</v>
      </c>
      <c r="BS413" s="16" t="s">
        <v>3671</v>
      </c>
      <c r="BT413" s="12" t="b">
        <v>1</v>
      </c>
      <c r="BU413" s="12" t="s">
        <v>69</v>
      </c>
    </row>
    <row r="414">
      <c r="A414" s="12" t="s">
        <v>2707</v>
      </c>
      <c r="B414" s="12" t="s">
        <v>54</v>
      </c>
      <c r="C414" s="14">
        <v>45995.0</v>
      </c>
      <c r="D414" s="12" t="s">
        <v>2708</v>
      </c>
      <c r="E414" s="12" t="s">
        <v>2710</v>
      </c>
      <c r="F414" s="12" t="s">
        <v>2712</v>
      </c>
      <c r="BP414" s="12" t="s">
        <v>2711</v>
      </c>
      <c r="BQ414" s="12" t="b">
        <v>0</v>
      </c>
      <c r="BS414" s="16" t="s">
        <v>3680</v>
      </c>
      <c r="BT414" s="12" t="b">
        <v>1</v>
      </c>
      <c r="BU414" s="12" t="s">
        <v>69</v>
      </c>
    </row>
    <row r="415">
      <c r="A415" s="12" t="s">
        <v>2715</v>
      </c>
      <c r="B415" s="12" t="s">
        <v>54</v>
      </c>
      <c r="C415" s="14">
        <v>45995.0</v>
      </c>
      <c r="D415" s="12" t="s">
        <v>190</v>
      </c>
      <c r="E415" s="12" t="s">
        <v>2717</v>
      </c>
      <c r="F415" s="12" t="s">
        <v>328</v>
      </c>
      <c r="BP415" s="12" t="s">
        <v>2719</v>
      </c>
      <c r="BQ415" s="12" t="b">
        <v>0</v>
      </c>
      <c r="BS415" s="16" t="s">
        <v>3687</v>
      </c>
      <c r="BT415" s="12" t="b">
        <v>1</v>
      </c>
      <c r="BU415" s="12" t="s">
        <v>69</v>
      </c>
    </row>
    <row r="416">
      <c r="A416" s="12" t="s">
        <v>2722</v>
      </c>
      <c r="B416" s="12" t="s">
        <v>54</v>
      </c>
      <c r="C416" s="14">
        <v>45995.0</v>
      </c>
      <c r="D416" s="12" t="s">
        <v>2723</v>
      </c>
      <c r="E416" s="12" t="s">
        <v>2724</v>
      </c>
      <c r="F416" s="12" t="s">
        <v>2728</v>
      </c>
      <c r="BP416" s="12" t="s">
        <v>2726</v>
      </c>
      <c r="BQ416" s="12" t="b">
        <v>0</v>
      </c>
      <c r="BS416" s="16" t="s">
        <v>3692</v>
      </c>
      <c r="BT416" s="12" t="b">
        <v>1</v>
      </c>
      <c r="BU416" s="12" t="s">
        <v>69</v>
      </c>
    </row>
    <row r="417">
      <c r="A417" s="12" t="s">
        <v>2729</v>
      </c>
      <c r="B417" s="12" t="s">
        <v>54</v>
      </c>
      <c r="C417" s="14">
        <v>45995.0</v>
      </c>
      <c r="D417" s="12" t="s">
        <v>175</v>
      </c>
      <c r="E417" s="12" t="s">
        <v>2732</v>
      </c>
      <c r="F417" s="12" t="s">
        <v>1222</v>
      </c>
      <c r="BP417" s="12" t="s">
        <v>2733</v>
      </c>
      <c r="BQ417" s="12" t="b">
        <v>0</v>
      </c>
      <c r="BS417" s="16" t="s">
        <v>3698</v>
      </c>
      <c r="BT417" s="12" t="b">
        <v>1</v>
      </c>
      <c r="BU417" s="12" t="s">
        <v>69</v>
      </c>
    </row>
    <row r="418">
      <c r="A418" s="12" t="s">
        <v>2119</v>
      </c>
      <c r="B418" s="12" t="s">
        <v>54</v>
      </c>
      <c r="C418" s="19">
        <v>45995.0</v>
      </c>
      <c r="F418" s="12" t="s">
        <v>2738</v>
      </c>
      <c r="G418" s="12" t="s">
        <v>1196</v>
      </c>
      <c r="H418" s="12">
        <v>1.0</v>
      </c>
      <c r="I418" s="17">
        <v>5000.0</v>
      </c>
      <c r="J418" s="17">
        <v>5000.0</v>
      </c>
      <c r="BO418" s="17">
        <v>5000.0</v>
      </c>
      <c r="BR418" s="17">
        <v>5000.0</v>
      </c>
      <c r="BU418" s="12" t="s">
        <v>621</v>
      </c>
      <c r="BV418" s="12" t="s">
        <v>2739</v>
      </c>
    </row>
    <row r="419">
      <c r="A419" s="16" t="s">
        <v>3708</v>
      </c>
      <c r="B419" s="12" t="s">
        <v>54</v>
      </c>
      <c r="C419" s="14">
        <v>45995.0</v>
      </c>
      <c r="D419" s="12" t="s">
        <v>220</v>
      </c>
      <c r="E419" s="12" t="s">
        <v>2742</v>
      </c>
      <c r="F419" s="12" t="s">
        <v>2487</v>
      </c>
      <c r="BP419" s="12" t="s">
        <v>2745</v>
      </c>
      <c r="BQ419" s="12" t="b">
        <v>0</v>
      </c>
      <c r="BS419" s="16" t="s">
        <v>3712</v>
      </c>
      <c r="BT419" s="12" t="b">
        <v>1</v>
      </c>
      <c r="BU419" s="12" t="s">
        <v>69</v>
      </c>
    </row>
    <row r="420">
      <c r="A420" s="12" t="s">
        <v>2748</v>
      </c>
      <c r="B420" s="12" t="s">
        <v>54</v>
      </c>
      <c r="C420" s="14">
        <v>45997.0</v>
      </c>
      <c r="D420" s="12" t="s">
        <v>182</v>
      </c>
      <c r="E420" s="12" t="s">
        <v>2749</v>
      </c>
      <c r="F420" s="12" t="s">
        <v>457</v>
      </c>
      <c r="BP420" s="12" t="s">
        <v>2751</v>
      </c>
      <c r="BQ420" s="12" t="b">
        <v>0</v>
      </c>
      <c r="BS420" s="16" t="s">
        <v>3718</v>
      </c>
      <c r="BT420" s="12" t="b">
        <v>1</v>
      </c>
      <c r="BU420" s="12" t="s">
        <v>69</v>
      </c>
    </row>
    <row r="421">
      <c r="A421" s="12" t="s">
        <v>2754</v>
      </c>
      <c r="B421" s="12" t="s">
        <v>54</v>
      </c>
      <c r="C421" s="14">
        <v>45996.0</v>
      </c>
      <c r="D421" s="12" t="s">
        <v>220</v>
      </c>
      <c r="E421" s="12" t="s">
        <v>2755</v>
      </c>
      <c r="F421" s="12" t="s">
        <v>1529</v>
      </c>
      <c r="BP421" s="12" t="s">
        <v>2757</v>
      </c>
      <c r="BQ421" s="12" t="b">
        <v>0</v>
      </c>
      <c r="BS421" s="16" t="s">
        <v>3723</v>
      </c>
      <c r="BT421" s="12" t="b">
        <v>1</v>
      </c>
      <c r="BU421" s="12" t="s">
        <v>69</v>
      </c>
    </row>
    <row r="422">
      <c r="A422" s="12" t="s">
        <v>2121</v>
      </c>
      <c r="B422" s="12" t="s">
        <v>54</v>
      </c>
      <c r="C422" s="19">
        <v>45997.0</v>
      </c>
      <c r="F422" s="12" t="s">
        <v>1112</v>
      </c>
      <c r="G422" s="12" t="s">
        <v>1113</v>
      </c>
      <c r="H422" s="12">
        <v>1.0</v>
      </c>
      <c r="I422" s="17">
        <v>200.0</v>
      </c>
      <c r="J422" s="17">
        <v>200.0</v>
      </c>
      <c r="BO422" s="17">
        <v>200.0</v>
      </c>
      <c r="BR422" s="17">
        <v>200.0</v>
      </c>
      <c r="BU422" s="12" t="s">
        <v>191</v>
      </c>
      <c r="BV422" s="12" t="s">
        <v>1900</v>
      </c>
    </row>
    <row r="423">
      <c r="A423" s="16" t="s">
        <v>3731</v>
      </c>
      <c r="B423" s="12" t="s">
        <v>54</v>
      </c>
      <c r="C423" s="14">
        <v>45999.0</v>
      </c>
      <c r="D423" s="12" t="s">
        <v>375</v>
      </c>
      <c r="E423" s="12" t="s">
        <v>2761</v>
      </c>
      <c r="F423" s="12" t="s">
        <v>153</v>
      </c>
      <c r="BP423" s="12" t="s">
        <v>2762</v>
      </c>
      <c r="BQ423" s="12" t="b">
        <v>0</v>
      </c>
      <c r="BS423" s="16" t="s">
        <v>3734</v>
      </c>
      <c r="BT423" s="12" t="b">
        <v>1</v>
      </c>
      <c r="BU423" s="12" t="s">
        <v>69</v>
      </c>
    </row>
    <row r="424">
      <c r="A424" s="12" t="s">
        <v>2764</v>
      </c>
      <c r="B424" s="12" t="s">
        <v>54</v>
      </c>
      <c r="C424" s="14">
        <v>45999.0</v>
      </c>
      <c r="D424" s="12" t="s">
        <v>418</v>
      </c>
      <c r="E424" s="12" t="s">
        <v>2767</v>
      </c>
      <c r="F424" s="12" t="s">
        <v>423</v>
      </c>
      <c r="BP424" s="12" t="s">
        <v>2768</v>
      </c>
      <c r="BQ424" s="12" t="b">
        <v>0</v>
      </c>
      <c r="BT424" s="12" t="b">
        <v>0</v>
      </c>
      <c r="BU424" s="12" t="s">
        <v>69</v>
      </c>
    </row>
    <row r="425">
      <c r="A425" s="12" t="s">
        <v>2124</v>
      </c>
      <c r="B425" s="12" t="s">
        <v>54</v>
      </c>
      <c r="C425" s="19">
        <v>46000.0</v>
      </c>
      <c r="D425" s="12" t="s">
        <v>912</v>
      </c>
      <c r="F425" s="12" t="s">
        <v>2772</v>
      </c>
      <c r="G425" s="12" t="s">
        <v>786</v>
      </c>
      <c r="H425" s="12">
        <v>1.0</v>
      </c>
      <c r="I425" s="17">
        <v>2636.0</v>
      </c>
      <c r="J425" s="17">
        <v>2636.0</v>
      </c>
      <c r="BO425" s="17">
        <v>2636.0</v>
      </c>
      <c r="BR425" s="17">
        <v>2636.0</v>
      </c>
      <c r="BU425" s="12" t="s">
        <v>621</v>
      </c>
    </row>
    <row r="426">
      <c r="A426" s="12" t="s">
        <v>2128</v>
      </c>
      <c r="B426" s="12" t="s">
        <v>54</v>
      </c>
      <c r="C426" s="19">
        <v>46000.0</v>
      </c>
      <c r="D426" s="12" t="s">
        <v>156</v>
      </c>
      <c r="F426" s="12" t="s">
        <v>2776</v>
      </c>
      <c r="G426" s="12" t="s">
        <v>2129</v>
      </c>
      <c r="H426" s="12">
        <v>1.0</v>
      </c>
      <c r="I426" s="17">
        <v>193.8</v>
      </c>
      <c r="J426" s="17">
        <v>193.8</v>
      </c>
      <c r="BO426" s="17">
        <v>193.8</v>
      </c>
      <c r="BR426" s="17">
        <v>193.8</v>
      </c>
      <c r="BU426" s="12" t="s">
        <v>1784</v>
      </c>
    </row>
    <row r="427">
      <c r="A427" s="12">
        <v>1251.0</v>
      </c>
      <c r="B427" s="12" t="s">
        <v>54</v>
      </c>
      <c r="C427" s="19">
        <v>46000.0</v>
      </c>
      <c r="D427" s="12" t="s">
        <v>1668</v>
      </c>
      <c r="F427" s="12" t="s">
        <v>1671</v>
      </c>
      <c r="G427" s="12" t="s">
        <v>874</v>
      </c>
      <c r="H427" s="12">
        <v>1.0</v>
      </c>
      <c r="I427" s="17">
        <v>125.0</v>
      </c>
      <c r="J427" s="17">
        <v>125.0</v>
      </c>
      <c r="BO427" s="17">
        <v>125.0</v>
      </c>
      <c r="BR427" s="17">
        <v>125.0</v>
      </c>
      <c r="BU427" s="12" t="s">
        <v>621</v>
      </c>
    </row>
    <row r="428">
      <c r="A428" s="12">
        <v>1253.0</v>
      </c>
      <c r="B428" s="12" t="s">
        <v>54</v>
      </c>
      <c r="C428" s="19">
        <v>46000.0</v>
      </c>
      <c r="D428" s="12" t="s">
        <v>897</v>
      </c>
      <c r="F428" s="12" t="s">
        <v>909</v>
      </c>
      <c r="G428" s="12" t="s">
        <v>911</v>
      </c>
      <c r="H428" s="12">
        <v>1.0</v>
      </c>
      <c r="I428" s="17">
        <v>0.0</v>
      </c>
      <c r="J428" s="17">
        <v>0.0</v>
      </c>
      <c r="BO428" s="17">
        <v>0.0</v>
      </c>
      <c r="BR428" s="17">
        <v>0.0</v>
      </c>
      <c r="BU428" s="12" t="s">
        <v>621</v>
      </c>
    </row>
    <row r="429">
      <c r="A429" s="12">
        <v>1254.0</v>
      </c>
      <c r="B429" s="12" t="s">
        <v>54</v>
      </c>
      <c r="C429" s="19">
        <v>46000.0</v>
      </c>
      <c r="D429" s="12" t="s">
        <v>933</v>
      </c>
      <c r="F429" s="12" t="s">
        <v>2785</v>
      </c>
      <c r="G429" s="12" t="s">
        <v>936</v>
      </c>
      <c r="H429" s="12">
        <v>1.0</v>
      </c>
      <c r="I429" s="17">
        <v>1000.0</v>
      </c>
      <c r="J429" s="17">
        <v>1000.0</v>
      </c>
      <c r="BO429" s="17">
        <v>1000.0</v>
      </c>
      <c r="BR429" s="17">
        <v>1000.0</v>
      </c>
      <c r="BU429" s="12" t="s">
        <v>621</v>
      </c>
    </row>
    <row r="430">
      <c r="A430" s="12" t="s">
        <v>2135</v>
      </c>
      <c r="B430" s="12" t="s">
        <v>54</v>
      </c>
      <c r="C430" s="19">
        <v>46000.0</v>
      </c>
      <c r="D430" s="12" t="s">
        <v>156</v>
      </c>
      <c r="F430" s="12" t="s">
        <v>2789</v>
      </c>
      <c r="G430" s="12" t="s">
        <v>1236</v>
      </c>
      <c r="H430" s="12">
        <v>1.0</v>
      </c>
      <c r="I430" s="17">
        <v>159.94</v>
      </c>
      <c r="J430" s="17">
        <v>159.94</v>
      </c>
      <c r="BO430" s="17">
        <v>159.94</v>
      </c>
      <c r="BR430" s="17">
        <v>159.94</v>
      </c>
      <c r="BU430" s="12" t="s">
        <v>621</v>
      </c>
    </row>
    <row r="431">
      <c r="A431" s="12" t="s">
        <v>2139</v>
      </c>
      <c r="B431" s="12" t="s">
        <v>54</v>
      </c>
      <c r="C431" s="19">
        <v>46000.0</v>
      </c>
      <c r="D431" s="12" t="s">
        <v>156</v>
      </c>
      <c r="F431" s="12" t="s">
        <v>2792</v>
      </c>
      <c r="G431" s="12" t="s">
        <v>1236</v>
      </c>
      <c r="H431" s="12">
        <v>1.0</v>
      </c>
      <c r="I431" s="17">
        <v>1401.11</v>
      </c>
      <c r="J431" s="17">
        <v>1401.11</v>
      </c>
      <c r="BO431" s="17">
        <v>1401.11</v>
      </c>
      <c r="BR431" s="17">
        <v>1401.11</v>
      </c>
      <c r="BU431" s="12" t="s">
        <v>621</v>
      </c>
    </row>
    <row r="432">
      <c r="A432" s="12" t="s">
        <v>2141</v>
      </c>
      <c r="B432" s="12" t="s">
        <v>54</v>
      </c>
      <c r="C432" s="19">
        <v>46000.0</v>
      </c>
      <c r="D432" s="12" t="s">
        <v>156</v>
      </c>
      <c r="F432" s="12" t="s">
        <v>2795</v>
      </c>
      <c r="G432" s="12" t="s">
        <v>1236</v>
      </c>
      <c r="H432" s="12">
        <v>1.0</v>
      </c>
      <c r="I432" s="17">
        <v>901.61</v>
      </c>
      <c r="J432" s="17">
        <v>901.61</v>
      </c>
      <c r="BO432" s="17">
        <v>901.61</v>
      </c>
      <c r="BR432" s="17">
        <v>901.61</v>
      </c>
      <c r="BU432" s="12" t="s">
        <v>1784</v>
      </c>
    </row>
    <row r="433">
      <c r="A433" s="12" t="s">
        <v>2143</v>
      </c>
      <c r="B433" s="12" t="s">
        <v>54</v>
      </c>
      <c r="C433" s="19">
        <v>46000.0</v>
      </c>
      <c r="D433" s="12" t="s">
        <v>933</v>
      </c>
      <c r="F433" s="12" t="s">
        <v>2799</v>
      </c>
      <c r="G433" s="12" t="s">
        <v>2144</v>
      </c>
      <c r="H433" s="12">
        <v>1.0</v>
      </c>
      <c r="I433" s="17">
        <v>950.0</v>
      </c>
      <c r="J433" s="17">
        <v>950.0</v>
      </c>
      <c r="BO433" s="17">
        <v>950.0</v>
      </c>
      <c r="BR433" s="17">
        <v>950.0</v>
      </c>
      <c r="BU433" s="12" t="s">
        <v>621</v>
      </c>
    </row>
    <row r="434">
      <c r="A434" s="12" t="s">
        <v>2147</v>
      </c>
      <c r="B434" s="12" t="s">
        <v>54</v>
      </c>
      <c r="C434" s="19">
        <v>46000.0</v>
      </c>
      <c r="D434" s="12" t="s">
        <v>2802</v>
      </c>
      <c r="F434" s="12" t="s">
        <v>2803</v>
      </c>
      <c r="G434" s="12" t="s">
        <v>1082</v>
      </c>
      <c r="H434" s="12">
        <v>1.0</v>
      </c>
      <c r="I434" s="17">
        <v>612.8</v>
      </c>
      <c r="J434" s="17">
        <v>612.8</v>
      </c>
      <c r="BO434" s="17">
        <v>612.8</v>
      </c>
      <c r="BR434" s="17">
        <v>612.8</v>
      </c>
      <c r="BU434" s="12" t="s">
        <v>621</v>
      </c>
    </row>
    <row r="435">
      <c r="A435" s="12" t="s">
        <v>2151</v>
      </c>
      <c r="B435" s="12" t="s">
        <v>54</v>
      </c>
      <c r="C435" s="19">
        <v>46000.0</v>
      </c>
      <c r="F435" s="12" t="s">
        <v>1991</v>
      </c>
      <c r="G435" s="12" t="s">
        <v>1113</v>
      </c>
      <c r="H435" s="12">
        <v>1.0</v>
      </c>
      <c r="I435" s="17">
        <v>200.0</v>
      </c>
      <c r="J435" s="17">
        <v>200.0</v>
      </c>
      <c r="BO435" s="17">
        <v>200.0</v>
      </c>
      <c r="BR435" s="17">
        <v>200.0</v>
      </c>
      <c r="BU435" s="12" t="s">
        <v>621</v>
      </c>
      <c r="BV435" s="12" t="s">
        <v>78</v>
      </c>
    </row>
    <row r="436">
      <c r="A436" s="16" t="s">
        <v>3809</v>
      </c>
      <c r="B436" s="12" t="s">
        <v>54</v>
      </c>
      <c r="C436" s="14">
        <v>46000.0</v>
      </c>
      <c r="D436" s="12" t="s">
        <v>220</v>
      </c>
      <c r="E436" s="12" t="s">
        <v>2811</v>
      </c>
      <c r="F436" s="12" t="s">
        <v>2814</v>
      </c>
      <c r="BP436" s="12" t="s">
        <v>2812</v>
      </c>
      <c r="BQ436" s="12" t="b">
        <v>0</v>
      </c>
      <c r="BS436" s="16" t="s">
        <v>3817</v>
      </c>
      <c r="BT436" s="12" t="b">
        <v>1</v>
      </c>
      <c r="BU436" s="12" t="s">
        <v>69</v>
      </c>
    </row>
    <row r="437">
      <c r="A437" s="12" t="s">
        <v>2816</v>
      </c>
      <c r="B437" s="12" t="s">
        <v>54</v>
      </c>
      <c r="C437" s="14">
        <v>46000.0</v>
      </c>
      <c r="D437" s="12" t="s">
        <v>156</v>
      </c>
      <c r="E437" s="12" t="s">
        <v>2819</v>
      </c>
      <c r="F437" s="12" t="s">
        <v>2821</v>
      </c>
      <c r="BP437" s="12" t="s">
        <v>2820</v>
      </c>
      <c r="BQ437" s="12" t="b">
        <v>0</v>
      </c>
      <c r="BT437" s="12" t="b">
        <v>0</v>
      </c>
      <c r="BU437" s="12" t="s">
        <v>69</v>
      </c>
      <c r="BW437" s="12" t="s">
        <v>2823</v>
      </c>
    </row>
    <row r="438">
      <c r="A438" s="12" t="s">
        <v>2825</v>
      </c>
      <c r="B438" s="12" t="s">
        <v>54</v>
      </c>
      <c r="C438" s="14">
        <v>45999.0</v>
      </c>
      <c r="D438" s="12" t="s">
        <v>220</v>
      </c>
      <c r="E438" s="12" t="s">
        <v>2828</v>
      </c>
      <c r="F438" s="12" t="s">
        <v>268</v>
      </c>
      <c r="BP438" s="12" t="s">
        <v>2829</v>
      </c>
      <c r="BQ438" s="12" t="b">
        <v>0</v>
      </c>
      <c r="BS438" s="16" t="s">
        <v>3832</v>
      </c>
      <c r="BT438" s="12" t="b">
        <v>1</v>
      </c>
      <c r="BU438" s="12" t="s">
        <v>69</v>
      </c>
    </row>
    <row r="439">
      <c r="A439" s="12" t="s">
        <v>2833</v>
      </c>
      <c r="B439" s="12" t="s">
        <v>54</v>
      </c>
      <c r="C439" s="14">
        <v>45999.0</v>
      </c>
      <c r="D439" s="12" t="s">
        <v>182</v>
      </c>
      <c r="E439" s="12" t="s">
        <v>2836</v>
      </c>
      <c r="F439" s="12" t="s">
        <v>2838</v>
      </c>
      <c r="BP439" s="12" t="s">
        <v>2837</v>
      </c>
      <c r="BQ439" s="12" t="b">
        <v>0</v>
      </c>
      <c r="BS439" s="16" t="s">
        <v>3839</v>
      </c>
      <c r="BT439" s="12" t="b">
        <v>1</v>
      </c>
      <c r="BU439" s="12" t="s">
        <v>69</v>
      </c>
    </row>
    <row r="440">
      <c r="A440" s="12" t="s">
        <v>2841</v>
      </c>
      <c r="B440" s="12" t="s">
        <v>54</v>
      </c>
      <c r="C440" s="14">
        <v>45999.0</v>
      </c>
      <c r="D440" s="12" t="s">
        <v>77</v>
      </c>
      <c r="E440" s="12" t="s">
        <v>2843</v>
      </c>
      <c r="F440" s="12" t="s">
        <v>2845</v>
      </c>
      <c r="BP440" s="12" t="s">
        <v>2844</v>
      </c>
      <c r="BQ440" s="12" t="b">
        <v>0</v>
      </c>
      <c r="BS440" s="16" t="s">
        <v>3849</v>
      </c>
      <c r="BT440" s="12" t="b">
        <v>1</v>
      </c>
      <c r="BU440" s="12" t="s">
        <v>69</v>
      </c>
    </row>
    <row r="441">
      <c r="A441" s="12" t="s">
        <v>2847</v>
      </c>
      <c r="B441" s="12" t="s">
        <v>54</v>
      </c>
      <c r="C441" s="14">
        <v>45998.0</v>
      </c>
      <c r="D441" s="12" t="s">
        <v>77</v>
      </c>
      <c r="E441" s="12" t="s">
        <v>2849</v>
      </c>
      <c r="F441" s="12" t="s">
        <v>950</v>
      </c>
      <c r="BP441" s="12" t="s">
        <v>2850</v>
      </c>
      <c r="BQ441" s="12" t="b">
        <v>0</v>
      </c>
      <c r="BS441" s="16" t="s">
        <v>3856</v>
      </c>
      <c r="BT441" s="12" t="b">
        <v>1</v>
      </c>
      <c r="BU441" s="12" t="s">
        <v>69</v>
      </c>
    </row>
    <row r="442">
      <c r="A442" s="12" t="s">
        <v>2154</v>
      </c>
      <c r="B442" s="12" t="s">
        <v>54</v>
      </c>
      <c r="C442" s="19">
        <v>46002.0</v>
      </c>
      <c r="D442" s="12" t="s">
        <v>2854</v>
      </c>
      <c r="F442" s="12" t="s">
        <v>2856</v>
      </c>
      <c r="G442" s="12" t="s">
        <v>1040</v>
      </c>
      <c r="H442" s="12">
        <v>1.0</v>
      </c>
      <c r="I442" s="17">
        <v>386.33</v>
      </c>
      <c r="J442" s="17">
        <v>386.33</v>
      </c>
      <c r="BO442" s="17">
        <v>386.33</v>
      </c>
      <c r="BR442" s="17">
        <v>386.33</v>
      </c>
      <c r="BU442" s="12" t="s">
        <v>621</v>
      </c>
    </row>
    <row r="443">
      <c r="A443" s="12" t="s">
        <v>2158</v>
      </c>
      <c r="B443" s="12" t="s">
        <v>54</v>
      </c>
      <c r="C443" s="19">
        <v>46002.0</v>
      </c>
      <c r="D443" s="12" t="s">
        <v>2859</v>
      </c>
      <c r="F443" s="12" t="s">
        <v>2861</v>
      </c>
      <c r="G443" s="12" t="s">
        <v>2159</v>
      </c>
      <c r="H443" s="12">
        <v>1.0</v>
      </c>
      <c r="I443" s="17">
        <v>650.0</v>
      </c>
      <c r="J443" s="17">
        <v>650.0</v>
      </c>
      <c r="BO443" s="17">
        <v>650.0</v>
      </c>
      <c r="BR443" s="17">
        <v>650.0</v>
      </c>
      <c r="BU443" s="12" t="s">
        <v>621</v>
      </c>
    </row>
    <row r="444">
      <c r="A444" s="12" t="s">
        <v>2162</v>
      </c>
      <c r="B444" s="12" t="s">
        <v>54</v>
      </c>
      <c r="C444" s="19">
        <v>46002.0</v>
      </c>
      <c r="D444" s="12" t="s">
        <v>2864</v>
      </c>
      <c r="F444" s="12" t="s">
        <v>2865</v>
      </c>
      <c r="G444" s="12">
        <v>7.4814016E7</v>
      </c>
      <c r="H444" s="12">
        <v>1.0</v>
      </c>
      <c r="I444" s="17">
        <v>724.0</v>
      </c>
      <c r="J444" s="17">
        <v>724.0</v>
      </c>
      <c r="BO444" s="17">
        <v>724.0</v>
      </c>
      <c r="BR444" s="17">
        <v>724.0</v>
      </c>
      <c r="BU444" s="12" t="s">
        <v>621</v>
      </c>
    </row>
    <row r="445">
      <c r="A445" s="12" t="s">
        <v>2167</v>
      </c>
      <c r="B445" s="12" t="s">
        <v>54</v>
      </c>
      <c r="C445" s="19">
        <v>46002.0</v>
      </c>
      <c r="D445" s="12" t="s">
        <v>2867</v>
      </c>
      <c r="F445" s="12" t="s">
        <v>2869</v>
      </c>
      <c r="G445" s="12">
        <v>7.4814016E7</v>
      </c>
      <c r="H445" s="12">
        <v>1.0</v>
      </c>
      <c r="I445" s="17">
        <v>851.61</v>
      </c>
      <c r="J445" s="17">
        <v>851.61</v>
      </c>
      <c r="BO445" s="17">
        <v>851.61</v>
      </c>
      <c r="BR445" s="17">
        <v>851.61</v>
      </c>
      <c r="BU445" s="12" t="s">
        <v>621</v>
      </c>
    </row>
    <row r="446">
      <c r="A446" s="12" t="s">
        <v>2871</v>
      </c>
      <c r="B446" s="12" t="s">
        <v>54</v>
      </c>
      <c r="C446" s="14">
        <v>46000.0</v>
      </c>
      <c r="D446" s="12" t="s">
        <v>556</v>
      </c>
      <c r="E446" s="12" t="s">
        <v>2873</v>
      </c>
      <c r="F446" s="12" t="s">
        <v>2875</v>
      </c>
      <c r="BP446" s="12" t="s">
        <v>2874</v>
      </c>
      <c r="BQ446" s="12" t="b">
        <v>0</v>
      </c>
      <c r="BS446" s="16" t="s">
        <v>3893</v>
      </c>
      <c r="BT446" s="12" t="b">
        <v>1</v>
      </c>
      <c r="BU446" s="12" t="s">
        <v>69</v>
      </c>
    </row>
    <row r="447">
      <c r="A447" s="12" t="s">
        <v>2879</v>
      </c>
      <c r="B447" s="12" t="s">
        <v>54</v>
      </c>
      <c r="C447" s="14">
        <v>45996.0</v>
      </c>
      <c r="D447" s="12" t="s">
        <v>556</v>
      </c>
      <c r="E447" s="12" t="s">
        <v>2881</v>
      </c>
      <c r="F447" s="12" t="s">
        <v>2884</v>
      </c>
      <c r="BP447" s="12" t="s">
        <v>2883</v>
      </c>
      <c r="BQ447" s="12" t="b">
        <v>0</v>
      </c>
      <c r="BS447" s="16" t="s">
        <v>3897</v>
      </c>
      <c r="BT447" s="12" t="b">
        <v>1</v>
      </c>
      <c r="BU447" s="12" t="s">
        <v>69</v>
      </c>
    </row>
    <row r="448">
      <c r="A448" s="12" t="s">
        <v>2170</v>
      </c>
      <c r="B448" s="12" t="s">
        <v>54</v>
      </c>
      <c r="C448" s="19">
        <v>46003.0</v>
      </c>
      <c r="D448" s="12" t="s">
        <v>912</v>
      </c>
      <c r="F448" s="12" t="s">
        <v>2889</v>
      </c>
      <c r="G448" s="12" t="s">
        <v>1236</v>
      </c>
      <c r="H448" s="12">
        <v>1.0</v>
      </c>
      <c r="I448" s="17">
        <v>60.31</v>
      </c>
      <c r="J448" s="17">
        <v>60.31</v>
      </c>
      <c r="BO448" s="17">
        <v>60.31</v>
      </c>
      <c r="BR448" s="17">
        <v>60.31</v>
      </c>
      <c r="BU448" s="12" t="s">
        <v>621</v>
      </c>
    </row>
    <row r="449">
      <c r="A449" s="12" t="s">
        <v>2892</v>
      </c>
      <c r="B449" s="12" t="s">
        <v>54</v>
      </c>
      <c r="C449" s="15">
        <v>46003.0</v>
      </c>
      <c r="D449" s="12" t="s">
        <v>220</v>
      </c>
      <c r="E449" s="12" t="s">
        <v>2896</v>
      </c>
      <c r="F449" s="12" t="s">
        <v>2899</v>
      </c>
      <c r="BP449" s="12" t="s">
        <v>2897</v>
      </c>
      <c r="BQ449" s="12" t="b">
        <v>0</v>
      </c>
      <c r="BS449" s="16" t="s">
        <v>3907</v>
      </c>
      <c r="BT449" s="12" t="b">
        <v>1</v>
      </c>
      <c r="BU449" s="12" t="s">
        <v>69</v>
      </c>
    </row>
    <row r="450">
      <c r="A450" s="12">
        <v>1267.0</v>
      </c>
      <c r="B450" s="12" t="s">
        <v>54</v>
      </c>
      <c r="C450" s="19">
        <v>46005.0</v>
      </c>
      <c r="D450" s="12" t="s">
        <v>689</v>
      </c>
      <c r="F450" s="12" t="s">
        <v>959</v>
      </c>
      <c r="G450" s="12" t="s">
        <v>693</v>
      </c>
      <c r="H450" s="12">
        <v>1.0</v>
      </c>
      <c r="I450" s="17">
        <v>5000.0</v>
      </c>
      <c r="J450" s="17">
        <v>5000.0</v>
      </c>
      <c r="BO450" s="17">
        <v>5000.0</v>
      </c>
      <c r="BR450" s="17">
        <v>5000.0</v>
      </c>
      <c r="BU450" s="12" t="s">
        <v>621</v>
      </c>
    </row>
    <row r="451">
      <c r="A451" s="12">
        <v>1269.0</v>
      </c>
      <c r="B451" s="12" t="s">
        <v>54</v>
      </c>
      <c r="C451" s="19">
        <v>46005.0</v>
      </c>
      <c r="D451" s="12" t="s">
        <v>156</v>
      </c>
      <c r="F451" s="12" t="s">
        <v>1909</v>
      </c>
      <c r="G451" s="12" t="s">
        <v>1906</v>
      </c>
      <c r="H451" s="12">
        <v>1.0</v>
      </c>
      <c r="I451" s="17">
        <v>375.0</v>
      </c>
      <c r="J451" s="17">
        <v>375.0</v>
      </c>
      <c r="BO451" s="17">
        <v>375.0</v>
      </c>
      <c r="BR451" s="17">
        <v>375.0</v>
      </c>
      <c r="BU451" s="12" t="s">
        <v>621</v>
      </c>
    </row>
    <row r="452">
      <c r="A452" s="12">
        <v>1270.0</v>
      </c>
      <c r="B452" s="12" t="s">
        <v>54</v>
      </c>
      <c r="C452" s="19">
        <v>46005.0</v>
      </c>
      <c r="D452" s="12" t="s">
        <v>1914</v>
      </c>
      <c r="F452" s="12" t="s">
        <v>1916</v>
      </c>
      <c r="G452" s="12" t="s">
        <v>1908</v>
      </c>
      <c r="H452" s="12">
        <v>1.0</v>
      </c>
      <c r="I452" s="17">
        <v>1110.0</v>
      </c>
      <c r="J452" s="17">
        <v>1110.0</v>
      </c>
      <c r="BO452" s="17">
        <v>1110.0</v>
      </c>
      <c r="BR452" s="17">
        <v>1110.0</v>
      </c>
      <c r="BU452" s="12" t="s">
        <v>621</v>
      </c>
    </row>
    <row r="453">
      <c r="A453" s="12" t="s">
        <v>2913</v>
      </c>
      <c r="B453" s="12" t="s">
        <v>54</v>
      </c>
      <c r="C453" s="15">
        <v>46006.0</v>
      </c>
      <c r="D453" s="12" t="s">
        <v>58</v>
      </c>
      <c r="E453" s="12" t="s">
        <v>2917</v>
      </c>
      <c r="F453" s="12" t="s">
        <v>2920</v>
      </c>
      <c r="BP453" s="12" t="s">
        <v>2918</v>
      </c>
      <c r="BQ453" s="12" t="b">
        <v>0</v>
      </c>
      <c r="BS453" s="16" t="s">
        <v>3937</v>
      </c>
      <c r="BT453" s="12" t="b">
        <v>1</v>
      </c>
      <c r="BU453" s="12" t="s">
        <v>69</v>
      </c>
    </row>
    <row r="454">
      <c r="A454" s="12" t="s">
        <v>2921</v>
      </c>
      <c r="B454" s="12" t="s">
        <v>54</v>
      </c>
      <c r="C454" s="15">
        <v>46006.0</v>
      </c>
      <c r="D454" s="12" t="s">
        <v>1103</v>
      </c>
      <c r="E454" s="12" t="s">
        <v>2923</v>
      </c>
      <c r="F454" s="12" t="s">
        <v>153</v>
      </c>
      <c r="BP454" s="12" t="s">
        <v>2924</v>
      </c>
      <c r="BQ454" s="12" t="b">
        <v>0</v>
      </c>
      <c r="BS454" s="16" t="s">
        <v>3937</v>
      </c>
      <c r="BT454" s="12" t="b">
        <v>1</v>
      </c>
      <c r="BU454" s="12" t="s">
        <v>69</v>
      </c>
    </row>
    <row r="455">
      <c r="A455" s="12" t="s">
        <v>2927</v>
      </c>
      <c r="B455" s="12" t="s">
        <v>54</v>
      </c>
      <c r="C455" s="15">
        <v>46006.0</v>
      </c>
      <c r="D455" s="12" t="s">
        <v>470</v>
      </c>
      <c r="E455" s="12" t="s">
        <v>2930</v>
      </c>
      <c r="F455" s="12" t="s">
        <v>2932</v>
      </c>
      <c r="BP455" s="12" t="s">
        <v>2931</v>
      </c>
      <c r="BQ455" s="12" t="b">
        <v>0</v>
      </c>
      <c r="BS455" s="16" t="s">
        <v>3957</v>
      </c>
      <c r="BT455" s="12" t="b">
        <v>1</v>
      </c>
      <c r="BU455" s="12" t="s">
        <v>69</v>
      </c>
    </row>
    <row r="456">
      <c r="A456" s="12" t="s">
        <v>2935</v>
      </c>
      <c r="B456" s="12" t="s">
        <v>54</v>
      </c>
      <c r="C456" s="15">
        <v>46006.0</v>
      </c>
      <c r="D456" s="12" t="s">
        <v>77</v>
      </c>
      <c r="E456" s="12" t="s">
        <v>2937</v>
      </c>
      <c r="F456" s="12" t="s">
        <v>2340</v>
      </c>
      <c r="BP456" s="12" t="s">
        <v>2939</v>
      </c>
      <c r="BQ456" s="12" t="b">
        <v>0</v>
      </c>
      <c r="BS456" s="16" t="s">
        <v>3964</v>
      </c>
      <c r="BT456" s="12" t="b">
        <v>1</v>
      </c>
      <c r="BU456" s="12" t="s">
        <v>69</v>
      </c>
    </row>
    <row r="457">
      <c r="A457" s="12" t="s">
        <v>2942</v>
      </c>
      <c r="B457" s="12" t="s">
        <v>54</v>
      </c>
      <c r="C457" s="15">
        <v>46003.0</v>
      </c>
      <c r="D457" s="12" t="s">
        <v>556</v>
      </c>
      <c r="E457" s="12" t="s">
        <v>2945</v>
      </c>
      <c r="F457" s="12" t="s">
        <v>859</v>
      </c>
      <c r="BP457" s="12" t="s">
        <v>2946</v>
      </c>
      <c r="BQ457" s="12" t="b">
        <v>0</v>
      </c>
      <c r="BS457" s="16" t="s">
        <v>3971</v>
      </c>
      <c r="BT457" s="12" t="b">
        <v>1</v>
      </c>
      <c r="BU457" s="12" t="s">
        <v>69</v>
      </c>
    </row>
    <row r="458">
      <c r="A458" s="12" t="s">
        <v>2948</v>
      </c>
      <c r="B458" s="12" t="s">
        <v>54</v>
      </c>
      <c r="C458" s="15">
        <v>46006.0</v>
      </c>
      <c r="D458" s="12" t="s">
        <v>375</v>
      </c>
      <c r="E458" s="12" t="s">
        <v>2951</v>
      </c>
      <c r="F458" s="12" t="s">
        <v>153</v>
      </c>
      <c r="BP458" s="12" t="s">
        <v>2952</v>
      </c>
      <c r="BQ458" s="12" t="b">
        <v>0</v>
      </c>
      <c r="BS458" s="16" t="s">
        <v>3979</v>
      </c>
      <c r="BT458" s="12" t="b">
        <v>1</v>
      </c>
      <c r="BU458" s="12" t="s">
        <v>69</v>
      </c>
    </row>
    <row r="459">
      <c r="A459" s="12" t="s">
        <v>2954</v>
      </c>
      <c r="B459" s="12" t="s">
        <v>54</v>
      </c>
      <c r="C459" s="15">
        <v>45989.0</v>
      </c>
      <c r="D459" s="12" t="s">
        <v>556</v>
      </c>
      <c r="E459" s="12" t="s">
        <v>2956</v>
      </c>
      <c r="F459" s="12" t="s">
        <v>859</v>
      </c>
      <c r="BP459" s="12" t="s">
        <v>2959</v>
      </c>
      <c r="BQ459" s="12" t="b">
        <v>0</v>
      </c>
      <c r="BS459" s="16" t="s">
        <v>3990</v>
      </c>
      <c r="BT459" s="12" t="b">
        <v>1</v>
      </c>
      <c r="BU459" s="12" t="s">
        <v>69</v>
      </c>
    </row>
    <row r="460">
      <c r="A460" s="16" t="s">
        <v>3992</v>
      </c>
      <c r="B460" s="12" t="s">
        <v>54</v>
      </c>
      <c r="C460" s="15">
        <v>46007.0</v>
      </c>
      <c r="D460" s="12" t="s">
        <v>556</v>
      </c>
      <c r="E460" s="12" t="s">
        <v>2963</v>
      </c>
      <c r="F460" s="12" t="s">
        <v>859</v>
      </c>
      <c r="BP460" s="12" t="s">
        <v>2964</v>
      </c>
      <c r="BQ460" s="12" t="b">
        <v>0</v>
      </c>
      <c r="BS460" s="16" t="s">
        <v>4002</v>
      </c>
      <c r="BT460" s="12" t="b">
        <v>1</v>
      </c>
      <c r="BU460" s="12" t="s">
        <v>69</v>
      </c>
    </row>
    <row r="461">
      <c r="A461" s="12" t="s">
        <v>2968</v>
      </c>
      <c r="B461" s="12" t="s">
        <v>54</v>
      </c>
      <c r="C461" s="15">
        <v>46008.0</v>
      </c>
      <c r="D461" s="12" t="s">
        <v>182</v>
      </c>
      <c r="E461" s="12" t="s">
        <v>2972</v>
      </c>
      <c r="F461" s="12" t="s">
        <v>2814</v>
      </c>
      <c r="BP461" s="12" t="s">
        <v>2973</v>
      </c>
      <c r="BQ461" s="12" t="b">
        <v>0</v>
      </c>
      <c r="BS461" s="16" t="s">
        <v>4015</v>
      </c>
      <c r="BT461" s="12" t="b">
        <v>1</v>
      </c>
      <c r="BU461" s="12" t="s">
        <v>69</v>
      </c>
    </row>
    <row r="462">
      <c r="A462" s="12" t="s">
        <v>2974</v>
      </c>
      <c r="B462" s="12" t="s">
        <v>54</v>
      </c>
      <c r="C462" s="15">
        <v>46004.0</v>
      </c>
      <c r="D462" s="12" t="s">
        <v>156</v>
      </c>
      <c r="E462" s="12" t="s">
        <v>2976</v>
      </c>
      <c r="F462" s="12" t="s">
        <v>254</v>
      </c>
      <c r="BP462" s="12" t="s">
        <v>2977</v>
      </c>
      <c r="BQ462" s="12" t="b">
        <v>0</v>
      </c>
      <c r="BT462" s="12" t="b">
        <v>0</v>
      </c>
      <c r="BU462" s="12" t="s">
        <v>69</v>
      </c>
      <c r="BW462" s="12" t="s">
        <v>2979</v>
      </c>
    </row>
    <row r="463">
      <c r="A463" s="12" t="s">
        <v>2981</v>
      </c>
      <c r="B463" s="12" t="s">
        <v>54</v>
      </c>
      <c r="C463" s="15">
        <v>46008.0</v>
      </c>
      <c r="D463" s="12" t="s">
        <v>182</v>
      </c>
      <c r="E463" s="12" t="s">
        <v>2972</v>
      </c>
      <c r="F463" s="12" t="s">
        <v>2814</v>
      </c>
      <c r="BP463" s="12" t="s">
        <v>2984</v>
      </c>
      <c r="BQ463" s="12" t="b">
        <v>0</v>
      </c>
      <c r="BS463" s="16" t="s">
        <v>4015</v>
      </c>
      <c r="BT463" s="12" t="b">
        <v>1</v>
      </c>
      <c r="BU463" s="12" t="s">
        <v>69</v>
      </c>
    </row>
    <row r="464">
      <c r="A464" s="12" t="s">
        <v>2987</v>
      </c>
      <c r="B464" s="12" t="s">
        <v>54</v>
      </c>
      <c r="C464" s="15">
        <v>46009.0</v>
      </c>
      <c r="D464" s="12" t="s">
        <v>441</v>
      </c>
      <c r="E464" s="12" t="s">
        <v>2990</v>
      </c>
      <c r="F464" s="12" t="s">
        <v>2993</v>
      </c>
      <c r="BP464" s="12" t="s">
        <v>2992</v>
      </c>
      <c r="BQ464" s="12" t="b">
        <v>0</v>
      </c>
      <c r="BS464" s="16" t="s">
        <v>4032</v>
      </c>
      <c r="BT464" s="12" t="b">
        <v>1</v>
      </c>
      <c r="BU464" s="12" t="s">
        <v>69</v>
      </c>
    </row>
    <row r="465">
      <c r="A465" s="12" t="s">
        <v>2994</v>
      </c>
      <c r="B465" s="12" t="s">
        <v>54</v>
      </c>
      <c r="C465" s="15">
        <v>46009.0</v>
      </c>
      <c r="D465" s="12" t="s">
        <v>220</v>
      </c>
      <c r="E465" s="12" t="s">
        <v>2996</v>
      </c>
      <c r="F465" s="12" t="s">
        <v>2999</v>
      </c>
      <c r="BP465" s="12" t="s">
        <v>2997</v>
      </c>
      <c r="BQ465" s="12" t="b">
        <v>0</v>
      </c>
      <c r="BS465" s="16" t="s">
        <v>4039</v>
      </c>
      <c r="BT465" s="12" t="b">
        <v>1</v>
      </c>
      <c r="BU465" s="12" t="s">
        <v>69</v>
      </c>
    </row>
    <row r="466">
      <c r="A466" s="12">
        <v>1277.0</v>
      </c>
      <c r="B466" s="12" t="s">
        <v>54</v>
      </c>
      <c r="C466" s="19">
        <v>46009.0</v>
      </c>
      <c r="D466" s="12" t="s">
        <v>933</v>
      </c>
      <c r="F466" s="12" t="s">
        <v>1494</v>
      </c>
      <c r="G466" s="12" t="s">
        <v>1040</v>
      </c>
      <c r="H466" s="12">
        <v>1.0</v>
      </c>
      <c r="I466" s="17">
        <v>11150.48</v>
      </c>
      <c r="J466" s="17">
        <v>11150.48</v>
      </c>
      <c r="BO466" s="17">
        <v>11150.48</v>
      </c>
      <c r="BR466" s="17">
        <v>11150.48</v>
      </c>
      <c r="BU466" s="12" t="s">
        <v>621</v>
      </c>
    </row>
    <row r="467">
      <c r="A467" s="12">
        <v>1278.0</v>
      </c>
      <c r="B467" s="12" t="s">
        <v>54</v>
      </c>
      <c r="C467" s="19">
        <v>46009.0</v>
      </c>
      <c r="D467" s="12" t="s">
        <v>734</v>
      </c>
      <c r="F467" s="12" t="s">
        <v>1466</v>
      </c>
      <c r="G467" s="12" t="s">
        <v>1056</v>
      </c>
      <c r="H467" s="12">
        <v>1.0</v>
      </c>
      <c r="I467" s="17">
        <v>0.0</v>
      </c>
      <c r="J467" s="17">
        <v>0.0</v>
      </c>
      <c r="BO467" s="17">
        <v>0.0</v>
      </c>
      <c r="BR467" s="17">
        <v>0.0</v>
      </c>
      <c r="BU467" s="12" t="s">
        <v>621</v>
      </c>
    </row>
    <row r="468">
      <c r="A468" s="12">
        <v>1279.0</v>
      </c>
      <c r="B468" s="12" t="s">
        <v>54</v>
      </c>
      <c r="C468" s="19">
        <v>46009.0</v>
      </c>
      <c r="D468" s="12" t="s">
        <v>1067</v>
      </c>
      <c r="F468" s="12" t="s">
        <v>1068</v>
      </c>
      <c r="G468" s="12" t="s">
        <v>741</v>
      </c>
      <c r="H468" s="12">
        <v>1.0</v>
      </c>
      <c r="I468" s="17">
        <v>0.0</v>
      </c>
      <c r="J468" s="17">
        <v>0.0</v>
      </c>
      <c r="BO468" s="17">
        <v>0.0</v>
      </c>
      <c r="BR468" s="17">
        <v>0.0</v>
      </c>
      <c r="BU468" s="12" t="s">
        <v>621</v>
      </c>
    </row>
    <row r="469">
      <c r="A469" s="12">
        <v>1280.0</v>
      </c>
      <c r="B469" s="12" t="s">
        <v>54</v>
      </c>
      <c r="C469" s="19">
        <v>46009.0</v>
      </c>
      <c r="D469" s="12" t="s">
        <v>1484</v>
      </c>
      <c r="F469" s="12" t="s">
        <v>1485</v>
      </c>
      <c r="G469" s="12" t="s">
        <v>1486</v>
      </c>
      <c r="H469" s="12">
        <v>1.0</v>
      </c>
      <c r="I469" s="17">
        <v>20.0</v>
      </c>
      <c r="J469" s="17">
        <v>20.0</v>
      </c>
      <c r="BO469" s="17">
        <v>20.0</v>
      </c>
      <c r="BR469" s="17">
        <v>20.0</v>
      </c>
      <c r="BU469" s="12" t="s">
        <v>621</v>
      </c>
    </row>
    <row r="470">
      <c r="A470" s="12" t="s">
        <v>2183</v>
      </c>
      <c r="B470" s="12" t="s">
        <v>54</v>
      </c>
      <c r="C470" s="19">
        <v>46009.0</v>
      </c>
      <c r="D470" s="12" t="s">
        <v>2854</v>
      </c>
      <c r="F470" s="12" t="s">
        <v>3018</v>
      </c>
      <c r="G470" s="12" t="s">
        <v>1056</v>
      </c>
      <c r="H470" s="12">
        <v>1.0</v>
      </c>
      <c r="I470" s="17">
        <v>396.99</v>
      </c>
      <c r="J470" s="17">
        <v>396.99</v>
      </c>
      <c r="BO470" s="17">
        <v>396.99</v>
      </c>
      <c r="BR470" s="17">
        <v>396.99</v>
      </c>
      <c r="BU470" s="12" t="s">
        <v>621</v>
      </c>
    </row>
    <row r="471">
      <c r="A471" s="12" t="s">
        <v>2186</v>
      </c>
      <c r="B471" s="12" t="s">
        <v>54</v>
      </c>
      <c r="C471" s="19">
        <v>46009.0</v>
      </c>
      <c r="D471" s="12" t="s">
        <v>1067</v>
      </c>
      <c r="F471" s="12" t="s">
        <v>736</v>
      </c>
      <c r="G471" s="12" t="s">
        <v>741</v>
      </c>
      <c r="H471" s="12">
        <v>1.0</v>
      </c>
      <c r="I471" s="17">
        <v>1222.47</v>
      </c>
      <c r="J471" s="17">
        <v>1222.47</v>
      </c>
      <c r="BO471" s="17">
        <v>1222.47</v>
      </c>
      <c r="BR471" s="17">
        <v>1222.47</v>
      </c>
      <c r="BU471" s="12" t="s">
        <v>621</v>
      </c>
    </row>
    <row r="472">
      <c r="A472" s="12" t="s">
        <v>2190</v>
      </c>
      <c r="B472" s="12" t="s">
        <v>54</v>
      </c>
      <c r="C472" s="19">
        <v>46009.0</v>
      </c>
      <c r="D472" s="12" t="s">
        <v>734</v>
      </c>
      <c r="F472" s="12" t="s">
        <v>3024</v>
      </c>
      <c r="G472" s="12" t="s">
        <v>1056</v>
      </c>
      <c r="H472" s="12">
        <v>1.0</v>
      </c>
      <c r="I472" s="17">
        <v>1536.96</v>
      </c>
      <c r="J472" s="17">
        <v>1536.96</v>
      </c>
      <c r="BO472" s="17">
        <v>1536.96</v>
      </c>
      <c r="BR472" s="17">
        <v>1536.96</v>
      </c>
      <c r="BU472" s="12" t="s">
        <v>621</v>
      </c>
    </row>
    <row r="473">
      <c r="A473" s="12" t="s">
        <v>2194</v>
      </c>
      <c r="B473" s="12" t="s">
        <v>54</v>
      </c>
      <c r="C473" s="19">
        <v>46009.0</v>
      </c>
      <c r="D473" s="12" t="s">
        <v>156</v>
      </c>
      <c r="F473" s="12" t="s">
        <v>3028</v>
      </c>
      <c r="G473" s="12" t="s">
        <v>786</v>
      </c>
      <c r="H473" s="12">
        <v>1.0</v>
      </c>
      <c r="I473" s="17">
        <v>3845.6</v>
      </c>
      <c r="J473" s="17">
        <v>3845.6</v>
      </c>
      <c r="BO473" s="17">
        <v>3845.6</v>
      </c>
      <c r="BR473" s="17">
        <v>3845.6</v>
      </c>
      <c r="BU473" s="12" t="s">
        <v>621</v>
      </c>
    </row>
    <row r="474">
      <c r="A474" s="12">
        <v>1293.0</v>
      </c>
      <c r="B474" s="12" t="s">
        <v>54</v>
      </c>
      <c r="C474" s="19">
        <v>46009.0</v>
      </c>
      <c r="D474" s="12" t="s">
        <v>818</v>
      </c>
      <c r="F474" s="12" t="s">
        <v>3032</v>
      </c>
      <c r="G474" s="12" t="s">
        <v>820</v>
      </c>
      <c r="H474" s="12">
        <v>1.0</v>
      </c>
      <c r="I474" s="17">
        <v>185.0</v>
      </c>
      <c r="J474" s="17">
        <v>185.0</v>
      </c>
      <c r="BO474" s="17">
        <v>185.0</v>
      </c>
      <c r="BR474" s="17">
        <v>185.0</v>
      </c>
      <c r="BU474" s="12" t="s">
        <v>621</v>
      </c>
    </row>
    <row r="475">
      <c r="A475" s="12" t="s">
        <v>2200</v>
      </c>
      <c r="B475" s="12" t="s">
        <v>54</v>
      </c>
      <c r="C475" s="19">
        <v>46009.0</v>
      </c>
      <c r="D475" s="12" t="s">
        <v>1715</v>
      </c>
      <c r="F475" s="12" t="s">
        <v>3036</v>
      </c>
      <c r="G475" s="12" t="s">
        <v>1936</v>
      </c>
      <c r="H475" s="12">
        <v>1.0</v>
      </c>
      <c r="I475" s="17">
        <v>832.09</v>
      </c>
      <c r="J475" s="17">
        <v>832.09</v>
      </c>
      <c r="BO475" s="17">
        <v>832.09</v>
      </c>
      <c r="BR475" s="17">
        <v>832.09</v>
      </c>
      <c r="BU475" s="12" t="s">
        <v>621</v>
      </c>
    </row>
    <row r="476">
      <c r="A476" s="12" t="s">
        <v>2206</v>
      </c>
      <c r="B476" s="12" t="s">
        <v>54</v>
      </c>
      <c r="C476" s="19">
        <v>46009.0</v>
      </c>
      <c r="D476" s="12" t="s">
        <v>156</v>
      </c>
      <c r="F476" s="12" t="s">
        <v>3041</v>
      </c>
      <c r="G476" s="12" t="s">
        <v>1236</v>
      </c>
      <c r="H476" s="12">
        <v>1.0</v>
      </c>
      <c r="I476" s="17">
        <v>3740.06</v>
      </c>
      <c r="J476" s="17">
        <v>3740.06</v>
      </c>
      <c r="BO476" s="17">
        <v>3740.06</v>
      </c>
      <c r="BR476" s="17">
        <v>3740.06</v>
      </c>
      <c r="BU476" s="12" t="s">
        <v>621</v>
      </c>
    </row>
    <row r="477">
      <c r="A477" s="12" t="s">
        <v>2208</v>
      </c>
      <c r="B477" s="12" t="s">
        <v>54</v>
      </c>
      <c r="C477" s="19">
        <v>46009.0</v>
      </c>
      <c r="D477" s="12" t="s">
        <v>2171</v>
      </c>
      <c r="F477" s="12" t="s">
        <v>3045</v>
      </c>
      <c r="G477" s="12">
        <v>7.9792017E7</v>
      </c>
      <c r="H477" s="12">
        <v>1.0</v>
      </c>
      <c r="I477" s="17">
        <v>1406.16</v>
      </c>
      <c r="J477" s="17">
        <v>1406.16</v>
      </c>
      <c r="BO477" s="17">
        <v>1406.16</v>
      </c>
      <c r="BR477" s="17">
        <v>1406.16</v>
      </c>
      <c r="BU477" s="12" t="s">
        <v>621</v>
      </c>
    </row>
    <row r="478">
      <c r="A478" s="12">
        <v>1297.0</v>
      </c>
      <c r="B478" s="12" t="s">
        <v>54</v>
      </c>
      <c r="C478" s="19">
        <v>46009.0</v>
      </c>
      <c r="D478" s="12" t="s">
        <v>1712</v>
      </c>
      <c r="F478" s="19">
        <v>45931.0</v>
      </c>
      <c r="G478" s="12" t="s">
        <v>1818</v>
      </c>
      <c r="H478" s="12">
        <v>1.0</v>
      </c>
      <c r="I478" s="17">
        <v>236.83</v>
      </c>
      <c r="J478" s="17">
        <v>236.83</v>
      </c>
      <c r="BO478" s="17">
        <v>236.83</v>
      </c>
      <c r="BR478" s="17">
        <v>236.83</v>
      </c>
      <c r="BU478" s="12" t="s">
        <v>621</v>
      </c>
    </row>
    <row r="479">
      <c r="A479" s="12">
        <v>1298.0</v>
      </c>
      <c r="B479" s="12" t="s">
        <v>54</v>
      </c>
      <c r="C479" s="19">
        <v>46009.0</v>
      </c>
      <c r="D479" s="12" t="s">
        <v>1715</v>
      </c>
      <c r="F479" s="19">
        <v>45717.0</v>
      </c>
      <c r="G479" s="12" t="s">
        <v>1818</v>
      </c>
      <c r="H479" s="12">
        <v>1.0</v>
      </c>
      <c r="I479" s="17">
        <v>65.15</v>
      </c>
      <c r="J479" s="17">
        <v>65.15</v>
      </c>
      <c r="BO479" s="17">
        <v>65.15</v>
      </c>
      <c r="BR479" s="17">
        <v>65.15</v>
      </c>
      <c r="BU479" s="12" t="s">
        <v>621</v>
      </c>
    </row>
    <row r="480">
      <c r="A480" s="12" t="s">
        <v>2216</v>
      </c>
      <c r="B480" s="12" t="s">
        <v>54</v>
      </c>
      <c r="C480" s="19">
        <v>46009.0</v>
      </c>
      <c r="F480" s="12" t="s">
        <v>1991</v>
      </c>
      <c r="G480" s="12" t="s">
        <v>1113</v>
      </c>
      <c r="H480" s="12">
        <v>1.0</v>
      </c>
      <c r="I480" s="17">
        <v>2000.0</v>
      </c>
      <c r="J480" s="17">
        <v>2000.0</v>
      </c>
      <c r="BO480" s="17">
        <v>2000.0</v>
      </c>
      <c r="BR480" s="17">
        <v>2000.0</v>
      </c>
      <c r="BU480" s="12" t="s">
        <v>621</v>
      </c>
      <c r="BV480" s="12" t="s">
        <v>727</v>
      </c>
    </row>
    <row r="481">
      <c r="A481" s="12" t="s">
        <v>3057</v>
      </c>
      <c r="B481" s="12" t="s">
        <v>54</v>
      </c>
      <c r="C481" s="15">
        <v>46010.0</v>
      </c>
      <c r="D481" s="12" t="s">
        <v>109</v>
      </c>
      <c r="E481" s="12" t="s">
        <v>3060</v>
      </c>
      <c r="F481" s="12" t="s">
        <v>3065</v>
      </c>
      <c r="BP481" s="12" t="s">
        <v>3063</v>
      </c>
      <c r="BQ481" s="12" t="b">
        <v>0</v>
      </c>
      <c r="BS481" s="16" t="s">
        <v>4158</v>
      </c>
      <c r="BT481" s="12" t="b">
        <v>1</v>
      </c>
      <c r="BU481" s="12" t="s">
        <v>69</v>
      </c>
    </row>
    <row r="482">
      <c r="A482" s="12" t="s">
        <v>3068</v>
      </c>
      <c r="B482" s="12" t="s">
        <v>54</v>
      </c>
      <c r="C482" s="15">
        <v>46010.0</v>
      </c>
      <c r="D482" s="12" t="s">
        <v>375</v>
      </c>
      <c r="E482" s="12" t="s">
        <v>3069</v>
      </c>
      <c r="F482" s="12" t="s">
        <v>153</v>
      </c>
      <c r="BP482" s="12" t="s">
        <v>3070</v>
      </c>
      <c r="BQ482" s="12" t="b">
        <v>0</v>
      </c>
      <c r="BS482" s="16" t="s">
        <v>4171</v>
      </c>
      <c r="BT482" s="12" t="b">
        <v>1</v>
      </c>
      <c r="BU482" s="12" t="s">
        <v>69</v>
      </c>
    </row>
    <row r="483">
      <c r="A483" s="12" t="s">
        <v>2218</v>
      </c>
      <c r="B483" s="12" t="s">
        <v>54</v>
      </c>
      <c r="C483" s="19">
        <v>46010.0</v>
      </c>
      <c r="F483" s="12" t="s">
        <v>1112</v>
      </c>
      <c r="G483" s="12" t="s">
        <v>1113</v>
      </c>
      <c r="H483" s="12">
        <v>1.0</v>
      </c>
      <c r="I483" s="17">
        <v>500.0</v>
      </c>
      <c r="J483" s="17">
        <v>500.0</v>
      </c>
      <c r="BO483" s="17">
        <v>500.0</v>
      </c>
      <c r="BR483" s="17">
        <v>500.0</v>
      </c>
      <c r="BU483" s="12" t="s">
        <v>191</v>
      </c>
      <c r="BV483" s="12" t="s">
        <v>1183</v>
      </c>
    </row>
    <row r="484">
      <c r="A484" s="12" t="s">
        <v>2221</v>
      </c>
      <c r="B484" s="12" t="s">
        <v>54</v>
      </c>
      <c r="C484" s="19">
        <v>46010.0</v>
      </c>
      <c r="F484" s="12" t="s">
        <v>1112</v>
      </c>
      <c r="G484" s="12" t="s">
        <v>1113</v>
      </c>
      <c r="H484" s="12">
        <v>1.0</v>
      </c>
      <c r="I484" s="17">
        <v>100.0</v>
      </c>
      <c r="J484" s="17">
        <v>100.0</v>
      </c>
      <c r="BO484" s="17">
        <v>100.0</v>
      </c>
      <c r="BR484" s="17">
        <v>100.0</v>
      </c>
      <c r="BU484" s="12" t="s">
        <v>191</v>
      </c>
      <c r="BV484" s="12" t="s">
        <v>78</v>
      </c>
    </row>
    <row r="485">
      <c r="A485" s="12" t="s">
        <v>3083</v>
      </c>
      <c r="B485" s="12" t="s">
        <v>54</v>
      </c>
      <c r="C485" s="15">
        <v>46001.0</v>
      </c>
      <c r="D485" s="12" t="s">
        <v>775</v>
      </c>
      <c r="E485" s="12" t="s">
        <v>3085</v>
      </c>
      <c r="F485" s="12" t="s">
        <v>3088</v>
      </c>
      <c r="BP485" s="12" t="s">
        <v>3086</v>
      </c>
      <c r="BQ485" s="12" t="b">
        <v>0</v>
      </c>
      <c r="BS485" s="12"/>
      <c r="BT485" s="12" t="b">
        <v>0</v>
      </c>
      <c r="BU485" s="12" t="s">
        <v>69</v>
      </c>
    </row>
    <row r="486">
      <c r="A486" s="12" t="s">
        <v>3089</v>
      </c>
      <c r="B486" s="12" t="s">
        <v>54</v>
      </c>
      <c r="C486" s="15">
        <v>46013.0</v>
      </c>
      <c r="D486" s="12" t="s">
        <v>375</v>
      </c>
      <c r="E486" s="12" t="s">
        <v>3091</v>
      </c>
      <c r="F486" s="12" t="s">
        <v>3093</v>
      </c>
      <c r="BP486" s="12" t="s">
        <v>3092</v>
      </c>
      <c r="BQ486" s="12" t="b">
        <v>0</v>
      </c>
      <c r="BS486" s="16" t="s">
        <v>4204</v>
      </c>
      <c r="BT486" s="12" t="b">
        <v>1</v>
      </c>
      <c r="BU486" s="12" t="s">
        <v>69</v>
      </c>
    </row>
    <row r="487">
      <c r="A487" s="12" t="s">
        <v>3095</v>
      </c>
      <c r="B487" s="12" t="s">
        <v>54</v>
      </c>
      <c r="C487" s="15">
        <v>46013.0</v>
      </c>
      <c r="D487" s="12" t="s">
        <v>220</v>
      </c>
      <c r="E487" s="12" t="s">
        <v>3097</v>
      </c>
      <c r="F487" s="12" t="s">
        <v>2487</v>
      </c>
      <c r="BP487" s="12" t="s">
        <v>3099</v>
      </c>
      <c r="BQ487" s="12" t="b">
        <v>0</v>
      </c>
      <c r="BS487" s="16" t="s">
        <v>4211</v>
      </c>
      <c r="BT487" s="12" t="b">
        <v>1</v>
      </c>
      <c r="BU487" s="12" t="s">
        <v>69</v>
      </c>
    </row>
    <row r="488">
      <c r="A488" s="12">
        <v>1268.0</v>
      </c>
      <c r="B488" s="12" t="s">
        <v>54</v>
      </c>
      <c r="C488" s="19">
        <v>46014.0</v>
      </c>
      <c r="D488" s="12" t="s">
        <v>156</v>
      </c>
      <c r="F488" s="12" t="s">
        <v>1905</v>
      </c>
      <c r="G488" s="12" t="s">
        <v>1082</v>
      </c>
      <c r="H488" s="12">
        <v>1.0</v>
      </c>
      <c r="I488" s="17">
        <v>625.0</v>
      </c>
      <c r="J488" s="17">
        <v>625.0</v>
      </c>
      <c r="BO488" s="17">
        <v>625.0</v>
      </c>
      <c r="BR488" s="17">
        <v>625.0</v>
      </c>
      <c r="BU488" s="12" t="s">
        <v>621</v>
      </c>
    </row>
    <row r="489">
      <c r="A489" s="12">
        <v>1309.0</v>
      </c>
      <c r="B489" s="12" t="s">
        <v>54</v>
      </c>
      <c r="C489" s="19">
        <v>46014.0</v>
      </c>
      <c r="F489" s="12" t="s">
        <v>3108</v>
      </c>
      <c r="G489" s="12" t="s">
        <v>1196</v>
      </c>
      <c r="H489" s="12">
        <v>1.0</v>
      </c>
      <c r="I489" s="17">
        <v>585.0</v>
      </c>
      <c r="J489" s="17">
        <v>585.0</v>
      </c>
      <c r="BO489" s="17">
        <v>585.0</v>
      </c>
      <c r="BR489" s="17">
        <v>585.0</v>
      </c>
      <c r="BU489" s="12" t="s">
        <v>621</v>
      </c>
      <c r="BV489" s="12" t="s">
        <v>259</v>
      </c>
    </row>
    <row r="490">
      <c r="A490" s="12" t="s">
        <v>2232</v>
      </c>
      <c r="B490" s="12" t="s">
        <v>54</v>
      </c>
      <c r="C490" s="19">
        <v>46014.0</v>
      </c>
      <c r="D490" s="12" t="s">
        <v>1316</v>
      </c>
      <c r="F490" s="12" t="s">
        <v>3112</v>
      </c>
      <c r="G490" s="12" t="s">
        <v>1318</v>
      </c>
      <c r="H490" s="12">
        <v>1.0</v>
      </c>
      <c r="I490" s="17">
        <v>932.04</v>
      </c>
      <c r="J490" s="17">
        <v>932.04</v>
      </c>
      <c r="BO490" s="17">
        <v>932.04</v>
      </c>
      <c r="BR490" s="17">
        <v>932.04</v>
      </c>
      <c r="BU490" s="12" t="s">
        <v>621</v>
      </c>
    </row>
    <row r="491">
      <c r="A491" s="12" t="s">
        <v>3115</v>
      </c>
      <c r="B491" s="12" t="s">
        <v>54</v>
      </c>
      <c r="C491" s="15">
        <v>46017.0</v>
      </c>
      <c r="D491" s="12" t="s">
        <v>220</v>
      </c>
      <c r="E491" s="12" t="s">
        <v>3117</v>
      </c>
      <c r="F491" s="12" t="s">
        <v>2814</v>
      </c>
      <c r="BP491" s="12" t="s">
        <v>3119</v>
      </c>
      <c r="BQ491" s="12" t="b">
        <v>0</v>
      </c>
      <c r="BS491" s="16" t="s">
        <v>4233</v>
      </c>
      <c r="BT491" s="12" t="b">
        <v>1</v>
      </c>
      <c r="BU491" s="12" t="s">
        <v>69</v>
      </c>
    </row>
    <row r="492">
      <c r="A492" s="12" t="s">
        <v>3121</v>
      </c>
      <c r="B492" s="12" t="s">
        <v>54</v>
      </c>
      <c r="C492" s="15">
        <v>46017.0</v>
      </c>
      <c r="D492" s="12" t="s">
        <v>220</v>
      </c>
      <c r="E492" s="12" t="s">
        <v>3117</v>
      </c>
      <c r="F492" s="12" t="s">
        <v>2814</v>
      </c>
      <c r="BP492" s="12" t="s">
        <v>3124</v>
      </c>
      <c r="BQ492" s="12" t="b">
        <v>0</v>
      </c>
      <c r="BS492" s="16" t="s">
        <v>4236</v>
      </c>
      <c r="BT492" s="12" t="b">
        <v>1</v>
      </c>
      <c r="BU492" s="12" t="s">
        <v>69</v>
      </c>
    </row>
    <row r="493">
      <c r="A493" s="12" t="s">
        <v>2235</v>
      </c>
      <c r="B493" s="12" t="s">
        <v>54</v>
      </c>
      <c r="C493" s="19">
        <v>46017.0</v>
      </c>
      <c r="F493" s="12" t="s">
        <v>3128</v>
      </c>
      <c r="G493" s="12" t="s">
        <v>2236</v>
      </c>
      <c r="H493" s="12">
        <v>1.0</v>
      </c>
      <c r="I493" s="17">
        <v>7500.0</v>
      </c>
      <c r="J493" s="17">
        <v>7500.0</v>
      </c>
      <c r="BO493" s="17">
        <v>7500.0</v>
      </c>
      <c r="BR493" s="17">
        <v>7500.0</v>
      </c>
      <c r="BU493" s="12" t="s">
        <v>621</v>
      </c>
      <c r="BV493" s="12" t="s">
        <v>2739</v>
      </c>
    </row>
    <row r="494">
      <c r="A494" s="12" t="s">
        <v>2241</v>
      </c>
      <c r="B494" s="12" t="s">
        <v>54</v>
      </c>
      <c r="C494" s="19">
        <v>46017.0</v>
      </c>
      <c r="F494" s="12" t="s">
        <v>1112</v>
      </c>
      <c r="G494" s="12" t="s">
        <v>1113</v>
      </c>
      <c r="H494" s="12">
        <v>1.0</v>
      </c>
      <c r="I494" s="17">
        <v>350.0</v>
      </c>
      <c r="J494" s="17">
        <v>350.0</v>
      </c>
      <c r="BO494" s="17">
        <v>350.0</v>
      </c>
      <c r="BR494" s="17">
        <v>350.0</v>
      </c>
      <c r="BU494" s="12" t="s">
        <v>191</v>
      </c>
      <c r="BV494" s="12" t="s">
        <v>62</v>
      </c>
    </row>
    <row r="495">
      <c r="A495" s="12" t="s">
        <v>3135</v>
      </c>
      <c r="B495" s="12" t="s">
        <v>54</v>
      </c>
      <c r="C495" s="15">
        <v>46018.0</v>
      </c>
      <c r="D495" s="12" t="s">
        <v>182</v>
      </c>
      <c r="E495" s="12" t="s">
        <v>3138</v>
      </c>
      <c r="F495" s="12" t="s">
        <v>2340</v>
      </c>
      <c r="BP495" s="12" t="s">
        <v>3139</v>
      </c>
      <c r="BQ495" s="12" t="b">
        <v>0</v>
      </c>
      <c r="BS495" s="16" t="s">
        <v>4254</v>
      </c>
      <c r="BT495" s="12" t="b">
        <v>1</v>
      </c>
      <c r="BU495" s="12" t="s">
        <v>69</v>
      </c>
    </row>
    <row r="496">
      <c r="A496" s="12" t="s">
        <v>2243</v>
      </c>
      <c r="B496" s="12" t="s">
        <v>54</v>
      </c>
      <c r="C496" s="19">
        <v>46018.0</v>
      </c>
      <c r="F496" s="12" t="s">
        <v>1112</v>
      </c>
      <c r="G496" s="12" t="s">
        <v>1113</v>
      </c>
      <c r="H496" s="12">
        <v>1.0</v>
      </c>
      <c r="I496" s="17">
        <v>150.0</v>
      </c>
      <c r="J496" s="17">
        <v>150.0</v>
      </c>
      <c r="BO496" s="17">
        <v>150.0</v>
      </c>
      <c r="BR496" s="17">
        <v>150.0</v>
      </c>
      <c r="BU496" s="12" t="s">
        <v>191</v>
      </c>
      <c r="BV496" s="12" t="s">
        <v>78</v>
      </c>
    </row>
    <row r="497">
      <c r="A497" s="12" t="s">
        <v>3143</v>
      </c>
      <c r="B497" s="12" t="s">
        <v>54</v>
      </c>
      <c r="C497" s="15">
        <v>46013.0</v>
      </c>
      <c r="D497" s="12" t="s">
        <v>912</v>
      </c>
      <c r="E497" s="12" t="s">
        <v>3144</v>
      </c>
      <c r="F497" s="12" t="s">
        <v>2257</v>
      </c>
      <c r="BP497" s="12" t="s">
        <v>3146</v>
      </c>
      <c r="BQ497" s="12" t="b">
        <v>0</v>
      </c>
      <c r="BT497" s="12" t="b">
        <v>0</v>
      </c>
      <c r="BU497" s="12" t="s">
        <v>69</v>
      </c>
    </row>
    <row r="498">
      <c r="A498" s="12" t="s">
        <v>3148</v>
      </c>
      <c r="B498" s="12" t="s">
        <v>54</v>
      </c>
      <c r="C498" s="15">
        <v>46013.0</v>
      </c>
      <c r="D498" s="12" t="s">
        <v>912</v>
      </c>
      <c r="E498" s="12" t="s">
        <v>3150</v>
      </c>
      <c r="F498" s="12" t="s">
        <v>488</v>
      </c>
      <c r="BP498" s="12" t="s">
        <v>3152</v>
      </c>
      <c r="BQ498" s="12" t="b">
        <v>0</v>
      </c>
      <c r="BT498" s="12" t="b">
        <v>0</v>
      </c>
      <c r="BU498" s="12" t="s">
        <v>69</v>
      </c>
      <c r="BW498" s="12" t="s">
        <v>3153</v>
      </c>
      <c r="BX498" s="12" t="s">
        <v>3154</v>
      </c>
    </row>
    <row r="499">
      <c r="A499" s="12" t="s">
        <v>3156</v>
      </c>
      <c r="B499" s="12" t="s">
        <v>54</v>
      </c>
      <c r="C499" s="15">
        <v>46020.0</v>
      </c>
      <c r="D499" s="12" t="s">
        <v>375</v>
      </c>
      <c r="E499" s="12" t="s">
        <v>3158</v>
      </c>
      <c r="F499" s="12" t="s">
        <v>153</v>
      </c>
      <c r="BP499" s="12" t="s">
        <v>3159</v>
      </c>
      <c r="BQ499" s="12" t="b">
        <v>0</v>
      </c>
      <c r="BS499" s="16" t="s">
        <v>4289</v>
      </c>
      <c r="BT499" s="12" t="b">
        <v>1</v>
      </c>
      <c r="BU499" s="12" t="s">
        <v>69</v>
      </c>
    </row>
    <row r="500">
      <c r="A500" s="12" t="s">
        <v>3162</v>
      </c>
      <c r="B500" s="12" t="s">
        <v>54</v>
      </c>
      <c r="C500" s="15">
        <v>46014.0</v>
      </c>
      <c r="D500" s="12" t="s">
        <v>324</v>
      </c>
      <c r="E500" s="12" t="s">
        <v>3164</v>
      </c>
      <c r="F500" s="12" t="s">
        <v>3166</v>
      </c>
      <c r="BP500" s="12" t="s">
        <v>3165</v>
      </c>
      <c r="BQ500" s="12" t="b">
        <v>0</v>
      </c>
      <c r="BS500" s="16" t="s">
        <v>4299</v>
      </c>
      <c r="BT500" s="12" t="b">
        <v>1</v>
      </c>
      <c r="BU500" s="12" t="s">
        <v>69</v>
      </c>
    </row>
    <row r="501">
      <c r="A501" s="12">
        <v>1303.0</v>
      </c>
      <c r="B501" s="12" t="s">
        <v>54</v>
      </c>
      <c r="C501" s="19">
        <v>46021.0</v>
      </c>
      <c r="F501" s="12" t="s">
        <v>1644</v>
      </c>
      <c r="G501" s="12" t="s">
        <v>1196</v>
      </c>
      <c r="H501" s="12">
        <v>1.0</v>
      </c>
      <c r="I501" s="17">
        <v>3500.0</v>
      </c>
      <c r="J501" s="17">
        <v>3500.0</v>
      </c>
      <c r="BO501" s="17">
        <v>3500.0</v>
      </c>
      <c r="BR501" s="17">
        <v>3500.0</v>
      </c>
      <c r="BU501" s="12" t="s">
        <v>191</v>
      </c>
      <c r="BV501" s="12" t="s">
        <v>727</v>
      </c>
    </row>
    <row r="502">
      <c r="A502" s="12">
        <v>1304.0</v>
      </c>
      <c r="B502" s="12" t="s">
        <v>54</v>
      </c>
      <c r="C502" s="19">
        <v>46021.0</v>
      </c>
      <c r="F502" s="12" t="s">
        <v>1884</v>
      </c>
      <c r="G502" s="12" t="s">
        <v>1196</v>
      </c>
      <c r="H502" s="12">
        <v>1.0</v>
      </c>
      <c r="I502" s="17">
        <v>4272.55</v>
      </c>
      <c r="J502" s="17">
        <v>4272.55</v>
      </c>
      <c r="BO502" s="17">
        <v>4272.55</v>
      </c>
      <c r="BR502" s="17">
        <v>4272.55</v>
      </c>
      <c r="BU502" s="12" t="s">
        <v>191</v>
      </c>
      <c r="BV502" s="12" t="s">
        <v>727</v>
      </c>
    </row>
    <row r="503">
      <c r="A503" s="12">
        <v>1305.0</v>
      </c>
      <c r="B503" s="12" t="s">
        <v>54</v>
      </c>
      <c r="C503" s="19">
        <v>46021.0</v>
      </c>
      <c r="F503" s="12" t="s">
        <v>1884</v>
      </c>
      <c r="G503" s="12" t="s">
        <v>1196</v>
      </c>
      <c r="H503" s="12">
        <v>1.0</v>
      </c>
      <c r="I503" s="17">
        <v>1805.05</v>
      </c>
      <c r="J503" s="17">
        <v>1805.05</v>
      </c>
      <c r="BO503" s="17">
        <v>1805.05</v>
      </c>
      <c r="BR503" s="17">
        <v>1805.05</v>
      </c>
      <c r="BU503" s="12" t="s">
        <v>191</v>
      </c>
      <c r="BV503" s="12" t="s">
        <v>1183</v>
      </c>
    </row>
    <row r="504">
      <c r="A504" s="12">
        <v>1306.0</v>
      </c>
      <c r="B504" s="12" t="s">
        <v>54</v>
      </c>
      <c r="C504" s="19">
        <v>46021.0</v>
      </c>
      <c r="F504" s="12" t="s">
        <v>1884</v>
      </c>
      <c r="G504" s="12" t="s">
        <v>1196</v>
      </c>
      <c r="H504" s="12">
        <v>1.0</v>
      </c>
      <c r="I504" s="17">
        <v>2140.44</v>
      </c>
      <c r="J504" s="17">
        <v>2140.44</v>
      </c>
      <c r="BO504" s="17">
        <v>2140.44</v>
      </c>
      <c r="BR504" s="17">
        <v>2140.44</v>
      </c>
      <c r="BU504" s="12" t="s">
        <v>191</v>
      </c>
      <c r="BV504" s="12" t="s">
        <v>62</v>
      </c>
    </row>
    <row r="505">
      <c r="A505" s="12">
        <v>1307.0</v>
      </c>
      <c r="B505" s="12" t="s">
        <v>54</v>
      </c>
      <c r="C505" s="19">
        <v>46021.0</v>
      </c>
      <c r="F505" s="12" t="s">
        <v>1884</v>
      </c>
      <c r="G505" s="12" t="s">
        <v>1196</v>
      </c>
      <c r="H505" s="12">
        <v>1.0</v>
      </c>
      <c r="I505" s="17">
        <v>1755.94</v>
      </c>
      <c r="J505" s="17">
        <v>1755.94</v>
      </c>
      <c r="BO505" s="17">
        <v>1755.94</v>
      </c>
      <c r="BR505" s="17">
        <v>1755.94</v>
      </c>
      <c r="BU505" s="12" t="s">
        <v>191</v>
      </c>
      <c r="BV505" s="12" t="s">
        <v>78</v>
      </c>
    </row>
    <row r="506">
      <c r="A506" s="12">
        <v>1308.0</v>
      </c>
      <c r="B506" s="12" t="s">
        <v>54</v>
      </c>
      <c r="C506" s="19">
        <v>46021.0</v>
      </c>
      <c r="F506" s="12" t="s">
        <v>1884</v>
      </c>
      <c r="G506" s="12" t="s">
        <v>1196</v>
      </c>
      <c r="H506" s="12">
        <v>1.0</v>
      </c>
      <c r="I506" s="17">
        <v>1616.58</v>
      </c>
      <c r="J506" s="17">
        <v>1616.58</v>
      </c>
      <c r="BO506" s="17">
        <v>1616.58</v>
      </c>
      <c r="BR506" s="17">
        <v>1616.58</v>
      </c>
      <c r="BU506" s="12" t="s">
        <v>191</v>
      </c>
      <c r="BV506" s="12" t="s">
        <v>1900</v>
      </c>
    </row>
    <row r="507">
      <c r="A507" s="12" t="s">
        <v>2261</v>
      </c>
      <c r="B507" s="12" t="s">
        <v>54</v>
      </c>
      <c r="C507" s="19">
        <v>46021.0</v>
      </c>
      <c r="F507" s="12" t="s">
        <v>1112</v>
      </c>
      <c r="G507" s="12" t="s">
        <v>1113</v>
      </c>
      <c r="H507" s="12">
        <v>1.0</v>
      </c>
      <c r="I507" s="17">
        <v>350.0</v>
      </c>
      <c r="J507" s="17">
        <v>350.0</v>
      </c>
      <c r="BO507" s="17">
        <v>350.0</v>
      </c>
      <c r="BR507" s="17">
        <v>350.0</v>
      </c>
      <c r="BU507" s="12" t="s">
        <v>191</v>
      </c>
      <c r="BV507" s="12" t="s">
        <v>78</v>
      </c>
    </row>
    <row r="508">
      <c r="A508" s="12" t="s">
        <v>3182</v>
      </c>
      <c r="B508" s="12" t="s">
        <v>54</v>
      </c>
      <c r="C508" s="15">
        <v>46021.0</v>
      </c>
      <c r="D508" s="12" t="s">
        <v>220</v>
      </c>
      <c r="E508" s="12" t="s">
        <v>3183</v>
      </c>
      <c r="F508" s="12" t="s">
        <v>2814</v>
      </c>
      <c r="BP508" s="12" t="s">
        <v>3185</v>
      </c>
      <c r="BQ508" s="12" t="b">
        <v>0</v>
      </c>
      <c r="BS508" s="16" t="s">
        <v>4354</v>
      </c>
      <c r="BT508" s="12" t="b">
        <v>1</v>
      </c>
      <c r="BU508" s="12" t="s">
        <v>69</v>
      </c>
    </row>
    <row r="509">
      <c r="A509" s="12" t="s">
        <v>3186</v>
      </c>
      <c r="B509" s="12" t="s">
        <v>54</v>
      </c>
      <c r="C509" s="15">
        <v>46021.0</v>
      </c>
      <c r="D509" s="12" t="s">
        <v>220</v>
      </c>
      <c r="E509" s="12" t="s">
        <v>3189</v>
      </c>
      <c r="F509" s="12" t="s">
        <v>2340</v>
      </c>
      <c r="BP509" s="12" t="s">
        <v>3190</v>
      </c>
      <c r="BQ509" s="12" t="b">
        <v>0</v>
      </c>
      <c r="BS509" s="16" t="s">
        <v>4367</v>
      </c>
      <c r="BT509" s="12" t="b">
        <v>1</v>
      </c>
      <c r="BU509" s="12" t="s">
        <v>69</v>
      </c>
    </row>
    <row r="510">
      <c r="A510" s="12" t="s">
        <v>2912</v>
      </c>
      <c r="B510" s="12" t="s">
        <v>54</v>
      </c>
      <c r="C510" s="14">
        <v>46024.0</v>
      </c>
      <c r="D510" s="12" t="s">
        <v>1043</v>
      </c>
      <c r="E510" s="12" t="s">
        <v>3192</v>
      </c>
      <c r="F510" s="12" t="s">
        <v>859</v>
      </c>
      <c r="BP510" s="12" t="s">
        <v>3193</v>
      </c>
      <c r="BQ510" s="12" t="b">
        <v>0</v>
      </c>
      <c r="BS510" s="16" t="s">
        <v>4374</v>
      </c>
      <c r="BT510" s="12" t="b">
        <v>1</v>
      </c>
      <c r="BU510" s="12" t="s">
        <v>69</v>
      </c>
    </row>
    <row r="511">
      <c r="A511" s="12" t="s">
        <v>2915</v>
      </c>
      <c r="B511" s="12" t="s">
        <v>54</v>
      </c>
      <c r="C511" s="14">
        <v>46024.0</v>
      </c>
      <c r="D511" s="12" t="s">
        <v>627</v>
      </c>
      <c r="E511" s="12" t="s">
        <v>3198</v>
      </c>
      <c r="F511" s="12" t="s">
        <v>3200</v>
      </c>
      <c r="BP511" s="12" t="s">
        <v>3199</v>
      </c>
      <c r="BQ511" s="12" t="b">
        <v>0</v>
      </c>
      <c r="BS511" s="16" t="s">
        <v>4380</v>
      </c>
      <c r="BT511" s="12" t="b">
        <v>1</v>
      </c>
      <c r="BU511" s="12" t="s">
        <v>69</v>
      </c>
    </row>
    <row r="512">
      <c r="A512" s="12" t="s">
        <v>2934</v>
      </c>
      <c r="B512" s="12" t="s">
        <v>54</v>
      </c>
      <c r="C512" s="14">
        <v>46025.0</v>
      </c>
      <c r="D512" s="12" t="s">
        <v>627</v>
      </c>
      <c r="E512" s="12" t="s">
        <v>3204</v>
      </c>
      <c r="F512" s="12" t="s">
        <v>3207</v>
      </c>
      <c r="BP512" s="12" t="s">
        <v>3206</v>
      </c>
      <c r="BQ512" s="12" t="b">
        <v>0</v>
      </c>
      <c r="BS512" s="16" t="s">
        <v>4387</v>
      </c>
      <c r="BT512" s="12" t="b">
        <v>1</v>
      </c>
      <c r="BU512" s="12" t="s">
        <v>69</v>
      </c>
    </row>
    <row r="513">
      <c r="A513" s="12" t="s">
        <v>2944</v>
      </c>
      <c r="B513" s="12" t="s">
        <v>54</v>
      </c>
      <c r="C513" s="14">
        <v>46026.0</v>
      </c>
      <c r="D513" s="12" t="s">
        <v>627</v>
      </c>
      <c r="E513" s="12" t="s">
        <v>3211</v>
      </c>
      <c r="F513" s="12" t="s">
        <v>3213</v>
      </c>
      <c r="BP513" s="12" t="s">
        <v>3212</v>
      </c>
      <c r="BQ513" s="12" t="b">
        <v>0</v>
      </c>
      <c r="BS513" s="16" t="s">
        <v>4393</v>
      </c>
      <c r="BT513" s="12" t="b">
        <v>1</v>
      </c>
      <c r="BU513" s="12" t="s">
        <v>69</v>
      </c>
    </row>
    <row r="514">
      <c r="A514" s="12" t="s">
        <v>3215</v>
      </c>
      <c r="B514" s="12" t="s">
        <v>54</v>
      </c>
      <c r="C514" s="15">
        <v>46020.0</v>
      </c>
      <c r="D514" s="12" t="s">
        <v>156</v>
      </c>
      <c r="E514" s="12" t="s">
        <v>3218</v>
      </c>
      <c r="F514" s="12" t="s">
        <v>368</v>
      </c>
      <c r="BP514" s="12" t="s">
        <v>3220</v>
      </c>
      <c r="BQ514" s="12" t="b">
        <v>0</v>
      </c>
      <c r="BT514" s="12" t="b">
        <v>0</v>
      </c>
      <c r="BU514" s="12" t="s">
        <v>69</v>
      </c>
      <c r="BW514" s="12" t="s">
        <v>3222</v>
      </c>
    </row>
    <row r="515">
      <c r="A515" s="12" t="s">
        <v>3224</v>
      </c>
      <c r="B515" s="12" t="s">
        <v>54</v>
      </c>
      <c r="C515" s="15">
        <v>46021.0</v>
      </c>
      <c r="D515" s="12" t="s">
        <v>4399</v>
      </c>
      <c r="E515" s="12" t="s">
        <v>3226</v>
      </c>
      <c r="F515" s="12" t="s">
        <v>715</v>
      </c>
      <c r="BP515" s="12" t="s">
        <v>3228</v>
      </c>
      <c r="BQ515" s="12" t="b">
        <v>0</v>
      </c>
      <c r="BT515" s="12" t="b">
        <v>0</v>
      </c>
      <c r="BU515" s="12" t="s">
        <v>69</v>
      </c>
    </row>
    <row r="516">
      <c r="A516" s="12" t="s">
        <v>2264</v>
      </c>
      <c r="B516" s="12" t="s">
        <v>54</v>
      </c>
      <c r="C516" s="19">
        <v>46027.0</v>
      </c>
      <c r="D516" s="12" t="s">
        <v>912</v>
      </c>
      <c r="F516" s="12" t="s">
        <v>3232</v>
      </c>
      <c r="G516" s="12" t="s">
        <v>786</v>
      </c>
      <c r="H516" s="12">
        <v>1.0</v>
      </c>
      <c r="I516" s="17">
        <v>3316.87</v>
      </c>
      <c r="J516" s="17">
        <v>3316.87</v>
      </c>
      <c r="BO516" s="17">
        <v>3316.87</v>
      </c>
      <c r="BR516" s="17">
        <v>3316.87</v>
      </c>
      <c r="BU516" s="12" t="s">
        <v>621</v>
      </c>
    </row>
    <row r="517">
      <c r="A517" s="12">
        <v>1316.0</v>
      </c>
      <c r="B517" s="12" t="s">
        <v>54</v>
      </c>
      <c r="C517" s="19">
        <v>46027.0</v>
      </c>
      <c r="D517" s="12" t="s">
        <v>848</v>
      </c>
      <c r="F517" s="12" t="s">
        <v>1226</v>
      </c>
      <c r="G517" s="12" t="s">
        <v>852</v>
      </c>
      <c r="H517" s="12">
        <v>1.0</v>
      </c>
      <c r="I517" s="17">
        <v>4000.0</v>
      </c>
      <c r="J517" s="17">
        <v>4000.0</v>
      </c>
      <c r="BO517" s="17">
        <v>4000.0</v>
      </c>
      <c r="BR517" s="17">
        <v>4000.0</v>
      </c>
      <c r="BU517" s="12" t="s">
        <v>621</v>
      </c>
    </row>
    <row r="518">
      <c r="A518" s="12" t="s">
        <v>2269</v>
      </c>
      <c r="B518" s="12" t="s">
        <v>54</v>
      </c>
      <c r="C518" s="19">
        <v>46027.0</v>
      </c>
      <c r="D518" s="12" t="s">
        <v>156</v>
      </c>
      <c r="F518" s="12" t="s">
        <v>3237</v>
      </c>
      <c r="G518" s="12" t="s">
        <v>1236</v>
      </c>
      <c r="H518" s="12">
        <v>1.0</v>
      </c>
      <c r="I518" s="17">
        <v>1558.79</v>
      </c>
      <c r="J518" s="17">
        <v>1558.79</v>
      </c>
      <c r="BO518" s="17">
        <v>1558.79</v>
      </c>
      <c r="BR518" s="17">
        <v>1558.79</v>
      </c>
      <c r="BU518" s="12" t="s">
        <v>621</v>
      </c>
    </row>
    <row r="519">
      <c r="A519" s="12" t="s">
        <v>2271</v>
      </c>
      <c r="B519" s="12" t="s">
        <v>54</v>
      </c>
      <c r="C519" s="19">
        <v>46027.0</v>
      </c>
      <c r="F519" s="12" t="s">
        <v>1112</v>
      </c>
      <c r="G519" s="12" t="s">
        <v>1113</v>
      </c>
      <c r="H519" s="12">
        <v>1.0</v>
      </c>
      <c r="I519" s="17">
        <v>50.0</v>
      </c>
      <c r="J519" s="17">
        <v>50.0</v>
      </c>
      <c r="BO519" s="17">
        <v>50.0</v>
      </c>
      <c r="BR519" s="17">
        <v>50.0</v>
      </c>
      <c r="BU519" s="12" t="s">
        <v>191</v>
      </c>
      <c r="BV519" s="12" t="s">
        <v>62</v>
      </c>
    </row>
    <row r="520">
      <c r="A520" s="12" t="s">
        <v>2904</v>
      </c>
      <c r="B520" s="12" t="s">
        <v>54</v>
      </c>
      <c r="C520" s="15">
        <v>46019.0</v>
      </c>
      <c r="D520" s="12" t="s">
        <v>182</v>
      </c>
      <c r="E520" s="12" t="s">
        <v>3241</v>
      </c>
      <c r="F520" s="12" t="s">
        <v>3243</v>
      </c>
      <c r="BP520" s="12" t="s">
        <v>3242</v>
      </c>
      <c r="BQ520" s="12" t="b">
        <v>0</v>
      </c>
      <c r="BS520" s="16" t="s">
        <v>4435</v>
      </c>
      <c r="BT520" s="12" t="b">
        <v>1</v>
      </c>
      <c r="BU520" s="12" t="s">
        <v>69</v>
      </c>
    </row>
    <row r="521">
      <c r="A521" s="12" t="s">
        <v>2909</v>
      </c>
      <c r="B521" s="12" t="s">
        <v>54</v>
      </c>
      <c r="C521" s="15">
        <v>46021.0</v>
      </c>
      <c r="D521" s="12" t="s">
        <v>556</v>
      </c>
      <c r="E521" s="12" t="s">
        <v>3246</v>
      </c>
      <c r="F521" s="12" t="s">
        <v>859</v>
      </c>
      <c r="BP521" s="12" t="s">
        <v>3247</v>
      </c>
      <c r="BQ521" s="12" t="b">
        <v>0</v>
      </c>
      <c r="BS521" s="16" t="s">
        <v>4443</v>
      </c>
      <c r="BT521" s="12" t="b">
        <v>1</v>
      </c>
      <c r="BU521" s="12" t="s">
        <v>69</v>
      </c>
    </row>
    <row r="522">
      <c r="A522" s="12" t="s">
        <v>2957</v>
      </c>
      <c r="B522" s="12" t="s">
        <v>54</v>
      </c>
      <c r="C522" s="14">
        <v>46028.0</v>
      </c>
      <c r="D522" s="12" t="s">
        <v>3251</v>
      </c>
      <c r="E522" s="12" t="s">
        <v>3252</v>
      </c>
      <c r="F522" s="12" t="s">
        <v>1988</v>
      </c>
      <c r="BP522" s="12" t="s">
        <v>3253</v>
      </c>
      <c r="BQ522" s="12" t="b">
        <v>0</v>
      </c>
      <c r="BS522" s="16" t="s">
        <v>4453</v>
      </c>
      <c r="BT522" s="12" t="b">
        <v>1</v>
      </c>
      <c r="BU522" s="12" t="s">
        <v>69</v>
      </c>
    </row>
    <row r="523">
      <c r="A523" s="12" t="s">
        <v>2967</v>
      </c>
      <c r="B523" s="12" t="s">
        <v>54</v>
      </c>
      <c r="C523" s="14">
        <v>46028.0</v>
      </c>
      <c r="D523" s="12" t="s">
        <v>3251</v>
      </c>
      <c r="E523" s="12" t="s">
        <v>3255</v>
      </c>
      <c r="F523" s="12" t="s">
        <v>3259</v>
      </c>
      <c r="BP523" s="12" t="s">
        <v>3257</v>
      </c>
      <c r="BQ523" s="12" t="b">
        <v>0</v>
      </c>
      <c r="BS523" s="16" t="s">
        <v>4459</v>
      </c>
      <c r="BT523" s="12" t="b">
        <v>1</v>
      </c>
      <c r="BU523" s="12" t="s">
        <v>69</v>
      </c>
    </row>
    <row r="524">
      <c r="A524" s="12" t="s">
        <v>3001</v>
      </c>
      <c r="B524" s="12" t="s">
        <v>54</v>
      </c>
      <c r="C524" s="14">
        <v>46029.0</v>
      </c>
      <c r="D524" s="12" t="s">
        <v>1103</v>
      </c>
      <c r="E524" s="12" t="s">
        <v>3264</v>
      </c>
      <c r="F524" s="12" t="s">
        <v>3268</v>
      </c>
      <c r="BP524" s="12" t="s">
        <v>3266</v>
      </c>
      <c r="BQ524" s="12" t="b">
        <v>0</v>
      </c>
      <c r="BS524" s="16" t="s">
        <v>4463</v>
      </c>
      <c r="BT524" s="12" t="b">
        <v>1</v>
      </c>
      <c r="BU524" s="12" t="s">
        <v>69</v>
      </c>
    </row>
    <row r="525">
      <c r="A525" s="12" t="s">
        <v>3012</v>
      </c>
      <c r="B525" s="12" t="s">
        <v>54</v>
      </c>
      <c r="C525" s="14">
        <v>46029.0</v>
      </c>
      <c r="D525" s="12" t="s">
        <v>220</v>
      </c>
      <c r="E525" s="12" t="s">
        <v>3270</v>
      </c>
      <c r="F525" s="12" t="s">
        <v>2999</v>
      </c>
      <c r="BP525" s="12" t="s">
        <v>3271</v>
      </c>
      <c r="BQ525" s="12" t="b">
        <v>0</v>
      </c>
      <c r="BS525" s="16" t="s">
        <v>4467</v>
      </c>
      <c r="BT525" s="12" t="b">
        <v>1</v>
      </c>
      <c r="BU525" s="12" t="s">
        <v>69</v>
      </c>
    </row>
    <row r="526">
      <c r="A526" s="12" t="s">
        <v>3038</v>
      </c>
      <c r="B526" s="12" t="s">
        <v>54</v>
      </c>
      <c r="C526" s="14">
        <v>46029.0</v>
      </c>
      <c r="D526" s="12" t="s">
        <v>182</v>
      </c>
      <c r="E526" s="12" t="s">
        <v>3273</v>
      </c>
      <c r="F526" s="12" t="s">
        <v>3276</v>
      </c>
      <c r="BP526" s="12" t="s">
        <v>3275</v>
      </c>
      <c r="BQ526" s="12" t="b">
        <v>0</v>
      </c>
      <c r="BS526" s="16" t="s">
        <v>4472</v>
      </c>
      <c r="BT526" s="12" t="b">
        <v>1</v>
      </c>
      <c r="BU526" s="12" t="s">
        <v>69</v>
      </c>
    </row>
    <row r="527">
      <c r="A527" s="12" t="s">
        <v>2971</v>
      </c>
      <c r="B527" s="12" t="s">
        <v>54</v>
      </c>
      <c r="C527" s="14">
        <v>46028.0</v>
      </c>
      <c r="D527" s="12" t="s">
        <v>156</v>
      </c>
      <c r="E527" s="12" t="s">
        <v>3278</v>
      </c>
      <c r="F527" s="12" t="s">
        <v>3280</v>
      </c>
      <c r="BP527" s="12" t="s">
        <v>3279</v>
      </c>
      <c r="BQ527" s="12" t="b">
        <v>0</v>
      </c>
      <c r="BT527" s="12" t="b">
        <v>0</v>
      </c>
      <c r="BU527" s="12" t="s">
        <v>69</v>
      </c>
      <c r="BW527" s="12" t="s">
        <v>3283</v>
      </c>
      <c r="BX527" s="12" t="s">
        <v>3285</v>
      </c>
    </row>
    <row r="528">
      <c r="A528" s="16" t="s">
        <v>2985</v>
      </c>
      <c r="B528" s="12" t="s">
        <v>54</v>
      </c>
      <c r="C528" s="14">
        <v>46028.0</v>
      </c>
      <c r="D528" s="12" t="s">
        <v>556</v>
      </c>
      <c r="E528" s="12" t="s">
        <v>3287</v>
      </c>
      <c r="F528" s="12" t="s">
        <v>859</v>
      </c>
      <c r="BP528" s="12" t="s">
        <v>3288</v>
      </c>
      <c r="BQ528" s="12" t="b">
        <v>0</v>
      </c>
      <c r="BS528" s="16" t="s">
        <v>4486</v>
      </c>
      <c r="BT528" s="12" t="b">
        <v>1</v>
      </c>
      <c r="BU528" s="12" t="s">
        <v>69</v>
      </c>
    </row>
    <row r="529">
      <c r="A529" s="12" t="s">
        <v>3052</v>
      </c>
      <c r="B529" s="12" t="s">
        <v>54</v>
      </c>
      <c r="C529" s="14">
        <v>46030.0</v>
      </c>
      <c r="D529" s="12" t="s">
        <v>418</v>
      </c>
      <c r="E529" s="12" t="s">
        <v>3293</v>
      </c>
      <c r="F529" s="12" t="s">
        <v>3296</v>
      </c>
      <c r="BP529" s="12" t="s">
        <v>3294</v>
      </c>
      <c r="BQ529" s="12" t="b">
        <v>0</v>
      </c>
      <c r="BT529" s="12" t="b">
        <v>0</v>
      </c>
      <c r="BU529" s="12" t="s">
        <v>69</v>
      </c>
    </row>
    <row r="530">
      <c r="A530" s="12" t="s">
        <v>3299</v>
      </c>
      <c r="B530" s="12" t="s">
        <v>54</v>
      </c>
      <c r="C530" s="14">
        <v>46057.0</v>
      </c>
      <c r="D530" s="12" t="s">
        <v>784</v>
      </c>
      <c r="E530" s="12" t="s">
        <v>3301</v>
      </c>
      <c r="F530" s="12" t="s">
        <v>715</v>
      </c>
      <c r="BP530" s="12" t="s">
        <v>3304</v>
      </c>
      <c r="BQ530" s="12" t="b">
        <v>0</v>
      </c>
      <c r="BT530" s="12" t="b">
        <v>0</v>
      </c>
      <c r="BU530" s="12" t="s">
        <v>69</v>
      </c>
    </row>
    <row r="531">
      <c r="A531" s="12" t="s">
        <v>3306</v>
      </c>
      <c r="B531" s="12" t="s">
        <v>54</v>
      </c>
      <c r="C531" s="14">
        <v>46071.0</v>
      </c>
      <c r="D531" s="12" t="s">
        <v>784</v>
      </c>
      <c r="E531" s="12" t="s">
        <v>3308</v>
      </c>
      <c r="F531" s="12" t="s">
        <v>715</v>
      </c>
      <c r="BP531" s="12" t="s">
        <v>3309</v>
      </c>
      <c r="BQ531" s="12" t="b">
        <v>0</v>
      </c>
      <c r="BT531" s="12" t="b">
        <v>0</v>
      </c>
      <c r="BU531" s="12" t="s">
        <v>69</v>
      </c>
    </row>
    <row r="532">
      <c r="A532" s="12" t="s">
        <v>3054</v>
      </c>
      <c r="B532" s="12" t="s">
        <v>54</v>
      </c>
      <c r="C532" s="14">
        <v>46030.0</v>
      </c>
      <c r="D532" s="12" t="s">
        <v>3314</v>
      </c>
      <c r="E532" s="12" t="s">
        <v>3315</v>
      </c>
      <c r="F532" s="12" t="s">
        <v>3317</v>
      </c>
      <c r="BP532" s="12" t="s">
        <v>3316</v>
      </c>
      <c r="BQ532" s="12" t="b">
        <v>0</v>
      </c>
      <c r="BS532" s="16" t="s">
        <v>4513</v>
      </c>
      <c r="BT532" s="12" t="b">
        <v>1</v>
      </c>
      <c r="BU532" s="12" t="s">
        <v>69</v>
      </c>
    </row>
    <row r="533">
      <c r="A533" s="12" t="s">
        <v>3059</v>
      </c>
      <c r="B533" s="12" t="s">
        <v>54</v>
      </c>
      <c r="C533" s="14">
        <v>46030.0</v>
      </c>
      <c r="D533" s="12" t="s">
        <v>220</v>
      </c>
      <c r="E533" s="12" t="s">
        <v>3323</v>
      </c>
      <c r="F533" s="12" t="s">
        <v>3325</v>
      </c>
      <c r="BP533" s="12" t="s">
        <v>3324</v>
      </c>
      <c r="BQ533" s="12" t="b">
        <v>0</v>
      </c>
      <c r="BS533" s="16" t="s">
        <v>4518</v>
      </c>
      <c r="BT533" s="12" t="b">
        <v>1</v>
      </c>
      <c r="BU533" s="12" t="s">
        <v>69</v>
      </c>
    </row>
    <row r="534">
      <c r="A534" s="12" t="s">
        <v>3062</v>
      </c>
      <c r="B534" s="12" t="s">
        <v>54</v>
      </c>
      <c r="C534" s="14">
        <v>46030.0</v>
      </c>
      <c r="D534" s="12" t="s">
        <v>220</v>
      </c>
      <c r="E534" s="12" t="s">
        <v>3330</v>
      </c>
      <c r="F534" s="12" t="s">
        <v>2487</v>
      </c>
      <c r="BP534" s="12" t="s">
        <v>3331</v>
      </c>
      <c r="BQ534" s="12" t="b">
        <v>0</v>
      </c>
      <c r="BS534" s="16" t="s">
        <v>4529</v>
      </c>
      <c r="BT534" s="12" t="b">
        <v>1</v>
      </c>
      <c r="BU534" s="12" t="s">
        <v>69</v>
      </c>
    </row>
    <row r="535">
      <c r="A535" s="12" t="s">
        <v>2989</v>
      </c>
      <c r="B535" s="12" t="s">
        <v>54</v>
      </c>
      <c r="C535" s="14">
        <v>46030.0</v>
      </c>
      <c r="D535" s="12" t="s">
        <v>1043</v>
      </c>
      <c r="E535" s="12" t="s">
        <v>3335</v>
      </c>
      <c r="F535" s="12" t="s">
        <v>687</v>
      </c>
      <c r="BP535" s="12" t="s">
        <v>3336</v>
      </c>
      <c r="BQ535" s="12" t="b">
        <v>0</v>
      </c>
      <c r="BS535" s="16" t="s">
        <v>4536</v>
      </c>
      <c r="BT535" s="12" t="b">
        <v>1</v>
      </c>
      <c r="BU535" s="12" t="s">
        <v>69</v>
      </c>
    </row>
    <row r="536">
      <c r="A536" s="12" t="s">
        <v>3098</v>
      </c>
      <c r="B536" s="12" t="s">
        <v>54</v>
      </c>
      <c r="C536" s="14">
        <v>46030.0</v>
      </c>
      <c r="D536" s="12" t="s">
        <v>190</v>
      </c>
      <c r="E536" s="12" t="s">
        <v>3339</v>
      </c>
      <c r="F536" s="12" t="s">
        <v>328</v>
      </c>
      <c r="BP536" s="12" t="s">
        <v>3340</v>
      </c>
      <c r="BQ536" s="12" t="b">
        <v>0</v>
      </c>
      <c r="BS536" s="16" t="s">
        <v>4542</v>
      </c>
      <c r="BT536" s="12" t="b">
        <v>1</v>
      </c>
      <c r="BU536" s="12" t="s">
        <v>69</v>
      </c>
    </row>
    <row r="537">
      <c r="A537" s="12" t="s">
        <v>3102</v>
      </c>
      <c r="B537" s="12" t="s">
        <v>54</v>
      </c>
      <c r="C537" s="14">
        <v>46030.0</v>
      </c>
      <c r="D537" s="12" t="s">
        <v>728</v>
      </c>
      <c r="E537" s="12" t="s">
        <v>3344</v>
      </c>
      <c r="F537" s="12" t="s">
        <v>1365</v>
      </c>
      <c r="BP537" s="12" t="s">
        <v>3346</v>
      </c>
      <c r="BQ537" s="12" t="b">
        <v>0</v>
      </c>
      <c r="BS537" s="16" t="s">
        <v>4548</v>
      </c>
      <c r="BT537" s="12" t="b">
        <v>1</v>
      </c>
      <c r="BU537" s="12" t="s">
        <v>69</v>
      </c>
    </row>
    <row r="538">
      <c r="A538" s="12" t="s">
        <v>3110</v>
      </c>
      <c r="B538" s="12" t="s">
        <v>54</v>
      </c>
      <c r="C538" s="14">
        <v>46031.0</v>
      </c>
      <c r="D538" s="12" t="s">
        <v>375</v>
      </c>
      <c r="E538" s="12" t="s">
        <v>3350</v>
      </c>
      <c r="F538" s="12" t="s">
        <v>153</v>
      </c>
      <c r="BP538" s="12" t="s">
        <v>3351</v>
      </c>
      <c r="BQ538" s="12" t="b">
        <v>0</v>
      </c>
      <c r="BS538" s="16" t="s">
        <v>4555</v>
      </c>
      <c r="BT538" s="12" t="b">
        <v>1</v>
      </c>
      <c r="BU538" s="12" t="s">
        <v>69</v>
      </c>
    </row>
    <row r="539">
      <c r="A539" s="16" t="s">
        <v>3118</v>
      </c>
      <c r="B539" s="12" t="s">
        <v>54</v>
      </c>
      <c r="C539" s="14">
        <v>46031.0</v>
      </c>
      <c r="D539" s="12" t="s">
        <v>3355</v>
      </c>
      <c r="E539" s="12" t="s">
        <v>3356</v>
      </c>
      <c r="F539" s="12" t="s">
        <v>1761</v>
      </c>
      <c r="BP539" s="12" t="s">
        <v>3357</v>
      </c>
      <c r="BQ539" s="12" t="b">
        <v>0</v>
      </c>
      <c r="BS539" s="16" t="s">
        <v>4563</v>
      </c>
      <c r="BT539" s="12" t="b">
        <v>1</v>
      </c>
      <c r="BU539" s="12" t="s">
        <v>69</v>
      </c>
    </row>
    <row r="540">
      <c r="A540" s="12" t="s">
        <v>3129</v>
      </c>
      <c r="B540" s="12" t="s">
        <v>54</v>
      </c>
      <c r="C540" s="14">
        <v>46031.0</v>
      </c>
      <c r="D540" s="12" t="s">
        <v>3361</v>
      </c>
      <c r="E540" s="12" t="s">
        <v>3362</v>
      </c>
      <c r="F540" s="12" t="s">
        <v>880</v>
      </c>
      <c r="BP540" s="12" t="s">
        <v>3363</v>
      </c>
      <c r="BQ540" s="12" t="b">
        <v>0</v>
      </c>
      <c r="BS540" s="16" t="s">
        <v>4569</v>
      </c>
      <c r="BT540" s="12" t="b">
        <v>1</v>
      </c>
      <c r="BU540" s="12" t="s">
        <v>69</v>
      </c>
    </row>
    <row r="541">
      <c r="A541" s="12" t="s">
        <v>2274</v>
      </c>
      <c r="B541" s="12" t="s">
        <v>54</v>
      </c>
      <c r="C541" s="19">
        <v>46029.0</v>
      </c>
      <c r="D541" s="12" t="s">
        <v>2854</v>
      </c>
      <c r="F541" s="12" t="s">
        <v>3018</v>
      </c>
      <c r="G541" s="12" t="s">
        <v>741</v>
      </c>
      <c r="H541" s="12">
        <v>1.0</v>
      </c>
      <c r="I541" s="17">
        <v>256.73</v>
      </c>
      <c r="J541" s="17">
        <v>256.73</v>
      </c>
      <c r="BO541" s="17">
        <v>256.73</v>
      </c>
      <c r="BR541" s="17">
        <v>256.73</v>
      </c>
      <c r="BU541" s="12" t="s">
        <v>621</v>
      </c>
    </row>
    <row r="542">
      <c r="A542" s="12" t="s">
        <v>2277</v>
      </c>
      <c r="B542" s="12" t="s">
        <v>54</v>
      </c>
      <c r="C542" s="19">
        <v>46031.0</v>
      </c>
      <c r="D542" s="12" t="s">
        <v>1067</v>
      </c>
      <c r="F542" s="12" t="s">
        <v>3369</v>
      </c>
      <c r="G542" s="12" t="s">
        <v>741</v>
      </c>
      <c r="H542" s="12">
        <v>1.0</v>
      </c>
      <c r="I542" s="17">
        <v>256.73</v>
      </c>
      <c r="J542" s="17">
        <v>256.73</v>
      </c>
      <c r="BO542" s="17">
        <v>256.73</v>
      </c>
      <c r="BR542" s="17">
        <v>256.73</v>
      </c>
      <c r="BU542" s="12" t="s">
        <v>621</v>
      </c>
    </row>
    <row r="543">
      <c r="A543" s="12">
        <v>1321.0</v>
      </c>
      <c r="B543" s="12" t="s">
        <v>54</v>
      </c>
      <c r="C543" s="19">
        <v>46029.0</v>
      </c>
      <c r="D543" s="12" t="s">
        <v>1668</v>
      </c>
      <c r="F543" s="12" t="s">
        <v>1671</v>
      </c>
      <c r="G543" s="12" t="s">
        <v>874</v>
      </c>
      <c r="H543" s="12">
        <v>1.0</v>
      </c>
      <c r="I543" s="17">
        <v>125.0</v>
      </c>
      <c r="J543" s="17">
        <v>125.0</v>
      </c>
      <c r="BO543" s="17">
        <v>125.0</v>
      </c>
      <c r="BR543" s="17">
        <v>125.0</v>
      </c>
      <c r="BU543" s="12" t="s">
        <v>621</v>
      </c>
    </row>
    <row r="544">
      <c r="A544" s="12">
        <v>1322.0</v>
      </c>
      <c r="B544" s="12" t="s">
        <v>54</v>
      </c>
      <c r="C544" s="19">
        <v>46031.0</v>
      </c>
      <c r="D544" s="12" t="s">
        <v>1316</v>
      </c>
      <c r="F544" s="12" t="s">
        <v>909</v>
      </c>
      <c r="G544" s="12" t="s">
        <v>1756</v>
      </c>
      <c r="H544" s="12">
        <v>1.0</v>
      </c>
      <c r="I544" s="17">
        <v>786.26</v>
      </c>
      <c r="J544" s="17">
        <v>786.26</v>
      </c>
      <c r="BO544" s="17">
        <v>786.26</v>
      </c>
      <c r="BR544" s="17">
        <v>786.26</v>
      </c>
      <c r="BU544" s="12" t="s">
        <v>621</v>
      </c>
    </row>
    <row r="545">
      <c r="A545" s="12">
        <v>1323.0</v>
      </c>
      <c r="B545" s="12" t="s">
        <v>54</v>
      </c>
      <c r="C545" s="19">
        <v>46029.0</v>
      </c>
      <c r="D545" s="12" t="s">
        <v>933</v>
      </c>
      <c r="F545" s="12" t="s">
        <v>1346</v>
      </c>
      <c r="G545" s="12" t="s">
        <v>936</v>
      </c>
      <c r="H545" s="12">
        <v>1.0</v>
      </c>
      <c r="I545" s="17">
        <v>500.0</v>
      </c>
      <c r="J545" s="17">
        <v>500.0</v>
      </c>
      <c r="BO545" s="17">
        <v>500.0</v>
      </c>
      <c r="BR545" s="17">
        <v>500.0</v>
      </c>
      <c r="BU545" s="12" t="s">
        <v>621</v>
      </c>
    </row>
    <row r="546">
      <c r="A546" s="12" t="s">
        <v>3147</v>
      </c>
      <c r="B546" s="12" t="s">
        <v>54</v>
      </c>
      <c r="C546" s="14">
        <v>46033.0</v>
      </c>
      <c r="D546" s="12" t="s">
        <v>182</v>
      </c>
      <c r="E546" s="12" t="s">
        <v>3379</v>
      </c>
      <c r="F546" s="12" t="s">
        <v>312</v>
      </c>
      <c r="BP546" s="12" t="s">
        <v>3380</v>
      </c>
      <c r="BQ546" s="12" t="b">
        <v>0</v>
      </c>
      <c r="BS546" s="16" t="s">
        <v>4606</v>
      </c>
      <c r="BT546" s="12" t="b">
        <v>1</v>
      </c>
      <c r="BU546" s="12" t="s">
        <v>69</v>
      </c>
    </row>
    <row r="547">
      <c r="A547" s="12" t="s">
        <v>3105</v>
      </c>
      <c r="B547" s="12" t="s">
        <v>54</v>
      </c>
      <c r="C547" s="14">
        <v>46030.0</v>
      </c>
      <c r="D547" s="12" t="s">
        <v>156</v>
      </c>
      <c r="E547" s="12" t="s">
        <v>3385</v>
      </c>
      <c r="F547" s="12" t="s">
        <v>254</v>
      </c>
      <c r="BP547" s="12" t="s">
        <v>3386</v>
      </c>
      <c r="BQ547" s="12" t="b">
        <v>0</v>
      </c>
      <c r="BT547" s="12" t="b">
        <v>0</v>
      </c>
      <c r="BU547" s="12" t="s">
        <v>69</v>
      </c>
      <c r="BW547" s="12" t="s">
        <v>3388</v>
      </c>
    </row>
    <row r="548">
      <c r="A548" s="12" t="s">
        <v>3151</v>
      </c>
      <c r="B548" s="12" t="s">
        <v>54</v>
      </c>
      <c r="C548" s="14">
        <v>46034.0</v>
      </c>
      <c r="D548" s="12" t="s">
        <v>58</v>
      </c>
      <c r="E548" s="12" t="s">
        <v>3390</v>
      </c>
      <c r="F548" s="12" t="s">
        <v>3393</v>
      </c>
      <c r="BP548" s="12" t="s">
        <v>3391</v>
      </c>
      <c r="BQ548" s="12" t="b">
        <v>0</v>
      </c>
      <c r="BS548" s="16" t="s">
        <v>4614</v>
      </c>
      <c r="BT548" s="12" t="b">
        <v>1</v>
      </c>
      <c r="BU548" s="12" t="s">
        <v>69</v>
      </c>
    </row>
    <row r="549">
      <c r="A549" s="16" t="s">
        <v>3161</v>
      </c>
      <c r="B549" s="12" t="s">
        <v>54</v>
      </c>
      <c r="C549" s="14">
        <v>46034.0</v>
      </c>
      <c r="D549" s="12" t="s">
        <v>375</v>
      </c>
      <c r="E549" s="12" t="s">
        <v>3398</v>
      </c>
      <c r="F549" s="12" t="s">
        <v>153</v>
      </c>
      <c r="BP549" s="12" t="s">
        <v>3399</v>
      </c>
      <c r="BQ549" s="12" t="b">
        <v>0</v>
      </c>
      <c r="BS549" s="16" t="s">
        <v>4619</v>
      </c>
      <c r="BT549" s="12" t="b">
        <v>1</v>
      </c>
      <c r="BU549" s="12" t="s">
        <v>69</v>
      </c>
    </row>
    <row r="550">
      <c r="A550" s="12" t="s">
        <v>4623</v>
      </c>
      <c r="B550" s="12" t="s">
        <v>54</v>
      </c>
      <c r="C550" s="14">
        <v>46031.0</v>
      </c>
      <c r="D550" s="12" t="s">
        <v>3355</v>
      </c>
      <c r="E550" s="12" t="s">
        <v>4624</v>
      </c>
      <c r="F550" s="12" t="s">
        <v>4625</v>
      </c>
      <c r="BP550" s="12" t="s">
        <v>4626</v>
      </c>
      <c r="BQ550" s="12" t="b">
        <v>0</v>
      </c>
      <c r="BS550" s="16" t="s">
        <v>4628</v>
      </c>
      <c r="BT550" s="12" t="b">
        <v>1</v>
      </c>
      <c r="BU550" s="12" t="s">
        <v>69</v>
      </c>
    </row>
    <row r="551">
      <c r="A551" s="12">
        <v>1324.0</v>
      </c>
      <c r="B551" s="12" t="s">
        <v>54</v>
      </c>
      <c r="C551" s="19">
        <v>46035.0</v>
      </c>
      <c r="D551" s="12" t="s">
        <v>689</v>
      </c>
      <c r="F551" s="12" t="s">
        <v>959</v>
      </c>
      <c r="G551" s="12" t="s">
        <v>693</v>
      </c>
      <c r="H551" s="12">
        <v>1.0</v>
      </c>
      <c r="I551" s="17">
        <v>5000.0</v>
      </c>
      <c r="J551" s="17">
        <v>5000.0</v>
      </c>
      <c r="BO551" s="17">
        <v>5000.0</v>
      </c>
      <c r="BR551" s="17">
        <v>5000.0</v>
      </c>
      <c r="BU551" s="12" t="s">
        <v>621</v>
      </c>
    </row>
    <row r="552">
      <c r="A552" s="12" t="s">
        <v>3172</v>
      </c>
      <c r="B552" s="12" t="s">
        <v>54</v>
      </c>
      <c r="C552" s="14">
        <v>46035.0</v>
      </c>
      <c r="D552" s="12" t="s">
        <v>627</v>
      </c>
      <c r="E552" s="12" t="s">
        <v>3406</v>
      </c>
      <c r="F552" s="12" t="s">
        <v>3200</v>
      </c>
      <c r="BP552" s="12" t="s">
        <v>3407</v>
      </c>
      <c r="BQ552" s="12" t="b">
        <v>0</v>
      </c>
      <c r="BS552" s="16" t="s">
        <v>4637</v>
      </c>
      <c r="BT552" s="12" t="b">
        <v>1</v>
      </c>
      <c r="BU552" s="12" t="s">
        <v>69</v>
      </c>
    </row>
    <row r="553">
      <c r="A553" s="12" t="s">
        <v>3134</v>
      </c>
      <c r="B553" s="12" t="s">
        <v>54</v>
      </c>
      <c r="C553" s="14">
        <v>46032.0</v>
      </c>
      <c r="D553" s="12" t="s">
        <v>435</v>
      </c>
      <c r="E553" s="12" t="s">
        <v>3411</v>
      </c>
      <c r="F553" s="12" t="s">
        <v>3213</v>
      </c>
      <c r="BP553" s="12" t="s">
        <v>3412</v>
      </c>
      <c r="BQ553" s="12" t="b">
        <v>0</v>
      </c>
      <c r="BS553" s="16" t="s">
        <v>4650</v>
      </c>
      <c r="BT553" s="12" t="b">
        <v>1</v>
      </c>
      <c r="BU553" s="12" t="s">
        <v>69</v>
      </c>
    </row>
    <row r="554">
      <c r="A554" s="12" t="s">
        <v>3197</v>
      </c>
      <c r="B554" s="12" t="s">
        <v>54</v>
      </c>
      <c r="C554" s="14">
        <v>46037.0</v>
      </c>
      <c r="D554" s="12" t="s">
        <v>3415</v>
      </c>
      <c r="E554" s="12" t="s">
        <v>3416</v>
      </c>
      <c r="F554" s="12" t="s">
        <v>3419</v>
      </c>
      <c r="BP554" s="12" t="s">
        <v>3417</v>
      </c>
      <c r="BQ554" s="12" t="b">
        <v>0</v>
      </c>
      <c r="BS554" s="16" t="s">
        <v>4658</v>
      </c>
      <c r="BT554" s="12" t="b">
        <v>1</v>
      </c>
      <c r="BU554" s="12" t="s">
        <v>69</v>
      </c>
    </row>
    <row r="555">
      <c r="A555" s="12" t="s">
        <v>3202</v>
      </c>
      <c r="B555" s="12" t="s">
        <v>54</v>
      </c>
      <c r="C555" s="14">
        <v>46037.0</v>
      </c>
      <c r="D555" s="12" t="s">
        <v>175</v>
      </c>
      <c r="E555" s="12" t="s">
        <v>3421</v>
      </c>
      <c r="F555" s="12" t="s">
        <v>1365</v>
      </c>
      <c r="BP555" s="12" t="s">
        <v>3422</v>
      </c>
      <c r="BQ555" s="12" t="b">
        <v>0</v>
      </c>
      <c r="BS555" s="16" t="s">
        <v>4667</v>
      </c>
      <c r="BT555" s="12" t="b">
        <v>1</v>
      </c>
      <c r="BU555" s="12" t="s">
        <v>69</v>
      </c>
    </row>
    <row r="556">
      <c r="A556" s="12" t="s">
        <v>3209</v>
      </c>
      <c r="B556" s="12" t="s">
        <v>54</v>
      </c>
      <c r="C556" s="14">
        <v>46037.0</v>
      </c>
      <c r="D556" s="12" t="s">
        <v>3425</v>
      </c>
      <c r="E556" s="12" t="s">
        <v>3426</v>
      </c>
      <c r="F556" s="12" t="s">
        <v>2814</v>
      </c>
      <c r="BP556" s="12" t="s">
        <v>3427</v>
      </c>
      <c r="BQ556" s="12" t="b">
        <v>0</v>
      </c>
      <c r="BS556" s="16" t="s">
        <v>4674</v>
      </c>
      <c r="BT556" s="12" t="b">
        <v>1</v>
      </c>
      <c r="BU556" s="12" t="s">
        <v>69</v>
      </c>
    </row>
    <row r="557">
      <c r="A557" s="12" t="s">
        <v>3217</v>
      </c>
      <c r="B557" s="12" t="s">
        <v>54</v>
      </c>
      <c r="C557" s="14">
        <v>46037.0</v>
      </c>
      <c r="D557" s="12" t="s">
        <v>220</v>
      </c>
      <c r="E557" s="12" t="s">
        <v>3432</v>
      </c>
      <c r="F557" s="12" t="s">
        <v>1529</v>
      </c>
      <c r="BP557" s="12" t="s">
        <v>3434</v>
      </c>
      <c r="BQ557" s="12" t="b">
        <v>0</v>
      </c>
      <c r="BS557" s="16" t="s">
        <v>4682</v>
      </c>
      <c r="BT557" s="12" t="b">
        <v>1</v>
      </c>
      <c r="BU557" s="12" t="s">
        <v>69</v>
      </c>
    </row>
    <row r="558">
      <c r="A558" s="12" t="s">
        <v>3188</v>
      </c>
      <c r="B558" s="12" t="s">
        <v>54</v>
      </c>
      <c r="C558" s="14">
        <v>46035.0</v>
      </c>
      <c r="D558" s="12" t="s">
        <v>156</v>
      </c>
      <c r="E558" s="12" t="s">
        <v>3439</v>
      </c>
      <c r="F558" s="12" t="s">
        <v>488</v>
      </c>
      <c r="BP558" s="12" t="s">
        <v>3441</v>
      </c>
      <c r="BQ558" s="12" t="b">
        <v>0</v>
      </c>
      <c r="BT558" s="12" t="b">
        <v>0</v>
      </c>
      <c r="BU558" s="12" t="s">
        <v>69</v>
      </c>
    </row>
    <row r="559">
      <c r="A559" s="12">
        <v>1325.0</v>
      </c>
      <c r="B559" s="12" t="s">
        <v>54</v>
      </c>
      <c r="C559" s="19">
        <v>46039.0</v>
      </c>
      <c r="D559" s="12" t="s">
        <v>156</v>
      </c>
      <c r="F559" s="12" t="s">
        <v>1905</v>
      </c>
      <c r="G559" s="12" t="s">
        <v>1082</v>
      </c>
      <c r="H559" s="12">
        <v>1.0</v>
      </c>
      <c r="I559" s="17">
        <v>625.0</v>
      </c>
      <c r="J559" s="17">
        <v>625.0</v>
      </c>
      <c r="BO559" s="17">
        <v>625.0</v>
      </c>
      <c r="BR559" s="17">
        <v>625.0</v>
      </c>
      <c r="BU559" s="12" t="s">
        <v>621</v>
      </c>
    </row>
    <row r="560">
      <c r="A560" s="12" t="s">
        <v>2284</v>
      </c>
      <c r="B560" s="12" t="s">
        <v>54</v>
      </c>
      <c r="C560" s="19">
        <v>46039.0</v>
      </c>
      <c r="D560" s="12" t="s">
        <v>1715</v>
      </c>
      <c r="F560" s="12" t="s">
        <v>3036</v>
      </c>
      <c r="G560" s="12" t="s">
        <v>1936</v>
      </c>
      <c r="H560" s="12">
        <v>1.0</v>
      </c>
      <c r="I560" s="17">
        <v>813.22</v>
      </c>
      <c r="J560" s="17">
        <v>813.22</v>
      </c>
      <c r="BO560" s="17">
        <v>813.22</v>
      </c>
      <c r="BR560" s="17">
        <v>813.22</v>
      </c>
      <c r="BU560" s="12" t="s">
        <v>621</v>
      </c>
    </row>
    <row r="561">
      <c r="A561" s="12" t="s">
        <v>3258</v>
      </c>
      <c r="B561" s="12" t="s">
        <v>54</v>
      </c>
      <c r="C561" s="14">
        <v>46041.0</v>
      </c>
      <c r="D561" s="12" t="s">
        <v>1769</v>
      </c>
      <c r="E561" s="12" t="s">
        <v>3449</v>
      </c>
      <c r="F561" s="12" t="s">
        <v>328</v>
      </c>
      <c r="BP561" s="12" t="s">
        <v>3450</v>
      </c>
      <c r="BQ561" s="12" t="b">
        <v>0</v>
      </c>
      <c r="BS561" s="16" t="s">
        <v>4706</v>
      </c>
      <c r="BT561" s="12" t="b">
        <v>1</v>
      </c>
      <c r="BU561" s="12" t="s">
        <v>69</v>
      </c>
    </row>
    <row r="562">
      <c r="A562" s="12" t="s">
        <v>3261</v>
      </c>
      <c r="B562" s="12" t="s">
        <v>54</v>
      </c>
      <c r="C562" s="14">
        <v>46041.0</v>
      </c>
      <c r="D562" s="12" t="s">
        <v>175</v>
      </c>
      <c r="E562" s="12" t="s">
        <v>3455</v>
      </c>
      <c r="F562" s="12" t="s">
        <v>3458</v>
      </c>
      <c r="BP562" s="12" t="s">
        <v>3457</v>
      </c>
      <c r="BQ562" s="12" t="b">
        <v>0</v>
      </c>
      <c r="BS562" s="16" t="s">
        <v>4713</v>
      </c>
      <c r="BT562" s="12" t="b">
        <v>1</v>
      </c>
      <c r="BU562" s="12" t="s">
        <v>69</v>
      </c>
    </row>
    <row r="563">
      <c r="A563" s="12" t="s">
        <v>3249</v>
      </c>
      <c r="B563" s="12" t="s">
        <v>54</v>
      </c>
      <c r="C563" s="14">
        <v>46040.0</v>
      </c>
      <c r="D563" s="12" t="s">
        <v>182</v>
      </c>
      <c r="E563" s="12" t="s">
        <v>3462</v>
      </c>
      <c r="F563" s="12" t="s">
        <v>186</v>
      </c>
      <c r="BP563" s="12" t="s">
        <v>3464</v>
      </c>
      <c r="BQ563" s="12" t="b">
        <v>0</v>
      </c>
      <c r="BS563" s="16" t="s">
        <v>4721</v>
      </c>
      <c r="BT563" s="12" t="b">
        <v>1</v>
      </c>
      <c r="BU563" s="12" t="s">
        <v>69</v>
      </c>
    </row>
    <row r="564">
      <c r="A564" s="12" t="s">
        <v>3227</v>
      </c>
      <c r="B564" s="12" t="s">
        <v>54</v>
      </c>
      <c r="C564" s="14">
        <v>46039.0</v>
      </c>
      <c r="D564" s="12" t="s">
        <v>220</v>
      </c>
      <c r="E564" s="12" t="s">
        <v>3469</v>
      </c>
      <c r="F564" s="12" t="s">
        <v>186</v>
      </c>
      <c r="BP564" s="12" t="s">
        <v>3470</v>
      </c>
      <c r="BQ564" s="12" t="b">
        <v>0</v>
      </c>
      <c r="BS564" s="16" t="s">
        <v>4728</v>
      </c>
      <c r="BT564" s="12" t="b">
        <v>1</v>
      </c>
      <c r="BU564" s="12" t="s">
        <v>69</v>
      </c>
    </row>
    <row r="565">
      <c r="A565" s="12" t="s">
        <v>3265</v>
      </c>
      <c r="B565" s="12" t="s">
        <v>54</v>
      </c>
      <c r="C565" s="14">
        <v>46041.0</v>
      </c>
      <c r="D565" s="12" t="s">
        <v>220</v>
      </c>
      <c r="E565" s="12" t="s">
        <v>3475</v>
      </c>
      <c r="F565" s="12" t="s">
        <v>3477</v>
      </c>
      <c r="BP565" s="12" t="s">
        <v>3476</v>
      </c>
      <c r="BQ565" s="12" t="b">
        <v>0</v>
      </c>
      <c r="BS565" s="16" t="s">
        <v>4735</v>
      </c>
      <c r="BT565" s="12" t="b">
        <v>1</v>
      </c>
      <c r="BU565" s="12" t="s">
        <v>69</v>
      </c>
    </row>
    <row r="566">
      <c r="A566" s="12">
        <v>1338.0</v>
      </c>
      <c r="B566" s="12" t="s">
        <v>54</v>
      </c>
      <c r="C566" s="19">
        <v>46041.0</v>
      </c>
      <c r="D566" s="12" t="s">
        <v>933</v>
      </c>
      <c r="F566" s="12" t="s">
        <v>1494</v>
      </c>
      <c r="G566" s="12" t="s">
        <v>1040</v>
      </c>
      <c r="H566" s="12">
        <v>1.0</v>
      </c>
      <c r="I566" s="17">
        <v>11803.0</v>
      </c>
      <c r="J566" s="17">
        <v>11803.0</v>
      </c>
      <c r="BO566" s="17">
        <v>11803.0</v>
      </c>
      <c r="BR566" s="17">
        <v>11803.0</v>
      </c>
      <c r="BU566" s="12" t="s">
        <v>621</v>
      </c>
    </row>
    <row r="567">
      <c r="A567" s="12">
        <v>1339.0</v>
      </c>
      <c r="B567" s="12" t="s">
        <v>54</v>
      </c>
      <c r="C567" s="19">
        <v>46041.0</v>
      </c>
      <c r="D567" s="12" t="s">
        <v>734</v>
      </c>
      <c r="F567" s="12" t="s">
        <v>1466</v>
      </c>
      <c r="G567" s="12" t="s">
        <v>1056</v>
      </c>
      <c r="H567" s="12">
        <v>1.0</v>
      </c>
      <c r="I567" s="17">
        <v>1486.39</v>
      </c>
      <c r="J567" s="17">
        <v>1486.39</v>
      </c>
      <c r="BO567" s="17">
        <v>1486.39</v>
      </c>
      <c r="BR567" s="17">
        <v>1486.39</v>
      </c>
      <c r="BU567" s="12" t="s">
        <v>621</v>
      </c>
    </row>
    <row r="568">
      <c r="A568" s="12">
        <v>1340.0</v>
      </c>
      <c r="B568" s="12" t="s">
        <v>54</v>
      </c>
      <c r="C568" s="19">
        <v>46041.0</v>
      </c>
      <c r="D568" s="12" t="s">
        <v>1067</v>
      </c>
      <c r="F568" s="12" t="s">
        <v>1068</v>
      </c>
      <c r="G568" s="12" t="s">
        <v>741</v>
      </c>
      <c r="H568" s="12">
        <v>1.0</v>
      </c>
      <c r="I568" s="17">
        <v>938.22</v>
      </c>
      <c r="J568" s="17">
        <v>938.22</v>
      </c>
      <c r="BO568" s="17">
        <v>938.22</v>
      </c>
      <c r="BR568" s="17">
        <v>938.22</v>
      </c>
      <c r="BU568" s="12" t="s">
        <v>621</v>
      </c>
    </row>
    <row r="569">
      <c r="A569" s="12">
        <v>1341.0</v>
      </c>
      <c r="B569" s="12" t="s">
        <v>54</v>
      </c>
      <c r="C569" s="19">
        <v>46041.0</v>
      </c>
      <c r="D569" s="12" t="s">
        <v>1484</v>
      </c>
      <c r="F569" s="12" t="s">
        <v>1485</v>
      </c>
      <c r="G569" s="12" t="s">
        <v>1486</v>
      </c>
      <c r="H569" s="12">
        <v>1.0</v>
      </c>
      <c r="I569" s="17">
        <v>20.0</v>
      </c>
      <c r="J569" s="17">
        <v>20.0</v>
      </c>
      <c r="BO569" s="17">
        <v>20.0</v>
      </c>
      <c r="BR569" s="17">
        <v>20.0</v>
      </c>
      <c r="BU569" s="12" t="s">
        <v>621</v>
      </c>
    </row>
    <row r="570">
      <c r="A570" s="12" t="s">
        <v>3282</v>
      </c>
      <c r="B570" s="12" t="s">
        <v>54</v>
      </c>
      <c r="C570" s="14">
        <v>46042.0</v>
      </c>
      <c r="D570" s="12" t="s">
        <v>532</v>
      </c>
      <c r="E570" s="12" t="s">
        <v>3489</v>
      </c>
      <c r="F570" s="12" t="s">
        <v>3492</v>
      </c>
      <c r="BP570" s="12" t="s">
        <v>3491</v>
      </c>
      <c r="BQ570" s="12" t="b">
        <v>0</v>
      </c>
      <c r="BS570" s="16" t="s">
        <v>4764</v>
      </c>
      <c r="BT570" s="12" t="b">
        <v>1</v>
      </c>
      <c r="BU570" s="12" t="s">
        <v>69</v>
      </c>
    </row>
    <row r="571">
      <c r="A571" s="12" t="s">
        <v>3298</v>
      </c>
      <c r="B571" s="12" t="s">
        <v>54</v>
      </c>
      <c r="C571" s="14">
        <v>46042.0</v>
      </c>
      <c r="D571" s="12" t="s">
        <v>3495</v>
      </c>
      <c r="E571" s="12" t="s">
        <v>3497</v>
      </c>
      <c r="F571" s="12" t="s">
        <v>3499</v>
      </c>
      <c r="BP571" s="12" t="s">
        <v>3498</v>
      </c>
      <c r="BQ571" s="12" t="b">
        <v>0</v>
      </c>
      <c r="BS571" s="16" t="s">
        <v>4771</v>
      </c>
      <c r="BT571" s="12" t="b">
        <v>1</v>
      </c>
      <c r="BU571" s="12" t="s">
        <v>69</v>
      </c>
    </row>
    <row r="572">
      <c r="A572" s="12" t="s">
        <v>2290</v>
      </c>
      <c r="B572" s="12" t="s">
        <v>54</v>
      </c>
      <c r="C572" s="19">
        <v>46042.0</v>
      </c>
      <c r="D572" s="12" t="s">
        <v>156</v>
      </c>
      <c r="F572" s="12" t="s">
        <v>3502</v>
      </c>
      <c r="G572" s="12" t="s">
        <v>786</v>
      </c>
      <c r="H572" s="12">
        <v>1.0</v>
      </c>
      <c r="I572" s="17">
        <v>4145.0</v>
      </c>
      <c r="J572" s="17">
        <v>4145.0</v>
      </c>
      <c r="BO572" s="17">
        <v>4145.0</v>
      </c>
      <c r="BR572" s="17">
        <v>4145.0</v>
      </c>
      <c r="BU572" s="12" t="s">
        <v>621</v>
      </c>
    </row>
    <row r="573">
      <c r="A573" s="12" t="s">
        <v>3195</v>
      </c>
      <c r="B573" s="12" t="s">
        <v>54</v>
      </c>
      <c r="C573" s="14">
        <v>46035.0</v>
      </c>
      <c r="D573" s="12" t="s">
        <v>556</v>
      </c>
      <c r="E573" s="12" t="s">
        <v>3506</v>
      </c>
      <c r="F573" s="12" t="s">
        <v>859</v>
      </c>
      <c r="BP573" s="12" t="s">
        <v>3507</v>
      </c>
      <c r="BQ573" s="12" t="b">
        <v>0</v>
      </c>
      <c r="BS573" s="16" t="s">
        <v>4781</v>
      </c>
      <c r="BT573" s="12" t="b">
        <v>1</v>
      </c>
      <c r="BU573" s="12" t="s">
        <v>69</v>
      </c>
    </row>
    <row r="574">
      <c r="A574" s="12" t="s">
        <v>3333</v>
      </c>
      <c r="B574" s="12" t="s">
        <v>54</v>
      </c>
      <c r="C574" s="14">
        <v>46043.0</v>
      </c>
      <c r="D574" s="12" t="s">
        <v>375</v>
      </c>
      <c r="E574" s="12" t="s">
        <v>3512</v>
      </c>
      <c r="F574" s="12" t="s">
        <v>1778</v>
      </c>
      <c r="BP574" s="12" t="s">
        <v>3513</v>
      </c>
      <c r="BQ574" s="12" t="b">
        <v>0</v>
      </c>
      <c r="BS574" s="16" t="s">
        <v>4788</v>
      </c>
      <c r="BT574" s="12" t="b">
        <v>1</v>
      </c>
      <c r="BU574" s="12" t="s">
        <v>69</v>
      </c>
    </row>
    <row r="575">
      <c r="A575" s="12" t="s">
        <v>3305</v>
      </c>
      <c r="B575" s="12" t="s">
        <v>54</v>
      </c>
      <c r="C575" s="14">
        <v>46042.0</v>
      </c>
      <c r="D575" s="12" t="s">
        <v>156</v>
      </c>
      <c r="E575" s="12" t="s">
        <v>3517</v>
      </c>
      <c r="F575" s="12" t="s">
        <v>293</v>
      </c>
      <c r="BP575" s="12" t="s">
        <v>3518</v>
      </c>
      <c r="BQ575" s="12" t="b">
        <v>0</v>
      </c>
      <c r="BT575" s="12" t="b">
        <v>0</v>
      </c>
      <c r="BU575" s="12" t="s">
        <v>69</v>
      </c>
      <c r="BW575" s="12" t="s">
        <v>3519</v>
      </c>
    </row>
    <row r="576">
      <c r="A576" s="12" t="s">
        <v>3313</v>
      </c>
      <c r="B576" s="12" t="s">
        <v>54</v>
      </c>
      <c r="C576" s="14">
        <v>46042.0</v>
      </c>
      <c r="D576" s="12" t="s">
        <v>156</v>
      </c>
      <c r="E576" s="12" t="s">
        <v>3517</v>
      </c>
      <c r="F576" s="12" t="s">
        <v>293</v>
      </c>
      <c r="BP576" s="12" t="s">
        <v>3525</v>
      </c>
      <c r="BQ576" s="12" t="b">
        <v>0</v>
      </c>
      <c r="BT576" s="12" t="b">
        <v>0</v>
      </c>
      <c r="BU576" s="12" t="s">
        <v>69</v>
      </c>
    </row>
    <row r="577">
      <c r="A577" s="12" t="s">
        <v>3321</v>
      </c>
      <c r="B577" s="12" t="s">
        <v>54</v>
      </c>
      <c r="C577" s="14">
        <v>46042.0</v>
      </c>
      <c r="D577" s="12" t="s">
        <v>3528</v>
      </c>
      <c r="E577" s="12" t="s">
        <v>3530</v>
      </c>
      <c r="F577" s="12" t="s">
        <v>3534</v>
      </c>
      <c r="BP577" s="12" t="s">
        <v>3532</v>
      </c>
      <c r="BQ577" s="12" t="b">
        <v>0</v>
      </c>
      <c r="BS577" s="16" t="s">
        <v>4809</v>
      </c>
      <c r="BT577" s="12" t="b">
        <v>1</v>
      </c>
      <c r="BU577" s="12" t="s">
        <v>69</v>
      </c>
    </row>
    <row r="578">
      <c r="A578" s="16" t="s">
        <v>3327</v>
      </c>
      <c r="B578" s="12" t="s">
        <v>54</v>
      </c>
      <c r="C578" s="14">
        <v>46042.0</v>
      </c>
      <c r="D578" s="12" t="s">
        <v>156</v>
      </c>
      <c r="E578" s="12" t="s">
        <v>3537</v>
      </c>
      <c r="F578" s="12" t="s">
        <v>3539</v>
      </c>
      <c r="BP578" s="12" t="s">
        <v>3538</v>
      </c>
      <c r="BQ578" s="12" t="b">
        <v>0</v>
      </c>
      <c r="BT578" s="12" t="b">
        <v>0</v>
      </c>
      <c r="BU578" s="12" t="s">
        <v>69</v>
      </c>
      <c r="BW578" s="12" t="s">
        <v>3540</v>
      </c>
    </row>
    <row r="579">
      <c r="A579" s="12" t="s">
        <v>4818</v>
      </c>
      <c r="B579" s="12" t="s">
        <v>54</v>
      </c>
      <c r="C579" s="14">
        <v>46042.0</v>
      </c>
      <c r="D579" s="12" t="s">
        <v>156</v>
      </c>
      <c r="E579" s="12" t="s">
        <v>3537</v>
      </c>
      <c r="F579" s="12" t="s">
        <v>3539</v>
      </c>
      <c r="BP579" s="12" t="s">
        <v>4823</v>
      </c>
      <c r="BQ579" s="12" t="b">
        <v>0</v>
      </c>
      <c r="BT579" s="12" t="b">
        <v>0</v>
      </c>
      <c r="BU579" s="12" t="s">
        <v>69</v>
      </c>
      <c r="BW579" s="12" t="s">
        <v>4825</v>
      </c>
    </row>
    <row r="580">
      <c r="A580" s="12" t="s">
        <v>3349</v>
      </c>
      <c r="B580" s="12" t="s">
        <v>54</v>
      </c>
      <c r="C580" s="14">
        <v>46044.0</v>
      </c>
      <c r="D580" s="12" t="s">
        <v>220</v>
      </c>
      <c r="E580" s="12" t="s">
        <v>3547</v>
      </c>
      <c r="F580" s="12" t="s">
        <v>3551</v>
      </c>
      <c r="BP580" s="12" t="s">
        <v>3549</v>
      </c>
      <c r="BQ580" s="12" t="b">
        <v>0</v>
      </c>
      <c r="BS580" s="16" t="s">
        <v>4835</v>
      </c>
      <c r="BT580" s="12" t="b">
        <v>1</v>
      </c>
      <c r="BU580" s="12" t="s">
        <v>69</v>
      </c>
    </row>
    <row r="581">
      <c r="A581" s="12" t="s">
        <v>3343</v>
      </c>
      <c r="B581" s="12" t="s">
        <v>54</v>
      </c>
      <c r="C581" s="14">
        <v>46043.0</v>
      </c>
      <c r="D581" s="12" t="s">
        <v>77</v>
      </c>
      <c r="E581" s="12" t="s">
        <v>3555</v>
      </c>
      <c r="F581" s="12" t="s">
        <v>3557</v>
      </c>
      <c r="BP581" s="12" t="s">
        <v>3556</v>
      </c>
      <c r="BQ581" s="12" t="b">
        <v>0</v>
      </c>
      <c r="BS581" s="16" t="s">
        <v>4841</v>
      </c>
      <c r="BT581" s="12" t="b">
        <v>1</v>
      </c>
      <c r="BU581" s="12" t="s">
        <v>69</v>
      </c>
    </row>
    <row r="582">
      <c r="A582" s="12">
        <v>1345.0</v>
      </c>
      <c r="B582" s="12" t="s">
        <v>54</v>
      </c>
      <c r="C582" s="19">
        <v>46044.0</v>
      </c>
      <c r="D582" s="12" t="s">
        <v>1712</v>
      </c>
      <c r="F582" s="19">
        <v>46296.0</v>
      </c>
      <c r="G582" s="12" t="s">
        <v>1818</v>
      </c>
      <c r="H582" s="12">
        <v>1.0</v>
      </c>
      <c r="I582" s="17">
        <v>236.83</v>
      </c>
      <c r="J582" s="17">
        <v>236.83</v>
      </c>
      <c r="BO582" s="17">
        <v>236.83</v>
      </c>
      <c r="BR582" s="17">
        <v>236.83</v>
      </c>
      <c r="BU582" s="12" t="s">
        <v>621</v>
      </c>
    </row>
    <row r="583">
      <c r="A583" s="12">
        <v>1346.0</v>
      </c>
      <c r="B583" s="12" t="s">
        <v>54</v>
      </c>
      <c r="C583" s="19">
        <v>46044.0</v>
      </c>
      <c r="D583" s="12" t="s">
        <v>1715</v>
      </c>
      <c r="F583" s="19">
        <v>46082.0</v>
      </c>
      <c r="G583" s="12" t="s">
        <v>1818</v>
      </c>
      <c r="H583" s="12">
        <v>1.0</v>
      </c>
      <c r="I583" s="17">
        <v>65.15</v>
      </c>
      <c r="J583" s="17">
        <v>65.15</v>
      </c>
      <c r="BO583" s="17">
        <v>65.15</v>
      </c>
      <c r="BR583" s="17">
        <v>65.15</v>
      </c>
      <c r="BU583" s="12" t="s">
        <v>621</v>
      </c>
    </row>
    <row r="584">
      <c r="A584" s="12" t="s">
        <v>3377</v>
      </c>
      <c r="B584" s="12" t="s">
        <v>54</v>
      </c>
      <c r="C584" s="14">
        <v>46045.0</v>
      </c>
      <c r="D584" s="12" t="s">
        <v>3415</v>
      </c>
      <c r="E584" s="12" t="s">
        <v>3565</v>
      </c>
      <c r="F584" s="12" t="s">
        <v>3567</v>
      </c>
      <c r="BP584" s="12" t="s">
        <v>3566</v>
      </c>
      <c r="BQ584" s="12" t="b">
        <v>0</v>
      </c>
      <c r="BS584" s="16" t="s">
        <v>4859</v>
      </c>
      <c r="BT584" s="12" t="b">
        <v>1</v>
      </c>
      <c r="BU584" s="12" t="s">
        <v>69</v>
      </c>
    </row>
    <row r="585">
      <c r="A585" s="12" t="s">
        <v>3382</v>
      </c>
      <c r="B585" s="12" t="s">
        <v>54</v>
      </c>
      <c r="C585" s="14">
        <v>46045.0</v>
      </c>
      <c r="D585" s="12" t="s">
        <v>1043</v>
      </c>
      <c r="E585" s="12" t="s">
        <v>3572</v>
      </c>
      <c r="F585" s="12" t="s">
        <v>1037</v>
      </c>
      <c r="BP585" s="12" t="s">
        <v>3574</v>
      </c>
      <c r="BQ585" s="12" t="b">
        <v>0</v>
      </c>
      <c r="BS585" s="16" t="s">
        <v>4867</v>
      </c>
      <c r="BT585" s="12" t="b">
        <v>1</v>
      </c>
      <c r="BU585" s="12" t="s">
        <v>69</v>
      </c>
    </row>
    <row r="586">
      <c r="A586" s="12">
        <v>1343.0</v>
      </c>
      <c r="B586" s="12" t="s">
        <v>54</v>
      </c>
      <c r="C586" s="19">
        <v>46045.0</v>
      </c>
      <c r="D586" s="12" t="s">
        <v>818</v>
      </c>
      <c r="F586" s="12" t="s">
        <v>819</v>
      </c>
      <c r="G586" s="12" t="s">
        <v>820</v>
      </c>
      <c r="H586" s="12">
        <v>1.0</v>
      </c>
      <c r="I586" s="17">
        <v>185.0</v>
      </c>
      <c r="J586" s="17">
        <v>185.0</v>
      </c>
      <c r="BO586" s="17">
        <v>185.0</v>
      </c>
      <c r="BR586" s="17">
        <v>185.0</v>
      </c>
      <c r="BU586" s="12" t="s">
        <v>621</v>
      </c>
    </row>
    <row r="587">
      <c r="A587" s="12" t="s">
        <v>2299</v>
      </c>
      <c r="B587" s="12" t="s">
        <v>54</v>
      </c>
      <c r="C587" s="19">
        <v>46045.0</v>
      </c>
      <c r="D587" s="12" t="s">
        <v>2122</v>
      </c>
      <c r="F587" s="12" t="s">
        <v>1430</v>
      </c>
      <c r="G587" s="12" t="s">
        <v>1432</v>
      </c>
      <c r="H587" s="12">
        <v>1.0</v>
      </c>
      <c r="I587" s="17">
        <v>215.0</v>
      </c>
      <c r="J587" s="17">
        <v>215.0</v>
      </c>
      <c r="BO587" s="17">
        <v>215.0</v>
      </c>
      <c r="BR587" s="17">
        <v>215.0</v>
      </c>
      <c r="BU587" s="12" t="s">
        <v>621</v>
      </c>
    </row>
    <row r="588">
      <c r="A588" s="12" t="s">
        <v>2302</v>
      </c>
      <c r="B588" s="12" t="s">
        <v>54</v>
      </c>
      <c r="C588" s="19">
        <v>46045.0</v>
      </c>
      <c r="D588" s="12" t="s">
        <v>3581</v>
      </c>
      <c r="F588" s="12" t="s">
        <v>3582</v>
      </c>
      <c r="G588" s="12" t="s">
        <v>2303</v>
      </c>
      <c r="H588" s="12">
        <v>1.0</v>
      </c>
      <c r="I588" s="17">
        <v>95.0</v>
      </c>
      <c r="J588" s="17">
        <v>95.0</v>
      </c>
      <c r="BO588" s="17">
        <v>95.0</v>
      </c>
      <c r="BR588" s="17">
        <v>95.0</v>
      </c>
      <c r="BU588" s="12" t="s">
        <v>621</v>
      </c>
    </row>
    <row r="589">
      <c r="A589" s="12" t="s">
        <v>3384</v>
      </c>
      <c r="B589" s="12" t="s">
        <v>54</v>
      </c>
      <c r="C589" s="14">
        <v>46046.0</v>
      </c>
      <c r="D589" s="12" t="s">
        <v>182</v>
      </c>
      <c r="E589" s="12" t="s">
        <v>3585</v>
      </c>
      <c r="F589" s="12" t="s">
        <v>2814</v>
      </c>
      <c r="BP589" s="12" t="s">
        <v>3586</v>
      </c>
      <c r="BQ589" s="12" t="b">
        <v>0</v>
      </c>
      <c r="BS589" s="16" t="s">
        <v>4896</v>
      </c>
      <c r="BT589" s="12" t="b">
        <v>1</v>
      </c>
      <c r="BU589" s="12" t="s">
        <v>69</v>
      </c>
    </row>
    <row r="590">
      <c r="A590" s="12" t="s">
        <v>3375</v>
      </c>
      <c r="B590" s="12" t="s">
        <v>54</v>
      </c>
      <c r="C590" s="14">
        <v>46044.0</v>
      </c>
      <c r="D590" s="12" t="s">
        <v>556</v>
      </c>
      <c r="E590" s="12" t="s">
        <v>3590</v>
      </c>
      <c r="F590" s="12" t="s">
        <v>859</v>
      </c>
      <c r="BP590" s="12" t="s">
        <v>3591</v>
      </c>
      <c r="BQ590" s="12" t="b">
        <v>0</v>
      </c>
      <c r="BS590" s="16" t="s">
        <v>4902</v>
      </c>
      <c r="BT590" s="12" t="b">
        <v>1</v>
      </c>
      <c r="BU590" s="12" t="s">
        <v>69</v>
      </c>
    </row>
    <row r="591">
      <c r="A591" s="12" t="s">
        <v>3403</v>
      </c>
      <c r="B591" s="12" t="s">
        <v>54</v>
      </c>
      <c r="C591" s="14">
        <v>46048.0</v>
      </c>
      <c r="D591" s="12" t="s">
        <v>58</v>
      </c>
      <c r="E591" s="12" t="s">
        <v>3596</v>
      </c>
      <c r="F591" s="12" t="s">
        <v>3600</v>
      </c>
      <c r="BP591" s="12" t="s">
        <v>3598</v>
      </c>
      <c r="BQ591" s="12" t="b">
        <v>0</v>
      </c>
      <c r="BS591" s="16" t="s">
        <v>4909</v>
      </c>
      <c r="BT591" s="12" t="b">
        <v>1</v>
      </c>
      <c r="BU591" s="12" t="s">
        <v>69</v>
      </c>
    </row>
    <row r="592">
      <c r="A592" s="12" t="s">
        <v>2307</v>
      </c>
      <c r="B592" s="12" t="s">
        <v>54</v>
      </c>
      <c r="C592" s="19">
        <v>46048.0</v>
      </c>
      <c r="F592" s="12" t="s">
        <v>1112</v>
      </c>
      <c r="G592" s="12" t="s">
        <v>1113</v>
      </c>
      <c r="H592" s="12">
        <v>1.0</v>
      </c>
      <c r="I592" s="17">
        <v>500.0</v>
      </c>
      <c r="J592" s="17">
        <v>500.0</v>
      </c>
      <c r="BO592" s="17">
        <v>500.0</v>
      </c>
      <c r="BR592" s="17">
        <v>500.0</v>
      </c>
      <c r="BU592" s="12" t="s">
        <v>191</v>
      </c>
      <c r="BV592" s="12" t="s">
        <v>1900</v>
      </c>
    </row>
    <row r="593">
      <c r="A593" s="12" t="s">
        <v>2310</v>
      </c>
      <c r="B593" s="12" t="s">
        <v>54</v>
      </c>
      <c r="C593" s="19">
        <v>46048.0</v>
      </c>
      <c r="F593" s="12" t="s">
        <v>1112</v>
      </c>
      <c r="G593" s="12" t="s">
        <v>1113</v>
      </c>
      <c r="H593" s="12">
        <v>1.0</v>
      </c>
      <c r="I593" s="17">
        <v>500.0</v>
      </c>
      <c r="J593" s="17">
        <v>500.0</v>
      </c>
      <c r="BO593" s="17">
        <v>500.0</v>
      </c>
      <c r="BR593" s="17">
        <v>500.0</v>
      </c>
      <c r="BU593" s="12" t="s">
        <v>191</v>
      </c>
      <c r="BV593" s="12" t="s">
        <v>1183</v>
      </c>
    </row>
    <row r="594">
      <c r="A594" s="12" t="s">
        <v>2314</v>
      </c>
      <c r="B594" s="12" t="s">
        <v>54</v>
      </c>
      <c r="C594" s="19">
        <v>46048.0</v>
      </c>
      <c r="F594" s="12" t="s">
        <v>1112</v>
      </c>
      <c r="G594" s="12" t="s">
        <v>1113</v>
      </c>
      <c r="H594" s="12">
        <v>1.0</v>
      </c>
      <c r="I594" s="17">
        <v>100.0</v>
      </c>
      <c r="J594" s="17">
        <v>100.0</v>
      </c>
      <c r="BO594" s="17">
        <v>100.0</v>
      </c>
      <c r="BR594" s="17">
        <v>100.0</v>
      </c>
      <c r="BU594" s="12" t="s">
        <v>191</v>
      </c>
      <c r="BV594" s="12" t="s">
        <v>62</v>
      </c>
    </row>
    <row r="595">
      <c r="A595" s="12" t="s">
        <v>3405</v>
      </c>
      <c r="B595" s="12" t="s">
        <v>54</v>
      </c>
      <c r="C595" s="14">
        <v>46048.0</v>
      </c>
      <c r="D595" s="12" t="s">
        <v>220</v>
      </c>
      <c r="E595" s="12" t="s">
        <v>3612</v>
      </c>
      <c r="F595" s="12" t="s">
        <v>3614</v>
      </c>
      <c r="BP595" s="12" t="s">
        <v>3613</v>
      </c>
      <c r="BQ595" s="12" t="b">
        <v>0</v>
      </c>
      <c r="BS595" s="16" t="s">
        <v>4938</v>
      </c>
      <c r="BT595" s="12" t="b">
        <v>1</v>
      </c>
      <c r="BU595" s="12" t="s">
        <v>69</v>
      </c>
    </row>
    <row r="596">
      <c r="A596" s="12" t="s">
        <v>3396</v>
      </c>
      <c r="B596" s="12" t="s">
        <v>54</v>
      </c>
      <c r="C596" s="14">
        <v>46047.0</v>
      </c>
      <c r="D596" s="12" t="s">
        <v>182</v>
      </c>
      <c r="E596" s="12" t="s">
        <v>3619</v>
      </c>
      <c r="F596" s="12" t="s">
        <v>1544</v>
      </c>
      <c r="BP596" s="12" t="s">
        <v>3620</v>
      </c>
      <c r="BQ596" s="12" t="b">
        <v>0</v>
      </c>
      <c r="BS596" s="16" t="s">
        <v>4945</v>
      </c>
      <c r="BT596" s="12" t="b">
        <v>1</v>
      </c>
      <c r="BU596" s="12" t="s">
        <v>69</v>
      </c>
    </row>
    <row r="597">
      <c r="A597" s="12" t="s">
        <v>4946</v>
      </c>
      <c r="B597" s="12" t="s">
        <v>54</v>
      </c>
      <c r="C597" s="14">
        <v>46051.0</v>
      </c>
      <c r="D597" s="12" t="s">
        <v>375</v>
      </c>
      <c r="E597" s="12" t="s">
        <v>4948</v>
      </c>
      <c r="F597" s="12" t="s">
        <v>153</v>
      </c>
      <c r="BP597" s="12" t="s">
        <v>4951</v>
      </c>
      <c r="BQ597" s="12" t="b">
        <v>0</v>
      </c>
      <c r="BS597" s="16" t="s">
        <v>4952</v>
      </c>
      <c r="BT597" s="12" t="b">
        <v>1</v>
      </c>
      <c r="BU597" s="12" t="s">
        <v>69</v>
      </c>
    </row>
    <row r="598">
      <c r="A598" s="12">
        <v>1353.0</v>
      </c>
      <c r="B598" s="12" t="s">
        <v>54</v>
      </c>
      <c r="C598" s="19">
        <v>46051.0</v>
      </c>
      <c r="F598" s="12" t="s">
        <v>3108</v>
      </c>
      <c r="G598" s="12" t="s">
        <v>1196</v>
      </c>
      <c r="H598" s="12">
        <v>1.0</v>
      </c>
      <c r="I598" s="17">
        <v>585.0</v>
      </c>
      <c r="J598" s="17">
        <v>585.0</v>
      </c>
      <c r="BO598" s="17">
        <v>585.0</v>
      </c>
      <c r="BR598" s="17">
        <v>585.0</v>
      </c>
      <c r="BU598" s="12" t="s">
        <v>621</v>
      </c>
      <c r="BV598" s="12" t="s">
        <v>259</v>
      </c>
    </row>
    <row r="599">
      <c r="A599" s="12" t="s">
        <v>2317</v>
      </c>
      <c r="B599" s="12" t="s">
        <v>54</v>
      </c>
      <c r="C599" s="19">
        <v>46028.0</v>
      </c>
      <c r="F599" s="12" t="s">
        <v>1112</v>
      </c>
      <c r="G599" s="12" t="s">
        <v>1113</v>
      </c>
      <c r="H599" s="12">
        <v>1.0</v>
      </c>
      <c r="I599" s="17">
        <v>500.0</v>
      </c>
      <c r="J599" s="17">
        <v>500.0</v>
      </c>
      <c r="BO599" s="17">
        <v>500.0</v>
      </c>
      <c r="BR599" s="17">
        <v>500.0</v>
      </c>
      <c r="BU599" s="12" t="s">
        <v>191</v>
      </c>
      <c r="BV599" s="12" t="s">
        <v>1900</v>
      </c>
    </row>
    <row r="600">
      <c r="A600" s="12" t="s">
        <v>3437</v>
      </c>
      <c r="B600" s="12" t="s">
        <v>54</v>
      </c>
      <c r="C600" s="14">
        <v>46051.0</v>
      </c>
      <c r="D600" s="12" t="s">
        <v>683</v>
      </c>
      <c r="E600" s="12" t="s">
        <v>3633</v>
      </c>
      <c r="F600" s="12" t="s">
        <v>687</v>
      </c>
      <c r="BP600" s="12" t="s">
        <v>3634</v>
      </c>
      <c r="BQ600" s="12" t="b">
        <v>0</v>
      </c>
      <c r="BS600" s="16" t="s">
        <v>4971</v>
      </c>
      <c r="BT600" s="12" t="b">
        <v>1</v>
      </c>
      <c r="BU600" s="12" t="s">
        <v>69</v>
      </c>
    </row>
    <row r="601">
      <c r="A601" s="12" t="s">
        <v>4975</v>
      </c>
      <c r="B601" s="12" t="s">
        <v>54</v>
      </c>
      <c r="C601" s="14">
        <v>46052.0</v>
      </c>
      <c r="D601" s="12" t="s">
        <v>4977</v>
      </c>
      <c r="E601" s="12" t="s">
        <v>4979</v>
      </c>
      <c r="F601" s="12" t="s">
        <v>4981</v>
      </c>
      <c r="BP601" s="12" t="s">
        <v>4984</v>
      </c>
      <c r="BQ601" s="12" t="b">
        <v>0</v>
      </c>
      <c r="BT601" s="12" t="b">
        <v>0</v>
      </c>
      <c r="BU601" s="12" t="s">
        <v>69</v>
      </c>
    </row>
    <row r="602">
      <c r="A602" s="12" t="s">
        <v>3442</v>
      </c>
      <c r="B602" s="12" t="s">
        <v>54</v>
      </c>
      <c r="C602" s="14">
        <v>46053.0</v>
      </c>
      <c r="D602" s="12" t="s">
        <v>182</v>
      </c>
      <c r="E602" s="12" t="s">
        <v>3643</v>
      </c>
      <c r="F602" s="12" t="s">
        <v>2540</v>
      </c>
      <c r="BP602" s="12" t="s">
        <v>3645</v>
      </c>
      <c r="BQ602" s="12" t="b">
        <v>0</v>
      </c>
      <c r="BS602" s="16" t="s">
        <v>4994</v>
      </c>
      <c r="BT602" s="12" t="b">
        <v>1</v>
      </c>
      <c r="BU602" s="12" t="s">
        <v>69</v>
      </c>
    </row>
    <row r="603">
      <c r="A603" s="12" t="s">
        <v>3446</v>
      </c>
      <c r="B603" s="12" t="s">
        <v>54</v>
      </c>
      <c r="C603" s="14">
        <v>46054.0</v>
      </c>
      <c r="D603" s="12" t="s">
        <v>77</v>
      </c>
      <c r="E603" s="12" t="s">
        <v>3649</v>
      </c>
      <c r="F603" s="12" t="s">
        <v>186</v>
      </c>
      <c r="BP603" s="12" t="s">
        <v>3650</v>
      </c>
      <c r="BQ603" s="12" t="b">
        <v>0</v>
      </c>
      <c r="BS603" s="16" t="s">
        <v>5002</v>
      </c>
      <c r="BT603" s="12" t="b">
        <v>1</v>
      </c>
      <c r="BU603" s="12" t="s">
        <v>69</v>
      </c>
    </row>
    <row r="604">
      <c r="A604" s="12">
        <v>1347.0</v>
      </c>
      <c r="B604" s="12" t="s">
        <v>54</v>
      </c>
      <c r="C604" s="19">
        <v>46054.0</v>
      </c>
      <c r="F604" s="12" t="s">
        <v>1644</v>
      </c>
      <c r="G604" s="12" t="s">
        <v>1196</v>
      </c>
      <c r="H604" s="12">
        <v>1.0</v>
      </c>
      <c r="I604" s="17">
        <v>3500.0</v>
      </c>
      <c r="J604" s="17">
        <v>3500.0</v>
      </c>
      <c r="BO604" s="17">
        <v>3500.0</v>
      </c>
      <c r="BR604" s="17">
        <v>3500.0</v>
      </c>
      <c r="BU604" s="12" t="s">
        <v>191</v>
      </c>
      <c r="BV604" s="12" t="s">
        <v>727</v>
      </c>
    </row>
    <row r="605">
      <c r="A605" s="12">
        <v>1348.0</v>
      </c>
      <c r="B605" s="12" t="s">
        <v>54</v>
      </c>
      <c r="C605" s="19">
        <v>46054.0</v>
      </c>
      <c r="F605" s="12" t="s">
        <v>1884</v>
      </c>
      <c r="G605" s="12" t="s">
        <v>1196</v>
      </c>
      <c r="H605" s="12">
        <v>1.0</v>
      </c>
      <c r="I605" s="17">
        <v>3683.36</v>
      </c>
      <c r="J605" s="17">
        <v>3683.36</v>
      </c>
      <c r="BO605" s="17">
        <v>3683.36</v>
      </c>
      <c r="BR605" s="17">
        <v>3683.36</v>
      </c>
      <c r="BU605" s="12" t="s">
        <v>191</v>
      </c>
      <c r="BV605" s="12" t="s">
        <v>727</v>
      </c>
    </row>
    <row r="606">
      <c r="A606" s="12">
        <v>1349.0</v>
      </c>
      <c r="B606" s="12" t="s">
        <v>54</v>
      </c>
      <c r="C606" s="19">
        <v>46054.0</v>
      </c>
      <c r="F606" s="12" t="s">
        <v>1884</v>
      </c>
      <c r="G606" s="12" t="s">
        <v>1196</v>
      </c>
      <c r="H606" s="12">
        <v>1.0</v>
      </c>
      <c r="I606" s="17">
        <v>1228.6</v>
      </c>
      <c r="J606" s="17">
        <v>1228.6</v>
      </c>
      <c r="BO606" s="17">
        <v>1228.6</v>
      </c>
      <c r="BR606" s="17">
        <v>1228.6</v>
      </c>
      <c r="BU606" s="12" t="s">
        <v>191</v>
      </c>
      <c r="BV606" s="12" t="s">
        <v>1183</v>
      </c>
    </row>
    <row r="607">
      <c r="A607" s="12">
        <v>1350.0</v>
      </c>
      <c r="B607" s="12" t="s">
        <v>54</v>
      </c>
      <c r="C607" s="19">
        <v>46054.0</v>
      </c>
      <c r="F607" s="12" t="s">
        <v>1884</v>
      </c>
      <c r="G607" s="12" t="s">
        <v>1196</v>
      </c>
      <c r="H607" s="12">
        <v>1.0</v>
      </c>
      <c r="I607" s="17">
        <v>1264.63</v>
      </c>
      <c r="J607" s="17">
        <v>1264.63</v>
      </c>
      <c r="BO607" s="17">
        <v>1264.63</v>
      </c>
      <c r="BR607" s="17">
        <v>1264.63</v>
      </c>
      <c r="BU607" s="12" t="s">
        <v>191</v>
      </c>
      <c r="BV607" s="12" t="s">
        <v>62</v>
      </c>
    </row>
    <row r="608">
      <c r="A608" s="12">
        <v>1351.0</v>
      </c>
      <c r="B608" s="12" t="s">
        <v>54</v>
      </c>
      <c r="C608" s="19">
        <v>46054.0</v>
      </c>
      <c r="F608" s="12" t="s">
        <v>1884</v>
      </c>
      <c r="G608" s="12" t="s">
        <v>1196</v>
      </c>
      <c r="H608" s="12">
        <v>1.0</v>
      </c>
      <c r="I608" s="17">
        <v>1316.27</v>
      </c>
      <c r="J608" s="17">
        <v>1316.27</v>
      </c>
      <c r="BO608" s="17">
        <v>1316.27</v>
      </c>
      <c r="BR608" s="17">
        <v>1316.27</v>
      </c>
      <c r="BU608" s="12" t="s">
        <v>191</v>
      </c>
      <c r="BV608" s="12" t="s">
        <v>78</v>
      </c>
    </row>
    <row r="609">
      <c r="A609" s="12">
        <v>1352.0</v>
      </c>
      <c r="B609" s="12" t="s">
        <v>54</v>
      </c>
      <c r="C609" s="19">
        <v>46054.0</v>
      </c>
      <c r="F609" s="12" t="s">
        <v>1884</v>
      </c>
      <c r="G609" s="12" t="s">
        <v>1196</v>
      </c>
      <c r="H609" s="12">
        <v>1.0</v>
      </c>
      <c r="I609" s="17">
        <v>1718.87</v>
      </c>
      <c r="J609" s="17">
        <v>1718.87</v>
      </c>
      <c r="BO609" s="17">
        <v>1718.87</v>
      </c>
      <c r="BR609" s="17">
        <v>1718.87</v>
      </c>
      <c r="BU609" s="12" t="s">
        <v>191</v>
      </c>
      <c r="BV609" s="12" t="s">
        <v>1900</v>
      </c>
    </row>
    <row r="610">
      <c r="A610" s="12" t="s">
        <v>3456</v>
      </c>
      <c r="B610" s="12" t="s">
        <v>54</v>
      </c>
      <c r="C610" s="14">
        <v>46055.0</v>
      </c>
      <c r="D610" s="12" t="s">
        <v>3672</v>
      </c>
      <c r="E610" s="12" t="s">
        <v>3673</v>
      </c>
      <c r="F610" s="12" t="s">
        <v>3675</v>
      </c>
      <c r="BP610" s="12" t="s">
        <v>3674</v>
      </c>
      <c r="BQ610" s="12" t="b">
        <v>0</v>
      </c>
      <c r="BS610" s="16" t="s">
        <v>5041</v>
      </c>
      <c r="BT610" s="12" t="b">
        <v>1</v>
      </c>
      <c r="BU610" s="12" t="s">
        <v>69</v>
      </c>
    </row>
    <row r="611">
      <c r="A611" s="12" t="s">
        <v>3460</v>
      </c>
      <c r="B611" s="12" t="s">
        <v>54</v>
      </c>
      <c r="C611" s="14">
        <v>46055.0</v>
      </c>
      <c r="D611" s="12" t="s">
        <v>220</v>
      </c>
      <c r="E611" s="12" t="s">
        <v>3681</v>
      </c>
      <c r="F611" s="12" t="s">
        <v>3683</v>
      </c>
      <c r="BP611" s="12" t="s">
        <v>3682</v>
      </c>
      <c r="BQ611" s="12" t="b">
        <v>0</v>
      </c>
      <c r="BS611" s="16" t="s">
        <v>5052</v>
      </c>
      <c r="BT611" s="12" t="b">
        <v>1</v>
      </c>
      <c r="BU611" s="12" t="s">
        <v>69</v>
      </c>
    </row>
    <row r="612">
      <c r="A612" s="12" t="s">
        <v>3487</v>
      </c>
      <c r="B612" s="12" t="s">
        <v>54</v>
      </c>
      <c r="C612" s="14">
        <v>46055.0</v>
      </c>
      <c r="D612" s="12" t="s">
        <v>4399</v>
      </c>
      <c r="E612" s="12" t="s">
        <v>3686</v>
      </c>
      <c r="F612" s="12" t="s">
        <v>715</v>
      </c>
      <c r="BP612" s="12" t="s">
        <v>3689</v>
      </c>
      <c r="BQ612" s="12" t="b">
        <v>0</v>
      </c>
      <c r="BT612" s="12" t="b">
        <v>0</v>
      </c>
      <c r="BU612" s="12" t="s">
        <v>69</v>
      </c>
    </row>
    <row r="613">
      <c r="A613" s="12" t="s">
        <v>5060</v>
      </c>
      <c r="B613" s="12" t="s">
        <v>54</v>
      </c>
      <c r="C613" s="14">
        <v>46055.0</v>
      </c>
      <c r="D613" s="12" t="s">
        <v>4399</v>
      </c>
      <c r="E613" s="12" t="s">
        <v>3686</v>
      </c>
      <c r="F613" s="12" t="s">
        <v>715</v>
      </c>
      <c r="BP613" s="12" t="s">
        <v>5064</v>
      </c>
      <c r="BQ613" s="12" t="b">
        <v>0</v>
      </c>
      <c r="BT613" s="12" t="b">
        <v>0</v>
      </c>
      <c r="BU613" s="12" t="s">
        <v>69</v>
      </c>
    </row>
    <row r="614">
      <c r="A614" s="12" t="s">
        <v>3504</v>
      </c>
      <c r="B614" s="12" t="s">
        <v>54</v>
      </c>
      <c r="C614" s="14">
        <v>46056.0</v>
      </c>
      <c r="D614" s="12" t="s">
        <v>375</v>
      </c>
      <c r="E614" s="12" t="s">
        <v>3694</v>
      </c>
      <c r="F614" s="12" t="s">
        <v>153</v>
      </c>
      <c r="BP614" s="12" t="s">
        <v>3695</v>
      </c>
      <c r="BQ614" s="12" t="b">
        <v>0</v>
      </c>
      <c r="BS614" s="16" t="s">
        <v>5073</v>
      </c>
      <c r="BT614" s="12" t="b">
        <v>1</v>
      </c>
      <c r="BU614" s="12" t="s">
        <v>1784</v>
      </c>
    </row>
    <row r="615">
      <c r="A615" s="12" t="s">
        <v>3429</v>
      </c>
      <c r="B615" s="12" t="s">
        <v>54</v>
      </c>
      <c r="C615" s="14">
        <v>46050.0</v>
      </c>
      <c r="D615" s="12" t="s">
        <v>182</v>
      </c>
      <c r="E615" s="12" t="s">
        <v>3699</v>
      </c>
      <c r="F615" s="12" t="s">
        <v>1529</v>
      </c>
      <c r="BP615" s="12" t="s">
        <v>3700</v>
      </c>
      <c r="BQ615" s="12" t="b">
        <v>0</v>
      </c>
      <c r="BS615" s="16" t="s">
        <v>5078</v>
      </c>
      <c r="BT615" s="12" t="b">
        <v>1</v>
      </c>
      <c r="BU615" s="12" t="s">
        <v>69</v>
      </c>
    </row>
    <row r="616">
      <c r="A616" s="12" t="s">
        <v>3522</v>
      </c>
      <c r="B616" s="12" t="s">
        <v>54</v>
      </c>
      <c r="C616" s="14">
        <v>46056.0</v>
      </c>
      <c r="D616" s="12" t="s">
        <v>556</v>
      </c>
      <c r="E616" s="12" t="s">
        <v>3706</v>
      </c>
      <c r="F616" s="12" t="s">
        <v>687</v>
      </c>
      <c r="BP616" s="12" t="s">
        <v>3707</v>
      </c>
      <c r="BQ616" s="12" t="b">
        <v>0</v>
      </c>
      <c r="BS616" s="16" t="s">
        <v>5086</v>
      </c>
      <c r="BT616" s="12" t="b">
        <v>1</v>
      </c>
      <c r="BU616" s="12" t="s">
        <v>69</v>
      </c>
    </row>
    <row r="617">
      <c r="A617" s="12" t="s">
        <v>2325</v>
      </c>
      <c r="B617" s="12" t="s">
        <v>54</v>
      </c>
      <c r="C617" s="19">
        <v>46056.0</v>
      </c>
      <c r="D617" s="12" t="s">
        <v>156</v>
      </c>
      <c r="F617" s="12" t="s">
        <v>3711</v>
      </c>
      <c r="G617" s="12" t="s">
        <v>2326</v>
      </c>
      <c r="H617" s="12">
        <v>1.0</v>
      </c>
      <c r="I617" s="17">
        <v>16.75</v>
      </c>
      <c r="J617" s="17">
        <v>16.75</v>
      </c>
      <c r="BO617" s="17">
        <v>16.75</v>
      </c>
      <c r="BR617" s="17">
        <v>16.75</v>
      </c>
      <c r="BU617" s="12" t="s">
        <v>621</v>
      </c>
    </row>
    <row r="618">
      <c r="A618" s="12" t="s">
        <v>3531</v>
      </c>
      <c r="B618" s="12" t="s">
        <v>54</v>
      </c>
      <c r="C618" s="14">
        <v>46057.0</v>
      </c>
      <c r="D618" s="12" t="s">
        <v>175</v>
      </c>
      <c r="E618" s="12" t="s">
        <v>3713</v>
      </c>
      <c r="F618" s="12" t="s">
        <v>3715</v>
      </c>
      <c r="BP618" s="12" t="s">
        <v>3714</v>
      </c>
      <c r="BQ618" s="12" t="b">
        <v>0</v>
      </c>
      <c r="BS618" s="16" t="s">
        <v>5099</v>
      </c>
      <c r="BT618" s="12" t="b">
        <v>1</v>
      </c>
      <c r="BU618" s="12" t="s">
        <v>69</v>
      </c>
    </row>
    <row r="619">
      <c r="A619" s="12" t="s">
        <v>3542</v>
      </c>
      <c r="B619" s="12" t="s">
        <v>54</v>
      </c>
      <c r="C619" s="14">
        <v>46057.0</v>
      </c>
      <c r="D619" s="12" t="s">
        <v>1371</v>
      </c>
      <c r="E619" s="12" t="s">
        <v>3719</v>
      </c>
      <c r="F619" s="12" t="s">
        <v>3715</v>
      </c>
      <c r="BP619" s="12" t="s">
        <v>3721</v>
      </c>
      <c r="BQ619" s="12" t="b">
        <v>0</v>
      </c>
      <c r="BS619" s="16" t="s">
        <v>5109</v>
      </c>
      <c r="BT619" s="12" t="b">
        <v>1</v>
      </c>
      <c r="BU619" s="12" t="s">
        <v>69</v>
      </c>
    </row>
    <row r="620">
      <c r="A620" s="12" t="s">
        <v>3494</v>
      </c>
      <c r="B620" s="12" t="s">
        <v>54</v>
      </c>
      <c r="C620" s="14">
        <v>46055.0</v>
      </c>
      <c r="D620" s="12" t="s">
        <v>156</v>
      </c>
      <c r="E620" s="12" t="s">
        <v>3726</v>
      </c>
      <c r="F620" s="12" t="s">
        <v>3280</v>
      </c>
      <c r="BP620" s="12" t="s">
        <v>3727</v>
      </c>
      <c r="BQ620" s="12" t="b">
        <v>0</v>
      </c>
      <c r="BT620" s="12" t="b">
        <v>0</v>
      </c>
      <c r="BU620" s="12" t="s">
        <v>69</v>
      </c>
      <c r="BW620" s="12" t="s">
        <v>3728</v>
      </c>
    </row>
    <row r="621">
      <c r="A621" s="12" t="s">
        <v>2329</v>
      </c>
      <c r="B621" s="12" t="s">
        <v>54</v>
      </c>
      <c r="C621" s="19">
        <v>46057.0</v>
      </c>
      <c r="F621" s="12" t="s">
        <v>1112</v>
      </c>
      <c r="G621" s="12" t="s">
        <v>1113</v>
      </c>
      <c r="H621" s="12">
        <v>1.0</v>
      </c>
      <c r="I621" s="17">
        <v>50.0</v>
      </c>
      <c r="J621" s="17">
        <v>50.0</v>
      </c>
      <c r="BO621" s="17">
        <v>50.0</v>
      </c>
      <c r="BR621" s="17">
        <v>50.0</v>
      </c>
      <c r="BU621" s="12" t="s">
        <v>191</v>
      </c>
      <c r="BV621" s="12" t="s">
        <v>62</v>
      </c>
    </row>
    <row r="622">
      <c r="A622" s="12" t="s">
        <v>5122</v>
      </c>
      <c r="B622" s="12" t="s">
        <v>54</v>
      </c>
      <c r="C622" s="14">
        <v>46059.0</v>
      </c>
      <c r="D622" s="12" t="s">
        <v>418</v>
      </c>
      <c r="E622" s="12" t="s">
        <v>5124</v>
      </c>
      <c r="F622" s="12" t="s">
        <v>423</v>
      </c>
      <c r="BP622" s="12" t="s">
        <v>5127</v>
      </c>
      <c r="BQ622" s="12" t="b">
        <v>0</v>
      </c>
      <c r="BT622" s="12" t="b">
        <v>0</v>
      </c>
      <c r="BU622" s="12" t="s">
        <v>69</v>
      </c>
    </row>
    <row r="623">
      <c r="A623" s="12" t="s">
        <v>3577</v>
      </c>
      <c r="B623" s="12" t="s">
        <v>54</v>
      </c>
      <c r="C623" s="14">
        <v>46059.0</v>
      </c>
      <c r="D623" s="12" t="s">
        <v>435</v>
      </c>
      <c r="E623" s="12" t="s">
        <v>3735</v>
      </c>
      <c r="F623" s="12" t="s">
        <v>3739</v>
      </c>
      <c r="BP623" s="12" t="s">
        <v>3737</v>
      </c>
      <c r="BQ623" s="12" t="b">
        <v>0</v>
      </c>
      <c r="BS623" s="16" t="s">
        <v>5135</v>
      </c>
      <c r="BT623" s="12" t="b">
        <v>1</v>
      </c>
      <c r="BU623" s="12" t="s">
        <v>69</v>
      </c>
    </row>
    <row r="624">
      <c r="A624" s="12" t="s">
        <v>3573</v>
      </c>
      <c r="B624" s="12" t="s">
        <v>54</v>
      </c>
      <c r="C624" s="14">
        <v>46059.0</v>
      </c>
      <c r="D624" s="12" t="s">
        <v>220</v>
      </c>
      <c r="E624" s="12" t="s">
        <v>3743</v>
      </c>
      <c r="F624" s="12" t="s">
        <v>3276</v>
      </c>
      <c r="BP624" s="12" t="s">
        <v>3744</v>
      </c>
      <c r="BQ624" s="12" t="b">
        <v>0</v>
      </c>
      <c r="BS624" s="16" t="s">
        <v>5141</v>
      </c>
      <c r="BT624" s="12" t="b">
        <v>1</v>
      </c>
      <c r="BU624" s="12" t="s">
        <v>69</v>
      </c>
    </row>
    <row r="625">
      <c r="A625" s="12" t="s">
        <v>3550</v>
      </c>
      <c r="B625" s="12" t="s">
        <v>54</v>
      </c>
      <c r="C625" s="14">
        <v>46058.0</v>
      </c>
      <c r="D625" s="12" t="s">
        <v>220</v>
      </c>
      <c r="E625" s="12" t="s">
        <v>3750</v>
      </c>
      <c r="F625" s="12" t="s">
        <v>3753</v>
      </c>
      <c r="BP625" s="12" t="s">
        <v>3752</v>
      </c>
      <c r="BQ625" s="12" t="b">
        <v>0</v>
      </c>
      <c r="BS625" s="16" t="s">
        <v>5147</v>
      </c>
      <c r="BT625" s="12" t="b">
        <v>1</v>
      </c>
      <c r="BU625" s="12" t="s">
        <v>69</v>
      </c>
    </row>
    <row r="626">
      <c r="A626" s="12" t="s">
        <v>3588</v>
      </c>
      <c r="B626" s="12" t="s">
        <v>54</v>
      </c>
      <c r="C626" s="14">
        <v>46059.0</v>
      </c>
      <c r="D626" s="12" t="s">
        <v>182</v>
      </c>
      <c r="E626" s="12" t="s">
        <v>3756</v>
      </c>
      <c r="F626" s="12" t="s">
        <v>2814</v>
      </c>
      <c r="BP626" s="12" t="s">
        <v>3757</v>
      </c>
      <c r="BQ626" s="12" t="b">
        <v>0</v>
      </c>
      <c r="BS626" s="16" t="s">
        <v>5150</v>
      </c>
      <c r="BT626" s="12" t="b">
        <v>1</v>
      </c>
      <c r="BU626" s="12" t="s">
        <v>69</v>
      </c>
    </row>
    <row r="627">
      <c r="A627" s="12" t="s">
        <v>3594</v>
      </c>
      <c r="B627" s="12" t="s">
        <v>54</v>
      </c>
      <c r="C627" s="14">
        <v>46060.0</v>
      </c>
      <c r="D627" s="12" t="s">
        <v>182</v>
      </c>
      <c r="E627" s="12" t="s">
        <v>3760</v>
      </c>
      <c r="F627" s="12" t="s">
        <v>3763</v>
      </c>
      <c r="BP627" s="12" t="s">
        <v>3762</v>
      </c>
      <c r="BQ627" s="12" t="b">
        <v>0</v>
      </c>
      <c r="BS627" s="16" t="s">
        <v>5156</v>
      </c>
      <c r="BT627" s="12" t="b">
        <v>1</v>
      </c>
      <c r="BU627" s="12" t="s">
        <v>69</v>
      </c>
    </row>
    <row r="628">
      <c r="A628" s="12">
        <v>1362.0</v>
      </c>
      <c r="B628" s="12" t="s">
        <v>54</v>
      </c>
      <c r="C628" s="19">
        <v>46061.0</v>
      </c>
      <c r="D628" s="12" t="s">
        <v>848</v>
      </c>
      <c r="F628" s="12" t="s">
        <v>1226</v>
      </c>
      <c r="G628" s="12" t="s">
        <v>852</v>
      </c>
      <c r="H628" s="12">
        <v>1.0</v>
      </c>
      <c r="I628" s="17">
        <v>4000.0</v>
      </c>
      <c r="J628" s="17">
        <v>4000.0</v>
      </c>
      <c r="BO628" s="17">
        <v>4000.0</v>
      </c>
      <c r="BR628" s="17">
        <v>4000.0</v>
      </c>
      <c r="BU628" s="12" t="s">
        <v>621</v>
      </c>
    </row>
    <row r="629">
      <c r="A629" s="12">
        <v>1366.0</v>
      </c>
      <c r="B629" s="12" t="s">
        <v>54</v>
      </c>
      <c r="C629" s="19">
        <v>46061.0</v>
      </c>
      <c r="D629" s="12" t="s">
        <v>1668</v>
      </c>
      <c r="F629" s="12" t="s">
        <v>1671</v>
      </c>
      <c r="G629" s="12" t="s">
        <v>874</v>
      </c>
      <c r="H629" s="12">
        <v>1.0</v>
      </c>
      <c r="I629" s="17">
        <v>125.0</v>
      </c>
      <c r="J629" s="17">
        <v>125.0</v>
      </c>
      <c r="BO629" s="17">
        <v>125.0</v>
      </c>
      <c r="BR629" s="17">
        <v>125.0</v>
      </c>
      <c r="BU629" s="12" t="s">
        <v>621</v>
      </c>
    </row>
    <row r="630">
      <c r="A630" s="12">
        <v>1368.0</v>
      </c>
      <c r="B630" s="12" t="s">
        <v>54</v>
      </c>
      <c r="C630" s="19">
        <v>46061.0</v>
      </c>
      <c r="D630" s="12" t="s">
        <v>897</v>
      </c>
      <c r="F630" s="12" t="s">
        <v>909</v>
      </c>
      <c r="G630" s="12" t="s">
        <v>911</v>
      </c>
      <c r="H630" s="12">
        <v>1.0</v>
      </c>
      <c r="I630" s="17">
        <v>0.0</v>
      </c>
      <c r="J630" s="17">
        <v>0.0</v>
      </c>
      <c r="BO630" s="17">
        <v>0.0</v>
      </c>
      <c r="BR630" s="17">
        <v>0.0</v>
      </c>
      <c r="BU630" s="12" t="s">
        <v>621</v>
      </c>
    </row>
    <row r="631">
      <c r="A631" s="12">
        <v>1369.0</v>
      </c>
      <c r="B631" s="12" t="s">
        <v>54</v>
      </c>
      <c r="C631" s="19">
        <v>46061.0</v>
      </c>
      <c r="D631" s="12" t="s">
        <v>933</v>
      </c>
      <c r="F631" s="12" t="s">
        <v>1346</v>
      </c>
      <c r="G631" s="12" t="s">
        <v>936</v>
      </c>
      <c r="H631" s="12">
        <v>1.0</v>
      </c>
      <c r="I631" s="17">
        <v>533.95</v>
      </c>
      <c r="J631" s="17">
        <v>533.95</v>
      </c>
      <c r="BO631" s="17">
        <v>533.95</v>
      </c>
      <c r="BR631" s="17">
        <v>533.95</v>
      </c>
      <c r="BU631" s="12" t="s">
        <v>621</v>
      </c>
    </row>
    <row r="632">
      <c r="A632" s="12" t="s">
        <v>3597</v>
      </c>
      <c r="B632" s="12" t="s">
        <v>54</v>
      </c>
      <c r="C632" s="14">
        <v>46062.0</v>
      </c>
      <c r="D632" s="12" t="s">
        <v>58</v>
      </c>
      <c r="E632" s="12" t="s">
        <v>3776</v>
      </c>
      <c r="F632" s="12" t="s">
        <v>3778</v>
      </c>
      <c r="BP632" s="12" t="s">
        <v>3777</v>
      </c>
      <c r="BQ632" s="12" t="b">
        <v>0</v>
      </c>
      <c r="BS632" s="16" t="s">
        <v>5187</v>
      </c>
      <c r="BT632" s="12" t="b">
        <v>1</v>
      </c>
      <c r="BU632" s="12" t="s">
        <v>69</v>
      </c>
    </row>
    <row r="633">
      <c r="A633" s="12" t="s">
        <v>3604</v>
      </c>
      <c r="B633" s="12" t="s">
        <v>54</v>
      </c>
      <c r="C633" s="14">
        <v>46062.0</v>
      </c>
      <c r="D633" s="12" t="s">
        <v>375</v>
      </c>
      <c r="E633" s="12" t="s">
        <v>3781</v>
      </c>
      <c r="F633" s="12" t="s">
        <v>153</v>
      </c>
      <c r="BP633" s="12" t="s">
        <v>3782</v>
      </c>
      <c r="BQ633" s="12" t="b">
        <v>0</v>
      </c>
      <c r="BS633" s="16" t="s">
        <v>5196</v>
      </c>
      <c r="BT633" s="12" t="b">
        <v>1</v>
      </c>
      <c r="BU633" s="12" t="s">
        <v>69</v>
      </c>
    </row>
    <row r="634">
      <c r="A634" s="12" t="s">
        <v>3611</v>
      </c>
      <c r="B634" s="12" t="s">
        <v>54</v>
      </c>
      <c r="C634" s="14">
        <v>46062.0</v>
      </c>
      <c r="D634" s="12" t="s">
        <v>190</v>
      </c>
      <c r="E634" s="12" t="s">
        <v>3785</v>
      </c>
      <c r="F634" s="12" t="s">
        <v>328</v>
      </c>
      <c r="BP634" s="12" t="s">
        <v>3786</v>
      </c>
      <c r="BQ634" s="12" t="b">
        <v>0</v>
      </c>
      <c r="BS634" s="16" t="s">
        <v>5204</v>
      </c>
      <c r="BT634" s="12" t="b">
        <v>1</v>
      </c>
      <c r="BU634" s="12" t="s">
        <v>69</v>
      </c>
    </row>
    <row r="635">
      <c r="A635" s="12" t="s">
        <v>3559</v>
      </c>
      <c r="B635" s="12" t="s">
        <v>54</v>
      </c>
      <c r="C635" s="14">
        <v>46058.0</v>
      </c>
      <c r="D635" s="12" t="s">
        <v>156</v>
      </c>
      <c r="E635" s="12" t="s">
        <v>3789</v>
      </c>
      <c r="F635" s="12" t="s">
        <v>3539</v>
      </c>
      <c r="BP635" s="12" t="s">
        <v>3791</v>
      </c>
      <c r="BQ635" s="12" t="b">
        <v>0</v>
      </c>
      <c r="BT635" s="12" t="b">
        <v>0</v>
      </c>
      <c r="BU635" s="12" t="s">
        <v>69</v>
      </c>
    </row>
    <row r="636">
      <c r="A636" s="12" t="s">
        <v>5213</v>
      </c>
      <c r="B636" s="12" t="s">
        <v>54</v>
      </c>
      <c r="C636" s="14">
        <v>46055.0</v>
      </c>
      <c r="D636" s="12" t="s">
        <v>4399</v>
      </c>
      <c r="E636" s="12" t="s">
        <v>3686</v>
      </c>
      <c r="F636" s="12" t="s">
        <v>715</v>
      </c>
      <c r="BP636" s="12" t="s">
        <v>5217</v>
      </c>
      <c r="BQ636" s="12" t="b">
        <v>0</v>
      </c>
      <c r="BT636" s="12" t="b">
        <v>0</v>
      </c>
      <c r="BU636" s="12" t="s">
        <v>69</v>
      </c>
    </row>
    <row r="637">
      <c r="A637" s="12" t="s">
        <v>3546</v>
      </c>
      <c r="B637" s="12" t="s">
        <v>54</v>
      </c>
      <c r="C637" s="14">
        <v>46057.0</v>
      </c>
      <c r="D637" s="12" t="s">
        <v>556</v>
      </c>
      <c r="E637" s="12" t="s">
        <v>3799</v>
      </c>
      <c r="F637" s="12" t="s">
        <v>859</v>
      </c>
      <c r="BP637" s="12" t="s">
        <v>3800</v>
      </c>
      <c r="BQ637" s="12" t="b">
        <v>0</v>
      </c>
      <c r="BS637" s="16" t="s">
        <v>5224</v>
      </c>
      <c r="BT637" s="12" t="b">
        <v>1</v>
      </c>
      <c r="BU637" s="12" t="s">
        <v>69</v>
      </c>
    </row>
    <row r="638">
      <c r="A638" s="12" t="s">
        <v>3642</v>
      </c>
      <c r="B638" s="12" t="s">
        <v>54</v>
      </c>
      <c r="C638" s="14">
        <v>46063.0</v>
      </c>
      <c r="D638" s="12" t="s">
        <v>355</v>
      </c>
      <c r="E638" s="12" t="s">
        <v>3805</v>
      </c>
      <c r="F638" s="12" t="s">
        <v>1761</v>
      </c>
      <c r="BP638" s="12" t="s">
        <v>3806</v>
      </c>
      <c r="BQ638" s="12" t="b">
        <v>0</v>
      </c>
      <c r="BS638" s="16" t="s">
        <v>5230</v>
      </c>
      <c r="BT638" s="12" t="b">
        <v>1</v>
      </c>
      <c r="BU638" s="12" t="s">
        <v>69</v>
      </c>
    </row>
    <row r="639">
      <c r="A639" s="12" t="s">
        <v>3655</v>
      </c>
      <c r="B639" s="12" t="s">
        <v>54</v>
      </c>
      <c r="C639" s="14">
        <v>46063.0</v>
      </c>
      <c r="D639" s="12" t="s">
        <v>220</v>
      </c>
      <c r="E639" s="12" t="s">
        <v>3813</v>
      </c>
      <c r="F639" s="12" t="s">
        <v>1529</v>
      </c>
      <c r="BP639" s="12" t="s">
        <v>3814</v>
      </c>
      <c r="BQ639" s="12" t="b">
        <v>0</v>
      </c>
      <c r="BS639" s="16" t="s">
        <v>5236</v>
      </c>
      <c r="BT639" s="12" t="b">
        <v>1</v>
      </c>
      <c r="BU639" s="12" t="s">
        <v>69</v>
      </c>
    </row>
    <row r="640">
      <c r="A640" s="12" t="s">
        <v>3616</v>
      </c>
      <c r="B640" s="12" t="s">
        <v>54</v>
      </c>
      <c r="C640" s="14">
        <v>46062.0</v>
      </c>
      <c r="D640" s="12" t="s">
        <v>220</v>
      </c>
      <c r="E640" s="12" t="s">
        <v>3821</v>
      </c>
      <c r="F640" s="12" t="s">
        <v>2999</v>
      </c>
      <c r="BP640" s="12" t="s">
        <v>3823</v>
      </c>
      <c r="BQ640" s="12" t="b">
        <v>0</v>
      </c>
      <c r="BS640" s="16" t="s">
        <v>5242</v>
      </c>
      <c r="BT640" s="12" t="b">
        <v>1</v>
      </c>
      <c r="BU640" s="12" t="s">
        <v>69</v>
      </c>
    </row>
    <row r="641">
      <c r="A641" s="12" t="s">
        <v>3660</v>
      </c>
      <c r="B641" s="12" t="s">
        <v>54</v>
      </c>
      <c r="C641" s="14">
        <v>46063.0</v>
      </c>
      <c r="D641" s="12" t="s">
        <v>175</v>
      </c>
      <c r="E641" s="12" t="s">
        <v>3828</v>
      </c>
      <c r="F641" s="12" t="s">
        <v>2999</v>
      </c>
      <c r="BP641" s="12" t="s">
        <v>3829</v>
      </c>
      <c r="BQ641" s="12" t="b">
        <v>0</v>
      </c>
      <c r="BS641" s="16" t="s">
        <v>5248</v>
      </c>
      <c r="BT641" s="12" t="b">
        <v>1</v>
      </c>
      <c r="BU641" s="12" t="s">
        <v>69</v>
      </c>
    </row>
    <row r="642">
      <c r="A642" s="12" t="s">
        <v>3563</v>
      </c>
      <c r="B642" s="12" t="s">
        <v>54</v>
      </c>
      <c r="C642" s="14">
        <v>46058.0</v>
      </c>
      <c r="D642" s="12" t="s">
        <v>156</v>
      </c>
      <c r="E642" s="12" t="s">
        <v>3833</v>
      </c>
      <c r="F642" s="12" t="s">
        <v>254</v>
      </c>
      <c r="BP642" s="12" t="s">
        <v>3834</v>
      </c>
      <c r="BQ642" s="12" t="b">
        <v>0</v>
      </c>
      <c r="BT642" s="12" t="b">
        <v>0</v>
      </c>
      <c r="BU642" s="12" t="s">
        <v>69</v>
      </c>
    </row>
    <row r="643">
      <c r="A643" s="12" t="s">
        <v>3669</v>
      </c>
      <c r="B643" s="12" t="s">
        <v>54</v>
      </c>
      <c r="C643" s="14">
        <v>46064.0</v>
      </c>
      <c r="D643" s="12" t="s">
        <v>220</v>
      </c>
      <c r="E643" s="12" t="s">
        <v>3838</v>
      </c>
      <c r="F643" s="12" t="s">
        <v>3841</v>
      </c>
      <c r="BP643" s="12" t="s">
        <v>3840</v>
      </c>
      <c r="BQ643" s="12" t="b">
        <v>0</v>
      </c>
      <c r="BS643" s="16" t="s">
        <v>5261</v>
      </c>
      <c r="BT643" s="12" t="b">
        <v>1</v>
      </c>
      <c r="BU643" s="12" t="s">
        <v>69</v>
      </c>
    </row>
    <row r="644">
      <c r="A644" s="12" t="s">
        <v>2342</v>
      </c>
      <c r="B644" s="12" t="s">
        <v>54</v>
      </c>
      <c r="C644" s="19">
        <v>46064.0</v>
      </c>
      <c r="D644" s="12" t="s">
        <v>933</v>
      </c>
      <c r="F644" s="12" t="s">
        <v>3847</v>
      </c>
      <c r="G644" s="12" t="s">
        <v>2343</v>
      </c>
      <c r="H644" s="12">
        <v>1.0</v>
      </c>
      <c r="I644" s="17">
        <v>957.0</v>
      </c>
      <c r="J644" s="17">
        <v>957.0</v>
      </c>
      <c r="BO644" s="17">
        <v>957.0</v>
      </c>
      <c r="BR644" s="17">
        <v>957.0</v>
      </c>
      <c r="BU644" s="12" t="s">
        <v>621</v>
      </c>
    </row>
    <row r="645">
      <c r="A645" s="12" t="s">
        <v>3677</v>
      </c>
      <c r="B645" s="12" t="s">
        <v>54</v>
      </c>
      <c r="C645" s="14">
        <v>46065.0</v>
      </c>
      <c r="D645" s="12" t="s">
        <v>190</v>
      </c>
      <c r="E645" s="12" t="s">
        <v>3850</v>
      </c>
      <c r="F645" s="12" t="s">
        <v>3853</v>
      </c>
      <c r="BP645" s="12" t="s">
        <v>3852</v>
      </c>
      <c r="BQ645" s="12" t="b">
        <v>0</v>
      </c>
      <c r="BS645" s="16" t="s">
        <v>5275</v>
      </c>
      <c r="BT645" s="12" t="b">
        <v>1</v>
      </c>
      <c r="BU645" s="12" t="s">
        <v>69</v>
      </c>
    </row>
    <row r="646">
      <c r="A646" s="12" t="s">
        <v>3679</v>
      </c>
      <c r="B646" s="12" t="s">
        <v>54</v>
      </c>
      <c r="C646" s="14">
        <v>46065.0</v>
      </c>
      <c r="D646" s="12" t="s">
        <v>220</v>
      </c>
      <c r="E646" s="12" t="s">
        <v>3858</v>
      </c>
      <c r="F646" s="12" t="s">
        <v>3860</v>
      </c>
      <c r="BP646" s="12" t="s">
        <v>3859</v>
      </c>
      <c r="BQ646" s="12" t="b">
        <v>0</v>
      </c>
      <c r="BS646" s="16" t="s">
        <v>5283</v>
      </c>
      <c r="BT646" s="12" t="b">
        <v>1</v>
      </c>
      <c r="BU646" s="12" t="s">
        <v>69</v>
      </c>
    </row>
    <row r="647">
      <c r="A647" s="12" t="s">
        <v>3703</v>
      </c>
      <c r="B647" s="12" t="s">
        <v>54</v>
      </c>
      <c r="C647" s="14">
        <v>46065.0</v>
      </c>
      <c r="D647" s="12" t="s">
        <v>220</v>
      </c>
      <c r="E647" s="12" t="s">
        <v>3863</v>
      </c>
      <c r="F647" s="12" t="s">
        <v>3865</v>
      </c>
      <c r="BP647" s="12" t="s">
        <v>3864</v>
      </c>
      <c r="BQ647" s="12" t="b">
        <v>0</v>
      </c>
      <c r="BS647" s="16" t="s">
        <v>5292</v>
      </c>
      <c r="BT647" s="12" t="b">
        <v>1</v>
      </c>
      <c r="BU647" s="12" t="s">
        <v>69</v>
      </c>
    </row>
    <row r="648">
      <c r="A648" s="12" t="s">
        <v>3705</v>
      </c>
      <c r="B648" s="12" t="s">
        <v>54</v>
      </c>
      <c r="C648" s="14">
        <v>46066.0</v>
      </c>
      <c r="D648" s="12" t="s">
        <v>375</v>
      </c>
      <c r="E648" s="12" t="s">
        <v>3871</v>
      </c>
      <c r="F648" s="12" t="s">
        <v>1778</v>
      </c>
      <c r="BP648" s="12" t="s">
        <v>3873</v>
      </c>
      <c r="BQ648" s="12" t="b">
        <v>0</v>
      </c>
      <c r="BS648" s="16" t="s">
        <v>5301</v>
      </c>
      <c r="BT648" s="12" t="b">
        <v>1</v>
      </c>
      <c r="BU648" s="12" t="s">
        <v>69</v>
      </c>
    </row>
    <row r="649">
      <c r="A649" s="12">
        <v>1374.0</v>
      </c>
      <c r="B649" s="12" t="s">
        <v>54</v>
      </c>
      <c r="C649" s="19">
        <v>46066.0</v>
      </c>
      <c r="D649" s="12" t="s">
        <v>689</v>
      </c>
      <c r="F649" s="12" t="s">
        <v>959</v>
      </c>
      <c r="G649" s="12" t="s">
        <v>693</v>
      </c>
      <c r="H649" s="12">
        <v>1.0</v>
      </c>
      <c r="I649" s="17">
        <v>5000.0</v>
      </c>
      <c r="J649" s="17">
        <v>5000.0</v>
      </c>
      <c r="BO649" s="17">
        <v>5000.0</v>
      </c>
      <c r="BR649" s="17">
        <v>5000.0</v>
      </c>
      <c r="BU649" s="12" t="s">
        <v>621</v>
      </c>
    </row>
    <row r="650">
      <c r="A650" s="12">
        <v>1382.0</v>
      </c>
      <c r="B650" s="12" t="s">
        <v>54</v>
      </c>
      <c r="C650" s="19">
        <v>46066.0</v>
      </c>
      <c r="D650" s="12" t="s">
        <v>1067</v>
      </c>
      <c r="F650" s="12" t="s">
        <v>1068</v>
      </c>
      <c r="G650" s="12" t="s">
        <v>741</v>
      </c>
      <c r="H650" s="12">
        <v>1.0</v>
      </c>
      <c r="I650" s="17">
        <v>851.18</v>
      </c>
      <c r="J650" s="17">
        <v>851.18</v>
      </c>
      <c r="BO650" s="17">
        <v>851.18</v>
      </c>
      <c r="BR650" s="17">
        <v>851.18</v>
      </c>
      <c r="BU650" s="12" t="s">
        <v>621</v>
      </c>
    </row>
    <row r="651">
      <c r="A651" s="12" t="s">
        <v>3717</v>
      </c>
      <c r="B651" s="12" t="s">
        <v>54</v>
      </c>
      <c r="C651" s="14">
        <v>46069.0</v>
      </c>
      <c r="D651" s="12" t="s">
        <v>220</v>
      </c>
      <c r="E651" s="12" t="s">
        <v>3881</v>
      </c>
      <c r="F651" s="12" t="s">
        <v>2999</v>
      </c>
      <c r="BP651" s="12" t="s">
        <v>3883</v>
      </c>
      <c r="BQ651" s="12" t="b">
        <v>0</v>
      </c>
      <c r="BS651" s="16" t="s">
        <v>5317</v>
      </c>
      <c r="BT651" s="12" t="b">
        <v>1</v>
      </c>
      <c r="BU651" s="12" t="s">
        <v>69</v>
      </c>
    </row>
    <row r="652">
      <c r="A652" s="12" t="s">
        <v>3747</v>
      </c>
      <c r="B652" s="12" t="s">
        <v>54</v>
      </c>
      <c r="C652" s="14">
        <v>46070.0</v>
      </c>
      <c r="D652" s="12" t="s">
        <v>3887</v>
      </c>
      <c r="E652" s="12" t="s">
        <v>3888</v>
      </c>
      <c r="F652" s="12" t="s">
        <v>3890</v>
      </c>
      <c r="BP652" s="12" t="s">
        <v>3889</v>
      </c>
      <c r="BQ652" s="12" t="b">
        <v>0</v>
      </c>
      <c r="BS652" s="16" t="s">
        <v>5321</v>
      </c>
      <c r="BT652" s="12" t="b">
        <v>1</v>
      </c>
      <c r="BU652" s="12" t="s">
        <v>69</v>
      </c>
    </row>
    <row r="653">
      <c r="A653" s="12">
        <v>1380.0</v>
      </c>
      <c r="B653" s="12" t="s">
        <v>54</v>
      </c>
      <c r="C653" s="19">
        <v>46070.0</v>
      </c>
      <c r="D653" s="12" t="s">
        <v>933</v>
      </c>
      <c r="F653" s="12" t="s">
        <v>1494</v>
      </c>
      <c r="G653" s="12" t="s">
        <v>1040</v>
      </c>
      <c r="H653" s="12">
        <v>1.0</v>
      </c>
      <c r="I653" s="17">
        <v>9636.43</v>
      </c>
      <c r="J653" s="17">
        <v>9636.43</v>
      </c>
      <c r="BO653" s="17">
        <v>9636.43</v>
      </c>
      <c r="BR653" s="17">
        <v>9636.43</v>
      </c>
      <c r="BU653" s="12" t="s">
        <v>621</v>
      </c>
    </row>
    <row r="654">
      <c r="A654" s="12">
        <v>1381.0</v>
      </c>
      <c r="B654" s="12" t="s">
        <v>54</v>
      </c>
      <c r="C654" s="19">
        <v>46070.0</v>
      </c>
      <c r="D654" s="12" t="s">
        <v>734</v>
      </c>
      <c r="F654" s="12" t="s">
        <v>1466</v>
      </c>
      <c r="G654" s="12" t="s">
        <v>1056</v>
      </c>
      <c r="H654" s="12">
        <v>1.0</v>
      </c>
      <c r="I654" s="17">
        <v>1194.82</v>
      </c>
      <c r="J654" s="17">
        <v>1194.82</v>
      </c>
      <c r="BO654" s="17">
        <v>1194.82</v>
      </c>
      <c r="BR654" s="17">
        <v>1194.82</v>
      </c>
      <c r="BU654" s="12" t="s">
        <v>621</v>
      </c>
    </row>
    <row r="655">
      <c r="A655" s="12">
        <v>1383.0</v>
      </c>
      <c r="B655" s="12" t="s">
        <v>54</v>
      </c>
      <c r="C655" s="19">
        <v>46070.0</v>
      </c>
      <c r="D655" s="12" t="s">
        <v>1484</v>
      </c>
      <c r="F655" s="12" t="s">
        <v>1485</v>
      </c>
      <c r="G655" s="12" t="s">
        <v>1486</v>
      </c>
      <c r="H655" s="12">
        <v>1.0</v>
      </c>
      <c r="I655" s="17">
        <v>20.0</v>
      </c>
      <c r="J655" s="17">
        <v>20.0</v>
      </c>
      <c r="BO655" s="17">
        <v>20.0</v>
      </c>
      <c r="BR655" s="17">
        <v>20.0</v>
      </c>
      <c r="BU655" s="12" t="s">
        <v>621</v>
      </c>
    </row>
    <row r="656">
      <c r="A656" s="12" t="s">
        <v>2361</v>
      </c>
      <c r="B656" s="12" t="s">
        <v>54</v>
      </c>
      <c r="C656" s="19">
        <v>46070.0</v>
      </c>
      <c r="D656" s="12" t="s">
        <v>1715</v>
      </c>
      <c r="F656" s="12" t="s">
        <v>3036</v>
      </c>
      <c r="G656" s="12" t="s">
        <v>1936</v>
      </c>
      <c r="H656" s="12">
        <v>1.0</v>
      </c>
      <c r="I656" s="17">
        <v>1036.58</v>
      </c>
      <c r="J656" s="17">
        <v>1036.58</v>
      </c>
      <c r="BO656" s="17">
        <v>1036.58</v>
      </c>
      <c r="BR656" s="17">
        <v>1036.58</v>
      </c>
      <c r="BU656" s="12" t="s">
        <v>621</v>
      </c>
    </row>
    <row r="657">
      <c r="A657" s="12">
        <v>1388.0</v>
      </c>
      <c r="B657" s="12" t="s">
        <v>54</v>
      </c>
      <c r="C657" s="19">
        <v>46070.0</v>
      </c>
      <c r="D657" s="12" t="s">
        <v>818</v>
      </c>
      <c r="F657" s="12" t="s">
        <v>819</v>
      </c>
      <c r="G657" s="12" t="s">
        <v>820</v>
      </c>
      <c r="H657" s="12">
        <v>1.0</v>
      </c>
      <c r="I657" s="17">
        <v>185.29</v>
      </c>
      <c r="J657" s="17">
        <v>185.29</v>
      </c>
      <c r="BO657" s="17">
        <v>185.29</v>
      </c>
      <c r="BR657" s="17">
        <v>185.29</v>
      </c>
      <c r="BU657" s="12" t="s">
        <v>621</v>
      </c>
    </row>
    <row r="658">
      <c r="A658" s="12" t="s">
        <v>5350</v>
      </c>
      <c r="B658" s="12" t="s">
        <v>54</v>
      </c>
      <c r="C658" s="14">
        <v>46055.0</v>
      </c>
      <c r="D658" s="12" t="s">
        <v>156</v>
      </c>
      <c r="E658" s="12" t="s">
        <v>5352</v>
      </c>
      <c r="F658" s="12" t="s">
        <v>488</v>
      </c>
      <c r="BP658" s="12" t="s">
        <v>5356</v>
      </c>
      <c r="BQ658" s="12" t="b">
        <v>0</v>
      </c>
      <c r="BT658" s="12" t="b">
        <v>0</v>
      </c>
      <c r="BU658" s="12" t="s">
        <v>69</v>
      </c>
      <c r="BW658" s="12" t="s">
        <v>5359</v>
      </c>
    </row>
    <row r="659">
      <c r="A659" s="12" t="s">
        <v>5360</v>
      </c>
      <c r="B659" s="12" t="s">
        <v>54</v>
      </c>
      <c r="C659" s="14">
        <v>46058.0</v>
      </c>
      <c r="D659" s="12" t="s">
        <v>156</v>
      </c>
      <c r="E659" s="12" t="s">
        <v>5362</v>
      </c>
      <c r="F659" s="12" t="s">
        <v>368</v>
      </c>
      <c r="BP659" s="12" t="s">
        <v>5366</v>
      </c>
      <c r="BQ659" s="12" t="b">
        <v>0</v>
      </c>
      <c r="BT659" s="12" t="b">
        <v>0</v>
      </c>
      <c r="BU659" s="12" t="s">
        <v>69</v>
      </c>
    </row>
    <row r="660">
      <c r="A660" s="12" t="s">
        <v>5368</v>
      </c>
      <c r="B660" s="12" t="s">
        <v>54</v>
      </c>
      <c r="C660" s="14">
        <v>46058.0</v>
      </c>
      <c r="D660" s="12" t="s">
        <v>156</v>
      </c>
      <c r="E660" s="12" t="s">
        <v>5362</v>
      </c>
      <c r="F660" s="12" t="s">
        <v>368</v>
      </c>
      <c r="BP660" s="12" t="s">
        <v>5372</v>
      </c>
      <c r="BQ660" s="12" t="b">
        <v>0</v>
      </c>
      <c r="BT660" s="12" t="b">
        <v>0</v>
      </c>
      <c r="BU660" s="12" t="s">
        <v>69</v>
      </c>
    </row>
    <row r="661">
      <c r="A661" s="12" t="s">
        <v>3761</v>
      </c>
      <c r="B661" s="12" t="s">
        <v>54</v>
      </c>
      <c r="C661" s="14">
        <v>46071.0</v>
      </c>
      <c r="D661" s="12" t="s">
        <v>175</v>
      </c>
      <c r="E661" s="12" t="s">
        <v>3914</v>
      </c>
      <c r="F661" s="12" t="s">
        <v>3917</v>
      </c>
      <c r="BP661" s="12" t="s">
        <v>3916</v>
      </c>
      <c r="BQ661" s="12" t="b">
        <v>0</v>
      </c>
      <c r="BS661" s="16" t="s">
        <v>5376</v>
      </c>
      <c r="BT661" s="12" t="b">
        <v>1</v>
      </c>
      <c r="BU661" s="12" t="s">
        <v>69</v>
      </c>
    </row>
    <row r="662">
      <c r="A662" s="12" t="s">
        <v>3710</v>
      </c>
      <c r="B662" s="12" t="s">
        <v>54</v>
      </c>
      <c r="C662" s="14">
        <v>46066.0</v>
      </c>
      <c r="D662" s="12" t="s">
        <v>109</v>
      </c>
      <c r="E662" s="12" t="s">
        <v>3921</v>
      </c>
      <c r="F662" s="12" t="s">
        <v>687</v>
      </c>
      <c r="BP662" s="12" t="s">
        <v>3923</v>
      </c>
      <c r="BQ662" s="12" t="b">
        <v>0</v>
      </c>
      <c r="BS662" s="16" t="s">
        <v>5382</v>
      </c>
      <c r="BT662" s="12" t="b">
        <v>1</v>
      </c>
      <c r="BU662" s="12" t="s">
        <v>69</v>
      </c>
    </row>
    <row r="663">
      <c r="A663" s="12" t="s">
        <v>3667</v>
      </c>
      <c r="B663" s="12" t="s">
        <v>54</v>
      </c>
      <c r="C663" s="14">
        <v>46063.0</v>
      </c>
      <c r="D663" s="12" t="s">
        <v>109</v>
      </c>
      <c r="E663" s="12" t="s">
        <v>3926</v>
      </c>
      <c r="F663" s="12" t="s">
        <v>687</v>
      </c>
      <c r="BP663" s="12" t="s">
        <v>3928</v>
      </c>
      <c r="BQ663" s="12" t="b">
        <v>0</v>
      </c>
      <c r="BS663" s="16" t="s">
        <v>5391</v>
      </c>
      <c r="BT663" s="12" t="b">
        <v>1</v>
      </c>
      <c r="BU663" s="12" t="s">
        <v>69</v>
      </c>
    </row>
    <row r="664">
      <c r="A664" s="12" t="s">
        <v>3765</v>
      </c>
      <c r="B664" s="12" t="s">
        <v>54</v>
      </c>
      <c r="C664" s="14">
        <v>46071.0</v>
      </c>
      <c r="D664" s="12" t="s">
        <v>109</v>
      </c>
      <c r="E664" s="12" t="s">
        <v>3933</v>
      </c>
      <c r="F664" s="12" t="s">
        <v>687</v>
      </c>
      <c r="BP664" s="12" t="s">
        <v>3935</v>
      </c>
      <c r="BQ664" s="12" t="b">
        <v>0</v>
      </c>
      <c r="BS664" s="16" t="s">
        <v>5397</v>
      </c>
      <c r="BT664" s="12" t="b">
        <v>1</v>
      </c>
      <c r="BU664" s="12" t="s">
        <v>69</v>
      </c>
    </row>
    <row r="665">
      <c r="A665" s="12" t="s">
        <v>3767</v>
      </c>
      <c r="B665" s="12" t="s">
        <v>54</v>
      </c>
      <c r="C665" s="14">
        <v>46072.0</v>
      </c>
      <c r="D665" s="12" t="s">
        <v>182</v>
      </c>
      <c r="E665" s="12" t="s">
        <v>3940</v>
      </c>
      <c r="F665" s="12" t="s">
        <v>82</v>
      </c>
      <c r="BP665" s="12" t="s">
        <v>3941</v>
      </c>
      <c r="BQ665" s="12" t="b">
        <v>0</v>
      </c>
      <c r="BS665" s="16" t="s">
        <v>5400</v>
      </c>
      <c r="BT665" s="12" t="b">
        <v>1</v>
      </c>
      <c r="BU665" s="12" t="s">
        <v>69</v>
      </c>
    </row>
    <row r="666">
      <c r="A666" s="12" t="s">
        <v>3738</v>
      </c>
      <c r="B666" s="12" t="s">
        <v>54</v>
      </c>
      <c r="C666" s="14">
        <v>46069.0</v>
      </c>
      <c r="D666" s="12" t="s">
        <v>156</v>
      </c>
      <c r="E666" s="12" t="s">
        <v>3946</v>
      </c>
      <c r="F666" s="12" t="s">
        <v>3951</v>
      </c>
      <c r="BP666" s="12" t="s">
        <v>3949</v>
      </c>
      <c r="BQ666" s="12" t="b">
        <v>0</v>
      </c>
      <c r="BT666" s="12" t="b">
        <v>0</v>
      </c>
      <c r="BU666" s="12" t="s">
        <v>69</v>
      </c>
      <c r="BW666" s="12" t="s">
        <v>3952</v>
      </c>
    </row>
    <row r="667">
      <c r="A667" s="12" t="s">
        <v>5410</v>
      </c>
      <c r="B667" s="12" t="s">
        <v>54</v>
      </c>
      <c r="C667" s="14">
        <v>46069.0</v>
      </c>
      <c r="D667" s="12" t="s">
        <v>156</v>
      </c>
      <c r="E667" s="12" t="s">
        <v>5413</v>
      </c>
      <c r="F667" s="12" t="s">
        <v>293</v>
      </c>
      <c r="BP667" s="12" t="s">
        <v>5414</v>
      </c>
      <c r="BQ667" s="12" t="b">
        <v>0</v>
      </c>
      <c r="BT667" s="12" t="b">
        <v>0</v>
      </c>
      <c r="BU667" s="12" t="s">
        <v>69</v>
      </c>
      <c r="BW667" s="12" t="s">
        <v>5419</v>
      </c>
      <c r="BX667" s="12" t="s">
        <v>5421</v>
      </c>
    </row>
    <row r="668">
      <c r="A668" s="12" t="s">
        <v>3751</v>
      </c>
      <c r="B668" s="12" t="s">
        <v>54</v>
      </c>
      <c r="C668" s="14">
        <v>46070.0</v>
      </c>
      <c r="D668" s="12" t="s">
        <v>156</v>
      </c>
      <c r="E668" s="12" t="s">
        <v>3960</v>
      </c>
      <c r="F668" s="12" t="s">
        <v>254</v>
      </c>
      <c r="BP668" s="12" t="s">
        <v>3961</v>
      </c>
      <c r="BQ668" s="12" t="b">
        <v>0</v>
      </c>
      <c r="BT668" s="12" t="b">
        <v>0</v>
      </c>
      <c r="BU668" s="12" t="s">
        <v>69</v>
      </c>
      <c r="BW668" s="12" t="s">
        <v>3963</v>
      </c>
    </row>
    <row r="669">
      <c r="A669" s="12" t="s">
        <v>5431</v>
      </c>
      <c r="B669" s="12" t="s">
        <v>54</v>
      </c>
      <c r="C669" s="14">
        <v>46070.0</v>
      </c>
      <c r="D669" s="12" t="s">
        <v>156</v>
      </c>
      <c r="E669" s="12" t="s">
        <v>3960</v>
      </c>
      <c r="F669" s="12" t="s">
        <v>254</v>
      </c>
      <c r="BP669" s="12" t="s">
        <v>5436</v>
      </c>
      <c r="BQ669" s="12" t="b">
        <v>0</v>
      </c>
      <c r="BT669" s="12" t="b">
        <v>0</v>
      </c>
      <c r="BU669" s="12" t="s">
        <v>69</v>
      </c>
      <c r="BW669" s="12" t="s">
        <v>5438</v>
      </c>
    </row>
    <row r="670">
      <c r="A670" s="12" t="s">
        <v>3769</v>
      </c>
      <c r="B670" s="12" t="s">
        <v>54</v>
      </c>
      <c r="C670" s="14">
        <v>46073.0</v>
      </c>
      <c r="D670" s="12" t="s">
        <v>375</v>
      </c>
      <c r="E670" s="12" t="s">
        <v>3970</v>
      </c>
      <c r="F670" s="12" t="s">
        <v>3973</v>
      </c>
      <c r="BP670" s="12" t="s">
        <v>3972</v>
      </c>
      <c r="BQ670" s="12" t="b">
        <v>0</v>
      </c>
      <c r="BS670" s="16" t="s">
        <v>5442</v>
      </c>
      <c r="BT670" s="12" t="b">
        <v>1</v>
      </c>
      <c r="BU670" s="12" t="s">
        <v>69</v>
      </c>
    </row>
    <row r="671">
      <c r="A671" s="12" t="s">
        <v>3774</v>
      </c>
      <c r="B671" s="12" t="s">
        <v>54</v>
      </c>
      <c r="C671" s="14">
        <v>46073.0</v>
      </c>
      <c r="D671" s="12" t="s">
        <v>220</v>
      </c>
      <c r="E671" s="12" t="s">
        <v>3978</v>
      </c>
      <c r="F671" s="12" t="s">
        <v>3213</v>
      </c>
      <c r="BP671" s="12" t="s">
        <v>3981</v>
      </c>
      <c r="BQ671" s="12" t="b">
        <v>0</v>
      </c>
      <c r="BS671" s="16" t="s">
        <v>5448</v>
      </c>
      <c r="BT671" s="12" t="b">
        <v>1</v>
      </c>
      <c r="BU671" s="12" t="s">
        <v>69</v>
      </c>
    </row>
    <row r="672">
      <c r="A672" s="12" t="s">
        <v>3804</v>
      </c>
      <c r="B672" s="12" t="s">
        <v>54</v>
      </c>
      <c r="C672" s="14">
        <v>46074.0</v>
      </c>
      <c r="D672" s="12" t="s">
        <v>435</v>
      </c>
      <c r="E672" s="12" t="s">
        <v>3986</v>
      </c>
      <c r="F672" s="12" t="s">
        <v>3989</v>
      </c>
      <c r="BP672" s="12" t="s">
        <v>3988</v>
      </c>
      <c r="BQ672" s="12" t="b">
        <v>0</v>
      </c>
      <c r="BS672" s="16" t="s">
        <v>5457</v>
      </c>
      <c r="BT672" s="12" t="b">
        <v>1</v>
      </c>
      <c r="BU672" s="12" t="s">
        <v>69</v>
      </c>
    </row>
    <row r="673">
      <c r="A673" s="12" t="s">
        <v>3808</v>
      </c>
      <c r="B673" s="12" t="s">
        <v>54</v>
      </c>
      <c r="C673" s="14">
        <v>46075.0</v>
      </c>
      <c r="D673" s="12" t="s">
        <v>3425</v>
      </c>
      <c r="E673" s="12" t="s">
        <v>3995</v>
      </c>
      <c r="F673" s="12" t="s">
        <v>3998</v>
      </c>
      <c r="BP673" s="12" t="s">
        <v>3997</v>
      </c>
      <c r="BQ673" s="12" t="b">
        <v>0</v>
      </c>
      <c r="BS673" s="16" t="s">
        <v>5466</v>
      </c>
      <c r="BT673" s="12" t="b">
        <v>1</v>
      </c>
      <c r="BU673" s="12" t="s">
        <v>69</v>
      </c>
    </row>
    <row r="674">
      <c r="A674" s="12" t="s">
        <v>3048</v>
      </c>
      <c r="B674" s="12" t="s">
        <v>54</v>
      </c>
      <c r="C674" s="14">
        <v>46029.0</v>
      </c>
      <c r="D674" s="12" t="s">
        <v>784</v>
      </c>
      <c r="E674" s="12" t="s">
        <v>4003</v>
      </c>
      <c r="F674" s="12" t="s">
        <v>715</v>
      </c>
      <c r="BP674" s="12" t="s">
        <v>4006</v>
      </c>
      <c r="BQ674" s="12" t="b">
        <v>0</v>
      </c>
      <c r="BT674" s="12" t="b">
        <v>0</v>
      </c>
      <c r="BU674" s="12" t="s">
        <v>69</v>
      </c>
    </row>
    <row r="675">
      <c r="A675" s="12" t="s">
        <v>3811</v>
      </c>
      <c r="B675" s="12" t="s">
        <v>54</v>
      </c>
      <c r="C675" s="14">
        <v>46076.0</v>
      </c>
      <c r="D675" s="12" t="s">
        <v>4009</v>
      </c>
      <c r="E675" s="12" t="s">
        <v>4010</v>
      </c>
      <c r="F675" s="12" t="s">
        <v>4014</v>
      </c>
      <c r="BP675" s="12" t="s">
        <v>4012</v>
      </c>
      <c r="BQ675" s="12" t="b">
        <v>0</v>
      </c>
      <c r="BS675" s="16" t="s">
        <v>5479</v>
      </c>
      <c r="BT675" s="12" t="b">
        <v>1</v>
      </c>
      <c r="BU675" s="12" t="s">
        <v>69</v>
      </c>
    </row>
    <row r="676">
      <c r="A676" s="12" t="s">
        <v>3827</v>
      </c>
      <c r="B676" s="12" t="s">
        <v>54</v>
      </c>
      <c r="C676" s="14">
        <v>46077.0</v>
      </c>
      <c r="D676" s="12" t="s">
        <v>1103</v>
      </c>
      <c r="E676" s="12" t="s">
        <v>4022</v>
      </c>
      <c r="F676" s="12" t="s">
        <v>153</v>
      </c>
      <c r="BP676" s="12" t="s">
        <v>4023</v>
      </c>
      <c r="BQ676" s="12" t="b">
        <v>0</v>
      </c>
      <c r="BS676" s="16" t="s">
        <v>5484</v>
      </c>
      <c r="BT676" s="12" t="b">
        <v>1</v>
      </c>
      <c r="BU676" s="12" t="s">
        <v>69</v>
      </c>
    </row>
    <row r="677">
      <c r="A677" s="12" t="s">
        <v>3837</v>
      </c>
      <c r="B677" s="12" t="s">
        <v>54</v>
      </c>
      <c r="C677" s="14">
        <v>46077.0</v>
      </c>
      <c r="D677" s="12" t="s">
        <v>441</v>
      </c>
      <c r="E677" s="12" t="s">
        <v>4026</v>
      </c>
      <c r="F677" s="12" t="s">
        <v>4028</v>
      </c>
      <c r="BP677" s="12" t="s">
        <v>4027</v>
      </c>
      <c r="BQ677" s="12" t="b">
        <v>0</v>
      </c>
      <c r="BS677" s="16" t="s">
        <v>5492</v>
      </c>
      <c r="BT677" s="12" t="b">
        <v>1</v>
      </c>
      <c r="BU677" s="12" t="s">
        <v>69</v>
      </c>
    </row>
    <row r="678">
      <c r="A678" s="12">
        <v>1326.0</v>
      </c>
      <c r="B678" s="12" t="s">
        <v>54</v>
      </c>
      <c r="C678" s="19">
        <v>46077.0</v>
      </c>
      <c r="D678" s="12" t="s">
        <v>156</v>
      </c>
      <c r="F678" s="12" t="s">
        <v>1909</v>
      </c>
      <c r="G678" s="12" t="s">
        <v>1906</v>
      </c>
      <c r="H678" s="12">
        <v>1.0</v>
      </c>
      <c r="I678" s="17">
        <v>375.0</v>
      </c>
      <c r="J678" s="17">
        <v>375.0</v>
      </c>
      <c r="BO678" s="17">
        <v>375.0</v>
      </c>
      <c r="BR678" s="17">
        <v>375.0</v>
      </c>
      <c r="BU678" s="12" t="s">
        <v>621</v>
      </c>
    </row>
    <row r="679">
      <c r="A679" s="12">
        <v>1327.0</v>
      </c>
      <c r="B679" s="12" t="s">
        <v>54</v>
      </c>
      <c r="C679" s="19">
        <v>46077.0</v>
      </c>
      <c r="D679" s="12" t="s">
        <v>1914</v>
      </c>
      <c r="F679" s="12" t="s">
        <v>1916</v>
      </c>
      <c r="G679" s="12" t="s">
        <v>1908</v>
      </c>
      <c r="H679" s="12">
        <v>1.0</v>
      </c>
      <c r="I679" s="17">
        <v>1110.0</v>
      </c>
      <c r="J679" s="17">
        <v>1110.0</v>
      </c>
      <c r="BO679" s="17">
        <v>1110.0</v>
      </c>
      <c r="BR679" s="17">
        <v>1110.0</v>
      </c>
      <c r="BU679" s="12" t="s">
        <v>621</v>
      </c>
    </row>
    <row r="680">
      <c r="A680" s="12" t="s">
        <v>2371</v>
      </c>
      <c r="B680" s="12" t="s">
        <v>54</v>
      </c>
      <c r="C680" s="19">
        <v>46077.0</v>
      </c>
      <c r="D680" s="12" t="s">
        <v>156</v>
      </c>
      <c r="F680" s="12" t="s">
        <v>4037</v>
      </c>
      <c r="G680" s="12" t="s">
        <v>786</v>
      </c>
      <c r="H680" s="12">
        <v>1.0</v>
      </c>
      <c r="I680" s="17">
        <v>2246.96</v>
      </c>
      <c r="J680" s="17">
        <v>2246.96</v>
      </c>
      <c r="BO680" s="17">
        <v>2246.96</v>
      </c>
      <c r="BR680" s="17">
        <v>2246.96</v>
      </c>
      <c r="BU680" s="12" t="s">
        <v>621</v>
      </c>
    </row>
    <row r="681">
      <c r="A681" s="12" t="s">
        <v>2375</v>
      </c>
      <c r="B681" s="12" t="s">
        <v>54</v>
      </c>
      <c r="C681" s="19">
        <v>46077.0</v>
      </c>
      <c r="D681" s="12" t="s">
        <v>156</v>
      </c>
      <c r="F681" s="12" t="s">
        <v>4041</v>
      </c>
      <c r="G681" s="12" t="s">
        <v>1236</v>
      </c>
      <c r="H681" s="12">
        <v>1.0</v>
      </c>
      <c r="I681" s="17">
        <v>808.64</v>
      </c>
      <c r="J681" s="17">
        <v>808.64</v>
      </c>
      <c r="BO681" s="17">
        <v>808.64</v>
      </c>
      <c r="BR681" s="17">
        <v>808.64</v>
      </c>
      <c r="BU681" s="12" t="s">
        <v>621</v>
      </c>
    </row>
    <row r="682">
      <c r="A682" s="12" t="s">
        <v>2378</v>
      </c>
      <c r="B682" s="12" t="s">
        <v>54</v>
      </c>
      <c r="C682" s="19">
        <v>46077.0</v>
      </c>
      <c r="D682" s="12" t="s">
        <v>156</v>
      </c>
      <c r="F682" s="12" t="s">
        <v>4043</v>
      </c>
      <c r="G682" s="12" t="s">
        <v>1236</v>
      </c>
      <c r="H682" s="12">
        <v>1.0</v>
      </c>
      <c r="I682" s="17">
        <v>234.86</v>
      </c>
      <c r="J682" s="17">
        <v>234.86</v>
      </c>
      <c r="BO682" s="17">
        <v>234.86</v>
      </c>
      <c r="BR682" s="17">
        <v>234.86</v>
      </c>
      <c r="BU682" s="12" t="s">
        <v>621</v>
      </c>
    </row>
    <row r="683">
      <c r="A683" s="12">
        <v>1392.0</v>
      </c>
      <c r="B683" s="12" t="s">
        <v>54</v>
      </c>
      <c r="C683" s="19">
        <v>46077.0</v>
      </c>
      <c r="D683" s="12" t="s">
        <v>1712</v>
      </c>
      <c r="F683" s="19">
        <v>46296.0</v>
      </c>
      <c r="G683" s="12" t="s">
        <v>1818</v>
      </c>
      <c r="H683" s="12">
        <v>1.0</v>
      </c>
      <c r="I683" s="17">
        <v>236.83</v>
      </c>
      <c r="J683" s="17">
        <v>236.83</v>
      </c>
      <c r="BO683" s="17">
        <v>236.83</v>
      </c>
      <c r="BR683" s="17">
        <v>236.83</v>
      </c>
      <c r="BU683" s="12" t="s">
        <v>621</v>
      </c>
    </row>
    <row r="684">
      <c r="A684" s="12">
        <v>1393.0</v>
      </c>
      <c r="B684" s="12" t="s">
        <v>54</v>
      </c>
      <c r="C684" s="19">
        <v>46077.0</v>
      </c>
      <c r="D684" s="12" t="s">
        <v>1715</v>
      </c>
      <c r="F684" s="19">
        <v>46082.0</v>
      </c>
      <c r="G684" s="12" t="s">
        <v>1818</v>
      </c>
      <c r="H684" s="12">
        <v>1.0</v>
      </c>
      <c r="I684" s="17">
        <v>65.15</v>
      </c>
      <c r="J684" s="17">
        <v>65.15</v>
      </c>
      <c r="BO684" s="17">
        <v>65.15</v>
      </c>
      <c r="BR684" s="17">
        <v>65.15</v>
      </c>
      <c r="BU684" s="12" t="s">
        <v>621</v>
      </c>
    </row>
    <row r="685">
      <c r="A685" s="12">
        <v>1400.0</v>
      </c>
      <c r="B685" s="12" t="s">
        <v>54</v>
      </c>
      <c r="C685" s="19">
        <v>46077.0</v>
      </c>
      <c r="F685" s="12" t="s">
        <v>3108</v>
      </c>
      <c r="G685" s="12" t="s">
        <v>1196</v>
      </c>
      <c r="H685" s="12">
        <v>1.0</v>
      </c>
      <c r="I685" s="17">
        <v>585.0</v>
      </c>
      <c r="J685" s="17">
        <v>585.0</v>
      </c>
      <c r="BO685" s="17">
        <v>585.0</v>
      </c>
      <c r="BR685" s="17">
        <v>585.0</v>
      </c>
      <c r="BU685" s="12" t="s">
        <v>621</v>
      </c>
      <c r="BV685" s="12" t="s">
        <v>259</v>
      </c>
    </row>
    <row r="686">
      <c r="A686" s="12" t="s">
        <v>2395</v>
      </c>
      <c r="B686" s="12" t="s">
        <v>54</v>
      </c>
      <c r="C686" s="19">
        <v>46077.0</v>
      </c>
      <c r="D686" s="12" t="s">
        <v>156</v>
      </c>
      <c r="F686" s="12" t="s">
        <v>4058</v>
      </c>
      <c r="G686" s="12" t="s">
        <v>1236</v>
      </c>
      <c r="H686" s="12">
        <v>1.0</v>
      </c>
      <c r="I686" s="17">
        <v>1646.14</v>
      </c>
      <c r="J686" s="17">
        <v>1646.14</v>
      </c>
      <c r="BO686" s="17">
        <v>1646.14</v>
      </c>
      <c r="BR686" s="17">
        <v>1646.14</v>
      </c>
      <c r="BU686" s="12" t="s">
        <v>621</v>
      </c>
    </row>
    <row r="687">
      <c r="A687" s="12" t="s">
        <v>2399</v>
      </c>
      <c r="B687" s="12" t="s">
        <v>54</v>
      </c>
      <c r="C687" s="19">
        <v>46077.0</v>
      </c>
      <c r="D687" s="12" t="s">
        <v>156</v>
      </c>
      <c r="F687" s="12" t="s">
        <v>4063</v>
      </c>
      <c r="G687" s="12" t="s">
        <v>786</v>
      </c>
      <c r="H687" s="12">
        <v>1.0</v>
      </c>
      <c r="I687" s="17">
        <v>116.0</v>
      </c>
      <c r="J687" s="17">
        <v>116.0</v>
      </c>
      <c r="BO687" s="17">
        <v>116.0</v>
      </c>
      <c r="BR687" s="17">
        <v>116.0</v>
      </c>
      <c r="BU687" s="12" t="s">
        <v>621</v>
      </c>
    </row>
    <row r="688">
      <c r="A688" s="12" t="s">
        <v>2405</v>
      </c>
      <c r="B688" s="12" t="s">
        <v>54</v>
      </c>
      <c r="C688" s="19">
        <v>46077.0</v>
      </c>
      <c r="D688" s="12" t="s">
        <v>156</v>
      </c>
      <c r="F688" s="12" t="s">
        <v>4069</v>
      </c>
      <c r="G688" s="12" t="s">
        <v>786</v>
      </c>
      <c r="H688" s="12">
        <v>1.0</v>
      </c>
      <c r="I688" s="17">
        <v>2379.0</v>
      </c>
      <c r="J688" s="17">
        <v>2379.0</v>
      </c>
      <c r="BO688" s="17">
        <v>2379.0</v>
      </c>
      <c r="BR688" s="17">
        <v>2379.0</v>
      </c>
      <c r="BU688" s="12" t="s">
        <v>621</v>
      </c>
    </row>
    <row r="689">
      <c r="A689" s="12" t="s">
        <v>2410</v>
      </c>
      <c r="B689" s="12" t="s">
        <v>54</v>
      </c>
      <c r="C689" s="19">
        <v>46077.0</v>
      </c>
      <c r="D689" s="12" t="s">
        <v>156</v>
      </c>
      <c r="F689" s="12" t="s">
        <v>4074</v>
      </c>
      <c r="G689" s="12" t="s">
        <v>786</v>
      </c>
      <c r="H689" s="12">
        <v>1.0</v>
      </c>
      <c r="I689" s="17">
        <v>116.0</v>
      </c>
      <c r="J689" s="17">
        <v>116.0</v>
      </c>
      <c r="BO689" s="17">
        <v>116.0</v>
      </c>
      <c r="BR689" s="17">
        <v>116.0</v>
      </c>
      <c r="BU689" s="12" t="s">
        <v>621</v>
      </c>
    </row>
    <row r="690">
      <c r="A690" s="12" t="s">
        <v>2413</v>
      </c>
      <c r="B690" s="12" t="s">
        <v>54</v>
      </c>
      <c r="C690" s="19">
        <v>46077.0</v>
      </c>
      <c r="D690" s="12" t="s">
        <v>4077</v>
      </c>
      <c r="F690" s="12" t="s">
        <v>4078</v>
      </c>
      <c r="G690" s="12" t="s">
        <v>1416</v>
      </c>
      <c r="H690" s="12">
        <v>1.0</v>
      </c>
      <c r="I690" s="17">
        <v>250.0</v>
      </c>
      <c r="J690" s="17">
        <v>250.0</v>
      </c>
      <c r="BO690" s="17">
        <v>250.0</v>
      </c>
      <c r="BR690" s="17">
        <v>250.0</v>
      </c>
      <c r="BU690" s="12" t="s">
        <v>621</v>
      </c>
    </row>
    <row r="691">
      <c r="A691" s="12" t="s">
        <v>3845</v>
      </c>
      <c r="B691" s="12" t="s">
        <v>54</v>
      </c>
      <c r="C691" s="14">
        <v>46077.0</v>
      </c>
      <c r="D691" s="12" t="s">
        <v>220</v>
      </c>
      <c r="E691" s="12" t="s">
        <v>4081</v>
      </c>
      <c r="F691" s="12" t="s">
        <v>2402</v>
      </c>
      <c r="BP691" s="12" t="s">
        <v>4082</v>
      </c>
      <c r="BQ691" s="12" t="b">
        <v>0</v>
      </c>
      <c r="BS691" s="16" t="s">
        <v>5564</v>
      </c>
      <c r="BT691" s="12" t="b">
        <v>1</v>
      </c>
      <c r="BU691" s="12" t="s">
        <v>69</v>
      </c>
    </row>
    <row r="692">
      <c r="A692" s="12" t="s">
        <v>3820</v>
      </c>
      <c r="B692" s="12" t="s">
        <v>54</v>
      </c>
      <c r="C692" s="14">
        <v>46076.0</v>
      </c>
      <c r="D692" s="12" t="s">
        <v>182</v>
      </c>
      <c r="E692" s="12" t="s">
        <v>4087</v>
      </c>
      <c r="F692" s="12" t="s">
        <v>268</v>
      </c>
      <c r="BP692" s="12" t="s">
        <v>4088</v>
      </c>
      <c r="BQ692" s="12" t="b">
        <v>0</v>
      </c>
      <c r="BS692" s="16" t="s">
        <v>5571</v>
      </c>
      <c r="BT692" s="12" t="b">
        <v>1</v>
      </c>
      <c r="BU692" s="12" t="s">
        <v>69</v>
      </c>
    </row>
    <row r="693">
      <c r="A693" s="12" t="s">
        <v>3882</v>
      </c>
      <c r="B693" s="12" t="s">
        <v>54</v>
      </c>
      <c r="C693" s="14">
        <v>46078.0</v>
      </c>
      <c r="D693" s="12" t="s">
        <v>182</v>
      </c>
      <c r="E693" s="12" t="s">
        <v>4095</v>
      </c>
      <c r="F693" s="12" t="s">
        <v>268</v>
      </c>
      <c r="BP693" s="12" t="s">
        <v>4096</v>
      </c>
      <c r="BQ693" s="12" t="b">
        <v>0</v>
      </c>
      <c r="BS693" s="16" t="s">
        <v>5577</v>
      </c>
      <c r="BT693" s="12" t="b">
        <v>1</v>
      </c>
      <c r="BU693" s="12" t="s">
        <v>69</v>
      </c>
    </row>
    <row r="694">
      <c r="A694" s="12" t="s">
        <v>2417</v>
      </c>
      <c r="B694" s="12" t="s">
        <v>54</v>
      </c>
      <c r="C694" s="19">
        <v>46079.0</v>
      </c>
      <c r="F694" s="12" t="s">
        <v>1112</v>
      </c>
      <c r="G694" s="12" t="s">
        <v>1113</v>
      </c>
      <c r="H694" s="12">
        <v>1.0</v>
      </c>
      <c r="I694" s="17">
        <v>500.0</v>
      </c>
      <c r="J694" s="17">
        <v>500.0</v>
      </c>
      <c r="BO694" s="17">
        <v>500.0</v>
      </c>
      <c r="BR694" s="17">
        <v>500.0</v>
      </c>
      <c r="BU694" s="12" t="s">
        <v>191</v>
      </c>
      <c r="BV694" s="12" t="s">
        <v>1183</v>
      </c>
    </row>
    <row r="695">
      <c r="A695" s="12" t="s">
        <v>2422</v>
      </c>
      <c r="B695" s="12" t="s">
        <v>54</v>
      </c>
      <c r="C695" s="19">
        <v>46079.0</v>
      </c>
      <c r="F695" s="12" t="s">
        <v>1112</v>
      </c>
      <c r="G695" s="12" t="s">
        <v>1113</v>
      </c>
      <c r="H695" s="12">
        <v>1.0</v>
      </c>
      <c r="I695" s="17">
        <v>100.0</v>
      </c>
      <c r="J695" s="17">
        <v>100.0</v>
      </c>
      <c r="BO695" s="17">
        <v>100.0</v>
      </c>
      <c r="BR695" s="17">
        <v>100.0</v>
      </c>
      <c r="BU695" s="12" t="s">
        <v>191</v>
      </c>
      <c r="BV695" s="12" t="s">
        <v>62</v>
      </c>
    </row>
    <row r="696">
      <c r="A696" s="12" t="s">
        <v>2427</v>
      </c>
      <c r="B696" s="12" t="s">
        <v>54</v>
      </c>
      <c r="C696" s="19">
        <v>46052.0</v>
      </c>
      <c r="F696" s="12" t="s">
        <v>1112</v>
      </c>
      <c r="G696" s="12" t="s">
        <v>1113</v>
      </c>
      <c r="H696" s="12">
        <v>1.0</v>
      </c>
      <c r="I696" s="17">
        <v>200.0</v>
      </c>
      <c r="J696" s="17">
        <v>200.0</v>
      </c>
      <c r="BO696" s="17">
        <v>200.0</v>
      </c>
      <c r="BR696" s="17">
        <v>200.0</v>
      </c>
      <c r="BU696" s="12" t="s">
        <v>191</v>
      </c>
      <c r="BV696" s="12" t="s">
        <v>62</v>
      </c>
    </row>
    <row r="697">
      <c r="A697" s="12" t="s">
        <v>2431</v>
      </c>
      <c r="B697" s="12" t="s">
        <v>54</v>
      </c>
      <c r="C697" s="19">
        <v>46052.0</v>
      </c>
      <c r="F697" s="12" t="s">
        <v>1112</v>
      </c>
      <c r="G697" s="12" t="s">
        <v>1113</v>
      </c>
      <c r="H697" s="12">
        <v>1.0</v>
      </c>
      <c r="I697" s="17">
        <v>150.0</v>
      </c>
      <c r="J697" s="17">
        <v>150.0</v>
      </c>
      <c r="BO697" s="17">
        <v>150.0</v>
      </c>
      <c r="BR697" s="17">
        <v>150.0</v>
      </c>
      <c r="BU697" s="12" t="s">
        <v>191</v>
      </c>
      <c r="BV697" s="12" t="s">
        <v>1183</v>
      </c>
    </row>
    <row r="698">
      <c r="A698" s="12" t="s">
        <v>2436</v>
      </c>
      <c r="B698" s="12" t="s">
        <v>54</v>
      </c>
      <c r="C698" s="19">
        <v>46052.0</v>
      </c>
      <c r="F698" s="12" t="s">
        <v>1112</v>
      </c>
      <c r="G698" s="12" t="s">
        <v>1113</v>
      </c>
      <c r="H698" s="12">
        <v>1.0</v>
      </c>
      <c r="I698" s="17">
        <v>150.0</v>
      </c>
      <c r="J698" s="17">
        <v>150.0</v>
      </c>
      <c r="BO698" s="17">
        <v>150.0</v>
      </c>
      <c r="BR698" s="17">
        <v>150.0</v>
      </c>
      <c r="BU698" s="12" t="s">
        <v>191</v>
      </c>
      <c r="BV698" s="12" t="s">
        <v>62</v>
      </c>
    </row>
    <row r="699">
      <c r="A699" s="12" t="s">
        <v>3872</v>
      </c>
      <c r="B699" s="12" t="s">
        <v>54</v>
      </c>
      <c r="C699" s="14">
        <v>46077.0</v>
      </c>
      <c r="D699" s="12" t="s">
        <v>156</v>
      </c>
      <c r="E699" s="12" t="s">
        <v>4116</v>
      </c>
      <c r="F699" s="12" t="s">
        <v>4118</v>
      </c>
      <c r="BP699" s="12" t="s">
        <v>4117</v>
      </c>
      <c r="BQ699" s="12" t="b">
        <v>0</v>
      </c>
      <c r="BT699" s="12" t="b">
        <v>0</v>
      </c>
      <c r="BU699" s="12" t="s">
        <v>69</v>
      </c>
    </row>
    <row r="700">
      <c r="A700" s="12" t="s">
        <v>3877</v>
      </c>
      <c r="B700" s="12" t="s">
        <v>54</v>
      </c>
      <c r="C700" s="14">
        <v>46077.0</v>
      </c>
      <c r="D700" s="12" t="s">
        <v>156</v>
      </c>
      <c r="E700" s="12" t="s">
        <v>4121</v>
      </c>
      <c r="F700" s="12" t="s">
        <v>293</v>
      </c>
      <c r="BP700" s="12" t="s">
        <v>4122</v>
      </c>
      <c r="BQ700" s="12" t="b">
        <v>0</v>
      </c>
      <c r="BT700" s="12" t="b">
        <v>0</v>
      </c>
      <c r="BU700" s="12" t="s">
        <v>69</v>
      </c>
      <c r="BW700" s="12" t="s">
        <v>4125</v>
      </c>
      <c r="BX700" s="12" t="s">
        <v>4127</v>
      </c>
    </row>
    <row r="701">
      <c r="A701" s="12" t="s">
        <v>5619</v>
      </c>
      <c r="B701" s="12" t="s">
        <v>54</v>
      </c>
      <c r="C701" s="14">
        <v>46077.0</v>
      </c>
      <c r="D701" s="12" t="s">
        <v>156</v>
      </c>
      <c r="E701" s="12" t="s">
        <v>4121</v>
      </c>
      <c r="F701" s="12" t="s">
        <v>293</v>
      </c>
      <c r="BP701" s="12" t="s">
        <v>5621</v>
      </c>
      <c r="BQ701" s="12" t="b">
        <v>0</v>
      </c>
      <c r="BT701" s="12" t="b">
        <v>0</v>
      </c>
      <c r="BU701" s="12" t="s">
        <v>69</v>
      </c>
      <c r="BW701" s="12" t="s">
        <v>5623</v>
      </c>
      <c r="BX701" s="12" t="s">
        <v>5625</v>
      </c>
      <c r="BY701" s="12" t="s">
        <v>5627</v>
      </c>
    </row>
    <row r="702">
      <c r="A702" s="12" t="s">
        <v>5629</v>
      </c>
      <c r="B702" s="12" t="s">
        <v>54</v>
      </c>
      <c r="C702" s="14">
        <v>46077.0</v>
      </c>
      <c r="D702" s="12" t="s">
        <v>156</v>
      </c>
      <c r="E702" s="12" t="s">
        <v>5630</v>
      </c>
      <c r="F702" s="12" t="s">
        <v>5632</v>
      </c>
      <c r="BP702" s="12" t="s">
        <v>5633</v>
      </c>
      <c r="BQ702" s="12" t="b">
        <v>0</v>
      </c>
      <c r="BT702" s="12" t="b">
        <v>0</v>
      </c>
      <c r="BU702" s="12" t="s">
        <v>69</v>
      </c>
      <c r="BW702" s="12" t="s">
        <v>5635</v>
      </c>
    </row>
    <row r="703">
      <c r="A703" s="12" t="s">
        <v>3892</v>
      </c>
      <c r="B703" s="12" t="s">
        <v>54</v>
      </c>
      <c r="C703" s="14">
        <v>46080.0</v>
      </c>
      <c r="D703" s="12" t="s">
        <v>220</v>
      </c>
      <c r="E703" s="12" t="s">
        <v>4137</v>
      </c>
      <c r="F703" s="12" t="s">
        <v>2487</v>
      </c>
      <c r="BP703" s="12" t="s">
        <v>4138</v>
      </c>
      <c r="BQ703" s="12" t="b">
        <v>0</v>
      </c>
      <c r="BS703" s="16" t="s">
        <v>5641</v>
      </c>
      <c r="BT703" s="12" t="b">
        <v>1</v>
      </c>
      <c r="BU703" s="12" t="s">
        <v>69</v>
      </c>
    </row>
    <row r="704">
      <c r="A704" s="12" t="s">
        <v>3913</v>
      </c>
      <c r="B704" s="12" t="s">
        <v>54</v>
      </c>
      <c r="C704" s="14">
        <v>46080.0</v>
      </c>
      <c r="D704" s="12" t="s">
        <v>77</v>
      </c>
      <c r="E704" s="12" t="s">
        <v>4140</v>
      </c>
      <c r="F704" s="12" t="s">
        <v>268</v>
      </c>
      <c r="BP704" s="12" t="s">
        <v>4142</v>
      </c>
      <c r="BQ704" s="12" t="b">
        <v>0</v>
      </c>
      <c r="BS704" s="16" t="s">
        <v>5649</v>
      </c>
      <c r="BT704" s="12" t="b">
        <v>1</v>
      </c>
      <c r="BU704" s="12" t="s">
        <v>69</v>
      </c>
    </row>
    <row r="705">
      <c r="A705" s="12" t="s">
        <v>2440</v>
      </c>
      <c r="B705" s="12" t="s">
        <v>54</v>
      </c>
      <c r="C705" s="19">
        <v>46080.0</v>
      </c>
      <c r="F705" s="12" t="s">
        <v>4145</v>
      </c>
      <c r="G705" s="12" t="s">
        <v>1196</v>
      </c>
      <c r="H705" s="12">
        <v>1.0</v>
      </c>
      <c r="I705" s="17">
        <v>5000.0</v>
      </c>
      <c r="J705" s="17">
        <v>5000.0</v>
      </c>
      <c r="BO705" s="17">
        <v>5000.0</v>
      </c>
      <c r="BR705" s="17">
        <v>5000.0</v>
      </c>
      <c r="BU705" s="12" t="s">
        <v>621</v>
      </c>
      <c r="BV705" s="12" t="s">
        <v>2739</v>
      </c>
    </row>
    <row r="706">
      <c r="A706" s="12" t="s">
        <v>3929</v>
      </c>
      <c r="B706" s="12" t="s">
        <v>54</v>
      </c>
      <c r="C706" s="14">
        <v>46081.0</v>
      </c>
      <c r="D706" s="12" t="s">
        <v>182</v>
      </c>
      <c r="E706" s="12" t="s">
        <v>4149</v>
      </c>
      <c r="F706" s="12" t="s">
        <v>4151</v>
      </c>
      <c r="BP706" s="12" t="s">
        <v>4150</v>
      </c>
      <c r="BQ706" s="12" t="b">
        <v>0</v>
      </c>
      <c r="BS706" s="16" t="s">
        <v>5664</v>
      </c>
      <c r="BT706" s="12" t="b">
        <v>1</v>
      </c>
      <c r="BU706" s="12" t="s">
        <v>69</v>
      </c>
    </row>
    <row r="707">
      <c r="A707" s="12" t="s">
        <v>2444</v>
      </c>
      <c r="B707" s="12" t="s">
        <v>54</v>
      </c>
      <c r="C707" s="19">
        <v>46081.0</v>
      </c>
      <c r="F707" s="12" t="s">
        <v>1112</v>
      </c>
      <c r="G707" s="12" t="s">
        <v>1113</v>
      </c>
      <c r="H707" s="12">
        <v>1.0</v>
      </c>
      <c r="I707" s="17">
        <v>300.0</v>
      </c>
      <c r="J707" s="17">
        <v>300.0</v>
      </c>
      <c r="BO707" s="17">
        <v>300.0</v>
      </c>
      <c r="BR707" s="17">
        <v>300.0</v>
      </c>
      <c r="BU707" s="12" t="s">
        <v>191</v>
      </c>
      <c r="BV707" s="12" t="s">
        <v>1900</v>
      </c>
    </row>
    <row r="708">
      <c r="A708" s="12" t="s">
        <v>3932</v>
      </c>
      <c r="B708" s="12" t="s">
        <v>54</v>
      </c>
      <c r="C708" s="14">
        <v>46082.0</v>
      </c>
      <c r="D708" s="12" t="s">
        <v>77</v>
      </c>
      <c r="E708" s="12" t="s">
        <v>4160</v>
      </c>
      <c r="F708" s="12" t="s">
        <v>4164</v>
      </c>
      <c r="BP708" s="12" t="s">
        <v>4162</v>
      </c>
      <c r="BQ708" s="12" t="b">
        <v>0</v>
      </c>
      <c r="BS708" s="16" t="s">
        <v>5673</v>
      </c>
      <c r="BT708" s="12" t="b">
        <v>1</v>
      </c>
      <c r="BU708" s="12" t="s">
        <v>69</v>
      </c>
    </row>
    <row r="709">
      <c r="A709" s="12" t="s">
        <v>3943</v>
      </c>
      <c r="B709" s="12" t="s">
        <v>54</v>
      </c>
      <c r="C709" s="14">
        <v>46083.0</v>
      </c>
      <c r="D709" s="12" t="s">
        <v>182</v>
      </c>
      <c r="E709" s="12" t="s">
        <v>4167</v>
      </c>
      <c r="F709" s="12" t="s">
        <v>268</v>
      </c>
      <c r="BP709" s="12" t="s">
        <v>4169</v>
      </c>
      <c r="BQ709" s="12" t="b">
        <v>0</v>
      </c>
      <c r="BS709" s="16" t="s">
        <v>5677</v>
      </c>
      <c r="BT709" s="12" t="b">
        <v>1</v>
      </c>
      <c r="BU709" s="12" t="s">
        <v>69</v>
      </c>
    </row>
    <row r="710">
      <c r="A710" s="12" t="s">
        <v>2448</v>
      </c>
      <c r="B710" s="12" t="s">
        <v>54</v>
      </c>
      <c r="C710" s="19">
        <v>46083.0</v>
      </c>
      <c r="F710" s="12" t="s">
        <v>1112</v>
      </c>
      <c r="G710" s="12" t="s">
        <v>1113</v>
      </c>
      <c r="H710" s="12">
        <v>1.0</v>
      </c>
      <c r="I710" s="17">
        <v>500.0</v>
      </c>
      <c r="J710" s="17">
        <v>500.0</v>
      </c>
      <c r="BO710" s="17">
        <v>500.0</v>
      </c>
      <c r="BR710" s="17">
        <v>500.0</v>
      </c>
      <c r="BU710" s="12" t="s">
        <v>191</v>
      </c>
      <c r="BV710" s="12" t="s">
        <v>78</v>
      </c>
    </row>
    <row r="711">
      <c r="A711" s="12" t="s">
        <v>3969</v>
      </c>
      <c r="B711" s="12" t="s">
        <v>54</v>
      </c>
      <c r="C711" s="14">
        <v>46084.0</v>
      </c>
      <c r="D711" s="12" t="s">
        <v>182</v>
      </c>
      <c r="E711" s="12" t="s">
        <v>4174</v>
      </c>
      <c r="F711" s="12" t="s">
        <v>4177</v>
      </c>
      <c r="BP711" s="12" t="s">
        <v>4175</v>
      </c>
      <c r="BQ711" s="12" t="b">
        <v>0</v>
      </c>
      <c r="BS711" s="16" t="s">
        <v>5686</v>
      </c>
      <c r="BT711" s="12" t="b">
        <v>1</v>
      </c>
      <c r="BU711" s="12" t="s">
        <v>69</v>
      </c>
    </row>
    <row r="712">
      <c r="A712" s="12" t="s">
        <v>3948</v>
      </c>
      <c r="B712" s="12" t="s">
        <v>54</v>
      </c>
      <c r="C712" s="14">
        <v>46083.0</v>
      </c>
      <c r="D712" s="12" t="s">
        <v>4182</v>
      </c>
      <c r="E712" s="12" t="s">
        <v>4185</v>
      </c>
      <c r="F712" s="12" t="s">
        <v>4187</v>
      </c>
      <c r="BP712" s="12" t="s">
        <v>4186</v>
      </c>
      <c r="BQ712" s="12" t="b">
        <v>0</v>
      </c>
      <c r="BS712" s="16" t="s">
        <v>5697</v>
      </c>
      <c r="BT712" s="12" t="b">
        <v>1</v>
      </c>
      <c r="BU712" s="12" t="s">
        <v>69</v>
      </c>
    </row>
    <row r="713">
      <c r="A713" s="12" t="s">
        <v>3954</v>
      </c>
      <c r="B713" s="12" t="s">
        <v>54</v>
      </c>
      <c r="C713" s="14">
        <v>46083.0</v>
      </c>
      <c r="D713" s="12" t="s">
        <v>4190</v>
      </c>
      <c r="E713" s="12" t="s">
        <v>4191</v>
      </c>
      <c r="F713" s="12" t="s">
        <v>4195</v>
      </c>
      <c r="BP713" s="12" t="s">
        <v>4194</v>
      </c>
      <c r="BQ713" s="12" t="b">
        <v>0</v>
      </c>
      <c r="BS713" s="16" t="s">
        <v>5704</v>
      </c>
      <c r="BT713" s="12" t="b">
        <v>1</v>
      </c>
      <c r="BU713" s="12" t="s">
        <v>69</v>
      </c>
    </row>
    <row r="714">
      <c r="A714" s="12" t="s">
        <v>3919</v>
      </c>
      <c r="B714" s="12" t="s">
        <v>54</v>
      </c>
      <c r="C714" s="14">
        <v>46080.0</v>
      </c>
      <c r="D714" s="12" t="s">
        <v>156</v>
      </c>
      <c r="E714" s="12" t="s">
        <v>4199</v>
      </c>
      <c r="F714" s="12" t="s">
        <v>4202</v>
      </c>
      <c r="BP714" s="12" t="s">
        <v>4201</v>
      </c>
      <c r="BQ714" s="12" t="b">
        <v>0</v>
      </c>
      <c r="BT714" s="12" t="b">
        <v>0</v>
      </c>
      <c r="BU714" s="12" t="s">
        <v>69</v>
      </c>
    </row>
    <row r="715">
      <c r="A715" s="12" t="s">
        <v>5712</v>
      </c>
      <c r="B715" s="12" t="s">
        <v>54</v>
      </c>
      <c r="C715" s="14">
        <v>46080.0</v>
      </c>
      <c r="D715" s="12" t="s">
        <v>156</v>
      </c>
      <c r="E715" s="12" t="s">
        <v>5713</v>
      </c>
      <c r="F715" s="12" t="s">
        <v>5715</v>
      </c>
      <c r="BP715" s="12" t="s">
        <v>5716</v>
      </c>
      <c r="BQ715" s="12" t="b">
        <v>0</v>
      </c>
      <c r="BT715" s="12" t="b">
        <v>0</v>
      </c>
      <c r="BU715" s="12" t="s">
        <v>69</v>
      </c>
      <c r="BW715" s="12" t="s">
        <v>5718</v>
      </c>
    </row>
    <row r="716">
      <c r="A716" s="12" t="s">
        <v>3925</v>
      </c>
      <c r="B716" s="12" t="s">
        <v>54</v>
      </c>
      <c r="C716" s="14">
        <v>46080.0</v>
      </c>
      <c r="D716" s="12" t="s">
        <v>556</v>
      </c>
      <c r="E716" s="12" t="s">
        <v>4213</v>
      </c>
      <c r="F716" s="12" t="s">
        <v>687</v>
      </c>
      <c r="BP716" s="12" t="s">
        <v>4215</v>
      </c>
      <c r="BQ716" s="12" t="b">
        <v>0</v>
      </c>
      <c r="BS716" s="16" t="s">
        <v>5721</v>
      </c>
      <c r="BT716" s="12" t="b">
        <v>1</v>
      </c>
      <c r="BU716" s="12" t="s">
        <v>1784</v>
      </c>
    </row>
    <row r="717">
      <c r="A717" s="12" t="s">
        <v>3975</v>
      </c>
      <c r="B717" s="12" t="s">
        <v>54</v>
      </c>
      <c r="C717" s="14">
        <v>46084.0</v>
      </c>
      <c r="D717" s="12" t="s">
        <v>156</v>
      </c>
      <c r="E717" s="12" t="s">
        <v>4218</v>
      </c>
      <c r="F717" s="12" t="s">
        <v>488</v>
      </c>
      <c r="BP717" s="12" t="s">
        <v>4219</v>
      </c>
      <c r="BQ717" s="12" t="b">
        <v>0</v>
      </c>
      <c r="BT717" s="12" t="b">
        <v>0</v>
      </c>
      <c r="BU717" s="12" t="s">
        <v>69</v>
      </c>
      <c r="BW717" s="12" t="s">
        <v>4221</v>
      </c>
    </row>
    <row r="718">
      <c r="A718" s="12" t="s">
        <v>5728</v>
      </c>
      <c r="B718" s="12" t="s">
        <v>54</v>
      </c>
      <c r="C718" s="14">
        <v>46084.0</v>
      </c>
      <c r="D718" s="12" t="s">
        <v>156</v>
      </c>
      <c r="E718" s="12" t="s">
        <v>4218</v>
      </c>
      <c r="F718" s="12" t="s">
        <v>488</v>
      </c>
      <c r="BP718" s="12" t="s">
        <v>5732</v>
      </c>
      <c r="BQ718" s="12" t="b">
        <v>0</v>
      </c>
      <c r="BT718" s="12" t="b">
        <v>0</v>
      </c>
      <c r="BU718" s="12" t="s">
        <v>69</v>
      </c>
      <c r="BW718" s="12" t="s">
        <v>5734</v>
      </c>
    </row>
    <row r="719">
      <c r="A719" s="12">
        <v>1394.0</v>
      </c>
      <c r="B719" s="12" t="s">
        <v>54</v>
      </c>
      <c r="C719" s="19">
        <v>46085.0</v>
      </c>
      <c r="F719" s="12" t="s">
        <v>1644</v>
      </c>
      <c r="G719" s="12" t="s">
        <v>1196</v>
      </c>
      <c r="H719" s="12">
        <v>1.0</v>
      </c>
      <c r="I719" s="17">
        <v>3500.0</v>
      </c>
      <c r="J719" s="17">
        <v>3500.0</v>
      </c>
      <c r="BO719" s="17">
        <v>3500.0</v>
      </c>
      <c r="BR719" s="17">
        <v>3500.0</v>
      </c>
      <c r="BU719" s="12" t="s">
        <v>621</v>
      </c>
      <c r="BV719" s="12" t="s">
        <v>727</v>
      </c>
    </row>
    <row r="720">
      <c r="A720" s="12">
        <v>1395.0</v>
      </c>
      <c r="B720" s="12" t="s">
        <v>54</v>
      </c>
      <c r="C720" s="19">
        <v>46085.0</v>
      </c>
      <c r="F720" s="12" t="s">
        <v>1884</v>
      </c>
      <c r="G720" s="12" t="s">
        <v>1196</v>
      </c>
      <c r="H720" s="12">
        <v>1.0</v>
      </c>
      <c r="I720" s="17">
        <v>1.0</v>
      </c>
      <c r="J720" s="17">
        <v>1.0</v>
      </c>
      <c r="BO720" s="17">
        <v>1.0</v>
      </c>
      <c r="BR720" s="17">
        <v>1.0</v>
      </c>
      <c r="BU720" s="12" t="s">
        <v>621</v>
      </c>
      <c r="BV720" s="12" t="s">
        <v>727</v>
      </c>
    </row>
    <row r="721">
      <c r="A721" s="12">
        <v>1396.0</v>
      </c>
      <c r="B721" s="12" t="s">
        <v>54</v>
      </c>
      <c r="C721" s="19">
        <v>46085.0</v>
      </c>
      <c r="F721" s="12" t="s">
        <v>1884</v>
      </c>
      <c r="G721" s="12" t="s">
        <v>1196</v>
      </c>
      <c r="H721" s="12">
        <v>1.0</v>
      </c>
      <c r="I721" s="17">
        <v>1.0</v>
      </c>
      <c r="J721" s="17">
        <v>1.0</v>
      </c>
      <c r="BO721" s="17">
        <v>1.0</v>
      </c>
      <c r="BR721" s="17">
        <v>1.0</v>
      </c>
      <c r="BU721" s="12" t="s">
        <v>621</v>
      </c>
      <c r="BV721" s="12" t="s">
        <v>1183</v>
      </c>
    </row>
    <row r="722">
      <c r="A722" s="12">
        <v>1397.0</v>
      </c>
      <c r="B722" s="12" t="s">
        <v>54</v>
      </c>
      <c r="C722" s="19">
        <v>46085.0</v>
      </c>
      <c r="F722" s="12" t="s">
        <v>1884</v>
      </c>
      <c r="G722" s="12" t="s">
        <v>1196</v>
      </c>
      <c r="H722" s="12">
        <v>1.0</v>
      </c>
      <c r="I722" s="17">
        <v>1.0</v>
      </c>
      <c r="J722" s="17">
        <v>1.0</v>
      </c>
      <c r="BO722" s="17">
        <v>1.0</v>
      </c>
      <c r="BR722" s="17">
        <v>1.0</v>
      </c>
      <c r="BU722" s="12" t="s">
        <v>621</v>
      </c>
      <c r="BV722" s="12" t="s">
        <v>62</v>
      </c>
    </row>
    <row r="723">
      <c r="A723" s="12">
        <v>1398.0</v>
      </c>
      <c r="B723" s="12" t="s">
        <v>54</v>
      </c>
      <c r="C723" s="19">
        <v>46085.0</v>
      </c>
      <c r="F723" s="12" t="s">
        <v>1884</v>
      </c>
      <c r="G723" s="12" t="s">
        <v>1196</v>
      </c>
      <c r="H723" s="12">
        <v>1.0</v>
      </c>
      <c r="I723" s="17">
        <v>1.0</v>
      </c>
      <c r="J723" s="17">
        <v>1.0</v>
      </c>
      <c r="BO723" s="17">
        <v>1.0</v>
      </c>
      <c r="BR723" s="17">
        <v>1.0</v>
      </c>
      <c r="BU723" s="12" t="s">
        <v>621</v>
      </c>
      <c r="BV723" s="12" t="s">
        <v>78</v>
      </c>
    </row>
    <row r="724">
      <c r="A724" s="12">
        <v>1399.0</v>
      </c>
      <c r="B724" s="12" t="s">
        <v>54</v>
      </c>
      <c r="C724" s="19">
        <v>46085.0</v>
      </c>
      <c r="F724" s="12" t="s">
        <v>1884</v>
      </c>
      <c r="G724" s="12" t="s">
        <v>1196</v>
      </c>
      <c r="H724" s="12">
        <v>1.0</v>
      </c>
      <c r="I724" s="17">
        <v>1.0</v>
      </c>
      <c r="J724" s="17">
        <v>1.0</v>
      </c>
      <c r="BO724" s="17">
        <v>1.0</v>
      </c>
      <c r="BR724" s="17">
        <v>1.0</v>
      </c>
      <c r="BU724" s="12" t="s">
        <v>621</v>
      </c>
      <c r="BV724" s="12" t="s">
        <v>1900</v>
      </c>
    </row>
    <row r="725">
      <c r="A725" s="12" t="s">
        <v>2459</v>
      </c>
      <c r="B725" s="12" t="s">
        <v>54</v>
      </c>
      <c r="C725" s="19">
        <v>46085.0</v>
      </c>
      <c r="D725" s="12" t="s">
        <v>156</v>
      </c>
      <c r="F725" s="12" t="s">
        <v>4241</v>
      </c>
      <c r="G725" s="12" t="s">
        <v>786</v>
      </c>
      <c r="H725" s="12">
        <v>1.0</v>
      </c>
      <c r="I725" s="17">
        <v>2341.92</v>
      </c>
      <c r="J725" s="17">
        <v>2341.92</v>
      </c>
      <c r="BO725" s="17">
        <v>2341.92</v>
      </c>
      <c r="BR725" s="17">
        <v>2341.92</v>
      </c>
      <c r="BU725" s="12" t="s">
        <v>621</v>
      </c>
    </row>
    <row r="726">
      <c r="A726" s="12">
        <v>1406.0</v>
      </c>
      <c r="B726" s="12" t="s">
        <v>54</v>
      </c>
      <c r="C726" s="19">
        <v>46085.0</v>
      </c>
      <c r="D726" s="12" t="s">
        <v>848</v>
      </c>
      <c r="F726" s="12" t="s">
        <v>1226</v>
      </c>
      <c r="G726" s="12" t="s">
        <v>852</v>
      </c>
      <c r="H726" s="12">
        <v>1.0</v>
      </c>
      <c r="I726" s="17">
        <v>4000.0</v>
      </c>
      <c r="J726" s="17">
        <v>4000.0</v>
      </c>
      <c r="BO726" s="17">
        <v>4000.0</v>
      </c>
      <c r="BR726" s="17">
        <v>4000.0</v>
      </c>
      <c r="BU726" s="12" t="s">
        <v>621</v>
      </c>
    </row>
    <row r="727">
      <c r="A727" s="12" t="s">
        <v>2465</v>
      </c>
      <c r="B727" s="12" t="s">
        <v>54</v>
      </c>
      <c r="C727" s="19">
        <v>46085.0</v>
      </c>
      <c r="F727" s="12" t="s">
        <v>4246</v>
      </c>
      <c r="G727" s="12" t="s">
        <v>1196</v>
      </c>
      <c r="H727" s="12">
        <v>1.0</v>
      </c>
      <c r="I727" s="17">
        <v>82.46</v>
      </c>
      <c r="J727" s="17">
        <v>82.46</v>
      </c>
      <c r="BO727" s="17">
        <v>82.46</v>
      </c>
      <c r="BR727" s="17">
        <v>82.46</v>
      </c>
      <c r="BU727" s="12" t="s">
        <v>191</v>
      </c>
      <c r="BV727" s="12" t="s">
        <v>1183</v>
      </c>
    </row>
    <row r="728">
      <c r="A728" s="12" t="s">
        <v>3982</v>
      </c>
      <c r="B728" s="12" t="s">
        <v>54</v>
      </c>
      <c r="C728" s="14">
        <v>46086.0</v>
      </c>
      <c r="D728" s="12" t="s">
        <v>375</v>
      </c>
      <c r="E728" s="12" t="s">
        <v>4250</v>
      </c>
      <c r="F728" s="12" t="s">
        <v>153</v>
      </c>
      <c r="BP728" s="12" t="s">
        <v>4252</v>
      </c>
      <c r="BQ728" s="12" t="b">
        <v>0</v>
      </c>
      <c r="BS728" s="16" t="s">
        <v>5788</v>
      </c>
      <c r="BT728" s="12" t="b">
        <v>1</v>
      </c>
      <c r="BU728" s="12" t="s">
        <v>69</v>
      </c>
    </row>
    <row r="729">
      <c r="A729" s="12" t="s">
        <v>3993</v>
      </c>
      <c r="B729" s="12" t="s">
        <v>54</v>
      </c>
      <c r="C729" s="14">
        <v>46086.0</v>
      </c>
      <c r="D729" s="12" t="s">
        <v>324</v>
      </c>
      <c r="E729" s="12" t="s">
        <v>4257</v>
      </c>
      <c r="F729" s="12" t="s">
        <v>4260</v>
      </c>
      <c r="BP729" s="12" t="s">
        <v>4259</v>
      </c>
      <c r="BQ729" s="12" t="b">
        <v>0</v>
      </c>
      <c r="BS729" s="16" t="s">
        <v>5797</v>
      </c>
      <c r="BT729" s="12" t="b">
        <v>1</v>
      </c>
      <c r="BU729" s="12" t="s">
        <v>69</v>
      </c>
    </row>
    <row r="730">
      <c r="A730" s="12" t="s">
        <v>4049</v>
      </c>
      <c r="B730" s="12" t="s">
        <v>54</v>
      </c>
      <c r="C730" s="14">
        <v>46087.0</v>
      </c>
      <c r="D730" s="12" t="s">
        <v>4263</v>
      </c>
      <c r="E730" s="12" t="s">
        <v>4264</v>
      </c>
      <c r="F730" s="12" t="s">
        <v>4266</v>
      </c>
      <c r="BP730" s="12" t="s">
        <v>4265</v>
      </c>
      <c r="BQ730" s="12" t="b">
        <v>0</v>
      </c>
      <c r="BS730" s="16" t="s">
        <v>5808</v>
      </c>
      <c r="BT730" s="12" t="b">
        <v>1</v>
      </c>
      <c r="BU730" s="12" t="s">
        <v>69</v>
      </c>
    </row>
    <row r="731">
      <c r="A731" s="12" t="s">
        <v>4052</v>
      </c>
      <c r="B731" s="12" t="s">
        <v>54</v>
      </c>
      <c r="C731" s="14">
        <v>46087.0</v>
      </c>
      <c r="D731" s="12" t="s">
        <v>4269</v>
      </c>
      <c r="E731" s="12" t="s">
        <v>4270</v>
      </c>
      <c r="F731" s="12" t="s">
        <v>4272</v>
      </c>
      <c r="BP731" s="12" t="s">
        <v>4271</v>
      </c>
      <c r="BQ731" s="12" t="b">
        <v>0</v>
      </c>
      <c r="BS731" s="16" t="s">
        <v>5814</v>
      </c>
      <c r="BT731" s="12" t="b">
        <v>1</v>
      </c>
      <c r="BU731" s="12" t="s">
        <v>69</v>
      </c>
    </row>
    <row r="732">
      <c r="A732" s="12" t="s">
        <v>4001</v>
      </c>
      <c r="B732" s="12" t="s">
        <v>54</v>
      </c>
      <c r="C732" s="14">
        <v>46086.0</v>
      </c>
      <c r="D732" s="12" t="s">
        <v>3425</v>
      </c>
      <c r="E732" s="12" t="s">
        <v>4275</v>
      </c>
      <c r="F732" s="12" t="s">
        <v>268</v>
      </c>
      <c r="BP732" s="12" t="s">
        <v>4277</v>
      </c>
      <c r="BQ732" s="12" t="b">
        <v>0</v>
      </c>
      <c r="BS732" s="16" t="s">
        <v>5820</v>
      </c>
      <c r="BT732" s="12" t="b">
        <v>1</v>
      </c>
      <c r="BU732" s="12" t="s">
        <v>69</v>
      </c>
    </row>
    <row r="733">
      <c r="A733" s="12" t="s">
        <v>4008</v>
      </c>
      <c r="B733" s="12" t="s">
        <v>54</v>
      </c>
      <c r="C733" s="14">
        <v>46086.0</v>
      </c>
      <c r="D733" s="12" t="s">
        <v>182</v>
      </c>
      <c r="E733" s="12" t="s">
        <v>4281</v>
      </c>
      <c r="F733" s="12" t="s">
        <v>268</v>
      </c>
      <c r="BP733" s="12" t="s">
        <v>4283</v>
      </c>
      <c r="BQ733" s="12" t="b">
        <v>0</v>
      </c>
      <c r="BS733" s="16" t="s">
        <v>5826</v>
      </c>
      <c r="BT733" s="12" t="b">
        <v>1</v>
      </c>
      <c r="BU733" s="12" t="s">
        <v>69</v>
      </c>
    </row>
    <row r="734">
      <c r="A734" s="12" t="s">
        <v>4013</v>
      </c>
      <c r="B734" s="12" t="s">
        <v>54</v>
      </c>
      <c r="C734" s="14">
        <v>46086.0</v>
      </c>
      <c r="D734" s="12" t="s">
        <v>220</v>
      </c>
      <c r="E734" s="12" t="s">
        <v>4287</v>
      </c>
      <c r="F734" s="12" t="s">
        <v>2814</v>
      </c>
      <c r="BP734" s="12" t="s">
        <v>4288</v>
      </c>
      <c r="BQ734" s="12" t="b">
        <v>0</v>
      </c>
      <c r="BS734" s="16" t="s">
        <v>5831</v>
      </c>
      <c r="BT734" s="12" t="b">
        <v>1</v>
      </c>
      <c r="BU734" s="12" t="s">
        <v>69</v>
      </c>
    </row>
    <row r="735">
      <c r="A735" s="12" t="s">
        <v>4054</v>
      </c>
      <c r="B735" s="12" t="s">
        <v>54</v>
      </c>
      <c r="C735" s="14">
        <v>46087.0</v>
      </c>
      <c r="D735" s="12" t="s">
        <v>4293</v>
      </c>
      <c r="E735" s="12" t="s">
        <v>4294</v>
      </c>
      <c r="F735" s="12" t="s">
        <v>4296</v>
      </c>
      <c r="BP735" s="12" t="s">
        <v>4295</v>
      </c>
      <c r="BQ735" s="12" t="b">
        <v>0</v>
      </c>
      <c r="BS735" s="16" t="s">
        <v>5836</v>
      </c>
      <c r="BT735" s="12" t="b">
        <v>1</v>
      </c>
      <c r="BU735" s="12" t="s">
        <v>69</v>
      </c>
    </row>
    <row r="736">
      <c r="A736" s="12" t="s">
        <v>4057</v>
      </c>
      <c r="B736" s="12" t="s">
        <v>54</v>
      </c>
      <c r="C736" s="14">
        <v>46087.0</v>
      </c>
      <c r="D736" s="12" t="s">
        <v>324</v>
      </c>
      <c r="E736" s="12" t="s">
        <v>4304</v>
      </c>
      <c r="F736" s="12" t="s">
        <v>4306</v>
      </c>
      <c r="BP736" s="12" t="s">
        <v>4305</v>
      </c>
      <c r="BQ736" s="12" t="b">
        <v>0</v>
      </c>
      <c r="BS736" s="16" t="s">
        <v>5841</v>
      </c>
      <c r="BT736" s="12" t="b">
        <v>1</v>
      </c>
      <c r="BU736" s="12" t="s">
        <v>69</v>
      </c>
    </row>
    <row r="737">
      <c r="A737" s="12" t="s">
        <v>4064</v>
      </c>
      <c r="B737" s="12" t="s">
        <v>54</v>
      </c>
      <c r="C737" s="14">
        <v>46088.0</v>
      </c>
      <c r="D737" s="12" t="s">
        <v>220</v>
      </c>
      <c r="E737" s="12" t="s">
        <v>4311</v>
      </c>
      <c r="F737" s="12" t="s">
        <v>4313</v>
      </c>
      <c r="BP737" s="12" t="s">
        <v>4312</v>
      </c>
      <c r="BQ737" s="12" t="b">
        <v>0</v>
      </c>
      <c r="BS737" s="16" t="s">
        <v>5849</v>
      </c>
      <c r="BT737" s="12" t="b">
        <v>1</v>
      </c>
      <c r="BU737" s="12" t="s">
        <v>69</v>
      </c>
    </row>
    <row r="738">
      <c r="A738" s="12" t="s">
        <v>4071</v>
      </c>
      <c r="B738" s="12" t="s">
        <v>54</v>
      </c>
      <c r="C738" s="14">
        <v>46088.0</v>
      </c>
      <c r="D738" s="12" t="s">
        <v>109</v>
      </c>
      <c r="E738" s="12" t="s">
        <v>4317</v>
      </c>
      <c r="F738" s="12" t="s">
        <v>687</v>
      </c>
      <c r="BP738" s="12" t="s">
        <v>4318</v>
      </c>
      <c r="BQ738" s="12" t="b">
        <v>0</v>
      </c>
      <c r="BS738" s="16" t="s">
        <v>5854</v>
      </c>
      <c r="BT738" s="12" t="b">
        <v>1</v>
      </c>
      <c r="BU738" s="12" t="s">
        <v>69</v>
      </c>
    </row>
    <row r="739">
      <c r="A739" s="12" t="s">
        <v>4073</v>
      </c>
      <c r="B739" s="12" t="s">
        <v>54</v>
      </c>
      <c r="C739" s="14">
        <v>46089.0</v>
      </c>
      <c r="D739" s="12" t="s">
        <v>532</v>
      </c>
      <c r="E739" s="12" t="s">
        <v>4321</v>
      </c>
      <c r="F739" s="12" t="s">
        <v>4324</v>
      </c>
      <c r="BP739" s="12" t="s">
        <v>4323</v>
      </c>
      <c r="BQ739" s="12" t="b">
        <v>0</v>
      </c>
      <c r="BS739" s="16" t="s">
        <v>5859</v>
      </c>
      <c r="BT739" s="12" t="b">
        <v>1</v>
      </c>
      <c r="BU739" s="12" t="s">
        <v>1784</v>
      </c>
    </row>
    <row r="740">
      <c r="A740" s="12" t="s">
        <v>4076</v>
      </c>
      <c r="B740" s="12" t="s">
        <v>54</v>
      </c>
      <c r="C740" s="14">
        <v>46089.0</v>
      </c>
      <c r="D740" s="12" t="s">
        <v>220</v>
      </c>
      <c r="E740" s="12" t="s">
        <v>4328</v>
      </c>
      <c r="F740" s="12" t="s">
        <v>1761</v>
      </c>
      <c r="BP740" s="12" t="s">
        <v>4329</v>
      </c>
      <c r="BQ740" s="12" t="b">
        <v>0</v>
      </c>
      <c r="BS740" s="16" t="s">
        <v>5865</v>
      </c>
      <c r="BT740" s="12" t="b">
        <v>1</v>
      </c>
      <c r="BU740" s="12" t="s">
        <v>69</v>
      </c>
    </row>
    <row r="741">
      <c r="A741" s="12" t="s">
        <v>4045</v>
      </c>
      <c r="B741" s="12" t="s">
        <v>54</v>
      </c>
      <c r="C741" s="14">
        <v>46086.0</v>
      </c>
      <c r="D741" s="12" t="s">
        <v>156</v>
      </c>
      <c r="E741" s="12" t="s">
        <v>4333</v>
      </c>
      <c r="F741" s="12" t="s">
        <v>3539</v>
      </c>
      <c r="BP741" s="12" t="s">
        <v>4334</v>
      </c>
      <c r="BQ741" s="12" t="b">
        <v>0</v>
      </c>
      <c r="BT741" s="12" t="b">
        <v>0</v>
      </c>
      <c r="BU741" s="12" t="s">
        <v>69</v>
      </c>
      <c r="BW741" s="12" t="s">
        <v>4336</v>
      </c>
    </row>
    <row r="742">
      <c r="A742" s="12" t="s">
        <v>5874</v>
      </c>
      <c r="B742" s="12" t="s">
        <v>54</v>
      </c>
      <c r="C742" s="14">
        <v>46086.0</v>
      </c>
      <c r="D742" s="12" t="s">
        <v>156</v>
      </c>
      <c r="E742" s="12" t="s">
        <v>5876</v>
      </c>
      <c r="F742" s="12" t="s">
        <v>254</v>
      </c>
      <c r="BP742" s="12" t="s">
        <v>5877</v>
      </c>
      <c r="BQ742" s="12" t="b">
        <v>0</v>
      </c>
      <c r="BT742" s="12" t="b">
        <v>0</v>
      </c>
      <c r="BU742" s="12" t="s">
        <v>69</v>
      </c>
      <c r="BW742" s="12" t="s">
        <v>5882</v>
      </c>
      <c r="BX742" s="12" t="s">
        <v>5883</v>
      </c>
    </row>
    <row r="743">
      <c r="A743" s="12" t="s">
        <v>4086</v>
      </c>
      <c r="B743" s="12" t="s">
        <v>54</v>
      </c>
      <c r="C743" s="14">
        <v>46090.0</v>
      </c>
      <c r="D743" s="12" t="s">
        <v>58</v>
      </c>
      <c r="E743" s="12" t="s">
        <v>4345</v>
      </c>
      <c r="F743" s="12" t="s">
        <v>1000</v>
      </c>
      <c r="BP743" s="12" t="s">
        <v>4347</v>
      </c>
      <c r="BQ743" s="12" t="b">
        <v>0</v>
      </c>
      <c r="BS743" s="16" t="s">
        <v>5887</v>
      </c>
      <c r="BT743" s="12" t="b">
        <v>1</v>
      </c>
      <c r="BU743" s="12" t="s">
        <v>69</v>
      </c>
    </row>
    <row r="744">
      <c r="A744" s="12" t="s">
        <v>4060</v>
      </c>
      <c r="B744" s="12" t="s">
        <v>54</v>
      </c>
      <c r="C744" s="14">
        <v>46087.0</v>
      </c>
      <c r="D744" s="12" t="s">
        <v>1371</v>
      </c>
      <c r="E744" s="12" t="s">
        <v>4350</v>
      </c>
      <c r="F744" s="12" t="s">
        <v>4352</v>
      </c>
      <c r="BP744" s="12" t="s">
        <v>4351</v>
      </c>
      <c r="BQ744" s="12" t="b">
        <v>0</v>
      </c>
      <c r="BS744" s="16" t="s">
        <v>5893</v>
      </c>
      <c r="BT744" s="12" t="b">
        <v>1</v>
      </c>
      <c r="BU744" s="12" t="s">
        <v>69</v>
      </c>
    </row>
    <row r="745">
      <c r="A745" s="12" t="s">
        <v>4090</v>
      </c>
      <c r="B745" s="12" t="s">
        <v>54</v>
      </c>
      <c r="C745" s="14">
        <v>46090.0</v>
      </c>
      <c r="D745" s="12" t="s">
        <v>175</v>
      </c>
      <c r="E745" s="12" t="s">
        <v>4359</v>
      </c>
      <c r="F745" s="12" t="s">
        <v>4362</v>
      </c>
      <c r="BP745" s="12" t="s">
        <v>4361</v>
      </c>
      <c r="BQ745" s="12" t="b">
        <v>0</v>
      </c>
      <c r="BS745" s="16" t="s">
        <v>5900</v>
      </c>
      <c r="BT745" s="12" t="b">
        <v>1</v>
      </c>
      <c r="BU745" s="12" t="s">
        <v>69</v>
      </c>
    </row>
    <row r="746">
      <c r="A746" s="12" t="s">
        <v>4093</v>
      </c>
      <c r="B746" s="12" t="s">
        <v>54</v>
      </c>
      <c r="C746" s="14">
        <v>46090.0</v>
      </c>
      <c r="D746" s="12" t="s">
        <v>220</v>
      </c>
      <c r="E746" s="12" t="s">
        <v>4368</v>
      </c>
      <c r="F746" s="12" t="s">
        <v>4370</v>
      </c>
      <c r="BP746" s="12" t="s">
        <v>4369</v>
      </c>
      <c r="BQ746" s="12" t="b">
        <v>0</v>
      </c>
      <c r="BS746" s="16" t="s">
        <v>5908</v>
      </c>
      <c r="BT746" s="12" t="b">
        <v>1</v>
      </c>
      <c r="BU746" s="12" t="s">
        <v>69</v>
      </c>
    </row>
    <row r="747">
      <c r="A747" s="12">
        <v>1422.0</v>
      </c>
      <c r="B747" s="12" t="s">
        <v>54</v>
      </c>
      <c r="C747" s="19">
        <v>46090.0</v>
      </c>
      <c r="D747" s="12" t="s">
        <v>1668</v>
      </c>
      <c r="F747" s="12" t="s">
        <v>1671</v>
      </c>
      <c r="G747" s="12" t="s">
        <v>874</v>
      </c>
      <c r="H747" s="12">
        <v>1.0</v>
      </c>
      <c r="I747" s="17">
        <v>125.0</v>
      </c>
      <c r="J747" s="17">
        <v>125.0</v>
      </c>
      <c r="BO747" s="17">
        <v>125.0</v>
      </c>
      <c r="BR747" s="17">
        <v>125.0</v>
      </c>
      <c r="BU747" s="12" t="s">
        <v>621</v>
      </c>
    </row>
    <row r="748">
      <c r="A748" s="12" t="s">
        <v>4098</v>
      </c>
      <c r="B748" s="12" t="s">
        <v>54</v>
      </c>
      <c r="C748" s="14">
        <v>46091.0</v>
      </c>
      <c r="D748" s="12" t="s">
        <v>324</v>
      </c>
      <c r="E748" s="12" t="s">
        <v>4376</v>
      </c>
      <c r="F748" s="12" t="s">
        <v>1761</v>
      </c>
      <c r="BP748" s="12" t="s">
        <v>4377</v>
      </c>
      <c r="BQ748" s="12" t="b">
        <v>0</v>
      </c>
      <c r="BS748" s="16" t="s">
        <v>5919</v>
      </c>
      <c r="BT748" s="12" t="b">
        <v>1</v>
      </c>
      <c r="BU748" s="12" t="s">
        <v>69</v>
      </c>
    </row>
    <row r="749">
      <c r="A749" s="12" t="s">
        <v>4109</v>
      </c>
      <c r="B749" s="12" t="s">
        <v>54</v>
      </c>
      <c r="C749" s="14">
        <v>46091.0</v>
      </c>
      <c r="D749" s="12" t="s">
        <v>175</v>
      </c>
      <c r="E749" s="12" t="s">
        <v>4381</v>
      </c>
      <c r="F749" s="12" t="s">
        <v>4384</v>
      </c>
      <c r="BP749" s="12" t="s">
        <v>4382</v>
      </c>
      <c r="BQ749" s="12" t="b">
        <v>0</v>
      </c>
      <c r="BS749" s="16" t="s">
        <v>5924</v>
      </c>
      <c r="BT749" s="12" t="b">
        <v>1</v>
      </c>
      <c r="BU749" s="12" t="s">
        <v>69</v>
      </c>
    </row>
    <row r="750">
      <c r="A750" s="12" t="s">
        <v>5928</v>
      </c>
      <c r="B750" s="12" t="s">
        <v>54</v>
      </c>
      <c r="C750" s="14">
        <v>46091.0</v>
      </c>
      <c r="D750" s="12" t="s">
        <v>418</v>
      </c>
      <c r="E750" s="12" t="s">
        <v>5930</v>
      </c>
      <c r="F750" s="12" t="s">
        <v>423</v>
      </c>
      <c r="BP750" s="12" t="s">
        <v>5932</v>
      </c>
      <c r="BQ750" s="12" t="b">
        <v>0</v>
      </c>
      <c r="BT750" s="12" t="b">
        <v>0</v>
      </c>
      <c r="BU750" s="12" t="s">
        <v>69</v>
      </c>
    </row>
    <row r="751">
      <c r="A751" s="12" t="s">
        <v>4112</v>
      </c>
      <c r="B751" s="12" t="s">
        <v>54</v>
      </c>
      <c r="C751" s="14">
        <v>46091.0</v>
      </c>
      <c r="D751" s="12" t="s">
        <v>1103</v>
      </c>
      <c r="E751" s="12" t="s">
        <v>4391</v>
      </c>
      <c r="F751" s="12" t="s">
        <v>153</v>
      </c>
      <c r="BP751" s="12" t="s">
        <v>4392</v>
      </c>
      <c r="BQ751" s="12" t="b">
        <v>0</v>
      </c>
      <c r="BS751" s="16" t="s">
        <v>5937</v>
      </c>
      <c r="BT751" s="12" t="b">
        <v>1</v>
      </c>
      <c r="BU751" s="12" t="s">
        <v>69</v>
      </c>
    </row>
    <row r="752">
      <c r="A752" s="12">
        <v>1424.0</v>
      </c>
      <c r="B752" s="12" t="s">
        <v>54</v>
      </c>
      <c r="C752" s="19">
        <v>46091.0</v>
      </c>
      <c r="D752" s="12" t="s">
        <v>897</v>
      </c>
      <c r="F752" s="12" t="s">
        <v>909</v>
      </c>
      <c r="G752" s="12" t="s">
        <v>911</v>
      </c>
      <c r="H752" s="12">
        <v>1.0</v>
      </c>
      <c r="I752" s="17">
        <v>0.0</v>
      </c>
      <c r="J752" s="17">
        <v>0.0</v>
      </c>
      <c r="BO752" s="17">
        <v>0.0</v>
      </c>
      <c r="BR752" s="17">
        <v>0.0</v>
      </c>
      <c r="BU752" s="12" t="s">
        <v>621</v>
      </c>
    </row>
    <row r="753">
      <c r="A753" s="12">
        <v>1425.0</v>
      </c>
      <c r="B753" s="12" t="s">
        <v>54</v>
      </c>
      <c r="C753" s="19">
        <v>46091.0</v>
      </c>
      <c r="D753" s="12" t="s">
        <v>933</v>
      </c>
      <c r="F753" s="12" t="s">
        <v>1346</v>
      </c>
      <c r="G753" s="12" t="s">
        <v>936</v>
      </c>
      <c r="H753" s="12">
        <v>1.0</v>
      </c>
      <c r="I753" s="17">
        <v>533.95</v>
      </c>
      <c r="J753" s="17">
        <v>533.95</v>
      </c>
      <c r="BO753" s="17">
        <v>533.95</v>
      </c>
      <c r="BR753" s="17">
        <v>533.95</v>
      </c>
      <c r="BU753" s="12" t="s">
        <v>621</v>
      </c>
    </row>
    <row r="754">
      <c r="A754" s="12" t="s">
        <v>2479</v>
      </c>
      <c r="B754" s="12" t="s">
        <v>54</v>
      </c>
      <c r="C754" s="19">
        <v>46091.0</v>
      </c>
      <c r="D754" s="12" t="s">
        <v>1715</v>
      </c>
      <c r="F754" s="12" t="s">
        <v>3036</v>
      </c>
      <c r="G754" s="12" t="s">
        <v>1936</v>
      </c>
      <c r="H754" s="12">
        <v>1.0</v>
      </c>
      <c r="I754" s="17">
        <v>677.37</v>
      </c>
      <c r="J754" s="17">
        <v>677.37</v>
      </c>
      <c r="BO754" s="17">
        <v>677.37</v>
      </c>
      <c r="BR754" s="17">
        <v>677.37</v>
      </c>
      <c r="BU754" s="12" t="s">
        <v>621</v>
      </c>
    </row>
    <row r="755">
      <c r="A755" s="12" t="s">
        <v>4124</v>
      </c>
      <c r="B755" s="12" t="s">
        <v>54</v>
      </c>
      <c r="C755" s="14">
        <v>46092.0</v>
      </c>
      <c r="D755" s="12" t="s">
        <v>2163</v>
      </c>
      <c r="E755" s="12" t="s">
        <v>4405</v>
      </c>
      <c r="F755" s="12" t="s">
        <v>4408</v>
      </c>
      <c r="BP755" s="12" t="s">
        <v>4407</v>
      </c>
      <c r="BQ755" s="12" t="b">
        <v>0</v>
      </c>
      <c r="BS755" s="16" t="s">
        <v>5955</v>
      </c>
      <c r="BT755" s="12" t="b">
        <v>1</v>
      </c>
      <c r="BU755" s="12" t="s">
        <v>69</v>
      </c>
    </row>
    <row r="756">
      <c r="A756" s="12" t="s">
        <v>4132</v>
      </c>
      <c r="B756" s="12" t="s">
        <v>54</v>
      </c>
      <c r="C756" s="14">
        <v>46093.0</v>
      </c>
      <c r="D756" s="12" t="s">
        <v>4411</v>
      </c>
      <c r="E756" s="12" t="s">
        <v>4412</v>
      </c>
      <c r="F756" s="12" t="s">
        <v>4416</v>
      </c>
      <c r="BP756" s="12" t="s">
        <v>4414</v>
      </c>
      <c r="BQ756" s="12" t="b">
        <v>0</v>
      </c>
      <c r="BS756" s="16" t="s">
        <v>5963</v>
      </c>
      <c r="BT756" s="12" t="b">
        <v>1</v>
      </c>
      <c r="BU756" s="12" t="s">
        <v>69</v>
      </c>
    </row>
    <row r="757">
      <c r="A757" s="12" t="s">
        <v>2482</v>
      </c>
      <c r="B757" s="12" t="s">
        <v>54</v>
      </c>
      <c r="C757" s="19">
        <v>46093.0</v>
      </c>
      <c r="D757" s="12" t="s">
        <v>4420</v>
      </c>
      <c r="F757" s="12" t="s">
        <v>4421</v>
      </c>
      <c r="G757" s="12" t="s">
        <v>1756</v>
      </c>
      <c r="H757" s="12">
        <v>1.0</v>
      </c>
      <c r="I757" s="17">
        <v>801.21</v>
      </c>
      <c r="J757" s="17">
        <v>801.21</v>
      </c>
      <c r="BO757" s="17">
        <v>801.21</v>
      </c>
      <c r="BR757" s="17">
        <v>801.21</v>
      </c>
      <c r="BU757" s="12" t="s">
        <v>621</v>
      </c>
    </row>
    <row r="758">
      <c r="A758" s="12" t="s">
        <v>2486</v>
      </c>
      <c r="B758" s="12" t="s">
        <v>54</v>
      </c>
      <c r="C758" s="19">
        <v>46093.0</v>
      </c>
      <c r="D758" s="12" t="s">
        <v>4420</v>
      </c>
      <c r="F758" s="12" t="s">
        <v>545</v>
      </c>
      <c r="G758" s="12" t="s">
        <v>1318</v>
      </c>
      <c r="H758" s="12">
        <v>1.0</v>
      </c>
      <c r="I758" s="17">
        <v>1052.47</v>
      </c>
      <c r="J758" s="17">
        <v>1052.47</v>
      </c>
      <c r="BO758" s="17">
        <v>1052.47</v>
      </c>
      <c r="BR758" s="17">
        <v>1052.47</v>
      </c>
      <c r="BU758" s="12" t="s">
        <v>621</v>
      </c>
    </row>
    <row r="759">
      <c r="A759" s="12" t="s">
        <v>4156</v>
      </c>
      <c r="B759" s="12" t="s">
        <v>54</v>
      </c>
      <c r="C759" s="14">
        <v>46094.0</v>
      </c>
      <c r="D759" s="12" t="s">
        <v>1103</v>
      </c>
      <c r="E759" s="12" t="s">
        <v>4425</v>
      </c>
      <c r="F759" s="12" t="s">
        <v>4428</v>
      </c>
      <c r="BP759" s="12" t="s">
        <v>4427</v>
      </c>
      <c r="BQ759" s="12" t="b">
        <v>0</v>
      </c>
      <c r="BS759" s="16" t="s">
        <v>5977</v>
      </c>
      <c r="BT759" s="12" t="b">
        <v>1</v>
      </c>
      <c r="BU759" s="12" t="s">
        <v>69</v>
      </c>
    </row>
    <row r="760">
      <c r="A760" s="12" t="s">
        <v>4163</v>
      </c>
      <c r="B760" s="12" t="s">
        <v>54</v>
      </c>
      <c r="C760" s="14">
        <v>46094.0</v>
      </c>
      <c r="D760" s="12" t="s">
        <v>109</v>
      </c>
      <c r="E760" s="12" t="s">
        <v>4430</v>
      </c>
      <c r="F760" s="12" t="s">
        <v>4433</v>
      </c>
      <c r="BP760" s="12" t="s">
        <v>4432</v>
      </c>
      <c r="BQ760" s="12" t="b">
        <v>0</v>
      </c>
      <c r="BS760" s="16" t="s">
        <v>5987</v>
      </c>
      <c r="BT760" s="12" t="b">
        <v>1</v>
      </c>
      <c r="BU760" s="12" t="s">
        <v>69</v>
      </c>
    </row>
    <row r="761">
      <c r="A761" s="12" t="s">
        <v>4180</v>
      </c>
      <c r="B761" s="12" t="s">
        <v>54</v>
      </c>
      <c r="C761" s="14">
        <v>46096.0</v>
      </c>
      <c r="D761" s="12" t="s">
        <v>77</v>
      </c>
      <c r="E761" s="12" t="s">
        <v>4437</v>
      </c>
      <c r="F761" s="12" t="s">
        <v>4440</v>
      </c>
      <c r="BP761" s="12" t="s">
        <v>4439</v>
      </c>
      <c r="BQ761" s="12" t="b">
        <v>0</v>
      </c>
      <c r="BS761" s="16" t="s">
        <v>5992</v>
      </c>
      <c r="BT761" s="12" t="b">
        <v>1</v>
      </c>
      <c r="BU761" s="12" t="s">
        <v>69</v>
      </c>
    </row>
    <row r="762">
      <c r="A762" s="12" t="s">
        <v>4166</v>
      </c>
      <c r="B762" s="12" t="s">
        <v>54</v>
      </c>
      <c r="C762" s="14">
        <v>46094.0</v>
      </c>
      <c r="D762" s="12" t="s">
        <v>220</v>
      </c>
      <c r="E762" s="12" t="s">
        <v>4445</v>
      </c>
      <c r="F762" s="12" t="s">
        <v>2814</v>
      </c>
      <c r="BP762" s="12" t="s">
        <v>4447</v>
      </c>
      <c r="BQ762" s="12" t="b">
        <v>0</v>
      </c>
      <c r="BS762" s="16" t="s">
        <v>5998</v>
      </c>
      <c r="BT762" s="12" t="b">
        <v>1</v>
      </c>
      <c r="BU762" s="12" t="s">
        <v>69</v>
      </c>
    </row>
    <row r="763">
      <c r="A763" s="12" t="s">
        <v>4134</v>
      </c>
      <c r="B763" s="12" t="s">
        <v>54</v>
      </c>
      <c r="C763" s="14">
        <v>46093.0</v>
      </c>
      <c r="D763" s="12" t="s">
        <v>220</v>
      </c>
      <c r="E763" s="12" t="s">
        <v>4455</v>
      </c>
      <c r="F763" s="12" t="s">
        <v>268</v>
      </c>
      <c r="BP763" s="12" t="s">
        <v>4456</v>
      </c>
      <c r="BQ763" s="12" t="b">
        <v>0</v>
      </c>
      <c r="BS763" s="16" t="s">
        <v>6003</v>
      </c>
      <c r="BT763" s="12" t="b">
        <v>1</v>
      </c>
      <c r="BU763" s="12" t="s">
        <v>69</v>
      </c>
    </row>
    <row r="764">
      <c r="A764" s="12">
        <v>1375.0</v>
      </c>
      <c r="B764" s="12" t="s">
        <v>54</v>
      </c>
      <c r="C764" s="19">
        <v>46097.0</v>
      </c>
      <c r="D764" s="12" t="s">
        <v>156</v>
      </c>
      <c r="F764" s="12" t="s">
        <v>1905</v>
      </c>
      <c r="G764" s="12" t="s">
        <v>1082</v>
      </c>
      <c r="H764" s="12">
        <v>1.0</v>
      </c>
      <c r="I764" s="17">
        <v>625.0</v>
      </c>
      <c r="J764" s="17">
        <v>625.0</v>
      </c>
      <c r="BO764" s="17">
        <v>625.0</v>
      </c>
      <c r="BR764" s="17">
        <v>625.0</v>
      </c>
      <c r="BU764" s="12" t="s">
        <v>621</v>
      </c>
    </row>
    <row r="765">
      <c r="A765" s="12">
        <v>1376.0</v>
      </c>
      <c r="B765" s="12" t="s">
        <v>54</v>
      </c>
      <c r="C765" s="19">
        <v>46097.0</v>
      </c>
      <c r="D765" s="12" t="s">
        <v>156</v>
      </c>
      <c r="F765" s="12" t="s">
        <v>4461</v>
      </c>
      <c r="G765" s="12" t="s">
        <v>1906</v>
      </c>
      <c r="H765" s="12">
        <v>1.0</v>
      </c>
      <c r="I765" s="17">
        <v>375.0</v>
      </c>
      <c r="J765" s="17">
        <v>375.0</v>
      </c>
      <c r="BO765" s="17">
        <v>375.0</v>
      </c>
      <c r="BR765" s="17">
        <v>375.0</v>
      </c>
      <c r="BU765" s="12" t="s">
        <v>621</v>
      </c>
    </row>
    <row r="766">
      <c r="A766" s="12">
        <v>1377.0</v>
      </c>
      <c r="B766" s="12" t="s">
        <v>54</v>
      </c>
      <c r="C766" s="19">
        <v>46097.0</v>
      </c>
      <c r="D766" s="12" t="s">
        <v>1914</v>
      </c>
      <c r="F766" s="12" t="s">
        <v>1916</v>
      </c>
      <c r="G766" s="12" t="s">
        <v>1908</v>
      </c>
      <c r="H766" s="12">
        <v>1.0</v>
      </c>
      <c r="I766" s="17">
        <v>1110.0</v>
      </c>
      <c r="J766" s="17">
        <v>1110.0</v>
      </c>
      <c r="BO766" s="17">
        <v>1110.0</v>
      </c>
      <c r="BR766" s="17">
        <v>1110.0</v>
      </c>
      <c r="BU766" s="12" t="s">
        <v>621</v>
      </c>
    </row>
    <row r="767">
      <c r="A767" s="12">
        <v>1432.0</v>
      </c>
      <c r="B767" s="12" t="s">
        <v>54</v>
      </c>
      <c r="C767" s="19">
        <v>46097.0</v>
      </c>
      <c r="D767" s="12" t="s">
        <v>689</v>
      </c>
      <c r="F767" s="12" t="s">
        <v>959</v>
      </c>
      <c r="G767" s="12" t="s">
        <v>693</v>
      </c>
      <c r="H767" s="12">
        <v>1.0</v>
      </c>
      <c r="I767" s="17">
        <v>5000.0</v>
      </c>
      <c r="J767" s="17">
        <v>5000.0</v>
      </c>
      <c r="BO767" s="17">
        <v>5000.0</v>
      </c>
      <c r="BR767" s="17">
        <v>5000.0</v>
      </c>
      <c r="BU767" s="12" t="s">
        <v>621</v>
      </c>
    </row>
    <row r="768">
      <c r="A768" s="12" t="s">
        <v>2497</v>
      </c>
      <c r="B768" s="12" t="s">
        <v>54</v>
      </c>
      <c r="C768" s="19">
        <v>46097.0</v>
      </c>
      <c r="D768" s="12" t="s">
        <v>156</v>
      </c>
      <c r="F768" s="12" t="s">
        <v>4469</v>
      </c>
      <c r="G768" s="12" t="s">
        <v>786</v>
      </c>
      <c r="H768" s="12">
        <v>1.0</v>
      </c>
      <c r="I768" s="17">
        <v>1206.96</v>
      </c>
      <c r="J768" s="17">
        <v>1206.96</v>
      </c>
      <c r="BO768" s="17">
        <v>1206.96</v>
      </c>
      <c r="BR768" s="17">
        <v>1206.96</v>
      </c>
      <c r="BU768" s="12" t="s">
        <v>621</v>
      </c>
    </row>
    <row r="769">
      <c r="A769" s="12">
        <v>1440.0</v>
      </c>
      <c r="B769" s="12" t="s">
        <v>54</v>
      </c>
      <c r="C769" s="19">
        <v>46097.0</v>
      </c>
      <c r="D769" s="12" t="s">
        <v>1067</v>
      </c>
      <c r="F769" s="12" t="s">
        <v>1068</v>
      </c>
      <c r="G769" s="12" t="s">
        <v>741</v>
      </c>
      <c r="H769" s="12">
        <v>1.0</v>
      </c>
      <c r="I769" s="17">
        <v>837.41</v>
      </c>
      <c r="J769" s="17">
        <v>837.41</v>
      </c>
      <c r="BO769" s="17">
        <v>837.41</v>
      </c>
      <c r="BR769" s="17">
        <v>837.41</v>
      </c>
      <c r="BU769" s="12" t="s">
        <v>621</v>
      </c>
    </row>
    <row r="770">
      <c r="A770" s="12" t="s">
        <v>4129</v>
      </c>
      <c r="B770" s="12" t="s">
        <v>54</v>
      </c>
      <c r="C770" s="14">
        <v>46092.0</v>
      </c>
      <c r="D770" s="12" t="s">
        <v>556</v>
      </c>
      <c r="E770" s="12" t="s">
        <v>4475</v>
      </c>
      <c r="F770" s="12" t="s">
        <v>859</v>
      </c>
      <c r="BP770" s="12" t="s">
        <v>4476</v>
      </c>
      <c r="BQ770" s="12" t="b">
        <v>0</v>
      </c>
      <c r="BS770" s="16" t="s">
        <v>6034</v>
      </c>
      <c r="BT770" s="12" t="b">
        <v>1</v>
      </c>
      <c r="BU770" s="12" t="s">
        <v>69</v>
      </c>
    </row>
    <row r="771">
      <c r="A771" s="12" t="s">
        <v>4198</v>
      </c>
      <c r="B771" s="12" t="s">
        <v>54</v>
      </c>
      <c r="C771" s="14">
        <v>46098.0</v>
      </c>
      <c r="D771" s="12" t="s">
        <v>175</v>
      </c>
      <c r="E771" s="12" t="s">
        <v>4481</v>
      </c>
      <c r="F771" s="12" t="s">
        <v>2402</v>
      </c>
      <c r="BP771" s="12" t="s">
        <v>4482</v>
      </c>
      <c r="BQ771" s="12" t="b">
        <v>0</v>
      </c>
      <c r="BS771" s="16" t="s">
        <v>6041</v>
      </c>
      <c r="BT771" s="12" t="b">
        <v>1</v>
      </c>
      <c r="BU771" s="12" t="s">
        <v>69</v>
      </c>
    </row>
    <row r="772">
      <c r="A772" s="12" t="s">
        <v>4193</v>
      </c>
      <c r="B772" s="12" t="s">
        <v>54</v>
      </c>
      <c r="C772" s="14">
        <v>46097.0</v>
      </c>
      <c r="D772" s="12" t="s">
        <v>182</v>
      </c>
      <c r="E772" s="12" t="s">
        <v>4487</v>
      </c>
      <c r="F772" s="12" t="s">
        <v>2297</v>
      </c>
      <c r="BP772" s="12" t="s">
        <v>4488</v>
      </c>
      <c r="BQ772" s="12" t="b">
        <v>0</v>
      </c>
      <c r="BS772" s="16" t="s">
        <v>6050</v>
      </c>
      <c r="BT772" s="12" t="b">
        <v>1</v>
      </c>
      <c r="BU772" s="12" t="s">
        <v>69</v>
      </c>
    </row>
    <row r="773">
      <c r="A773" s="12" t="s">
        <v>4232</v>
      </c>
      <c r="B773" s="12" t="s">
        <v>54</v>
      </c>
      <c r="C773" s="14">
        <v>46099.0</v>
      </c>
      <c r="D773" s="12" t="s">
        <v>355</v>
      </c>
      <c r="E773" s="12" t="s">
        <v>4494</v>
      </c>
      <c r="F773" s="12" t="s">
        <v>3683</v>
      </c>
      <c r="BP773" s="12" t="s">
        <v>4495</v>
      </c>
      <c r="BQ773" s="12" t="b">
        <v>0</v>
      </c>
      <c r="BS773" s="16" t="s">
        <v>6058</v>
      </c>
      <c r="BT773" s="12" t="b">
        <v>1</v>
      </c>
      <c r="BU773" s="12" t="s">
        <v>69</v>
      </c>
    </row>
    <row r="774">
      <c r="A774" s="12" t="s">
        <v>4239</v>
      </c>
      <c r="B774" s="12" t="s">
        <v>54</v>
      </c>
      <c r="C774" s="14">
        <v>46099.0</v>
      </c>
      <c r="D774" s="12" t="s">
        <v>1769</v>
      </c>
      <c r="E774" s="12" t="s">
        <v>4498</v>
      </c>
      <c r="F774" s="12" t="s">
        <v>4501</v>
      </c>
      <c r="BP774" s="12" t="s">
        <v>4499</v>
      </c>
      <c r="BQ774" s="12" t="b">
        <v>0</v>
      </c>
      <c r="BS774" s="16" t="s">
        <v>6063</v>
      </c>
      <c r="BT774" s="12" t="b">
        <v>1</v>
      </c>
      <c r="BU774" s="12" t="s">
        <v>69</v>
      </c>
    </row>
    <row r="775">
      <c r="A775" s="12" t="s">
        <v>4205</v>
      </c>
      <c r="B775" s="12" t="s">
        <v>54</v>
      </c>
      <c r="C775" s="14">
        <v>46098.0</v>
      </c>
      <c r="D775" s="12" t="s">
        <v>156</v>
      </c>
      <c r="E775" s="12" t="s">
        <v>4505</v>
      </c>
      <c r="F775" s="12" t="s">
        <v>488</v>
      </c>
      <c r="BP775" s="12" t="s">
        <v>4507</v>
      </c>
      <c r="BQ775" s="12" t="b">
        <v>0</v>
      </c>
      <c r="BT775" s="12" t="b">
        <v>0</v>
      </c>
      <c r="BU775" s="12" t="s">
        <v>69</v>
      </c>
      <c r="BW775" s="12" t="s">
        <v>4510</v>
      </c>
    </row>
    <row r="776">
      <c r="A776" s="12" t="s">
        <v>6067</v>
      </c>
      <c r="B776" s="12" t="s">
        <v>54</v>
      </c>
      <c r="C776" s="14">
        <v>46098.0</v>
      </c>
      <c r="D776" s="12" t="s">
        <v>156</v>
      </c>
      <c r="E776" s="12" t="s">
        <v>4505</v>
      </c>
      <c r="F776" s="12" t="s">
        <v>488</v>
      </c>
      <c r="BP776" s="12" t="s">
        <v>6070</v>
      </c>
      <c r="BQ776" s="12" t="b">
        <v>0</v>
      </c>
      <c r="BT776" s="12" t="b">
        <v>0</v>
      </c>
      <c r="BU776" s="12" t="s">
        <v>69</v>
      </c>
      <c r="BW776" s="12" t="s">
        <v>6072</v>
      </c>
    </row>
    <row r="777">
      <c r="A777" s="12" t="s">
        <v>2504</v>
      </c>
      <c r="B777" s="12" t="s">
        <v>54</v>
      </c>
      <c r="C777" s="19">
        <v>46099.0</v>
      </c>
      <c r="D777" s="12" t="s">
        <v>156</v>
      </c>
      <c r="F777" s="12" t="s">
        <v>4516</v>
      </c>
      <c r="G777" s="12" t="s">
        <v>1236</v>
      </c>
      <c r="H777" s="12">
        <v>1.0</v>
      </c>
      <c r="I777" s="17">
        <v>1687.01</v>
      </c>
      <c r="J777" s="17">
        <v>1687.01</v>
      </c>
      <c r="BO777" s="17">
        <v>1687.01</v>
      </c>
      <c r="BR777" s="17">
        <v>1687.01</v>
      </c>
      <c r="BU777" s="12" t="s">
        <v>621</v>
      </c>
    </row>
    <row r="778">
      <c r="A778" s="12" t="s">
        <v>2507</v>
      </c>
      <c r="B778" s="12" t="s">
        <v>54</v>
      </c>
      <c r="C778" s="19">
        <v>46099.0</v>
      </c>
      <c r="D778" s="12" t="s">
        <v>156</v>
      </c>
      <c r="F778" s="12" t="s">
        <v>4521</v>
      </c>
      <c r="G778" s="12" t="s">
        <v>1236</v>
      </c>
      <c r="H778" s="12">
        <v>1.0</v>
      </c>
      <c r="I778" s="17">
        <v>280.66</v>
      </c>
      <c r="J778" s="17">
        <v>280.66</v>
      </c>
      <c r="BO778" s="17">
        <v>280.66</v>
      </c>
      <c r="BR778" s="17">
        <v>280.66</v>
      </c>
      <c r="BU778" s="12" t="s">
        <v>621</v>
      </c>
    </row>
    <row r="779">
      <c r="A779" s="12" t="s">
        <v>2512</v>
      </c>
      <c r="B779" s="12" t="s">
        <v>54</v>
      </c>
      <c r="C779" s="19">
        <v>46099.0</v>
      </c>
      <c r="D779" s="12" t="s">
        <v>912</v>
      </c>
      <c r="F779" s="12" t="s">
        <v>4523</v>
      </c>
      <c r="G779" s="12" t="s">
        <v>786</v>
      </c>
      <c r="H779" s="12">
        <v>1.0</v>
      </c>
      <c r="I779" s="17">
        <v>1270.0</v>
      </c>
      <c r="J779" s="17">
        <v>1270.0</v>
      </c>
      <c r="BO779" s="17">
        <v>1270.0</v>
      </c>
      <c r="BR779" s="17">
        <v>1270.0</v>
      </c>
      <c r="BU779" s="12" t="s">
        <v>621</v>
      </c>
    </row>
    <row r="780">
      <c r="A780" s="12" t="s">
        <v>2517</v>
      </c>
      <c r="B780" s="12" t="s">
        <v>54</v>
      </c>
      <c r="C780" s="19">
        <v>46099.0</v>
      </c>
      <c r="D780" s="12" t="s">
        <v>156</v>
      </c>
      <c r="F780" s="12" t="s">
        <v>4527</v>
      </c>
      <c r="G780" s="12" t="s">
        <v>1236</v>
      </c>
      <c r="H780" s="12">
        <v>1.0</v>
      </c>
      <c r="I780" s="17">
        <v>61.83</v>
      </c>
      <c r="J780" s="17">
        <v>61.83</v>
      </c>
      <c r="BO780" s="17">
        <v>61.83</v>
      </c>
      <c r="BR780" s="17">
        <v>61.83</v>
      </c>
      <c r="BU780" s="12" t="s">
        <v>621</v>
      </c>
    </row>
    <row r="781">
      <c r="A781" s="12">
        <v>1439.0</v>
      </c>
      <c r="B781" s="12" t="s">
        <v>54</v>
      </c>
      <c r="C781" s="19">
        <v>46099.0</v>
      </c>
      <c r="D781" s="12" t="s">
        <v>734</v>
      </c>
      <c r="F781" s="12" t="s">
        <v>1466</v>
      </c>
      <c r="G781" s="12" t="s">
        <v>1056</v>
      </c>
      <c r="H781" s="12">
        <v>1.0</v>
      </c>
      <c r="I781" s="17">
        <v>1181.1</v>
      </c>
      <c r="J781" s="17">
        <v>1181.1</v>
      </c>
      <c r="BO781" s="17">
        <v>1181.1</v>
      </c>
      <c r="BR781" s="17">
        <v>1181.1</v>
      </c>
      <c r="BU781" s="12" t="s">
        <v>621</v>
      </c>
    </row>
    <row r="782">
      <c r="A782" s="12">
        <v>1441.0</v>
      </c>
      <c r="B782" s="12" t="s">
        <v>54</v>
      </c>
      <c r="C782" s="19">
        <v>46099.0</v>
      </c>
      <c r="D782" s="12" t="s">
        <v>1484</v>
      </c>
      <c r="F782" s="12" t="s">
        <v>1485</v>
      </c>
      <c r="G782" s="12" t="s">
        <v>1486</v>
      </c>
      <c r="H782" s="12">
        <v>1.0</v>
      </c>
      <c r="I782" s="17">
        <v>20.0</v>
      </c>
      <c r="J782" s="17">
        <v>20.0</v>
      </c>
      <c r="BO782" s="17">
        <v>20.0</v>
      </c>
      <c r="BR782" s="17">
        <v>20.0</v>
      </c>
      <c r="BU782" s="12" t="s">
        <v>621</v>
      </c>
    </row>
    <row r="783">
      <c r="A783" s="12" t="s">
        <v>2525</v>
      </c>
      <c r="B783" s="12" t="s">
        <v>54</v>
      </c>
      <c r="C783" s="19">
        <v>46099.0</v>
      </c>
      <c r="D783" s="12" t="s">
        <v>156</v>
      </c>
      <c r="F783" s="12" t="s">
        <v>4538</v>
      </c>
      <c r="G783" s="12" t="s">
        <v>1236</v>
      </c>
      <c r="H783" s="12">
        <v>1.0</v>
      </c>
      <c r="I783" s="17">
        <v>1054.29</v>
      </c>
      <c r="J783" s="17">
        <v>1054.29</v>
      </c>
      <c r="BO783" s="17">
        <v>1054.29</v>
      </c>
      <c r="BR783" s="17">
        <v>1054.29</v>
      </c>
      <c r="BU783" s="12" t="s">
        <v>621</v>
      </c>
    </row>
    <row r="784">
      <c r="A784" s="12" t="s">
        <v>2528</v>
      </c>
      <c r="B784" s="12" t="s">
        <v>54</v>
      </c>
      <c r="C784" s="19">
        <v>46099.0</v>
      </c>
      <c r="D784" s="12" t="s">
        <v>156</v>
      </c>
      <c r="F784" s="12" t="s">
        <v>4540</v>
      </c>
      <c r="G784" s="12" t="s">
        <v>1236</v>
      </c>
      <c r="H784" s="12">
        <v>1.0</v>
      </c>
      <c r="I784" s="17">
        <v>3.6</v>
      </c>
      <c r="J784" s="17">
        <v>3.6</v>
      </c>
      <c r="BO784" s="17">
        <v>3.6</v>
      </c>
      <c r="BR784" s="17">
        <v>3.6</v>
      </c>
      <c r="BU784" s="12" t="s">
        <v>621</v>
      </c>
    </row>
    <row r="785">
      <c r="A785" s="12" t="s">
        <v>2533</v>
      </c>
      <c r="B785" s="12" t="s">
        <v>54</v>
      </c>
      <c r="C785" s="19">
        <v>46099.0</v>
      </c>
      <c r="D785" s="12" t="s">
        <v>156</v>
      </c>
      <c r="F785" s="12" t="s">
        <v>4545</v>
      </c>
      <c r="G785" s="12" t="s">
        <v>1236</v>
      </c>
      <c r="H785" s="12">
        <v>1.0</v>
      </c>
      <c r="I785" s="17">
        <v>1097.04</v>
      </c>
      <c r="J785" s="17">
        <v>1097.04</v>
      </c>
      <c r="BO785" s="17">
        <v>1097.04</v>
      </c>
      <c r="BR785" s="17">
        <v>1097.04</v>
      </c>
      <c r="BU785" s="12" t="s">
        <v>621</v>
      </c>
    </row>
    <row r="786">
      <c r="A786" s="12">
        <v>1448.0</v>
      </c>
      <c r="B786" s="12" t="s">
        <v>54</v>
      </c>
      <c r="C786" s="19">
        <v>46099.0</v>
      </c>
      <c r="D786" s="12" t="s">
        <v>818</v>
      </c>
      <c r="F786" s="12" t="s">
        <v>819</v>
      </c>
      <c r="G786" s="12" t="s">
        <v>820</v>
      </c>
      <c r="H786" s="12">
        <v>1.0</v>
      </c>
      <c r="I786" s="17">
        <v>185.0</v>
      </c>
      <c r="J786" s="17">
        <v>185.0</v>
      </c>
      <c r="BO786" s="17">
        <v>185.0</v>
      </c>
      <c r="BR786" s="17">
        <v>185.0</v>
      </c>
      <c r="BU786" s="12" t="s">
        <v>621</v>
      </c>
    </row>
    <row r="787">
      <c r="A787" s="12" t="s">
        <v>4243</v>
      </c>
      <c r="B787" s="12" t="s">
        <v>54</v>
      </c>
      <c r="C787" s="14">
        <v>46100.0</v>
      </c>
      <c r="D787" s="12" t="s">
        <v>1103</v>
      </c>
      <c r="E787" s="12" t="s">
        <v>4552</v>
      </c>
      <c r="F787" s="12" t="s">
        <v>3268</v>
      </c>
      <c r="BP787" s="12" t="s">
        <v>4554</v>
      </c>
      <c r="BQ787" s="12" t="b">
        <v>0</v>
      </c>
      <c r="BS787" s="16" t="s">
        <v>6094</v>
      </c>
      <c r="BT787" s="12" t="b">
        <v>1</v>
      </c>
      <c r="BU787" s="12" t="s">
        <v>69</v>
      </c>
    </row>
    <row r="788">
      <c r="A788" s="12" t="s">
        <v>4212</v>
      </c>
      <c r="B788" s="12" t="s">
        <v>54</v>
      </c>
      <c r="C788" s="14">
        <v>46098.0</v>
      </c>
      <c r="D788" s="12" t="s">
        <v>220</v>
      </c>
      <c r="E788" s="12" t="s">
        <v>4559</v>
      </c>
      <c r="F788" s="12" t="s">
        <v>2402</v>
      </c>
      <c r="BP788" s="12" t="s">
        <v>4560</v>
      </c>
      <c r="BQ788" s="12" t="b">
        <v>0</v>
      </c>
      <c r="BS788" s="16" t="s">
        <v>6098</v>
      </c>
      <c r="BT788" s="12" t="b">
        <v>1</v>
      </c>
      <c r="BU788" s="12" t="s">
        <v>69</v>
      </c>
    </row>
    <row r="789">
      <c r="A789" s="12" t="s">
        <v>4251</v>
      </c>
      <c r="B789" s="12" t="s">
        <v>54</v>
      </c>
      <c r="C789" s="14">
        <v>46101.0</v>
      </c>
      <c r="D789" s="12" t="s">
        <v>435</v>
      </c>
      <c r="E789" s="12" t="s">
        <v>4565</v>
      </c>
      <c r="F789" s="12" t="s">
        <v>599</v>
      </c>
      <c r="BP789" s="12" t="s">
        <v>4566</v>
      </c>
      <c r="BQ789" s="12" t="b">
        <v>0</v>
      </c>
      <c r="BS789" s="16" t="s">
        <v>6102</v>
      </c>
      <c r="BT789" s="12" t="b">
        <v>1</v>
      </c>
      <c r="BU789" s="12" t="s">
        <v>69</v>
      </c>
    </row>
    <row r="790">
      <c r="A790" s="12" t="s">
        <v>2541</v>
      </c>
      <c r="B790" s="12" t="s">
        <v>54</v>
      </c>
      <c r="C790" s="19">
        <v>46101.0</v>
      </c>
      <c r="D790" s="12" t="s">
        <v>4571</v>
      </c>
      <c r="F790" s="12" t="s">
        <v>4572</v>
      </c>
      <c r="G790" s="12" t="s">
        <v>2543</v>
      </c>
      <c r="H790" s="12">
        <v>1.0</v>
      </c>
      <c r="I790" s="17">
        <v>372.0</v>
      </c>
      <c r="J790" s="17">
        <v>372.0</v>
      </c>
      <c r="BO790" s="17">
        <v>372.0</v>
      </c>
      <c r="BR790" s="17">
        <v>372.0</v>
      </c>
      <c r="BU790" s="12" t="s">
        <v>621</v>
      </c>
    </row>
    <row r="791">
      <c r="A791" s="12" t="s">
        <v>4258</v>
      </c>
      <c r="B791" s="12" t="s">
        <v>54</v>
      </c>
      <c r="C791" s="14">
        <v>46101.0</v>
      </c>
      <c r="D791" s="12" t="s">
        <v>220</v>
      </c>
      <c r="E791" s="12" t="s">
        <v>4575</v>
      </c>
      <c r="F791" s="12" t="s">
        <v>2402</v>
      </c>
      <c r="BP791" s="12" t="s">
        <v>4576</v>
      </c>
      <c r="BQ791" s="12" t="b">
        <v>0</v>
      </c>
      <c r="BS791" s="16" t="s">
        <v>6107</v>
      </c>
      <c r="BT791" s="12" t="b">
        <v>1</v>
      </c>
      <c r="BU791" s="12" t="s">
        <v>69</v>
      </c>
    </row>
    <row r="792">
      <c r="A792" s="12" t="s">
        <v>4298</v>
      </c>
      <c r="B792" s="12" t="s">
        <v>54</v>
      </c>
      <c r="C792" s="14">
        <v>46102.0</v>
      </c>
      <c r="D792" s="12" t="s">
        <v>182</v>
      </c>
      <c r="E792" s="12" t="s">
        <v>4579</v>
      </c>
      <c r="F792" s="12" t="s">
        <v>2540</v>
      </c>
      <c r="BP792" s="12" t="s">
        <v>4580</v>
      </c>
      <c r="BQ792" s="12" t="b">
        <v>0</v>
      </c>
      <c r="BS792" s="16" t="s">
        <v>6109</v>
      </c>
      <c r="BT792" s="12" t="b">
        <v>1</v>
      </c>
      <c r="BU792" s="12" t="s">
        <v>69</v>
      </c>
    </row>
    <row r="793">
      <c r="A793" s="12" t="s">
        <v>4292</v>
      </c>
      <c r="B793" s="12" t="s">
        <v>54</v>
      </c>
      <c r="C793" s="14">
        <v>46101.0</v>
      </c>
      <c r="D793" s="12" t="s">
        <v>109</v>
      </c>
      <c r="E793" s="12" t="s">
        <v>4584</v>
      </c>
      <c r="F793" s="12" t="s">
        <v>4433</v>
      </c>
      <c r="BP793" s="12" t="s">
        <v>4585</v>
      </c>
      <c r="BQ793" s="12" t="b">
        <v>0</v>
      </c>
      <c r="BS793" s="16" t="s">
        <v>6111</v>
      </c>
      <c r="BT793" s="12" t="b">
        <v>1</v>
      </c>
      <c r="BU793" s="12" t="s">
        <v>69</v>
      </c>
    </row>
    <row r="794">
      <c r="A794" s="12" t="s">
        <v>4308</v>
      </c>
      <c r="B794" s="12" t="s">
        <v>54</v>
      </c>
      <c r="C794" s="14">
        <v>46103.0</v>
      </c>
      <c r="D794" s="12" t="s">
        <v>77</v>
      </c>
      <c r="E794" s="12" t="s">
        <v>4589</v>
      </c>
      <c r="F794" s="12" t="s">
        <v>3989</v>
      </c>
      <c r="BP794" s="12" t="s">
        <v>4590</v>
      </c>
      <c r="BQ794" s="12" t="b">
        <v>0</v>
      </c>
      <c r="BS794" s="16" t="s">
        <v>6113</v>
      </c>
      <c r="BT794" s="12" t="b">
        <v>1</v>
      </c>
      <c r="BU794" s="12" t="s">
        <v>69</v>
      </c>
    </row>
    <row r="795">
      <c r="A795" s="12" t="s">
        <v>4310</v>
      </c>
      <c r="B795" s="12" t="s">
        <v>54</v>
      </c>
      <c r="C795" s="14">
        <v>46104.0</v>
      </c>
      <c r="D795" s="12" t="s">
        <v>1769</v>
      </c>
      <c r="E795" s="12" t="s">
        <v>4594</v>
      </c>
      <c r="F795" s="12" t="s">
        <v>328</v>
      </c>
      <c r="BP795" s="12" t="s">
        <v>4595</v>
      </c>
      <c r="BQ795" s="12" t="b">
        <v>0</v>
      </c>
      <c r="BS795" s="16" t="s">
        <v>6114</v>
      </c>
      <c r="BT795" s="12" t="b">
        <v>1</v>
      </c>
      <c r="BU795" s="12" t="s">
        <v>69</v>
      </c>
    </row>
    <row r="796">
      <c r="A796" s="12" t="s">
        <v>4229</v>
      </c>
      <c r="B796" s="12" t="s">
        <v>54</v>
      </c>
      <c r="C796" s="14">
        <v>46098.0</v>
      </c>
      <c r="D796" s="12" t="s">
        <v>156</v>
      </c>
      <c r="E796" s="12" t="s">
        <v>4599</v>
      </c>
      <c r="F796" s="12" t="s">
        <v>254</v>
      </c>
      <c r="BP796" s="12" t="s">
        <v>4600</v>
      </c>
      <c r="BQ796" s="12" t="b">
        <v>0</v>
      </c>
      <c r="BT796" s="12" t="b">
        <v>0</v>
      </c>
      <c r="BU796" s="12" t="s">
        <v>69</v>
      </c>
      <c r="BW796" s="12" t="s">
        <v>4603</v>
      </c>
    </row>
    <row r="797">
      <c r="A797" s="12" t="s">
        <v>6115</v>
      </c>
      <c r="B797" s="12" t="s">
        <v>54</v>
      </c>
      <c r="C797" s="14">
        <v>46098.0</v>
      </c>
      <c r="D797" s="12" t="s">
        <v>156</v>
      </c>
      <c r="E797" s="12" t="s">
        <v>4599</v>
      </c>
      <c r="F797" s="12" t="s">
        <v>254</v>
      </c>
      <c r="BP797" s="12" t="s">
        <v>6116</v>
      </c>
      <c r="BQ797" s="12" t="b">
        <v>0</v>
      </c>
      <c r="BT797" s="12" t="b">
        <v>0</v>
      </c>
      <c r="BU797" s="12" t="s">
        <v>69</v>
      </c>
      <c r="BW797" s="12" t="s">
        <v>6117</v>
      </c>
    </row>
    <row r="798">
      <c r="A798" s="12">
        <v>1433.0</v>
      </c>
      <c r="B798" s="12" t="s">
        <v>54</v>
      </c>
      <c r="C798" s="19">
        <v>46105.0</v>
      </c>
      <c r="D798" s="12" t="s">
        <v>156</v>
      </c>
      <c r="F798" s="12" t="s">
        <v>1905</v>
      </c>
      <c r="G798" s="12" t="s">
        <v>1082</v>
      </c>
      <c r="H798" s="12">
        <v>1.0</v>
      </c>
      <c r="I798" s="17">
        <v>700.0</v>
      </c>
      <c r="J798" s="17">
        <v>700.0</v>
      </c>
      <c r="BO798" s="17">
        <v>700.0</v>
      </c>
      <c r="BR798" s="17">
        <v>700.0</v>
      </c>
      <c r="BU798" s="12" t="s">
        <v>621</v>
      </c>
    </row>
    <row r="799">
      <c r="A799" s="12">
        <v>1434.0</v>
      </c>
      <c r="B799" s="12" t="s">
        <v>54</v>
      </c>
      <c r="C799" s="19">
        <v>46105.0</v>
      </c>
      <c r="D799" s="12" t="s">
        <v>156</v>
      </c>
      <c r="F799" s="12" t="s">
        <v>1909</v>
      </c>
      <c r="G799" s="12" t="s">
        <v>1906</v>
      </c>
      <c r="H799" s="12">
        <v>1.0</v>
      </c>
      <c r="I799" s="17">
        <v>396.0</v>
      </c>
      <c r="J799" s="17">
        <v>396.0</v>
      </c>
      <c r="BO799" s="17">
        <v>396.0</v>
      </c>
      <c r="BR799" s="17">
        <v>396.0</v>
      </c>
      <c r="BU799" s="12" t="s">
        <v>621</v>
      </c>
    </row>
    <row r="800">
      <c r="A800" s="12">
        <v>1435.0</v>
      </c>
      <c r="B800" s="12" t="s">
        <v>54</v>
      </c>
      <c r="C800" s="19">
        <v>46105.0</v>
      </c>
      <c r="D800" s="12" t="s">
        <v>1914</v>
      </c>
      <c r="F800" s="12" t="s">
        <v>1916</v>
      </c>
      <c r="G800" s="12" t="s">
        <v>1908</v>
      </c>
      <c r="H800" s="12">
        <v>1.0</v>
      </c>
      <c r="I800" s="17">
        <v>1110.0</v>
      </c>
      <c r="J800" s="17">
        <v>1110.0</v>
      </c>
      <c r="BO800" s="17">
        <v>1110.0</v>
      </c>
      <c r="BR800" s="17">
        <v>1110.0</v>
      </c>
      <c r="BU800" s="12" t="s">
        <v>621</v>
      </c>
    </row>
    <row r="801">
      <c r="A801" s="12">
        <v>1438.0</v>
      </c>
      <c r="B801" s="12" t="s">
        <v>54</v>
      </c>
      <c r="C801" s="19">
        <v>46105.0</v>
      </c>
      <c r="D801" s="12" t="s">
        <v>933</v>
      </c>
      <c r="F801" s="12" t="s">
        <v>1494</v>
      </c>
      <c r="G801" s="12" t="s">
        <v>1040</v>
      </c>
      <c r="H801" s="12">
        <v>1.0</v>
      </c>
      <c r="I801" s="17">
        <v>10166.51</v>
      </c>
      <c r="J801" s="17">
        <v>10166.51</v>
      </c>
      <c r="BO801" s="17">
        <v>10166.51</v>
      </c>
      <c r="BR801" s="17">
        <v>10166.51</v>
      </c>
      <c r="BU801" s="12" t="s">
        <v>621</v>
      </c>
    </row>
    <row r="802">
      <c r="A802" s="12">
        <v>1449.0</v>
      </c>
      <c r="B802" s="12" t="s">
        <v>54</v>
      </c>
      <c r="C802" s="19">
        <v>46105.0</v>
      </c>
      <c r="D802" s="12" t="s">
        <v>1712</v>
      </c>
      <c r="F802" s="19">
        <v>46296.0</v>
      </c>
      <c r="G802" s="12" t="s">
        <v>1818</v>
      </c>
      <c r="H802" s="12">
        <v>1.0</v>
      </c>
      <c r="I802" s="17">
        <v>236.83</v>
      </c>
      <c r="J802" s="17">
        <v>236.83</v>
      </c>
      <c r="BO802" s="17">
        <v>236.83</v>
      </c>
      <c r="BR802" s="17">
        <v>236.83</v>
      </c>
      <c r="BU802" s="12" t="s">
        <v>621</v>
      </c>
    </row>
    <row r="803">
      <c r="A803" s="12">
        <v>1450.0</v>
      </c>
      <c r="B803" s="12" t="s">
        <v>54</v>
      </c>
      <c r="C803" s="19">
        <v>46105.0</v>
      </c>
      <c r="D803" s="12" t="s">
        <v>1715</v>
      </c>
      <c r="F803" s="19">
        <v>46082.0</v>
      </c>
      <c r="G803" s="12" t="s">
        <v>1818</v>
      </c>
      <c r="H803" s="12">
        <v>1.0</v>
      </c>
      <c r="I803" s="17">
        <v>65.15</v>
      </c>
      <c r="J803" s="17">
        <v>65.15</v>
      </c>
      <c r="BO803" s="17">
        <v>65.15</v>
      </c>
      <c r="BR803" s="17">
        <v>65.15</v>
      </c>
      <c r="BU803" s="12" t="s">
        <v>621</v>
      </c>
    </row>
    <row r="804">
      <c r="A804" s="12" t="s">
        <v>2553</v>
      </c>
      <c r="B804" s="12" t="s">
        <v>54</v>
      </c>
      <c r="C804" s="19">
        <v>46105.0</v>
      </c>
      <c r="D804" s="12" t="s">
        <v>156</v>
      </c>
      <c r="F804" s="12" t="s">
        <v>4627</v>
      </c>
      <c r="G804" s="12" t="s">
        <v>786</v>
      </c>
      <c r="H804" s="12">
        <v>1.0</v>
      </c>
      <c r="I804" s="17">
        <v>2415.0</v>
      </c>
      <c r="J804" s="17">
        <v>2415.0</v>
      </c>
      <c r="BO804" s="17">
        <v>2415.0</v>
      </c>
      <c r="BR804" s="17">
        <v>2415.0</v>
      </c>
      <c r="BU804" s="12" t="s">
        <v>621</v>
      </c>
    </row>
    <row r="805">
      <c r="A805" s="12" t="s">
        <v>2555</v>
      </c>
      <c r="B805" s="12" t="s">
        <v>54</v>
      </c>
      <c r="C805" s="19">
        <v>46105.0</v>
      </c>
      <c r="D805" s="12" t="s">
        <v>156</v>
      </c>
      <c r="F805" s="12" t="s">
        <v>4631</v>
      </c>
      <c r="G805" s="12" t="s">
        <v>1236</v>
      </c>
      <c r="H805" s="12">
        <v>1.0</v>
      </c>
      <c r="I805" s="17">
        <v>1367.33</v>
      </c>
      <c r="J805" s="17">
        <v>1367.33</v>
      </c>
      <c r="BO805" s="17">
        <v>1367.33</v>
      </c>
      <c r="BR805" s="17">
        <v>1367.33</v>
      </c>
      <c r="BU805" s="12" t="s">
        <v>621</v>
      </c>
    </row>
    <row r="806">
      <c r="A806" s="12">
        <v>1461.0</v>
      </c>
      <c r="B806" s="12" t="s">
        <v>54</v>
      </c>
      <c r="C806" s="19">
        <v>46105.0</v>
      </c>
      <c r="F806" s="12" t="s">
        <v>3108</v>
      </c>
      <c r="G806" s="12" t="s">
        <v>1196</v>
      </c>
      <c r="H806" s="12">
        <v>1.0</v>
      </c>
      <c r="I806" s="17">
        <v>585.0</v>
      </c>
      <c r="J806" s="17">
        <v>585.0</v>
      </c>
      <c r="BO806" s="17">
        <v>585.0</v>
      </c>
      <c r="BR806" s="17">
        <v>585.0</v>
      </c>
      <c r="BU806" s="12" t="s">
        <v>621</v>
      </c>
      <c r="BV806" s="12" t="s">
        <v>259</v>
      </c>
    </row>
    <row r="807">
      <c r="A807" s="12" t="s">
        <v>2562</v>
      </c>
      <c r="B807" s="12" t="s">
        <v>54</v>
      </c>
      <c r="C807" s="19">
        <v>46106.0</v>
      </c>
      <c r="F807" s="12" t="s">
        <v>1112</v>
      </c>
      <c r="G807" s="12" t="s">
        <v>1113</v>
      </c>
      <c r="H807" s="12">
        <v>1.0</v>
      </c>
      <c r="I807" s="17">
        <v>200.0</v>
      </c>
      <c r="J807" s="17">
        <v>200.0</v>
      </c>
      <c r="BO807" s="17">
        <v>200.0</v>
      </c>
      <c r="BR807" s="17">
        <v>200.0</v>
      </c>
      <c r="BU807" s="12" t="s">
        <v>191</v>
      </c>
      <c r="BV807" s="12" t="s">
        <v>1183</v>
      </c>
    </row>
    <row r="808">
      <c r="A808" s="12" t="s">
        <v>4315</v>
      </c>
      <c r="B808" s="12" t="s">
        <v>54</v>
      </c>
      <c r="C808" s="14">
        <v>46107.0</v>
      </c>
      <c r="D808" s="12" t="s">
        <v>220</v>
      </c>
      <c r="E808" s="12" t="s">
        <v>4641</v>
      </c>
      <c r="F808" s="12" t="s">
        <v>1365</v>
      </c>
      <c r="BP808" s="12" t="s">
        <v>4643</v>
      </c>
      <c r="BQ808" s="12" t="b">
        <v>0</v>
      </c>
      <c r="BS808" s="16" t="s">
        <v>6155</v>
      </c>
      <c r="BT808" s="12" t="b">
        <v>1</v>
      </c>
      <c r="BU808" s="12" t="s">
        <v>69</v>
      </c>
    </row>
    <row r="809">
      <c r="A809" s="12" t="s">
        <v>4339</v>
      </c>
      <c r="B809" s="12" t="s">
        <v>54</v>
      </c>
      <c r="C809" s="14">
        <v>46107.0</v>
      </c>
      <c r="D809" s="12" t="s">
        <v>77</v>
      </c>
      <c r="E809" s="12" t="s">
        <v>4647</v>
      </c>
      <c r="F809" s="12" t="s">
        <v>2402</v>
      </c>
      <c r="BP809" s="12" t="s">
        <v>4648</v>
      </c>
      <c r="BQ809" s="12" t="b">
        <v>0</v>
      </c>
      <c r="BS809" s="16" t="s">
        <v>6163</v>
      </c>
      <c r="BT809" s="12" t="b">
        <v>1</v>
      </c>
      <c r="BU809" s="12" t="s">
        <v>69</v>
      </c>
    </row>
    <row r="810">
      <c r="A810" s="12" t="s">
        <v>4344</v>
      </c>
      <c r="B810" s="12" t="s">
        <v>54</v>
      </c>
      <c r="C810" s="14">
        <v>46108.0</v>
      </c>
      <c r="D810" s="12" t="s">
        <v>1103</v>
      </c>
      <c r="E810" s="12" t="s">
        <v>4653</v>
      </c>
      <c r="F810" s="12" t="s">
        <v>3268</v>
      </c>
      <c r="BP810" s="12" t="s">
        <v>4654</v>
      </c>
      <c r="BQ810" s="12" t="b">
        <v>0</v>
      </c>
      <c r="BS810" s="16" t="s">
        <v>6166</v>
      </c>
      <c r="BT810" s="12" t="b">
        <v>1</v>
      </c>
      <c r="BU810" s="12" t="s">
        <v>69</v>
      </c>
    </row>
    <row r="811">
      <c r="A811" s="12" t="s">
        <v>4356</v>
      </c>
      <c r="B811" s="12" t="s">
        <v>54</v>
      </c>
      <c r="C811" s="14">
        <v>46108.0</v>
      </c>
      <c r="D811" s="12" t="s">
        <v>556</v>
      </c>
      <c r="E811" s="12" t="s">
        <v>4660</v>
      </c>
      <c r="F811" s="12" t="s">
        <v>859</v>
      </c>
      <c r="BP811" s="12" t="s">
        <v>4661</v>
      </c>
      <c r="BQ811" s="12" t="b">
        <v>0</v>
      </c>
      <c r="BS811" s="16" t="s">
        <v>6168</v>
      </c>
      <c r="BT811" s="12" t="b">
        <v>1</v>
      </c>
      <c r="BU811" s="12" t="s">
        <v>1784</v>
      </c>
    </row>
    <row r="812">
      <c r="A812" s="12" t="s">
        <v>4360</v>
      </c>
      <c r="B812" s="12" t="s">
        <v>54</v>
      </c>
      <c r="C812" s="14">
        <v>46108.0</v>
      </c>
      <c r="D812" s="12" t="s">
        <v>375</v>
      </c>
      <c r="E812" s="12" t="s">
        <v>4668</v>
      </c>
      <c r="F812" s="12" t="s">
        <v>153</v>
      </c>
      <c r="BP812" s="12" t="s">
        <v>4669</v>
      </c>
      <c r="BQ812" s="12" t="b">
        <v>0</v>
      </c>
      <c r="BS812" s="16" t="s">
        <v>6169</v>
      </c>
      <c r="BT812" s="12" t="b">
        <v>1</v>
      </c>
      <c r="BU812" s="12" t="s">
        <v>69</v>
      </c>
    </row>
    <row r="813">
      <c r="A813" s="12" t="s">
        <v>4372</v>
      </c>
      <c r="B813" s="12" t="s">
        <v>54</v>
      </c>
      <c r="C813" s="14">
        <v>46109.0</v>
      </c>
      <c r="D813" s="12" t="s">
        <v>4672</v>
      </c>
      <c r="E813" s="12" t="s">
        <v>4675</v>
      </c>
      <c r="F813" s="12" t="s">
        <v>1761</v>
      </c>
      <c r="BP813" s="12" t="s">
        <v>4676</v>
      </c>
      <c r="BQ813" s="12" t="b">
        <v>0</v>
      </c>
      <c r="BS813" s="16" t="s">
        <v>6170</v>
      </c>
      <c r="BT813" s="12" t="b">
        <v>1</v>
      </c>
      <c r="BU813" s="12" t="s">
        <v>69</v>
      </c>
    </row>
    <row r="814">
      <c r="A814" s="12" t="s">
        <v>4365</v>
      </c>
      <c r="B814" s="12" t="s">
        <v>54</v>
      </c>
      <c r="C814" s="14">
        <v>46108.0</v>
      </c>
      <c r="D814" s="12" t="s">
        <v>1103</v>
      </c>
      <c r="E814" s="12" t="s">
        <v>4680</v>
      </c>
      <c r="F814" s="12" t="s">
        <v>715</v>
      </c>
      <c r="BP814" s="12" t="s">
        <v>4681</v>
      </c>
      <c r="BQ814" s="12" t="b">
        <v>0</v>
      </c>
      <c r="BT814" s="12" t="b">
        <v>0</v>
      </c>
      <c r="BU814" s="12" t="s">
        <v>69</v>
      </c>
      <c r="BW814" s="12" t="s">
        <v>4685</v>
      </c>
    </row>
    <row r="815">
      <c r="A815" s="12" t="s">
        <v>6171</v>
      </c>
      <c r="B815" s="12" t="s">
        <v>54</v>
      </c>
      <c r="C815" s="14">
        <v>46108.0</v>
      </c>
      <c r="D815" s="12" t="s">
        <v>1103</v>
      </c>
      <c r="E815" s="12" t="s">
        <v>4680</v>
      </c>
      <c r="F815" s="12" t="s">
        <v>715</v>
      </c>
      <c r="BP815" s="12" t="s">
        <v>6172</v>
      </c>
      <c r="BQ815" s="12" t="b">
        <v>0</v>
      </c>
      <c r="BT815" s="12" t="b">
        <v>0</v>
      </c>
      <c r="BU815" s="12" t="s">
        <v>69</v>
      </c>
    </row>
    <row r="816">
      <c r="A816" s="12" t="s">
        <v>6173</v>
      </c>
      <c r="B816" s="12" t="s">
        <v>54</v>
      </c>
      <c r="C816" s="14">
        <v>46108.0</v>
      </c>
      <c r="D816" s="12" t="s">
        <v>1103</v>
      </c>
      <c r="E816" s="12" t="s">
        <v>4680</v>
      </c>
      <c r="F816" s="12" t="s">
        <v>715</v>
      </c>
      <c r="BP816" s="12" t="s">
        <v>6176</v>
      </c>
      <c r="BQ816" s="12" t="b">
        <v>0</v>
      </c>
      <c r="BT816" s="12" t="b">
        <v>0</v>
      </c>
      <c r="BU816" s="12" t="s">
        <v>69</v>
      </c>
    </row>
    <row r="817">
      <c r="A817" s="12" t="s">
        <v>4395</v>
      </c>
      <c r="B817" s="12" t="s">
        <v>54</v>
      </c>
      <c r="C817" s="14">
        <v>46112.0</v>
      </c>
      <c r="D817" s="12" t="s">
        <v>556</v>
      </c>
      <c r="E817" s="12" t="s">
        <v>4693</v>
      </c>
      <c r="F817" s="12" t="s">
        <v>859</v>
      </c>
      <c r="BP817" s="12" t="s">
        <v>4694</v>
      </c>
      <c r="BQ817" s="12" t="b">
        <v>0</v>
      </c>
      <c r="BS817" s="16" t="s">
        <v>6181</v>
      </c>
      <c r="BT817" s="12" t="b">
        <v>1</v>
      </c>
      <c r="BU817" s="12" t="s">
        <v>69</v>
      </c>
    </row>
    <row r="818">
      <c r="A818" s="12" t="s">
        <v>2565</v>
      </c>
      <c r="B818" s="12" t="s">
        <v>54</v>
      </c>
      <c r="C818" s="19">
        <v>46112.0</v>
      </c>
      <c r="F818" s="12" t="s">
        <v>4145</v>
      </c>
      <c r="G818" s="12" t="s">
        <v>1196</v>
      </c>
      <c r="H818" s="12">
        <v>1.0</v>
      </c>
      <c r="I818" s="17">
        <v>1.0</v>
      </c>
      <c r="J818" s="17">
        <v>1.0</v>
      </c>
      <c r="BO818" s="17">
        <v>1.0</v>
      </c>
      <c r="BR818" s="17">
        <v>1.0</v>
      </c>
      <c r="BU818" s="12" t="s">
        <v>621</v>
      </c>
      <c r="BV818" s="12" t="s">
        <v>2739</v>
      </c>
    </row>
    <row r="819">
      <c r="A819" s="12" t="s">
        <v>2569</v>
      </c>
      <c r="B819" s="12" t="s">
        <v>54</v>
      </c>
      <c r="C819" s="19">
        <v>46083.0</v>
      </c>
      <c r="F819" s="12" t="s">
        <v>1991</v>
      </c>
      <c r="G819" s="12" t="s">
        <v>1113</v>
      </c>
      <c r="H819" s="12">
        <v>1.0</v>
      </c>
      <c r="I819" s="17">
        <v>400.0</v>
      </c>
      <c r="J819" s="17">
        <v>400.0</v>
      </c>
      <c r="BO819" s="17">
        <v>400.0</v>
      </c>
      <c r="BR819" s="17">
        <v>400.0</v>
      </c>
      <c r="BU819" s="12" t="s">
        <v>191</v>
      </c>
      <c r="BV819" s="12" t="s">
        <v>62</v>
      </c>
    </row>
    <row r="820">
      <c r="A820" s="12" t="s">
        <v>4419</v>
      </c>
      <c r="B820" s="12" t="s">
        <v>54</v>
      </c>
      <c r="C820" s="14">
        <v>46113.0</v>
      </c>
      <c r="D820" s="12" t="s">
        <v>1103</v>
      </c>
      <c r="E820" s="12" t="s">
        <v>4705</v>
      </c>
      <c r="F820" s="12" t="s">
        <v>4708</v>
      </c>
      <c r="BP820" s="12" t="s">
        <v>4707</v>
      </c>
      <c r="BQ820" s="12" t="b">
        <v>0</v>
      </c>
      <c r="BS820" s="16" t="s">
        <v>6198</v>
      </c>
      <c r="BT820" s="12" t="b">
        <v>1</v>
      </c>
      <c r="BU820" s="12" t="s">
        <v>69</v>
      </c>
    </row>
    <row r="821">
      <c r="A821" s="12" t="s">
        <v>4438</v>
      </c>
      <c r="B821" s="12" t="s">
        <v>54</v>
      </c>
      <c r="C821" s="14">
        <v>46113.0</v>
      </c>
      <c r="D821" s="12" t="s">
        <v>1103</v>
      </c>
      <c r="E821" s="12" t="s">
        <v>4711</v>
      </c>
      <c r="F821" s="12" t="s">
        <v>4715</v>
      </c>
      <c r="BP821" s="12" t="s">
        <v>4712</v>
      </c>
      <c r="BQ821" s="12" t="b">
        <v>0</v>
      </c>
      <c r="BS821" s="16" t="s">
        <v>6202</v>
      </c>
      <c r="BT821" s="12" t="b">
        <v>1</v>
      </c>
      <c r="BU821" s="12" t="s">
        <v>69</v>
      </c>
    </row>
    <row r="822">
      <c r="A822" s="12" t="s">
        <v>4442</v>
      </c>
      <c r="B822" s="12" t="s">
        <v>54</v>
      </c>
      <c r="C822" s="14">
        <v>46113.0</v>
      </c>
      <c r="D822" s="12" t="s">
        <v>627</v>
      </c>
      <c r="E822" s="12" t="s">
        <v>4717</v>
      </c>
      <c r="F822" s="12" t="s">
        <v>4720</v>
      </c>
      <c r="BP822" s="12" t="s">
        <v>4718</v>
      </c>
      <c r="BQ822" s="12" t="b">
        <v>0</v>
      </c>
      <c r="BS822" s="16" t="s">
        <v>6204</v>
      </c>
      <c r="BT822" s="12" t="b">
        <v>1</v>
      </c>
      <c r="BU822" s="12" t="s">
        <v>69</v>
      </c>
    </row>
    <row r="823">
      <c r="A823" s="12" t="s">
        <v>4446</v>
      </c>
      <c r="B823" s="12" t="s">
        <v>54</v>
      </c>
      <c r="C823" s="14">
        <v>46113.0</v>
      </c>
      <c r="D823" s="12" t="s">
        <v>77</v>
      </c>
      <c r="E823" s="12" t="s">
        <v>4723</v>
      </c>
      <c r="F823" s="12" t="s">
        <v>4726</v>
      </c>
      <c r="BP823" s="12" t="s">
        <v>4724</v>
      </c>
      <c r="BQ823" s="12" t="b">
        <v>0</v>
      </c>
      <c r="BS823" s="16" t="s">
        <v>6209</v>
      </c>
      <c r="BT823" s="12" t="b">
        <v>1</v>
      </c>
      <c r="BU823" s="12" t="s">
        <v>69</v>
      </c>
    </row>
    <row r="824">
      <c r="A824" s="12" t="s">
        <v>4397</v>
      </c>
      <c r="B824" s="12" t="s">
        <v>54</v>
      </c>
      <c r="C824" s="14">
        <v>46112.0</v>
      </c>
      <c r="D824" s="12" t="s">
        <v>912</v>
      </c>
      <c r="E824" s="12" t="s">
        <v>4731</v>
      </c>
      <c r="F824" s="12" t="s">
        <v>4734</v>
      </c>
      <c r="BP824" s="12" t="s">
        <v>4733</v>
      </c>
      <c r="BQ824" s="12" t="b">
        <v>0</v>
      </c>
      <c r="BT824" s="12" t="b">
        <v>0</v>
      </c>
      <c r="BU824" s="12" t="s">
        <v>69</v>
      </c>
    </row>
    <row r="825">
      <c r="A825" s="12" t="s">
        <v>4401</v>
      </c>
      <c r="B825" s="12" t="s">
        <v>54</v>
      </c>
      <c r="C825" s="14">
        <v>46112.0</v>
      </c>
      <c r="D825" s="12" t="s">
        <v>912</v>
      </c>
      <c r="E825" s="12" t="s">
        <v>4738</v>
      </c>
      <c r="F825" s="12" t="s">
        <v>293</v>
      </c>
      <c r="BP825" s="12" t="s">
        <v>4739</v>
      </c>
      <c r="BQ825" s="12" t="b">
        <v>0</v>
      </c>
      <c r="BT825" s="12" t="b">
        <v>0</v>
      </c>
      <c r="BU825" s="12" t="s">
        <v>69</v>
      </c>
      <c r="BW825" s="12" t="s">
        <v>4741</v>
      </c>
    </row>
    <row r="826">
      <c r="A826" s="12" t="s">
        <v>6221</v>
      </c>
      <c r="B826" s="12" t="s">
        <v>54</v>
      </c>
      <c r="C826" s="14">
        <v>46112.0</v>
      </c>
      <c r="D826" s="12" t="s">
        <v>912</v>
      </c>
      <c r="E826" s="12" t="s">
        <v>4738</v>
      </c>
      <c r="F826" s="12" t="s">
        <v>293</v>
      </c>
      <c r="BP826" s="12" t="s">
        <v>6226</v>
      </c>
      <c r="BQ826" s="12" t="b">
        <v>0</v>
      </c>
      <c r="BT826" s="12" t="b">
        <v>0</v>
      </c>
      <c r="BU826" s="12" t="s">
        <v>69</v>
      </c>
      <c r="BW826" s="12" t="s">
        <v>6228</v>
      </c>
      <c r="BX826" s="12" t="s">
        <v>6229</v>
      </c>
    </row>
    <row r="827">
      <c r="A827" s="12" t="s">
        <v>6231</v>
      </c>
      <c r="B827" s="12" t="s">
        <v>54</v>
      </c>
      <c r="C827" s="14">
        <v>46112.0</v>
      </c>
      <c r="D827" s="12" t="s">
        <v>912</v>
      </c>
      <c r="E827" s="12" t="s">
        <v>4863</v>
      </c>
      <c r="F827" s="12" t="s">
        <v>254</v>
      </c>
      <c r="BP827" s="12" t="s">
        <v>6234</v>
      </c>
      <c r="BQ827" s="12" t="b">
        <v>0</v>
      </c>
      <c r="BT827" s="12" t="b">
        <v>0</v>
      </c>
      <c r="BU827" s="12" t="s">
        <v>69</v>
      </c>
      <c r="BW827" s="12" t="s">
        <v>6235</v>
      </c>
    </row>
    <row r="828">
      <c r="A828" s="12" t="s">
        <v>4478</v>
      </c>
      <c r="B828" s="12" t="s">
        <v>54</v>
      </c>
      <c r="C828" s="14">
        <v>46114.0</v>
      </c>
      <c r="D828" s="12" t="s">
        <v>190</v>
      </c>
      <c r="E828" s="12" t="s">
        <v>4748</v>
      </c>
      <c r="F828" s="12" t="s">
        <v>4501</v>
      </c>
      <c r="BP828" s="12" t="s">
        <v>4750</v>
      </c>
      <c r="BQ828" s="12" t="b">
        <v>0</v>
      </c>
      <c r="BS828" s="16" t="s">
        <v>6236</v>
      </c>
      <c r="BT828" s="12" t="b">
        <v>1</v>
      </c>
      <c r="BU828" s="12" t="s">
        <v>69</v>
      </c>
    </row>
    <row r="829">
      <c r="A829" s="12" t="s">
        <v>4480</v>
      </c>
      <c r="B829" s="12" t="s">
        <v>54</v>
      </c>
      <c r="C829" s="14">
        <v>46114.0</v>
      </c>
      <c r="D829" s="12" t="s">
        <v>4753</v>
      </c>
      <c r="E829" s="12" t="s">
        <v>4754</v>
      </c>
      <c r="F829" s="12" t="s">
        <v>4757</v>
      </c>
      <c r="BP829" s="12" t="s">
        <v>4756</v>
      </c>
      <c r="BQ829" s="12" t="b">
        <v>0</v>
      </c>
      <c r="BS829" s="16" t="s">
        <v>6237</v>
      </c>
      <c r="BT829" s="12" t="b">
        <v>1</v>
      </c>
      <c r="BU829" s="12" t="s">
        <v>69</v>
      </c>
    </row>
    <row r="830">
      <c r="A830" s="12">
        <v>1455.0</v>
      </c>
      <c r="B830" s="12" t="s">
        <v>54</v>
      </c>
      <c r="C830" s="19">
        <v>46114.0</v>
      </c>
      <c r="F830" s="12" t="s">
        <v>1644</v>
      </c>
      <c r="G830" s="12" t="s">
        <v>1196</v>
      </c>
      <c r="H830" s="12">
        <v>1.0</v>
      </c>
      <c r="I830" s="17">
        <v>3500.0</v>
      </c>
      <c r="J830" s="17">
        <v>3500.0</v>
      </c>
      <c r="BO830" s="17">
        <v>3500.0</v>
      </c>
      <c r="BR830" s="17">
        <v>3500.0</v>
      </c>
      <c r="BU830" s="12" t="s">
        <v>191</v>
      </c>
      <c r="BV830" s="12" t="s">
        <v>727</v>
      </c>
    </row>
    <row r="831">
      <c r="A831" s="12">
        <v>1456.0</v>
      </c>
      <c r="B831" s="12" t="s">
        <v>54</v>
      </c>
      <c r="C831" s="19">
        <v>46114.0</v>
      </c>
      <c r="F831" s="12" t="s">
        <v>1884</v>
      </c>
      <c r="G831" s="12" t="s">
        <v>1196</v>
      </c>
      <c r="H831" s="12">
        <v>1.0</v>
      </c>
      <c r="I831" s="17">
        <v>3348.36</v>
      </c>
      <c r="J831" s="17">
        <v>3348.36</v>
      </c>
      <c r="BO831" s="17">
        <v>3348.36</v>
      </c>
      <c r="BR831" s="17">
        <v>3348.36</v>
      </c>
      <c r="BU831" s="12" t="s">
        <v>191</v>
      </c>
      <c r="BV831" s="12" t="s">
        <v>727</v>
      </c>
    </row>
    <row r="832">
      <c r="A832" s="12">
        <v>1457.0</v>
      </c>
      <c r="B832" s="12" t="s">
        <v>54</v>
      </c>
      <c r="C832" s="19">
        <v>46114.0</v>
      </c>
      <c r="F832" s="12" t="s">
        <v>1884</v>
      </c>
      <c r="G832" s="12" t="s">
        <v>1196</v>
      </c>
      <c r="H832" s="12">
        <v>1.0</v>
      </c>
      <c r="I832" s="17">
        <v>1347.47</v>
      </c>
      <c r="J832" s="17">
        <v>1347.47</v>
      </c>
      <c r="BO832" s="17">
        <v>1347.47</v>
      </c>
      <c r="BR832" s="17">
        <v>1347.47</v>
      </c>
      <c r="BU832" s="12" t="s">
        <v>191</v>
      </c>
      <c r="BV832" s="12" t="s">
        <v>1183</v>
      </c>
    </row>
    <row r="833">
      <c r="A833" s="12">
        <v>1458.0</v>
      </c>
      <c r="B833" s="12" t="s">
        <v>54</v>
      </c>
      <c r="C833" s="19">
        <v>46114.0</v>
      </c>
      <c r="F833" s="12" t="s">
        <v>1884</v>
      </c>
      <c r="G833" s="12" t="s">
        <v>1196</v>
      </c>
      <c r="H833" s="12">
        <v>1.0</v>
      </c>
      <c r="I833" s="17">
        <v>1426.12</v>
      </c>
      <c r="J833" s="17">
        <v>1426.12</v>
      </c>
      <c r="BO833" s="17">
        <v>1426.12</v>
      </c>
      <c r="BR833" s="17">
        <v>1426.12</v>
      </c>
      <c r="BU833" s="12" t="s">
        <v>191</v>
      </c>
      <c r="BV833" s="12" t="s">
        <v>62</v>
      </c>
    </row>
    <row r="834">
      <c r="A834" s="12">
        <v>1459.0</v>
      </c>
      <c r="B834" s="12" t="s">
        <v>54</v>
      </c>
      <c r="C834" s="19">
        <v>46114.0</v>
      </c>
      <c r="F834" s="12" t="s">
        <v>1884</v>
      </c>
      <c r="G834" s="12" t="s">
        <v>1196</v>
      </c>
      <c r="H834" s="12">
        <v>1.0</v>
      </c>
      <c r="I834" s="17">
        <v>1514.02</v>
      </c>
      <c r="J834" s="17">
        <v>1514.02</v>
      </c>
      <c r="BO834" s="17">
        <v>1514.02</v>
      </c>
      <c r="BR834" s="17">
        <v>1514.02</v>
      </c>
      <c r="BU834" s="12" t="s">
        <v>191</v>
      </c>
      <c r="BV834" s="12" t="s">
        <v>78</v>
      </c>
    </row>
    <row r="835">
      <c r="A835" s="12">
        <v>1460.0</v>
      </c>
      <c r="B835" s="12" t="s">
        <v>54</v>
      </c>
      <c r="C835" s="19">
        <v>46114.0</v>
      </c>
      <c r="F835" s="12" t="s">
        <v>1884</v>
      </c>
      <c r="G835" s="12" t="s">
        <v>1196</v>
      </c>
      <c r="H835" s="12">
        <v>1.0</v>
      </c>
      <c r="I835" s="17">
        <v>1318.34</v>
      </c>
      <c r="J835" s="17">
        <v>1318.34</v>
      </c>
      <c r="BO835" s="17">
        <v>1318.34</v>
      </c>
      <c r="BR835" s="17">
        <v>1318.34</v>
      </c>
      <c r="BU835" s="12" t="s">
        <v>191</v>
      </c>
      <c r="BV835" s="12" t="s">
        <v>1900</v>
      </c>
    </row>
    <row r="836">
      <c r="A836" s="12">
        <v>1468.0</v>
      </c>
      <c r="B836" s="12" t="s">
        <v>54</v>
      </c>
      <c r="C836" s="19">
        <v>46114.0</v>
      </c>
      <c r="D836" s="12" t="s">
        <v>1668</v>
      </c>
      <c r="F836" s="12" t="s">
        <v>1671</v>
      </c>
      <c r="G836" s="12" t="s">
        <v>874</v>
      </c>
      <c r="H836" s="12">
        <v>1.0</v>
      </c>
      <c r="I836" s="17">
        <v>125.0</v>
      </c>
      <c r="J836" s="17">
        <v>125.0</v>
      </c>
      <c r="BO836" s="17">
        <v>125.0</v>
      </c>
      <c r="BR836" s="17">
        <v>125.0</v>
      </c>
      <c r="BU836" s="12" t="s">
        <v>621</v>
      </c>
    </row>
    <row r="837">
      <c r="A837" s="12">
        <v>1471.0</v>
      </c>
      <c r="B837" s="12" t="s">
        <v>54</v>
      </c>
      <c r="C837" s="19">
        <v>46114.0</v>
      </c>
      <c r="D837" s="12" t="s">
        <v>897</v>
      </c>
      <c r="F837" s="12" t="s">
        <v>909</v>
      </c>
      <c r="G837" s="12" t="s">
        <v>911</v>
      </c>
      <c r="H837" s="12">
        <v>1.0</v>
      </c>
      <c r="I837" s="17">
        <v>0.0</v>
      </c>
      <c r="J837" s="17">
        <v>0.0</v>
      </c>
      <c r="BO837" s="17">
        <v>0.0</v>
      </c>
      <c r="BR837" s="17">
        <v>0.0</v>
      </c>
      <c r="BU837" s="12" t="s">
        <v>621</v>
      </c>
    </row>
    <row r="838">
      <c r="A838" s="12">
        <v>1472.0</v>
      </c>
      <c r="B838" s="12" t="s">
        <v>54</v>
      </c>
      <c r="C838" s="19">
        <v>46114.0</v>
      </c>
      <c r="D838" s="12" t="s">
        <v>933</v>
      </c>
      <c r="F838" s="12" t="s">
        <v>1346</v>
      </c>
      <c r="G838" s="12" t="s">
        <v>936</v>
      </c>
      <c r="H838" s="12">
        <v>1.0</v>
      </c>
      <c r="I838" s="17">
        <v>533.0</v>
      </c>
      <c r="J838" s="17">
        <v>533.0</v>
      </c>
      <c r="BO838" s="17">
        <v>533.0</v>
      </c>
      <c r="BR838" s="17">
        <v>533.0</v>
      </c>
      <c r="BU838" s="12" t="s">
        <v>621</v>
      </c>
    </row>
    <row r="839">
      <c r="A839" s="12" t="s">
        <v>4386</v>
      </c>
      <c r="B839" s="12" t="s">
        <v>54</v>
      </c>
      <c r="C839" s="14">
        <v>46111.0</v>
      </c>
      <c r="D839" s="12" t="s">
        <v>77</v>
      </c>
      <c r="E839" s="12" t="s">
        <v>4785</v>
      </c>
      <c r="F839" s="12" t="s">
        <v>82</v>
      </c>
      <c r="BP839" s="12" t="s">
        <v>4787</v>
      </c>
      <c r="BQ839" s="12" t="b">
        <v>0</v>
      </c>
      <c r="BS839" s="16" t="s">
        <v>6263</v>
      </c>
      <c r="BT839" s="12" t="b">
        <v>1</v>
      </c>
      <c r="BU839" s="12" t="s">
        <v>69</v>
      </c>
    </row>
    <row r="840">
      <c r="A840" s="12" t="s">
        <v>4410</v>
      </c>
      <c r="B840" s="12" t="s">
        <v>54</v>
      </c>
      <c r="C840" s="14">
        <v>46112.0</v>
      </c>
      <c r="D840" s="12" t="s">
        <v>77</v>
      </c>
      <c r="E840" s="12" t="s">
        <v>4792</v>
      </c>
      <c r="F840" s="12" t="s">
        <v>82</v>
      </c>
      <c r="BP840" s="12" t="s">
        <v>4795</v>
      </c>
      <c r="BQ840" s="12" t="b">
        <v>0</v>
      </c>
      <c r="BS840" s="16" t="s">
        <v>6268</v>
      </c>
      <c r="BT840" s="12" t="b">
        <v>1</v>
      </c>
      <c r="BU840" s="12" t="s">
        <v>69</v>
      </c>
    </row>
    <row r="841">
      <c r="A841" s="12" t="s">
        <v>4493</v>
      </c>
      <c r="B841" s="12" t="s">
        <v>54</v>
      </c>
      <c r="C841" s="14">
        <v>46115.0</v>
      </c>
      <c r="D841" s="12" t="s">
        <v>77</v>
      </c>
      <c r="E841" s="12" t="s">
        <v>4800</v>
      </c>
      <c r="F841" s="12" t="s">
        <v>2540</v>
      </c>
      <c r="BP841" s="12" t="s">
        <v>4802</v>
      </c>
      <c r="BQ841" s="12" t="b">
        <v>0</v>
      </c>
      <c r="BS841" s="16" t="s">
        <v>6272</v>
      </c>
      <c r="BT841" s="12" t="b">
        <v>1</v>
      </c>
      <c r="BU841" s="12" t="s">
        <v>69</v>
      </c>
    </row>
    <row r="842">
      <c r="A842" s="12" t="s">
        <v>4484</v>
      </c>
      <c r="B842" s="12" t="s">
        <v>54</v>
      </c>
      <c r="C842" s="14">
        <v>46114.0</v>
      </c>
      <c r="D842" s="12" t="s">
        <v>220</v>
      </c>
      <c r="E842" s="12" t="s">
        <v>4806</v>
      </c>
      <c r="F842" s="12" t="s">
        <v>2402</v>
      </c>
      <c r="BP842" s="12" t="s">
        <v>4807</v>
      </c>
      <c r="BQ842" s="12" t="b">
        <v>0</v>
      </c>
      <c r="BS842" s="16" t="s">
        <v>6275</v>
      </c>
      <c r="BT842" s="12" t="b">
        <v>1</v>
      </c>
      <c r="BU842" s="12" t="s">
        <v>69</v>
      </c>
    </row>
    <row r="843">
      <c r="A843" s="12" t="s">
        <v>4452</v>
      </c>
      <c r="B843" s="12" t="s">
        <v>54</v>
      </c>
      <c r="C843" s="14">
        <v>46113.0</v>
      </c>
      <c r="D843" s="12" t="s">
        <v>220</v>
      </c>
      <c r="E843" s="12" t="s">
        <v>4811</v>
      </c>
      <c r="F843" s="12" t="s">
        <v>3715</v>
      </c>
      <c r="BP843" s="12" t="s">
        <v>4812</v>
      </c>
      <c r="BQ843" s="12" t="b">
        <v>0</v>
      </c>
      <c r="BS843" s="16" t="s">
        <v>6280</v>
      </c>
      <c r="BT843" s="12" t="b">
        <v>1</v>
      </c>
      <c r="BU843" s="12" t="s">
        <v>69</v>
      </c>
    </row>
    <row r="844">
      <c r="A844" s="12" t="s">
        <v>4502</v>
      </c>
      <c r="B844" s="12" t="s">
        <v>54</v>
      </c>
      <c r="C844" s="14">
        <v>46116.0</v>
      </c>
      <c r="D844" s="12" t="s">
        <v>435</v>
      </c>
      <c r="E844" s="12" t="s">
        <v>4815</v>
      </c>
      <c r="F844" s="12" t="s">
        <v>2402</v>
      </c>
      <c r="BP844" s="12" t="s">
        <v>4816</v>
      </c>
      <c r="BQ844" s="12" t="b">
        <v>0</v>
      </c>
      <c r="BS844" s="16" t="s">
        <v>6284</v>
      </c>
      <c r="BT844" s="12" t="b">
        <v>1</v>
      </c>
      <c r="BU844" s="12" t="s">
        <v>69</v>
      </c>
    </row>
    <row r="845">
      <c r="A845" s="12" t="s">
        <v>2595</v>
      </c>
      <c r="B845" s="12" t="s">
        <v>54</v>
      </c>
      <c r="C845" s="19">
        <v>46118.0</v>
      </c>
      <c r="D845" s="12" t="s">
        <v>1316</v>
      </c>
      <c r="F845" s="12" t="s">
        <v>4821</v>
      </c>
      <c r="G845" s="12" t="s">
        <v>1756</v>
      </c>
      <c r="H845" s="12">
        <v>1.0</v>
      </c>
      <c r="I845" s="17">
        <v>854.96</v>
      </c>
      <c r="J845" s="17">
        <v>854.96</v>
      </c>
      <c r="BO845" s="17">
        <v>854.96</v>
      </c>
      <c r="BR845" s="17">
        <v>854.96</v>
      </c>
      <c r="BU845" s="12" t="s">
        <v>621</v>
      </c>
    </row>
    <row r="846">
      <c r="A846" s="12"/>
      <c r="B846" s="12"/>
      <c r="C846" s="14"/>
      <c r="D846" s="12"/>
      <c r="E846" s="12"/>
      <c r="F846" s="12"/>
      <c r="BP846" s="12"/>
      <c r="BQ846" s="12"/>
      <c r="BS846" s="12"/>
      <c r="BT846" s="12"/>
      <c r="BU846" s="12"/>
    </row>
    <row r="847">
      <c r="A847" s="12" t="s">
        <v>4525</v>
      </c>
      <c r="B847" s="12" t="s">
        <v>54</v>
      </c>
      <c r="C847" s="14">
        <v>46119.0</v>
      </c>
      <c r="D847" s="12" t="s">
        <v>190</v>
      </c>
      <c r="E847" s="12" t="s">
        <v>4826</v>
      </c>
      <c r="F847" s="12" t="s">
        <v>4829</v>
      </c>
      <c r="BP847" s="12" t="s">
        <v>4827</v>
      </c>
      <c r="BQ847" s="12" t="b">
        <v>0</v>
      </c>
      <c r="BS847" s="16" t="s">
        <v>6287</v>
      </c>
      <c r="BT847" s="12" t="b">
        <v>1</v>
      </c>
      <c r="BU847" s="12" t="s">
        <v>69</v>
      </c>
    </row>
    <row r="848">
      <c r="A848" s="12" t="s">
        <v>4520</v>
      </c>
      <c r="B848" s="12" t="s">
        <v>54</v>
      </c>
      <c r="C848" s="14">
        <v>46118.0</v>
      </c>
      <c r="D848" s="12" t="s">
        <v>58</v>
      </c>
      <c r="E848" s="12" t="s">
        <v>4831</v>
      </c>
      <c r="F848" s="12" t="s">
        <v>4834</v>
      </c>
      <c r="BP848" s="12" t="s">
        <v>4832</v>
      </c>
      <c r="BQ848" s="12" t="b">
        <v>0</v>
      </c>
      <c r="BS848" s="16" t="s">
        <v>6289</v>
      </c>
      <c r="BT848" s="12" t="b">
        <v>1</v>
      </c>
      <c r="BU848" s="12" t="s">
        <v>69</v>
      </c>
    </row>
    <row r="849">
      <c r="A849" s="12" t="s">
        <v>4528</v>
      </c>
      <c r="B849" s="12" t="s">
        <v>54</v>
      </c>
      <c r="C849" s="14">
        <v>46119.0</v>
      </c>
      <c r="D849" s="12" t="s">
        <v>220</v>
      </c>
      <c r="E849" s="12" t="s">
        <v>4837</v>
      </c>
      <c r="F849" s="12" t="s">
        <v>82</v>
      </c>
      <c r="BP849" s="12" t="s">
        <v>4838</v>
      </c>
      <c r="BQ849" s="12" t="b">
        <v>0</v>
      </c>
      <c r="BS849" s="16" t="s">
        <v>6290</v>
      </c>
      <c r="BT849" s="12" t="b">
        <v>1</v>
      </c>
      <c r="BU849" s="12" t="s">
        <v>69</v>
      </c>
    </row>
    <row r="850">
      <c r="A850" s="12" t="s">
        <v>4531</v>
      </c>
      <c r="B850" s="12" t="s">
        <v>54</v>
      </c>
      <c r="C850" s="14">
        <v>46119.0</v>
      </c>
      <c r="D850" s="12" t="s">
        <v>220</v>
      </c>
      <c r="E850" s="12" t="s">
        <v>4844</v>
      </c>
      <c r="F850" s="12" t="s">
        <v>2402</v>
      </c>
      <c r="BP850" s="12" t="s">
        <v>4845</v>
      </c>
      <c r="BQ850" s="12" t="b">
        <v>0</v>
      </c>
      <c r="BS850" s="16" t="s">
        <v>6291</v>
      </c>
      <c r="BT850" s="12" t="b">
        <v>1</v>
      </c>
      <c r="BU850" s="12" t="s">
        <v>69</v>
      </c>
    </row>
    <row r="851">
      <c r="A851" s="12" t="s">
        <v>4515</v>
      </c>
      <c r="B851" s="12" t="s">
        <v>54</v>
      </c>
      <c r="C851" s="14">
        <v>46116.0</v>
      </c>
      <c r="D851" s="12" t="s">
        <v>182</v>
      </c>
      <c r="E851" s="12" t="s">
        <v>4849</v>
      </c>
      <c r="F851" s="12" t="s">
        <v>268</v>
      </c>
      <c r="BP851" s="12" t="s">
        <v>4850</v>
      </c>
      <c r="BQ851" s="12" t="b">
        <v>0</v>
      </c>
      <c r="BS851" s="16" t="s">
        <v>6292</v>
      </c>
      <c r="BT851" s="12" t="b">
        <v>1</v>
      </c>
      <c r="BU851" s="12" t="s">
        <v>69</v>
      </c>
    </row>
    <row r="852">
      <c r="A852" s="12" t="s">
        <v>2599</v>
      </c>
      <c r="B852" s="12" t="s">
        <v>54</v>
      </c>
      <c r="C852" s="19">
        <v>46119.0</v>
      </c>
      <c r="D852" s="12" t="s">
        <v>2854</v>
      </c>
      <c r="F852" s="12" t="s">
        <v>4856</v>
      </c>
      <c r="G852" s="12" t="s">
        <v>741</v>
      </c>
      <c r="H852" s="12">
        <v>1.0</v>
      </c>
      <c r="I852" s="17">
        <v>515.61</v>
      </c>
      <c r="J852" s="17">
        <v>515.61</v>
      </c>
      <c r="BO852" s="17">
        <v>515.61</v>
      </c>
      <c r="BR852" s="17">
        <v>515.61</v>
      </c>
      <c r="BU852" s="12" t="s">
        <v>191</v>
      </c>
    </row>
    <row r="853">
      <c r="A853" s="12" t="s">
        <v>6293</v>
      </c>
      <c r="B853" s="12" t="s">
        <v>54</v>
      </c>
      <c r="C853" s="14">
        <v>46120.0</v>
      </c>
      <c r="D853" s="12" t="s">
        <v>897</v>
      </c>
      <c r="E853" s="12" t="s">
        <v>6294</v>
      </c>
      <c r="F853" s="12" t="s">
        <v>423</v>
      </c>
      <c r="BP853" s="12" t="s">
        <v>6295</v>
      </c>
      <c r="BQ853" s="12" t="b">
        <v>0</v>
      </c>
      <c r="BT853" s="12" t="b">
        <v>0</v>
      </c>
      <c r="BU853" s="12" t="s">
        <v>69</v>
      </c>
    </row>
    <row r="854">
      <c r="A854" s="12" t="s">
        <v>4415</v>
      </c>
      <c r="B854" s="12" t="s">
        <v>54</v>
      </c>
      <c r="C854" s="14">
        <v>46112.0</v>
      </c>
      <c r="D854" s="12" t="s">
        <v>912</v>
      </c>
      <c r="E854" s="12" t="s">
        <v>4863</v>
      </c>
      <c r="F854" s="12" t="s">
        <v>254</v>
      </c>
      <c r="BP854" s="12" t="s">
        <v>4864</v>
      </c>
      <c r="BQ854" s="12" t="b">
        <v>0</v>
      </c>
      <c r="BT854" s="12" t="b">
        <v>0</v>
      </c>
      <c r="BU854" s="12" t="s">
        <v>69</v>
      </c>
      <c r="BW854" s="12" t="s">
        <v>4865</v>
      </c>
    </row>
    <row r="855">
      <c r="A855" s="12" t="s">
        <v>6296</v>
      </c>
      <c r="B855" s="12" t="s">
        <v>54</v>
      </c>
      <c r="C855" s="14">
        <v>46112.0</v>
      </c>
      <c r="D855" s="12" t="s">
        <v>912</v>
      </c>
      <c r="E855" s="12" t="s">
        <v>4863</v>
      </c>
      <c r="F855" s="12" t="s">
        <v>254</v>
      </c>
      <c r="BP855" s="12" t="s">
        <v>6297</v>
      </c>
      <c r="BQ855" s="12" t="b">
        <v>0</v>
      </c>
      <c r="BT855" s="12" t="b">
        <v>0</v>
      </c>
      <c r="BU855" s="12" t="s">
        <v>69</v>
      </c>
      <c r="BW855" s="12" t="s">
        <v>6298</v>
      </c>
      <c r="BX855" s="12" t="s">
        <v>6299</v>
      </c>
    </row>
    <row r="856">
      <c r="A856" s="12" t="s">
        <v>4550</v>
      </c>
      <c r="B856" s="12" t="s">
        <v>54</v>
      </c>
      <c r="C856" s="14">
        <v>46120.0</v>
      </c>
      <c r="D856" s="12" t="s">
        <v>4873</v>
      </c>
      <c r="E856" s="12" t="s">
        <v>4874</v>
      </c>
      <c r="F856" s="12" t="s">
        <v>4877</v>
      </c>
      <c r="BP856" s="12" t="s">
        <v>4875</v>
      </c>
      <c r="BQ856" s="12" t="b">
        <v>0</v>
      </c>
      <c r="BS856" s="16" t="s">
        <v>6300</v>
      </c>
      <c r="BT856" s="12" t="b">
        <v>1</v>
      </c>
      <c r="BU856" s="12" t="s">
        <v>69</v>
      </c>
      <c r="BX856" s="12" t="s">
        <v>4879</v>
      </c>
    </row>
    <row r="857">
      <c r="A857" s="12" t="s">
        <v>2603</v>
      </c>
      <c r="B857" s="12" t="s">
        <v>54</v>
      </c>
      <c r="C857" s="19">
        <v>46120.0</v>
      </c>
      <c r="F857" s="12" t="s">
        <v>4882</v>
      </c>
      <c r="G857" s="12" t="s">
        <v>2604</v>
      </c>
      <c r="H857" s="12">
        <v>1.0</v>
      </c>
      <c r="I857" s="17">
        <v>1569.56</v>
      </c>
      <c r="J857" s="17">
        <v>1569.56</v>
      </c>
      <c r="BO857" s="17">
        <v>1569.56</v>
      </c>
      <c r="BR857" s="17">
        <v>1569.56</v>
      </c>
      <c r="BU857" s="12" t="s">
        <v>191</v>
      </c>
      <c r="BV857" s="12" t="s">
        <v>1900</v>
      </c>
    </row>
    <row r="858">
      <c r="A858" s="12" t="s">
        <v>4553</v>
      </c>
      <c r="B858" s="12" t="s">
        <v>54</v>
      </c>
      <c r="C858" s="14">
        <v>46121.0</v>
      </c>
      <c r="D858" s="12" t="s">
        <v>1769</v>
      </c>
      <c r="E858" s="12" t="s">
        <v>4885</v>
      </c>
      <c r="F858" s="12" t="s">
        <v>4829</v>
      </c>
      <c r="BP858" s="12" t="s">
        <v>4886</v>
      </c>
      <c r="BQ858" s="12" t="b">
        <v>0</v>
      </c>
      <c r="BS858" s="16" t="s">
        <v>6301</v>
      </c>
      <c r="BT858" s="12" t="b">
        <v>1</v>
      </c>
      <c r="BU858" s="12" t="s">
        <v>69</v>
      </c>
    </row>
    <row r="859">
      <c r="A859" s="12" t="s">
        <v>4557</v>
      </c>
      <c r="B859" s="12" t="s">
        <v>54</v>
      </c>
      <c r="C859" s="14">
        <v>46121.0</v>
      </c>
      <c r="D859" s="12" t="s">
        <v>77</v>
      </c>
      <c r="E859" s="12" t="s">
        <v>4892</v>
      </c>
      <c r="F859" s="12" t="s">
        <v>268</v>
      </c>
      <c r="BP859" s="12" t="s">
        <v>4893</v>
      </c>
      <c r="BQ859" s="12" t="b">
        <v>0</v>
      </c>
      <c r="BS859" s="16" t="s">
        <v>6302</v>
      </c>
      <c r="BT859" s="12" t="b">
        <v>1</v>
      </c>
      <c r="BU859" s="12" t="s">
        <v>69</v>
      </c>
    </row>
    <row r="860">
      <c r="A860" s="12" t="s">
        <v>4547</v>
      </c>
      <c r="B860" s="12" t="s">
        <v>54</v>
      </c>
      <c r="C860" s="14">
        <v>46119.0</v>
      </c>
      <c r="D860" s="12" t="s">
        <v>109</v>
      </c>
      <c r="E860" s="12" t="s">
        <v>4898</v>
      </c>
      <c r="F860" s="12" t="s">
        <v>687</v>
      </c>
      <c r="BP860" s="12" t="s">
        <v>4899</v>
      </c>
      <c r="BQ860" s="12" t="b">
        <v>0</v>
      </c>
      <c r="BS860" s="16" t="s">
        <v>6303</v>
      </c>
      <c r="BT860" s="12" t="b">
        <v>1</v>
      </c>
      <c r="BU860" s="12" t="s">
        <v>1784</v>
      </c>
    </row>
    <row r="861">
      <c r="A861" s="12" t="s">
        <v>4562</v>
      </c>
      <c r="B861" s="12" t="s">
        <v>54</v>
      </c>
      <c r="C861" s="14">
        <v>46122.0</v>
      </c>
      <c r="D861" s="12" t="s">
        <v>220</v>
      </c>
      <c r="E861" s="12" t="s">
        <v>4904</v>
      </c>
      <c r="F861" s="12" t="s">
        <v>2402</v>
      </c>
      <c r="BP861" s="12" t="s">
        <v>4905</v>
      </c>
      <c r="BQ861" s="12" t="b">
        <v>0</v>
      </c>
      <c r="BS861" s="16" t="s">
        <v>6304</v>
      </c>
      <c r="BT861" s="12" t="b">
        <v>1</v>
      </c>
      <c r="BU861" s="12" t="s">
        <v>69</v>
      </c>
    </row>
    <row r="862">
      <c r="A862" s="12" t="s">
        <v>4598</v>
      </c>
      <c r="B862" s="12" t="s">
        <v>54</v>
      </c>
      <c r="C862" s="14">
        <v>46122.0</v>
      </c>
      <c r="D862" s="12" t="s">
        <v>556</v>
      </c>
      <c r="E862" s="12" t="s">
        <v>4910</v>
      </c>
      <c r="F862" s="12" t="s">
        <v>687</v>
      </c>
      <c r="BP862" s="12" t="s">
        <v>4911</v>
      </c>
      <c r="BQ862" s="12" t="b">
        <v>0</v>
      </c>
      <c r="BS862" s="16" t="s">
        <v>6305</v>
      </c>
      <c r="BT862" s="12" t="b">
        <v>1</v>
      </c>
      <c r="BU862" s="12" t="s">
        <v>69</v>
      </c>
    </row>
    <row r="863">
      <c r="A863" s="12" t="s">
        <v>4611</v>
      </c>
      <c r="B863" s="12" t="s">
        <v>54</v>
      </c>
      <c r="C863" s="14">
        <v>46123.0</v>
      </c>
      <c r="D863" s="12" t="s">
        <v>182</v>
      </c>
      <c r="E863" s="12" t="s">
        <v>4915</v>
      </c>
      <c r="F863" s="12" t="s">
        <v>2999</v>
      </c>
      <c r="BP863" s="12" t="s">
        <v>4916</v>
      </c>
      <c r="BQ863" s="12" t="b">
        <v>0</v>
      </c>
      <c r="BS863" s="16" t="s">
        <v>6306</v>
      </c>
      <c r="BT863" s="12" t="b">
        <v>1</v>
      </c>
      <c r="BU863" s="12" t="s">
        <v>69</v>
      </c>
    </row>
    <row r="864">
      <c r="A864" s="16" t="s">
        <v>4602</v>
      </c>
      <c r="B864" s="12" t="s">
        <v>54</v>
      </c>
      <c r="C864" s="14">
        <v>46122.0</v>
      </c>
      <c r="D864" s="12" t="s">
        <v>784</v>
      </c>
      <c r="E864" s="12" t="s">
        <v>4920</v>
      </c>
      <c r="F864" s="12" t="s">
        <v>715</v>
      </c>
      <c r="BP864" s="12" t="s">
        <v>4921</v>
      </c>
      <c r="BQ864" s="12" t="b">
        <v>0</v>
      </c>
      <c r="BT864" s="12" t="b">
        <v>0</v>
      </c>
      <c r="BU864" s="12" t="s">
        <v>69</v>
      </c>
    </row>
    <row r="865">
      <c r="A865" s="12" t="s">
        <v>6307</v>
      </c>
      <c r="B865" s="12" t="s">
        <v>54</v>
      </c>
      <c r="C865" s="14">
        <v>46122.0</v>
      </c>
      <c r="D865" s="12" t="s">
        <v>6308</v>
      </c>
      <c r="E865" s="12" t="s">
        <v>6309</v>
      </c>
      <c r="F865" s="12" t="s">
        <v>715</v>
      </c>
      <c r="BP865" s="12" t="s">
        <v>6310</v>
      </c>
      <c r="BQ865" s="12" t="b">
        <v>0</v>
      </c>
      <c r="BT865" s="12" t="b">
        <v>0</v>
      </c>
      <c r="BU865" s="12" t="s">
        <v>69</v>
      </c>
    </row>
    <row r="866">
      <c r="A866" s="12" t="s">
        <v>6311</v>
      </c>
      <c r="B866" s="12" t="s">
        <v>54</v>
      </c>
      <c r="C866" s="14">
        <v>46122.0</v>
      </c>
      <c r="D866" s="12" t="s">
        <v>784</v>
      </c>
      <c r="E866" s="12" t="s">
        <v>6312</v>
      </c>
      <c r="F866" s="12" t="s">
        <v>715</v>
      </c>
      <c r="BP866" s="12" t="s">
        <v>6313</v>
      </c>
      <c r="BQ866" s="12" t="b">
        <v>0</v>
      </c>
      <c r="BT866" s="12" t="b">
        <v>0</v>
      </c>
      <c r="BU866" s="12" t="s">
        <v>69</v>
      </c>
    </row>
    <row r="867">
      <c r="A867" s="12" t="s">
        <v>2609</v>
      </c>
      <c r="B867" s="12" t="s">
        <v>54</v>
      </c>
      <c r="C867" s="19">
        <v>46125.0</v>
      </c>
      <c r="D867" s="12" t="s">
        <v>156</v>
      </c>
      <c r="F867" s="12" t="s">
        <v>4929</v>
      </c>
      <c r="G867" s="12" t="s">
        <v>2610</v>
      </c>
      <c r="H867" s="12">
        <v>1.0</v>
      </c>
      <c r="I867" s="17">
        <v>263.25</v>
      </c>
      <c r="J867" s="17">
        <v>263.25</v>
      </c>
      <c r="BO867" s="17">
        <v>263.25</v>
      </c>
      <c r="BR867" s="17">
        <v>263.25</v>
      </c>
      <c r="BU867" s="12" t="s">
        <v>621</v>
      </c>
    </row>
    <row r="868">
      <c r="A868" s="12" t="s">
        <v>2613</v>
      </c>
      <c r="B868" s="12" t="s">
        <v>54</v>
      </c>
      <c r="C868" s="19">
        <v>46125.0</v>
      </c>
      <c r="D868" s="12" t="s">
        <v>156</v>
      </c>
      <c r="F868" s="12" t="s">
        <v>4931</v>
      </c>
      <c r="G868" s="12" t="s">
        <v>786</v>
      </c>
      <c r="H868" s="12">
        <v>1.0</v>
      </c>
      <c r="I868" s="17">
        <v>4071.0</v>
      </c>
      <c r="J868" s="17">
        <v>4071.0</v>
      </c>
      <c r="BO868" s="17">
        <v>4071.0</v>
      </c>
      <c r="BR868" s="17">
        <v>4071.0</v>
      </c>
      <c r="BU868" s="12" t="s">
        <v>621</v>
      </c>
    </row>
    <row r="869">
      <c r="A869" s="12" t="s">
        <v>2618</v>
      </c>
      <c r="B869" s="12" t="s">
        <v>54</v>
      </c>
      <c r="C869" s="19">
        <v>46125.0</v>
      </c>
      <c r="D869" s="12" t="s">
        <v>156</v>
      </c>
      <c r="F869" s="12" t="s">
        <v>4934</v>
      </c>
      <c r="G869" s="12" t="s">
        <v>1236</v>
      </c>
      <c r="H869" s="12">
        <v>1.0</v>
      </c>
      <c r="I869" s="17">
        <v>1786.6</v>
      </c>
      <c r="J869" s="17">
        <v>1786.6</v>
      </c>
      <c r="BO869" s="17">
        <v>1786.6</v>
      </c>
      <c r="BR869" s="17">
        <v>1786.6</v>
      </c>
      <c r="BU869" s="12" t="s">
        <v>621</v>
      </c>
    </row>
    <row r="870">
      <c r="A870" s="12">
        <v>1478.0</v>
      </c>
      <c r="B870" s="12" t="s">
        <v>54</v>
      </c>
      <c r="C870" s="19">
        <v>46125.0</v>
      </c>
      <c r="D870" s="12" t="s">
        <v>689</v>
      </c>
      <c r="F870" s="12" t="s">
        <v>959</v>
      </c>
      <c r="G870" s="12" t="s">
        <v>693</v>
      </c>
      <c r="H870" s="12">
        <v>1.0</v>
      </c>
      <c r="I870" s="17">
        <v>5000.0</v>
      </c>
      <c r="J870" s="17">
        <v>5000.0</v>
      </c>
      <c r="BO870" s="17">
        <v>5000.0</v>
      </c>
      <c r="BR870" s="17">
        <v>5000.0</v>
      </c>
      <c r="BU870" s="12" t="s">
        <v>621</v>
      </c>
    </row>
    <row r="871">
      <c r="A871" s="12">
        <v>1479.0</v>
      </c>
      <c r="B871" s="12" t="s">
        <v>54</v>
      </c>
      <c r="C871" s="19">
        <v>46125.0</v>
      </c>
      <c r="D871" s="12" t="s">
        <v>156</v>
      </c>
      <c r="F871" s="12" t="s">
        <v>1905</v>
      </c>
      <c r="G871" s="12" t="s">
        <v>1082</v>
      </c>
      <c r="H871" s="12">
        <v>1.0</v>
      </c>
      <c r="I871" s="17">
        <v>625.0</v>
      </c>
      <c r="J871" s="17">
        <v>625.0</v>
      </c>
      <c r="BO871" s="17">
        <v>625.0</v>
      </c>
      <c r="BR871" s="17">
        <v>625.0</v>
      </c>
      <c r="BU871" s="12" t="s">
        <v>621</v>
      </c>
    </row>
    <row r="872">
      <c r="A872" s="12">
        <v>1480.0</v>
      </c>
      <c r="B872" s="12" t="s">
        <v>54</v>
      </c>
      <c r="C872" s="19">
        <v>46125.0</v>
      </c>
      <c r="D872" s="12" t="s">
        <v>156</v>
      </c>
      <c r="F872" s="12" t="s">
        <v>1909</v>
      </c>
      <c r="G872" s="12" t="s">
        <v>1906</v>
      </c>
      <c r="H872" s="12">
        <v>1.0</v>
      </c>
      <c r="I872" s="17">
        <v>375.0</v>
      </c>
      <c r="J872" s="17">
        <v>375.0</v>
      </c>
      <c r="BO872" s="17">
        <v>375.0</v>
      </c>
      <c r="BR872" s="17">
        <v>375.0</v>
      </c>
      <c r="BU872" s="12" t="s">
        <v>621</v>
      </c>
    </row>
    <row r="873">
      <c r="A873" s="12">
        <v>1481.0</v>
      </c>
      <c r="B873" s="12" t="s">
        <v>54</v>
      </c>
      <c r="C873" s="19">
        <v>46125.0</v>
      </c>
      <c r="D873" s="12" t="s">
        <v>1914</v>
      </c>
      <c r="F873" s="12" t="s">
        <v>1916</v>
      </c>
      <c r="G873" s="12" t="s">
        <v>1908</v>
      </c>
      <c r="H873" s="12">
        <v>1.0</v>
      </c>
      <c r="I873" s="17">
        <v>1110.0</v>
      </c>
      <c r="J873" s="17">
        <v>1110.0</v>
      </c>
      <c r="BO873" s="17">
        <v>1110.0</v>
      </c>
      <c r="BR873" s="17">
        <v>1110.0</v>
      </c>
      <c r="BU873" s="12" t="s">
        <v>621</v>
      </c>
    </row>
    <row r="874">
      <c r="A874" s="12" t="s">
        <v>2634</v>
      </c>
      <c r="B874" s="12" t="s">
        <v>54</v>
      </c>
      <c r="C874" s="19">
        <v>46125.0</v>
      </c>
      <c r="D874" s="12" t="s">
        <v>1715</v>
      </c>
      <c r="F874" s="12" t="s">
        <v>3036</v>
      </c>
      <c r="G874" s="12" t="s">
        <v>1936</v>
      </c>
      <c r="H874" s="12">
        <v>1.0</v>
      </c>
      <c r="I874" s="17">
        <v>616.71</v>
      </c>
      <c r="J874" s="17">
        <v>616.71</v>
      </c>
      <c r="BO874" s="17">
        <v>616.71</v>
      </c>
      <c r="BR874" s="17">
        <v>616.71</v>
      </c>
      <c r="BU874" s="12" t="s">
        <v>621</v>
      </c>
    </row>
    <row r="875">
      <c r="A875" s="12">
        <v>1493.0</v>
      </c>
      <c r="B875" s="12" t="s">
        <v>54</v>
      </c>
      <c r="C875" s="19">
        <v>46125.0</v>
      </c>
      <c r="D875" s="12" t="s">
        <v>734</v>
      </c>
      <c r="F875" s="12" t="s">
        <v>1466</v>
      </c>
      <c r="G875" s="12" t="s">
        <v>1056</v>
      </c>
      <c r="H875" s="12">
        <v>1.0</v>
      </c>
      <c r="I875" s="17">
        <v>1193.68</v>
      </c>
      <c r="J875" s="17">
        <v>1193.68</v>
      </c>
      <c r="BO875" s="17">
        <v>1193.68</v>
      </c>
      <c r="BR875" s="17">
        <v>1193.68</v>
      </c>
      <c r="BU875" s="12" t="s">
        <v>621</v>
      </c>
    </row>
    <row r="876">
      <c r="A876" s="12">
        <v>1494.0</v>
      </c>
      <c r="B876" s="12" t="s">
        <v>54</v>
      </c>
      <c r="C876" s="19">
        <v>46125.0</v>
      </c>
      <c r="D876" s="12" t="s">
        <v>1067</v>
      </c>
      <c r="F876" s="12" t="s">
        <v>1068</v>
      </c>
      <c r="G876" s="12" t="s">
        <v>741</v>
      </c>
      <c r="H876" s="12">
        <v>1.0</v>
      </c>
      <c r="I876" s="17">
        <v>849.11</v>
      </c>
      <c r="J876" s="17">
        <v>849.11</v>
      </c>
      <c r="BO876" s="17">
        <v>849.11</v>
      </c>
      <c r="BR876" s="17">
        <v>849.11</v>
      </c>
      <c r="BU876" s="12" t="s">
        <v>621</v>
      </c>
    </row>
    <row r="877">
      <c r="A877" s="12">
        <v>1495.0</v>
      </c>
      <c r="B877" s="12" t="s">
        <v>54</v>
      </c>
      <c r="C877" s="19">
        <v>46125.0</v>
      </c>
      <c r="D877" s="12" t="s">
        <v>1484</v>
      </c>
      <c r="F877" s="12" t="s">
        <v>1485</v>
      </c>
      <c r="G877" s="12" t="s">
        <v>1486</v>
      </c>
      <c r="H877" s="12">
        <v>1.0</v>
      </c>
      <c r="I877" s="17">
        <v>20.0</v>
      </c>
      <c r="J877" s="17">
        <v>20.0</v>
      </c>
      <c r="BO877" s="17">
        <v>20.0</v>
      </c>
      <c r="BR877" s="17">
        <v>20.0</v>
      </c>
      <c r="BU877" s="12" t="s">
        <v>621</v>
      </c>
    </row>
    <row r="878">
      <c r="A878" s="12" t="s">
        <v>2646</v>
      </c>
      <c r="B878" s="12" t="s">
        <v>54</v>
      </c>
      <c r="C878" s="19">
        <v>46125.0</v>
      </c>
      <c r="D878" s="12" t="s">
        <v>818</v>
      </c>
      <c r="F878" s="12" t="s">
        <v>819</v>
      </c>
      <c r="G878" s="12" t="s">
        <v>820</v>
      </c>
      <c r="H878" s="12">
        <v>1.0</v>
      </c>
      <c r="I878" s="17">
        <v>185.0</v>
      </c>
      <c r="J878" s="17">
        <v>185.0</v>
      </c>
      <c r="BO878" s="17">
        <v>185.0</v>
      </c>
      <c r="BR878" s="17">
        <v>185.0</v>
      </c>
      <c r="BU878" s="12" t="s">
        <v>621</v>
      </c>
    </row>
    <row r="879">
      <c r="A879" s="12" t="s">
        <v>2650</v>
      </c>
      <c r="B879" s="12" t="s">
        <v>54</v>
      </c>
      <c r="C879" s="19">
        <v>46125.0</v>
      </c>
      <c r="D879" s="12" t="s">
        <v>4967</v>
      </c>
      <c r="F879" s="12" t="s">
        <v>4968</v>
      </c>
      <c r="G879" s="12" t="s">
        <v>768</v>
      </c>
      <c r="H879" s="12">
        <v>1.0</v>
      </c>
      <c r="I879" s="17">
        <v>50.0</v>
      </c>
      <c r="J879" s="17">
        <v>50.0</v>
      </c>
      <c r="BO879" s="17">
        <v>50.0</v>
      </c>
      <c r="BR879" s="17">
        <v>50.0</v>
      </c>
      <c r="BU879" s="12" t="s">
        <v>191</v>
      </c>
    </row>
    <row r="880">
      <c r="A880" s="12" t="s">
        <v>4608</v>
      </c>
      <c r="B880" s="12" t="s">
        <v>54</v>
      </c>
      <c r="C880" s="14">
        <v>46122.0</v>
      </c>
      <c r="D880" s="12" t="s">
        <v>775</v>
      </c>
      <c r="E880" s="12" t="s">
        <v>4973</v>
      </c>
      <c r="F880" s="12" t="s">
        <v>715</v>
      </c>
      <c r="BP880" s="12" t="s">
        <v>4976</v>
      </c>
      <c r="BQ880" s="12" t="b">
        <v>0</v>
      </c>
      <c r="BT880" s="12" t="b">
        <v>0</v>
      </c>
      <c r="BU880" s="12" t="s">
        <v>69</v>
      </c>
    </row>
    <row r="881">
      <c r="A881" s="12" t="s">
        <v>6314</v>
      </c>
      <c r="B881" s="12" t="s">
        <v>54</v>
      </c>
      <c r="C881" s="14">
        <v>46122.0</v>
      </c>
      <c r="D881" s="12" t="s">
        <v>775</v>
      </c>
      <c r="E881" s="12" t="s">
        <v>4973</v>
      </c>
      <c r="F881" s="12" t="s">
        <v>715</v>
      </c>
      <c r="BP881" s="12" t="s">
        <v>6315</v>
      </c>
      <c r="BQ881" s="12" t="b">
        <v>0</v>
      </c>
      <c r="BT881" s="12" t="b">
        <v>0</v>
      </c>
      <c r="BU881" s="12" t="s">
        <v>69</v>
      </c>
    </row>
    <row r="882">
      <c r="A882" s="12" t="s">
        <v>4622</v>
      </c>
      <c r="B882" s="12" t="s">
        <v>54</v>
      </c>
      <c r="C882" s="14">
        <v>46126.0</v>
      </c>
      <c r="D882" s="12" t="s">
        <v>2500</v>
      </c>
      <c r="E882" s="12" t="s">
        <v>4989</v>
      </c>
      <c r="F882" s="12" t="s">
        <v>4991</v>
      </c>
      <c r="BP882" s="12" t="s">
        <v>4990</v>
      </c>
      <c r="BQ882" s="12" t="b">
        <v>0</v>
      </c>
      <c r="BS882" s="16" t="s">
        <v>6316</v>
      </c>
      <c r="BT882" s="12" t="b">
        <v>1</v>
      </c>
      <c r="BU882" s="12" t="s">
        <v>69</v>
      </c>
    </row>
    <row r="883">
      <c r="A883" s="12" t="s">
        <v>4635</v>
      </c>
      <c r="B883" s="12" t="s">
        <v>54</v>
      </c>
      <c r="C883" s="14">
        <v>46126.0</v>
      </c>
      <c r="D883" s="12" t="s">
        <v>220</v>
      </c>
      <c r="E883" s="12" t="s">
        <v>4996</v>
      </c>
      <c r="F883" s="12" t="s">
        <v>268</v>
      </c>
      <c r="BP883" s="12" t="s">
        <v>4997</v>
      </c>
      <c r="BQ883" s="12" t="b">
        <v>0</v>
      </c>
      <c r="BS883" s="16" t="s">
        <v>6317</v>
      </c>
      <c r="BT883" s="12" t="b">
        <v>1</v>
      </c>
      <c r="BU883" s="12" t="s">
        <v>69</v>
      </c>
    </row>
    <row r="884">
      <c r="A884" s="12" t="s">
        <v>4616</v>
      </c>
      <c r="B884" s="12" t="s">
        <v>54</v>
      </c>
      <c r="C884" s="14">
        <v>46125.0</v>
      </c>
      <c r="D884" s="12" t="s">
        <v>77</v>
      </c>
      <c r="E884" s="12" t="s">
        <v>5004</v>
      </c>
      <c r="F884" s="12" t="s">
        <v>268</v>
      </c>
      <c r="BP884" s="12" t="s">
        <v>5007</v>
      </c>
      <c r="BQ884" s="12" t="b">
        <v>0</v>
      </c>
      <c r="BS884" s="16" t="s">
        <v>6318</v>
      </c>
      <c r="BT884" s="12" t="b">
        <v>1</v>
      </c>
      <c r="BU884" s="12" t="s">
        <v>69</v>
      </c>
    </row>
    <row r="885">
      <c r="A885" s="12" t="s">
        <v>4642</v>
      </c>
      <c r="B885" s="12" t="s">
        <v>54</v>
      </c>
      <c r="C885" s="14">
        <v>46126.0</v>
      </c>
      <c r="D885" s="12" t="s">
        <v>532</v>
      </c>
      <c r="E885" s="12" t="s">
        <v>5014</v>
      </c>
      <c r="F885" s="12" t="s">
        <v>2402</v>
      </c>
      <c r="BP885" s="12" t="s">
        <v>5015</v>
      </c>
      <c r="BQ885" s="12" t="b">
        <v>0</v>
      </c>
      <c r="BS885" s="16" t="s">
        <v>6319</v>
      </c>
      <c r="BT885" s="12" t="b">
        <v>1</v>
      </c>
      <c r="BU885" s="12" t="s">
        <v>69</v>
      </c>
    </row>
    <row r="886">
      <c r="A886" s="12" t="s">
        <v>2653</v>
      </c>
      <c r="B886" s="12" t="s">
        <v>54</v>
      </c>
      <c r="C886" s="19">
        <v>46126.0</v>
      </c>
      <c r="F886" s="12" t="s">
        <v>1112</v>
      </c>
      <c r="G886" s="12" t="s">
        <v>1113</v>
      </c>
      <c r="H886" s="12">
        <v>1.0</v>
      </c>
      <c r="I886" s="17">
        <v>300.0</v>
      </c>
      <c r="J886" s="17">
        <v>300.0</v>
      </c>
      <c r="BO886" s="17">
        <v>300.0</v>
      </c>
      <c r="BR886" s="17">
        <v>300.0</v>
      </c>
      <c r="BU886" s="12" t="s">
        <v>191</v>
      </c>
      <c r="BV886" s="12" t="s">
        <v>1183</v>
      </c>
    </row>
    <row r="887">
      <c r="A887" s="12">
        <v>1504.0</v>
      </c>
      <c r="B887" s="12" t="s">
        <v>54</v>
      </c>
      <c r="C887" s="19">
        <v>46127.0</v>
      </c>
      <c r="D887" s="12" t="s">
        <v>818</v>
      </c>
      <c r="F887" s="12" t="s">
        <v>819</v>
      </c>
      <c r="G887" s="12" t="s">
        <v>820</v>
      </c>
      <c r="H887" s="12">
        <v>1.0</v>
      </c>
      <c r="I887" s="17">
        <v>0.0</v>
      </c>
      <c r="J887" s="17">
        <v>0.0</v>
      </c>
      <c r="BO887" s="17">
        <v>0.0</v>
      </c>
      <c r="BR887" s="17">
        <v>0.0</v>
      </c>
      <c r="BU887" s="12" t="s">
        <v>621</v>
      </c>
    </row>
    <row r="888">
      <c r="A888" s="12" t="s">
        <v>2658</v>
      </c>
      <c r="B888" s="12" t="s">
        <v>54</v>
      </c>
      <c r="C888" s="19">
        <v>46126.0</v>
      </c>
      <c r="F888" s="12" t="s">
        <v>1112</v>
      </c>
      <c r="G888" s="12" t="s">
        <v>1113</v>
      </c>
      <c r="H888" s="12">
        <v>1.0</v>
      </c>
      <c r="I888" s="17">
        <v>500.0</v>
      </c>
      <c r="J888" s="17">
        <v>500.0</v>
      </c>
      <c r="BO888" s="17">
        <v>500.0</v>
      </c>
      <c r="BR888" s="17">
        <v>500.0</v>
      </c>
      <c r="BU888" s="12" t="s">
        <v>1784</v>
      </c>
      <c r="BV888" s="12" t="s">
        <v>62</v>
      </c>
    </row>
    <row r="889">
      <c r="A889" s="12" t="s">
        <v>2661</v>
      </c>
      <c r="B889" s="12" t="s">
        <v>54</v>
      </c>
      <c r="C889" s="19">
        <v>46126.0</v>
      </c>
      <c r="F889" s="12" t="s">
        <v>1112</v>
      </c>
      <c r="G889" s="12" t="s">
        <v>1113</v>
      </c>
      <c r="H889" s="12">
        <v>1.0</v>
      </c>
      <c r="I889" s="17">
        <v>500.0</v>
      </c>
      <c r="J889" s="17">
        <v>500.0</v>
      </c>
      <c r="BO889" s="17">
        <v>500.0</v>
      </c>
      <c r="BR889" s="17">
        <v>500.0</v>
      </c>
      <c r="BU889" s="12" t="s">
        <v>1784</v>
      </c>
      <c r="BV889" s="12" t="s">
        <v>78</v>
      </c>
    </row>
    <row r="890">
      <c r="A890" s="12" t="s">
        <v>4679</v>
      </c>
      <c r="B890" s="12" t="s">
        <v>54</v>
      </c>
      <c r="C890" s="14">
        <v>46127.0</v>
      </c>
      <c r="D890" s="12" t="s">
        <v>109</v>
      </c>
      <c r="E890" s="12" t="s">
        <v>5029</v>
      </c>
      <c r="F890" s="12" t="s">
        <v>687</v>
      </c>
      <c r="BP890" s="12" t="s">
        <v>5030</v>
      </c>
      <c r="BQ890" s="12" t="b">
        <v>0</v>
      </c>
      <c r="BS890" s="16" t="s">
        <v>6320</v>
      </c>
      <c r="BT890" s="12" t="b">
        <v>1</v>
      </c>
      <c r="BU890" s="12" t="s">
        <v>69</v>
      </c>
    </row>
    <row r="891">
      <c r="A891" s="12" t="s">
        <v>4664</v>
      </c>
      <c r="B891" s="12" t="s">
        <v>54</v>
      </c>
      <c r="C891" s="14">
        <v>46126.0</v>
      </c>
      <c r="D891" s="12" t="s">
        <v>156</v>
      </c>
      <c r="E891" s="12" t="s">
        <v>5034</v>
      </c>
      <c r="F891" s="12" t="s">
        <v>293</v>
      </c>
      <c r="BP891" s="12" t="s">
        <v>5035</v>
      </c>
      <c r="BQ891" s="12" t="b">
        <v>0</v>
      </c>
      <c r="BT891" s="12" t="b">
        <v>0</v>
      </c>
      <c r="BU891" s="12" t="s">
        <v>69</v>
      </c>
      <c r="BW891" s="12" t="s">
        <v>5037</v>
      </c>
    </row>
    <row r="892">
      <c r="A892" s="12" t="s">
        <v>6321</v>
      </c>
      <c r="B892" s="12" t="s">
        <v>54</v>
      </c>
      <c r="C892" s="14">
        <v>46126.0</v>
      </c>
      <c r="D892" s="12" t="s">
        <v>156</v>
      </c>
      <c r="E892" s="12" t="s">
        <v>5034</v>
      </c>
      <c r="F892" s="12" t="s">
        <v>293</v>
      </c>
      <c r="BP892" s="12" t="s">
        <v>6322</v>
      </c>
      <c r="BQ892" s="12" t="b">
        <v>0</v>
      </c>
      <c r="BT892" s="12" t="b">
        <v>0</v>
      </c>
      <c r="BU892" s="12" t="s">
        <v>69</v>
      </c>
      <c r="BW892" s="12" t="s">
        <v>6323</v>
      </c>
      <c r="BX892" s="12" t="s">
        <v>6324</v>
      </c>
    </row>
    <row r="893">
      <c r="A893" s="12" t="s">
        <v>4684</v>
      </c>
      <c r="B893" s="12" t="s">
        <v>54</v>
      </c>
      <c r="C893" s="14">
        <v>46128.0</v>
      </c>
      <c r="D893" s="12" t="s">
        <v>77</v>
      </c>
      <c r="E893" s="12" t="s">
        <v>5043</v>
      </c>
      <c r="F893" s="12" t="s">
        <v>5045</v>
      </c>
      <c r="BP893" s="12" t="s">
        <v>5044</v>
      </c>
      <c r="BQ893" s="12" t="b">
        <v>0</v>
      </c>
      <c r="BS893" s="16" t="s">
        <v>6325</v>
      </c>
      <c r="BT893" s="12" t="b">
        <v>1</v>
      </c>
      <c r="BU893" s="12" t="s">
        <v>69</v>
      </c>
    </row>
    <row r="894">
      <c r="A894" s="12" t="s">
        <v>4687</v>
      </c>
      <c r="B894" s="12" t="s">
        <v>54</v>
      </c>
      <c r="C894" s="14">
        <v>46129.0</v>
      </c>
      <c r="D894" s="12" t="s">
        <v>1103</v>
      </c>
      <c r="E894" s="12" t="s">
        <v>5051</v>
      </c>
      <c r="F894" s="12" t="s">
        <v>153</v>
      </c>
      <c r="BP894" s="12" t="s">
        <v>5053</v>
      </c>
      <c r="BQ894" s="12" t="b">
        <v>0</v>
      </c>
      <c r="BS894" s="16" t="s">
        <v>6326</v>
      </c>
      <c r="BT894" s="12" t="b">
        <v>1</v>
      </c>
      <c r="BU894" s="12" t="s">
        <v>69</v>
      </c>
    </row>
    <row r="895">
      <c r="A895" s="12" t="s">
        <v>4697</v>
      </c>
      <c r="B895" s="12" t="s">
        <v>54</v>
      </c>
      <c r="C895" s="14">
        <v>46129.0</v>
      </c>
      <c r="D895" s="12" t="s">
        <v>77</v>
      </c>
      <c r="E895" s="12" t="s">
        <v>5056</v>
      </c>
      <c r="F895" s="12" t="s">
        <v>2487</v>
      </c>
      <c r="BP895" s="12" t="s">
        <v>5057</v>
      </c>
      <c r="BQ895" s="12" t="b">
        <v>0</v>
      </c>
      <c r="BS895" s="16" t="s">
        <v>6327</v>
      </c>
      <c r="BT895" s="12" t="b">
        <v>1</v>
      </c>
      <c r="BU895" s="12" t="s">
        <v>69</v>
      </c>
    </row>
    <row r="896">
      <c r="A896" s="12" t="s">
        <v>4673</v>
      </c>
      <c r="B896" s="12" t="s">
        <v>54</v>
      </c>
      <c r="C896" s="14">
        <v>46126.0</v>
      </c>
      <c r="D896" s="12" t="s">
        <v>156</v>
      </c>
      <c r="E896" s="12" t="s">
        <v>5063</v>
      </c>
      <c r="F896" s="12" t="s">
        <v>368</v>
      </c>
      <c r="BP896" s="12" t="s">
        <v>5065</v>
      </c>
      <c r="BQ896" s="12" t="b">
        <v>0</v>
      </c>
      <c r="BT896" s="12" t="b">
        <v>0</v>
      </c>
      <c r="BU896" s="12" t="s">
        <v>69</v>
      </c>
      <c r="BW896" s="12" t="s">
        <v>5069</v>
      </c>
    </row>
    <row r="897">
      <c r="A897" s="12" t="s">
        <v>6328</v>
      </c>
      <c r="B897" s="12" t="s">
        <v>54</v>
      </c>
      <c r="C897" s="14">
        <v>46126.0</v>
      </c>
      <c r="D897" s="12" t="s">
        <v>156</v>
      </c>
      <c r="E897" s="12" t="s">
        <v>5063</v>
      </c>
      <c r="F897" s="12" t="s">
        <v>368</v>
      </c>
      <c r="BP897" s="12" t="s">
        <v>6329</v>
      </c>
      <c r="BQ897" s="12" t="b">
        <v>0</v>
      </c>
      <c r="BT897" s="12" t="b">
        <v>0</v>
      </c>
      <c r="BU897" s="12" t="s">
        <v>69</v>
      </c>
      <c r="BW897" s="12" t="s">
        <v>6330</v>
      </c>
    </row>
    <row r="898">
      <c r="A898" s="12" t="s">
        <v>4701</v>
      </c>
      <c r="B898" s="12" t="s">
        <v>54</v>
      </c>
      <c r="C898" s="14">
        <v>46130.0</v>
      </c>
      <c r="D898" s="12" t="s">
        <v>220</v>
      </c>
      <c r="E898" s="12" t="s">
        <v>5075</v>
      </c>
      <c r="F898" s="12" t="s">
        <v>2487</v>
      </c>
      <c r="BP898" s="12" t="s">
        <v>5076</v>
      </c>
      <c r="BQ898" s="12" t="b">
        <v>0</v>
      </c>
      <c r="BS898" s="16" t="s">
        <v>6331</v>
      </c>
      <c r="BT898" s="12" t="b">
        <v>1</v>
      </c>
      <c r="BU898" s="12" t="s">
        <v>69</v>
      </c>
    </row>
    <row r="899">
      <c r="A899" s="12" t="s">
        <v>4737</v>
      </c>
      <c r="B899" s="12" t="s">
        <v>54</v>
      </c>
      <c r="C899" s="14">
        <v>46130.0</v>
      </c>
      <c r="D899" s="12" t="s">
        <v>77</v>
      </c>
      <c r="E899" s="12" t="s">
        <v>5081</v>
      </c>
      <c r="F899" s="12" t="s">
        <v>2540</v>
      </c>
      <c r="BP899" s="12" t="s">
        <v>5082</v>
      </c>
      <c r="BQ899" s="12" t="b">
        <v>0</v>
      </c>
      <c r="BS899" s="16" t="s">
        <v>6332</v>
      </c>
      <c r="BT899" s="12" t="b">
        <v>1</v>
      </c>
      <c r="BU899" s="12" t="s">
        <v>69</v>
      </c>
    </row>
    <row r="900">
      <c r="A900" s="12">
        <v>1492.0</v>
      </c>
      <c r="B900" s="12" t="s">
        <v>54</v>
      </c>
      <c r="C900" s="19">
        <v>46130.0</v>
      </c>
      <c r="D900" s="12" t="s">
        <v>933</v>
      </c>
      <c r="F900" s="12" t="s">
        <v>1494</v>
      </c>
      <c r="G900" s="12" t="s">
        <v>1040</v>
      </c>
      <c r="H900" s="12">
        <v>1.0</v>
      </c>
      <c r="I900" s="17">
        <v>9721.53</v>
      </c>
      <c r="J900" s="17">
        <v>9721.53</v>
      </c>
      <c r="BO900" s="17">
        <v>9721.53</v>
      </c>
      <c r="BR900" s="17">
        <v>9721.53</v>
      </c>
      <c r="BU900" s="12" t="s">
        <v>621</v>
      </c>
    </row>
    <row r="901">
      <c r="A901" s="12" t="s">
        <v>4744</v>
      </c>
      <c r="B901" s="12" t="s">
        <v>54</v>
      </c>
      <c r="C901" s="14">
        <v>46131.0</v>
      </c>
      <c r="D901" s="12" t="s">
        <v>470</v>
      </c>
      <c r="E901" s="12" t="s">
        <v>5090</v>
      </c>
      <c r="F901" s="12" t="s">
        <v>880</v>
      </c>
      <c r="BP901" s="12" t="s">
        <v>5092</v>
      </c>
      <c r="BQ901" s="12" t="b">
        <v>0</v>
      </c>
      <c r="BS901" s="16" t="s">
        <v>6333</v>
      </c>
      <c r="BT901" s="12" t="b">
        <v>1</v>
      </c>
      <c r="BU901" s="12" t="s">
        <v>69</v>
      </c>
    </row>
    <row r="902">
      <c r="A902" s="12" t="s">
        <v>4751</v>
      </c>
      <c r="B902" s="12" t="s">
        <v>54</v>
      </c>
      <c r="C902" s="14">
        <v>46132.0</v>
      </c>
      <c r="D902" s="12" t="s">
        <v>220</v>
      </c>
      <c r="E902" s="12" t="s">
        <v>5096</v>
      </c>
      <c r="F902" s="12" t="s">
        <v>2402</v>
      </c>
      <c r="BP902" s="12" t="s">
        <v>5098</v>
      </c>
      <c r="BQ902" s="12" t="b">
        <v>0</v>
      </c>
      <c r="BS902" s="16" t="s">
        <v>6334</v>
      </c>
      <c r="BT902" s="12" t="b">
        <v>1</v>
      </c>
      <c r="BU902" s="12" t="s">
        <v>69</v>
      </c>
    </row>
    <row r="903">
      <c r="A903" s="12" t="s">
        <v>4767</v>
      </c>
      <c r="B903" s="12" t="s">
        <v>54</v>
      </c>
      <c r="C903" s="14">
        <v>46132.0</v>
      </c>
      <c r="D903" s="12" t="s">
        <v>58</v>
      </c>
      <c r="E903" s="12" t="s">
        <v>5104</v>
      </c>
      <c r="F903" s="12" t="s">
        <v>5106</v>
      </c>
      <c r="BP903" s="12" t="s">
        <v>5105</v>
      </c>
      <c r="BQ903" s="12" t="b">
        <v>0</v>
      </c>
      <c r="BS903" s="16" t="s">
        <v>6335</v>
      </c>
      <c r="BT903" s="12" t="b">
        <v>1</v>
      </c>
      <c r="BU903" s="12" t="s">
        <v>69</v>
      </c>
    </row>
    <row r="904">
      <c r="A904" s="12" t="s">
        <v>4769</v>
      </c>
      <c r="B904" s="12" t="s">
        <v>54</v>
      </c>
      <c r="C904" s="14">
        <v>46132.0</v>
      </c>
      <c r="D904" s="12" t="s">
        <v>435</v>
      </c>
      <c r="E904" s="12" t="s">
        <v>5113</v>
      </c>
      <c r="F904" s="12" t="s">
        <v>2540</v>
      </c>
      <c r="BP904" s="12" t="s">
        <v>5114</v>
      </c>
      <c r="BQ904" s="12" t="b">
        <v>0</v>
      </c>
      <c r="BS904" s="16" t="s">
        <v>6336</v>
      </c>
      <c r="BT904" s="12" t="b">
        <v>1</v>
      </c>
      <c r="BU904" s="12" t="s">
        <v>69</v>
      </c>
    </row>
    <row r="905">
      <c r="A905" s="12" t="s">
        <v>4779</v>
      </c>
      <c r="B905" s="12" t="s">
        <v>54</v>
      </c>
      <c r="C905" s="14">
        <v>46134.0</v>
      </c>
      <c r="D905" s="12" t="s">
        <v>375</v>
      </c>
      <c r="E905" s="12" t="s">
        <v>5117</v>
      </c>
      <c r="F905" s="12" t="s">
        <v>153</v>
      </c>
      <c r="BP905" s="12" t="s">
        <v>5118</v>
      </c>
      <c r="BQ905" s="12" t="b">
        <v>0</v>
      </c>
      <c r="BS905" s="16" t="s">
        <v>6337</v>
      </c>
      <c r="BT905" s="12" t="b">
        <v>1</v>
      </c>
      <c r="BU905" s="12" t="s">
        <v>69</v>
      </c>
    </row>
    <row r="906">
      <c r="A906" s="12" t="s">
        <v>4783</v>
      </c>
      <c r="B906" s="12" t="s">
        <v>54</v>
      </c>
      <c r="C906" s="14">
        <v>46134.0</v>
      </c>
      <c r="D906" s="12" t="s">
        <v>1103</v>
      </c>
      <c r="E906" s="12" t="s">
        <v>5126</v>
      </c>
      <c r="F906" s="12" t="s">
        <v>5129</v>
      </c>
      <c r="BP906" s="12" t="s">
        <v>5128</v>
      </c>
      <c r="BQ906" s="12" t="b">
        <v>0</v>
      </c>
      <c r="BS906" s="16" t="s">
        <v>6338</v>
      </c>
      <c r="BT906" s="12" t="b">
        <v>1</v>
      </c>
      <c r="BU906" s="12" t="s">
        <v>69</v>
      </c>
    </row>
    <row r="907">
      <c r="A907" s="12" t="s">
        <v>4774</v>
      </c>
      <c r="B907" s="12" t="s">
        <v>54</v>
      </c>
      <c r="C907" s="14">
        <v>46133.0</v>
      </c>
      <c r="D907" s="12" t="s">
        <v>77</v>
      </c>
      <c r="E907" s="12" t="s">
        <v>5132</v>
      </c>
      <c r="F907" s="12" t="s">
        <v>5134</v>
      </c>
      <c r="BP907" s="12" t="s">
        <v>5133</v>
      </c>
      <c r="BQ907" s="12" t="b">
        <v>0</v>
      </c>
      <c r="BS907" s="16" t="s">
        <v>6339</v>
      </c>
      <c r="BT907" s="12" t="b">
        <v>1</v>
      </c>
      <c r="BU907" s="12" t="s">
        <v>69</v>
      </c>
    </row>
    <row r="908">
      <c r="A908" s="12" t="s">
        <v>4793</v>
      </c>
      <c r="B908" s="12" t="s">
        <v>54</v>
      </c>
      <c r="C908" s="14">
        <v>46136.0</v>
      </c>
      <c r="D908" s="12" t="s">
        <v>556</v>
      </c>
      <c r="E908" s="12" t="s">
        <v>5138</v>
      </c>
      <c r="F908" s="12" t="s">
        <v>687</v>
      </c>
      <c r="BP908" s="12" t="s">
        <v>5139</v>
      </c>
      <c r="BQ908" s="12" t="b">
        <v>0</v>
      </c>
      <c r="BS908" s="16" t="s">
        <v>6341</v>
      </c>
      <c r="BT908" s="12" t="b">
        <v>1</v>
      </c>
      <c r="BU908" s="12" t="s">
        <v>69</v>
      </c>
    </row>
    <row r="909">
      <c r="A909" s="12" t="s">
        <v>2667</v>
      </c>
      <c r="B909" s="12" t="s">
        <v>54</v>
      </c>
      <c r="C909" s="19">
        <v>46136.0</v>
      </c>
      <c r="D909" s="12" t="s">
        <v>156</v>
      </c>
      <c r="F909" s="12" t="s">
        <v>5143</v>
      </c>
      <c r="G909" s="12" t="s">
        <v>786</v>
      </c>
      <c r="H909" s="12">
        <v>1.0</v>
      </c>
      <c r="I909" s="17">
        <v>2758.0</v>
      </c>
      <c r="J909" s="17">
        <v>2758.0</v>
      </c>
      <c r="BO909" s="17">
        <v>2758.0</v>
      </c>
      <c r="BR909" s="17">
        <v>2758.0</v>
      </c>
      <c r="BU909" s="12" t="s">
        <v>621</v>
      </c>
    </row>
    <row r="910">
      <c r="A910" s="12" t="s">
        <v>2671</v>
      </c>
      <c r="B910" s="12" t="s">
        <v>54</v>
      </c>
      <c r="C910" s="19">
        <v>46136.0</v>
      </c>
      <c r="D910" s="12" t="s">
        <v>156</v>
      </c>
      <c r="F910" s="12" t="s">
        <v>5145</v>
      </c>
      <c r="G910" s="12" t="s">
        <v>1236</v>
      </c>
      <c r="H910" s="12">
        <v>1.0</v>
      </c>
      <c r="I910" s="17">
        <v>1444.95</v>
      </c>
      <c r="J910" s="17">
        <v>1444.95</v>
      </c>
      <c r="BO910" s="17">
        <v>1444.95</v>
      </c>
      <c r="BR910" s="17">
        <v>1444.95</v>
      </c>
      <c r="BU910" s="12" t="s">
        <v>621</v>
      </c>
    </row>
    <row r="911">
      <c r="A911" s="12">
        <v>1510.0</v>
      </c>
      <c r="B911" s="12" t="s">
        <v>54</v>
      </c>
      <c r="C911" s="19">
        <v>46136.0</v>
      </c>
      <c r="D911" s="12" t="s">
        <v>1712</v>
      </c>
      <c r="F911" s="19">
        <v>46296.0</v>
      </c>
      <c r="G911" s="12" t="s">
        <v>1818</v>
      </c>
      <c r="H911" s="12">
        <v>1.0</v>
      </c>
      <c r="I911" s="17">
        <v>236.83</v>
      </c>
      <c r="J911" s="17">
        <v>236.83</v>
      </c>
      <c r="BO911" s="17">
        <v>236.83</v>
      </c>
      <c r="BR911" s="17">
        <v>236.83</v>
      </c>
      <c r="BU911" s="12" t="s">
        <v>621</v>
      </c>
    </row>
    <row r="912">
      <c r="A912" s="12">
        <v>1511.0</v>
      </c>
      <c r="B912" s="12" t="s">
        <v>54</v>
      </c>
      <c r="C912" s="19">
        <v>46136.0</v>
      </c>
      <c r="D912" s="12" t="s">
        <v>1715</v>
      </c>
      <c r="F912" s="19">
        <v>46082.0</v>
      </c>
      <c r="G912" s="12" t="s">
        <v>1818</v>
      </c>
      <c r="H912" s="12">
        <v>1.0</v>
      </c>
      <c r="I912" s="17">
        <v>65.15</v>
      </c>
      <c r="J912" s="17">
        <v>65.15</v>
      </c>
      <c r="BO912" s="17">
        <v>65.15</v>
      </c>
      <c r="BR912" s="17">
        <v>65.15</v>
      </c>
      <c r="BU912" s="12" t="s">
        <v>621</v>
      </c>
    </row>
    <row r="913">
      <c r="A913" s="12" t="s">
        <v>4786</v>
      </c>
      <c r="B913" s="12" t="s">
        <v>54</v>
      </c>
      <c r="C913" s="14">
        <v>46135.0</v>
      </c>
      <c r="D913" s="12" t="s">
        <v>4182</v>
      </c>
      <c r="E913" s="12" t="s">
        <v>5155</v>
      </c>
      <c r="F913" s="12" t="s">
        <v>2402</v>
      </c>
      <c r="BP913" s="12" t="s">
        <v>5158</v>
      </c>
      <c r="BQ913" s="12" t="b">
        <v>0</v>
      </c>
      <c r="BS913" s="16" t="s">
        <v>6342</v>
      </c>
      <c r="BT913" s="12" t="b">
        <v>1</v>
      </c>
      <c r="BU913" s="12" t="s">
        <v>69</v>
      </c>
    </row>
    <row r="914">
      <c r="A914" s="12" t="s">
        <v>4798</v>
      </c>
      <c r="B914" s="12" t="s">
        <v>54</v>
      </c>
      <c r="C914" s="14">
        <v>46136.0</v>
      </c>
      <c r="D914" s="12" t="s">
        <v>182</v>
      </c>
      <c r="E914" s="12" t="s">
        <v>5164</v>
      </c>
      <c r="F914" s="12" t="s">
        <v>5166</v>
      </c>
      <c r="BP914" s="12" t="s">
        <v>5165</v>
      </c>
      <c r="BQ914" s="12" t="b">
        <v>0</v>
      </c>
      <c r="BS914" s="16" t="s">
        <v>6343</v>
      </c>
      <c r="BT914" s="12" t="b">
        <v>1</v>
      </c>
      <c r="BU914" s="12" t="s">
        <v>69</v>
      </c>
    </row>
    <row r="915">
      <c r="A915" s="12" t="s">
        <v>4801</v>
      </c>
      <c r="B915" s="12" t="s">
        <v>54</v>
      </c>
      <c r="C915" s="14">
        <v>46136.0</v>
      </c>
      <c r="D915" s="12" t="s">
        <v>220</v>
      </c>
      <c r="E915" s="12" t="s">
        <v>5170</v>
      </c>
      <c r="F915" s="12" t="s">
        <v>2402</v>
      </c>
      <c r="BP915" s="12" t="s">
        <v>5171</v>
      </c>
      <c r="BQ915" s="12" t="b">
        <v>0</v>
      </c>
      <c r="BS915" s="16" t="s">
        <v>6345</v>
      </c>
      <c r="BT915" s="12" t="b">
        <v>1</v>
      </c>
      <c r="BU915" s="12" t="s">
        <v>69</v>
      </c>
    </row>
    <row r="916">
      <c r="A916" s="12" t="s">
        <v>4854</v>
      </c>
      <c r="B916" s="12" t="s">
        <v>54</v>
      </c>
      <c r="C916" s="14">
        <v>46138.0</v>
      </c>
      <c r="D916" s="12" t="s">
        <v>77</v>
      </c>
      <c r="E916" s="12" t="s">
        <v>5174</v>
      </c>
      <c r="F916" s="12" t="s">
        <v>2540</v>
      </c>
      <c r="BP916" s="12" t="s">
        <v>5176</v>
      </c>
      <c r="BQ916" s="12" t="b">
        <v>0</v>
      </c>
      <c r="BS916" s="16" t="s">
        <v>6346</v>
      </c>
      <c r="BT916" s="12" t="b">
        <v>1</v>
      </c>
      <c r="BU916" s="12" t="s">
        <v>69</v>
      </c>
    </row>
    <row r="917">
      <c r="A917" s="12" t="s">
        <v>4805</v>
      </c>
      <c r="B917" s="12" t="s">
        <v>54</v>
      </c>
      <c r="C917" s="14">
        <v>46136.0</v>
      </c>
      <c r="D917" s="12" t="s">
        <v>220</v>
      </c>
      <c r="E917" s="12" t="s">
        <v>5181</v>
      </c>
      <c r="F917" s="12" t="s">
        <v>2487</v>
      </c>
      <c r="BP917" s="12" t="s">
        <v>5183</v>
      </c>
      <c r="BQ917" s="12" t="b">
        <v>0</v>
      </c>
      <c r="BS917" s="16" t="s">
        <v>6347</v>
      </c>
      <c r="BT917" s="12" t="b">
        <v>1</v>
      </c>
      <c r="BU917" s="12" t="s">
        <v>69</v>
      </c>
    </row>
    <row r="918">
      <c r="A918" s="12" t="s">
        <v>4852</v>
      </c>
      <c r="B918" s="12" t="s">
        <v>54</v>
      </c>
      <c r="C918" s="14">
        <v>46137.0</v>
      </c>
      <c r="D918" s="12" t="s">
        <v>77</v>
      </c>
      <c r="E918" s="12" t="s">
        <v>5185</v>
      </c>
      <c r="F918" s="12" t="s">
        <v>2540</v>
      </c>
      <c r="BP918" s="12" t="s">
        <v>5188</v>
      </c>
      <c r="BQ918" s="12" t="b">
        <v>0</v>
      </c>
      <c r="BS918" s="16" t="s">
        <v>6348</v>
      </c>
      <c r="BT918" s="12" t="b">
        <v>1</v>
      </c>
      <c r="BU918" s="12" t="s">
        <v>69</v>
      </c>
    </row>
    <row r="919">
      <c r="A919" s="16" t="s">
        <v>4790</v>
      </c>
      <c r="B919" s="12" t="s">
        <v>54</v>
      </c>
      <c r="C919" s="14">
        <v>46135.0</v>
      </c>
      <c r="D919" s="12" t="s">
        <v>504</v>
      </c>
      <c r="E919" s="12" t="s">
        <v>5192</v>
      </c>
      <c r="F919" s="12" t="s">
        <v>5195</v>
      </c>
      <c r="BP919" s="12" t="s">
        <v>5194</v>
      </c>
      <c r="BQ919" s="12" t="b">
        <v>0</v>
      </c>
      <c r="BS919" s="16" t="s">
        <v>6349</v>
      </c>
      <c r="BT919" s="12" t="b">
        <v>1</v>
      </c>
      <c r="BU919" s="12" t="s">
        <v>69</v>
      </c>
    </row>
    <row r="920">
      <c r="A920" s="12" t="s">
        <v>4858</v>
      </c>
      <c r="B920" s="12" t="s">
        <v>54</v>
      </c>
      <c r="C920" s="14">
        <v>46139.0</v>
      </c>
      <c r="D920" s="12" t="s">
        <v>5199</v>
      </c>
      <c r="E920" s="12" t="s">
        <v>5200</v>
      </c>
      <c r="F920" s="12" t="s">
        <v>3715</v>
      </c>
      <c r="BP920" s="12" t="s">
        <v>5201</v>
      </c>
      <c r="BQ920" s="12" t="b">
        <v>0</v>
      </c>
      <c r="BS920" s="16" t="s">
        <v>6350</v>
      </c>
      <c r="BT920" s="12" t="b">
        <v>1</v>
      </c>
      <c r="BU920" s="12" t="s">
        <v>69</v>
      </c>
    </row>
    <row r="921">
      <c r="A921" s="12" t="s">
        <v>4878</v>
      </c>
      <c r="B921" s="12" t="s">
        <v>54</v>
      </c>
      <c r="C921" s="14">
        <v>46140.0</v>
      </c>
      <c r="D921" s="12" t="s">
        <v>109</v>
      </c>
      <c r="E921" s="12" t="s">
        <v>5205</v>
      </c>
      <c r="F921" s="12" t="s">
        <v>687</v>
      </c>
      <c r="BP921" s="12" t="s">
        <v>5206</v>
      </c>
      <c r="BQ921" s="12" t="b">
        <v>0</v>
      </c>
      <c r="BS921" s="16" t="s">
        <v>6353</v>
      </c>
      <c r="BT921" s="12" t="b">
        <v>1</v>
      </c>
      <c r="BU921" s="12" t="s">
        <v>69</v>
      </c>
    </row>
    <row r="922">
      <c r="A922" s="12" t="s">
        <v>4881</v>
      </c>
      <c r="B922" s="12" t="s">
        <v>54</v>
      </c>
      <c r="C922" s="14">
        <v>46140.0</v>
      </c>
      <c r="D922" s="12" t="s">
        <v>5209</v>
      </c>
      <c r="E922" s="12" t="s">
        <v>6354</v>
      </c>
      <c r="F922" s="12" t="s">
        <v>488</v>
      </c>
      <c r="BP922" s="12" t="s">
        <v>5211</v>
      </c>
      <c r="BQ922" s="12" t="b">
        <v>0</v>
      </c>
      <c r="BT922" s="12" t="b">
        <v>0</v>
      </c>
      <c r="BU922" s="12" t="s">
        <v>69</v>
      </c>
      <c r="BW922" s="12" t="s">
        <v>5214</v>
      </c>
      <c r="BX922" s="12" t="s">
        <v>5215</v>
      </c>
    </row>
    <row r="923">
      <c r="A923" s="12" t="s">
        <v>4888</v>
      </c>
      <c r="B923" s="12" t="s">
        <v>54</v>
      </c>
      <c r="C923" s="14">
        <v>46140.0</v>
      </c>
      <c r="D923" s="12" t="s">
        <v>912</v>
      </c>
      <c r="E923" s="12" t="s">
        <v>6355</v>
      </c>
      <c r="F923" s="12" t="s">
        <v>5221</v>
      </c>
      <c r="BP923" s="12" t="s">
        <v>5220</v>
      </c>
      <c r="BQ923" s="12" t="b">
        <v>0</v>
      </c>
      <c r="BT923" s="12" t="b">
        <v>0</v>
      </c>
      <c r="BU923" s="12" t="s">
        <v>69</v>
      </c>
    </row>
    <row r="924">
      <c r="A924" s="12" t="s">
        <v>4895</v>
      </c>
      <c r="B924" s="12" t="s">
        <v>54</v>
      </c>
      <c r="C924" s="14">
        <v>46140.0</v>
      </c>
      <c r="D924" s="12" t="s">
        <v>912</v>
      </c>
      <c r="E924" s="12" t="s">
        <v>6354</v>
      </c>
      <c r="F924" s="12" t="s">
        <v>488</v>
      </c>
      <c r="BP924" s="12" t="s">
        <v>5226</v>
      </c>
      <c r="BQ924" s="12" t="b">
        <v>0</v>
      </c>
      <c r="BT924" s="12" t="b">
        <v>0</v>
      </c>
      <c r="BU924" s="12" t="s">
        <v>69</v>
      </c>
    </row>
    <row r="925">
      <c r="A925" s="12" t="s">
        <v>6357</v>
      </c>
      <c r="B925" s="12" t="s">
        <v>54</v>
      </c>
      <c r="C925" s="14">
        <v>46140.0</v>
      </c>
      <c r="D925" s="12" t="s">
        <v>5209</v>
      </c>
      <c r="E925" s="12" t="s">
        <v>6354</v>
      </c>
      <c r="F925" s="12" t="s">
        <v>488</v>
      </c>
      <c r="BP925" s="12" t="s">
        <v>6358</v>
      </c>
      <c r="BQ925" s="12" t="b">
        <v>0</v>
      </c>
      <c r="BT925" s="12" t="b">
        <v>0</v>
      </c>
      <c r="BU925" s="12" t="s">
        <v>69</v>
      </c>
      <c r="BW925" s="12" t="s">
        <v>6359</v>
      </c>
    </row>
    <row r="926">
      <c r="A926" s="12">
        <v>1513.0</v>
      </c>
      <c r="B926" s="12" t="s">
        <v>54</v>
      </c>
      <c r="C926" s="19">
        <v>46142.0</v>
      </c>
      <c r="F926" s="12" t="s">
        <v>1644</v>
      </c>
      <c r="G926" s="12" t="s">
        <v>1196</v>
      </c>
      <c r="H926" s="12">
        <v>1.0</v>
      </c>
      <c r="I926" s="17">
        <v>3500.0</v>
      </c>
      <c r="J926" s="17">
        <v>3500.0</v>
      </c>
      <c r="BO926" s="17">
        <v>3500.0</v>
      </c>
      <c r="BR926" s="17">
        <v>3500.0</v>
      </c>
      <c r="BU926" s="12" t="s">
        <v>191</v>
      </c>
      <c r="BV926" s="12" t="s">
        <v>727</v>
      </c>
    </row>
    <row r="927">
      <c r="A927" s="12">
        <v>1514.0</v>
      </c>
      <c r="B927" s="12" t="s">
        <v>54</v>
      </c>
      <c r="C927" s="19">
        <v>46142.0</v>
      </c>
      <c r="F927" s="12" t="s">
        <v>1884</v>
      </c>
      <c r="G927" s="12" t="s">
        <v>1196</v>
      </c>
      <c r="H927" s="12">
        <v>1.0</v>
      </c>
      <c r="I927" s="17">
        <v>3870.73</v>
      </c>
      <c r="J927" s="17">
        <v>3870.73</v>
      </c>
      <c r="BO927" s="17">
        <v>3870.73</v>
      </c>
      <c r="BR927" s="17">
        <v>3870.73</v>
      </c>
      <c r="BU927" s="12" t="s">
        <v>191</v>
      </c>
      <c r="BV927" s="12" t="s">
        <v>727</v>
      </c>
    </row>
    <row r="928">
      <c r="A928" s="12">
        <v>1515.0</v>
      </c>
      <c r="B928" s="12" t="s">
        <v>54</v>
      </c>
      <c r="C928" s="19">
        <v>46142.0</v>
      </c>
      <c r="F928" s="12" t="s">
        <v>1884</v>
      </c>
      <c r="G928" s="12" t="s">
        <v>1196</v>
      </c>
      <c r="H928" s="12">
        <v>1.0</v>
      </c>
      <c r="I928" s="17">
        <v>1726.18</v>
      </c>
      <c r="J928" s="17">
        <v>1726.18</v>
      </c>
      <c r="BO928" s="17">
        <v>1726.18</v>
      </c>
      <c r="BR928" s="17">
        <v>1726.18</v>
      </c>
      <c r="BU928" s="12" t="s">
        <v>191</v>
      </c>
      <c r="BV928" s="12" t="s">
        <v>1183</v>
      </c>
    </row>
    <row r="929">
      <c r="A929" s="12">
        <v>1516.0</v>
      </c>
      <c r="B929" s="12" t="s">
        <v>54</v>
      </c>
      <c r="C929" s="19">
        <v>46142.0</v>
      </c>
      <c r="F929" s="12" t="s">
        <v>1884</v>
      </c>
      <c r="G929" s="12" t="s">
        <v>1196</v>
      </c>
      <c r="H929" s="12">
        <v>1.0</v>
      </c>
      <c r="I929" s="17">
        <v>1410.31</v>
      </c>
      <c r="J929" s="17">
        <v>1410.31</v>
      </c>
      <c r="BO929" s="17">
        <v>1410.31</v>
      </c>
      <c r="BR929" s="17">
        <v>1410.31</v>
      </c>
      <c r="BU929" s="12" t="s">
        <v>191</v>
      </c>
      <c r="BV929" s="12" t="s">
        <v>62</v>
      </c>
    </row>
    <row r="930">
      <c r="A930" s="12">
        <v>1517.0</v>
      </c>
      <c r="B930" s="12" t="s">
        <v>54</v>
      </c>
      <c r="C930" s="19">
        <v>46142.0</v>
      </c>
      <c r="F930" s="12" t="s">
        <v>1884</v>
      </c>
      <c r="G930" s="12" t="s">
        <v>1196</v>
      </c>
      <c r="H930" s="12">
        <v>1.0</v>
      </c>
      <c r="I930" s="17">
        <v>1439.45</v>
      </c>
      <c r="J930" s="17">
        <v>1439.45</v>
      </c>
      <c r="BO930" s="17">
        <v>1439.45</v>
      </c>
      <c r="BR930" s="17">
        <v>1439.45</v>
      </c>
      <c r="BU930" s="12" t="s">
        <v>191</v>
      </c>
      <c r="BV930" s="12" t="s">
        <v>78</v>
      </c>
    </row>
    <row r="931">
      <c r="A931" s="12">
        <v>1518.0</v>
      </c>
      <c r="B931" s="12" t="s">
        <v>54</v>
      </c>
      <c r="C931" s="19">
        <v>46142.0</v>
      </c>
      <c r="F931" s="12" t="s">
        <v>1884</v>
      </c>
      <c r="G931" s="12" t="s">
        <v>1196</v>
      </c>
      <c r="H931" s="12">
        <v>1.0</v>
      </c>
      <c r="I931" s="17">
        <v>1278.08</v>
      </c>
      <c r="J931" s="17">
        <v>1278.08</v>
      </c>
      <c r="BO931" s="17">
        <v>1278.08</v>
      </c>
      <c r="BR931" s="17">
        <v>1278.08</v>
      </c>
      <c r="BU931" s="12" t="s">
        <v>191</v>
      </c>
      <c r="BV931" s="12" t="s">
        <v>152</v>
      </c>
    </row>
    <row r="932">
      <c r="A932" s="12">
        <v>1519.0</v>
      </c>
      <c r="B932" s="12" t="s">
        <v>54</v>
      </c>
      <c r="C932" s="19">
        <v>46142.0</v>
      </c>
      <c r="F932" s="12" t="s">
        <v>3108</v>
      </c>
      <c r="G932" s="12" t="s">
        <v>1196</v>
      </c>
      <c r="H932" s="12">
        <v>1.0</v>
      </c>
      <c r="I932" s="17">
        <v>585.0</v>
      </c>
      <c r="J932" s="17">
        <v>585.0</v>
      </c>
      <c r="BO932" s="17">
        <v>585.0</v>
      </c>
      <c r="BR932" s="17">
        <v>585.0</v>
      </c>
      <c r="BU932" s="12" t="s">
        <v>191</v>
      </c>
      <c r="BV932" s="12" t="s">
        <v>259</v>
      </c>
    </row>
    <row r="933">
      <c r="A933" s="12" t="s">
        <v>4901</v>
      </c>
      <c r="B933" s="12" t="s">
        <v>54</v>
      </c>
      <c r="C933" s="14">
        <v>46140.0</v>
      </c>
      <c r="D933" s="12" t="s">
        <v>912</v>
      </c>
      <c r="E933" s="12" t="s">
        <v>6364</v>
      </c>
      <c r="F933" s="12" t="s">
        <v>254</v>
      </c>
      <c r="BP933" s="12" t="s">
        <v>5256</v>
      </c>
      <c r="BQ933" s="12" t="b">
        <v>0</v>
      </c>
      <c r="BT933" s="12" t="b">
        <v>0</v>
      </c>
      <c r="BU933" s="12" t="s">
        <v>69</v>
      </c>
      <c r="BW933" s="12" t="s">
        <v>5258</v>
      </c>
    </row>
    <row r="934">
      <c r="A934" s="12" t="s">
        <v>6365</v>
      </c>
      <c r="B934" s="12" t="s">
        <v>54</v>
      </c>
      <c r="C934" s="14">
        <v>46140.0</v>
      </c>
      <c r="D934" s="12" t="s">
        <v>912</v>
      </c>
      <c r="E934" s="12" t="s">
        <v>6366</v>
      </c>
      <c r="F934" s="12" t="s">
        <v>6367</v>
      </c>
      <c r="BP934" s="12" t="s">
        <v>6368</v>
      </c>
      <c r="BQ934" s="12" t="b">
        <v>0</v>
      </c>
      <c r="BT934" s="12" t="b">
        <v>0</v>
      </c>
      <c r="BU934" s="12" t="s">
        <v>69</v>
      </c>
      <c r="BW934" s="12" t="s">
        <v>6369</v>
      </c>
      <c r="BX934" s="12" t="s">
        <v>6370</v>
      </c>
    </row>
    <row r="935">
      <c r="A935" s="12" t="s">
        <v>4955</v>
      </c>
      <c r="B935" s="12" t="s">
        <v>54</v>
      </c>
      <c r="C935" s="14">
        <v>46143.0</v>
      </c>
      <c r="D935" s="12" t="s">
        <v>182</v>
      </c>
      <c r="E935" s="12" t="s">
        <v>5265</v>
      </c>
      <c r="F935" s="12" t="s">
        <v>5268</v>
      </c>
      <c r="BP935" s="12" t="s">
        <v>5266</v>
      </c>
      <c r="BQ935" s="12" t="b">
        <v>0</v>
      </c>
      <c r="BS935" s="16" t="s">
        <v>6372</v>
      </c>
      <c r="BT935" s="12" t="b">
        <v>1</v>
      </c>
      <c r="BU935" s="12" t="s">
        <v>69</v>
      </c>
    </row>
    <row r="936">
      <c r="A936" s="12" t="s">
        <v>4907</v>
      </c>
      <c r="B936" s="12" t="s">
        <v>54</v>
      </c>
      <c r="C936" s="14">
        <v>46140.0</v>
      </c>
      <c r="D936" s="12" t="s">
        <v>627</v>
      </c>
      <c r="E936" s="12" t="s">
        <v>5270</v>
      </c>
      <c r="F936" s="12" t="s">
        <v>5273</v>
      </c>
      <c r="BP936" s="12" t="s">
        <v>5272</v>
      </c>
      <c r="BQ936" s="12" t="b">
        <v>0</v>
      </c>
      <c r="BS936" s="16" t="s">
        <v>6373</v>
      </c>
      <c r="BT936" s="12" t="b">
        <v>1</v>
      </c>
      <c r="BU936" s="12" t="s">
        <v>69</v>
      </c>
    </row>
    <row r="937">
      <c r="A937" s="12" t="s">
        <v>4862</v>
      </c>
      <c r="B937" s="12" t="s">
        <v>54</v>
      </c>
      <c r="C937" s="14">
        <v>46139.0</v>
      </c>
      <c r="D937" s="12" t="s">
        <v>175</v>
      </c>
      <c r="E937" s="12" t="s">
        <v>5277</v>
      </c>
      <c r="F937" s="12" t="s">
        <v>5279</v>
      </c>
      <c r="BP937" s="12" t="s">
        <v>5278</v>
      </c>
      <c r="BQ937" s="12" t="b">
        <v>0</v>
      </c>
      <c r="BS937" s="16" t="s">
        <v>6374</v>
      </c>
      <c r="BT937" s="12" t="b">
        <v>1</v>
      </c>
      <c r="BU937" s="12" t="s">
        <v>69</v>
      </c>
    </row>
    <row r="938">
      <c r="A938" s="12" t="s">
        <v>4963</v>
      </c>
      <c r="B938" s="12" t="s">
        <v>54</v>
      </c>
      <c r="C938" s="14">
        <v>46145.0</v>
      </c>
      <c r="D938" s="12" t="s">
        <v>77</v>
      </c>
      <c r="E938" s="12" t="s">
        <v>5284</v>
      </c>
      <c r="F938" s="12" t="s">
        <v>3989</v>
      </c>
      <c r="BP938" s="12" t="s">
        <v>5285</v>
      </c>
      <c r="BQ938" s="12" t="b">
        <v>0</v>
      </c>
      <c r="BS938" s="16" t="s">
        <v>6376</v>
      </c>
      <c r="BT938" s="12" t="b">
        <v>1</v>
      </c>
      <c r="BU938" s="12" t="s">
        <v>69</v>
      </c>
    </row>
    <row r="939">
      <c r="A939" s="12" t="s">
        <v>4957</v>
      </c>
      <c r="B939" s="12" t="s">
        <v>54</v>
      </c>
      <c r="C939" s="14">
        <v>46144.0</v>
      </c>
      <c r="D939" s="12" t="s">
        <v>77</v>
      </c>
      <c r="E939" s="12" t="s">
        <v>5290</v>
      </c>
      <c r="F939" s="12" t="s">
        <v>2814</v>
      </c>
      <c r="BP939" s="12" t="s">
        <v>5291</v>
      </c>
      <c r="BQ939" s="12" t="b">
        <v>0</v>
      </c>
      <c r="BS939" s="16" t="s">
        <v>6377</v>
      </c>
      <c r="BT939" s="12" t="b">
        <v>1</v>
      </c>
      <c r="BU939" s="12" t="s">
        <v>69</v>
      </c>
    </row>
    <row r="940">
      <c r="A940" s="12" t="s">
        <v>4872</v>
      </c>
      <c r="B940" s="12" t="s">
        <v>54</v>
      </c>
      <c r="C940" s="14">
        <v>46139.0</v>
      </c>
      <c r="D940" s="12" t="s">
        <v>220</v>
      </c>
      <c r="E940" s="12" t="s">
        <v>5297</v>
      </c>
      <c r="F940" s="12" t="s">
        <v>5299</v>
      </c>
      <c r="BP940" s="12" t="s">
        <v>5298</v>
      </c>
      <c r="BQ940" s="12" t="b">
        <v>0</v>
      </c>
      <c r="BS940" s="16" t="s">
        <v>6378</v>
      </c>
      <c r="BT940" s="12" t="b">
        <v>1</v>
      </c>
      <c r="BU940" s="12" t="s">
        <v>69</v>
      </c>
    </row>
    <row r="941">
      <c r="A941" s="12" t="s">
        <v>4936</v>
      </c>
      <c r="B941" s="12" t="s">
        <v>54</v>
      </c>
      <c r="C941" s="14">
        <v>46140.0</v>
      </c>
      <c r="D941" s="12" t="s">
        <v>77</v>
      </c>
      <c r="E941" s="12" t="s">
        <v>5304</v>
      </c>
      <c r="F941" s="12" t="s">
        <v>2814</v>
      </c>
      <c r="BP941" s="12" t="s">
        <v>5305</v>
      </c>
      <c r="BQ941" s="12" t="b">
        <v>0</v>
      </c>
      <c r="BS941" s="16" t="s">
        <v>6380</v>
      </c>
      <c r="BT941" s="12" t="b">
        <v>1</v>
      </c>
      <c r="BU941" s="12" t="s">
        <v>69</v>
      </c>
    </row>
    <row r="942">
      <c r="A942" s="12" t="s">
        <v>4965</v>
      </c>
      <c r="B942" s="12" t="s">
        <v>54</v>
      </c>
      <c r="C942" s="14">
        <v>46147.0</v>
      </c>
      <c r="D942" s="12" t="s">
        <v>4411</v>
      </c>
      <c r="E942" s="12" t="s">
        <v>5309</v>
      </c>
      <c r="F942" s="12" t="s">
        <v>5311</v>
      </c>
      <c r="BP942" s="12" t="s">
        <v>5310</v>
      </c>
      <c r="BQ942" s="12" t="b">
        <v>0</v>
      </c>
      <c r="BS942" s="16" t="s">
        <v>6381</v>
      </c>
      <c r="BT942" s="12" t="b">
        <v>1</v>
      </c>
      <c r="BU942" s="12" t="s">
        <v>69</v>
      </c>
    </row>
    <row r="943">
      <c r="A943" s="12">
        <v>1520.0</v>
      </c>
      <c r="B943" s="12" t="s">
        <v>54</v>
      </c>
      <c r="C943" s="19">
        <v>46147.0</v>
      </c>
      <c r="D943" s="12" t="s">
        <v>848</v>
      </c>
      <c r="F943" s="12" t="s">
        <v>1226</v>
      </c>
      <c r="G943" s="12" t="s">
        <v>852</v>
      </c>
      <c r="H943" s="12">
        <v>1.0</v>
      </c>
      <c r="I943" s="17">
        <v>1.0</v>
      </c>
      <c r="J943" s="17">
        <v>1.0</v>
      </c>
      <c r="BO943" s="17">
        <v>1.0</v>
      </c>
      <c r="BR943" s="17">
        <v>1.0</v>
      </c>
      <c r="BU943" s="12" t="s">
        <v>621</v>
      </c>
    </row>
    <row r="944">
      <c r="A944" s="12">
        <v>1524.0</v>
      </c>
      <c r="B944" s="12" t="s">
        <v>54</v>
      </c>
      <c r="C944" s="19">
        <v>46147.0</v>
      </c>
      <c r="D944" s="12" t="s">
        <v>1668</v>
      </c>
      <c r="F944" s="12" t="s">
        <v>1671</v>
      </c>
      <c r="G944" s="12" t="s">
        <v>874</v>
      </c>
      <c r="H944" s="12">
        <v>1.0</v>
      </c>
      <c r="I944" s="17">
        <v>125.0</v>
      </c>
      <c r="J944" s="17">
        <v>125.0</v>
      </c>
      <c r="BO944" s="17">
        <v>125.0</v>
      </c>
      <c r="BR944" s="17">
        <v>125.0</v>
      </c>
      <c r="BU944" s="12" t="s">
        <v>621</v>
      </c>
    </row>
    <row r="945">
      <c r="A945" s="12">
        <v>1525.0</v>
      </c>
      <c r="B945" s="12" t="s">
        <v>54</v>
      </c>
      <c r="C945" s="19">
        <v>46147.0</v>
      </c>
      <c r="D945" s="12" t="s">
        <v>897</v>
      </c>
      <c r="F945" s="12" t="s">
        <v>909</v>
      </c>
      <c r="G945" s="12" t="s">
        <v>911</v>
      </c>
      <c r="H945" s="12">
        <v>1.0</v>
      </c>
      <c r="I945" s="17">
        <v>0.0</v>
      </c>
      <c r="J945" s="17">
        <v>0.0</v>
      </c>
      <c r="BO945" s="17">
        <v>0.0</v>
      </c>
      <c r="BR945" s="17">
        <v>0.0</v>
      </c>
      <c r="BU945" s="12" t="s">
        <v>621</v>
      </c>
    </row>
    <row r="946">
      <c r="A946" s="12">
        <v>1526.0</v>
      </c>
      <c r="B946" s="12" t="s">
        <v>54</v>
      </c>
      <c r="C946" s="19">
        <v>46147.0</v>
      </c>
      <c r="D946" s="12" t="s">
        <v>933</v>
      </c>
      <c r="F946" s="12" t="s">
        <v>1346</v>
      </c>
      <c r="G946" s="12" t="s">
        <v>936</v>
      </c>
      <c r="H946" s="12">
        <v>1.0</v>
      </c>
      <c r="I946" s="17">
        <v>533.95</v>
      </c>
      <c r="J946" s="17">
        <v>533.95</v>
      </c>
      <c r="BO946" s="17">
        <v>533.95</v>
      </c>
      <c r="BR946" s="17">
        <v>533.95</v>
      </c>
      <c r="BU946" s="12" t="s">
        <v>621</v>
      </c>
    </row>
    <row r="947">
      <c r="A947" s="12" t="s">
        <v>2718</v>
      </c>
      <c r="B947" s="12" t="s">
        <v>54</v>
      </c>
      <c r="C947" s="19">
        <v>46147.0</v>
      </c>
      <c r="D947" s="12" t="s">
        <v>156</v>
      </c>
      <c r="F947" s="12" t="s">
        <v>5323</v>
      </c>
      <c r="G947" s="12" t="s">
        <v>1236</v>
      </c>
      <c r="H947" s="12">
        <v>1.0</v>
      </c>
      <c r="I947" s="17">
        <v>1.75</v>
      </c>
      <c r="J947" s="17">
        <v>1.75</v>
      </c>
      <c r="BO947" s="17">
        <v>1.75</v>
      </c>
      <c r="BR947" s="17">
        <v>1.75</v>
      </c>
      <c r="BU947" s="12" t="s">
        <v>621</v>
      </c>
    </row>
    <row r="948">
      <c r="A948" s="12" t="s">
        <v>2721</v>
      </c>
      <c r="B948" s="12" t="s">
        <v>54</v>
      </c>
      <c r="C948" s="19">
        <v>46147.0</v>
      </c>
      <c r="D948" s="12" t="s">
        <v>156</v>
      </c>
      <c r="F948" s="12" t="s">
        <v>5325</v>
      </c>
      <c r="G948" s="12" t="s">
        <v>786</v>
      </c>
      <c r="H948" s="12">
        <v>1.0</v>
      </c>
      <c r="I948" s="17">
        <v>30.0</v>
      </c>
      <c r="J948" s="17">
        <v>30.0</v>
      </c>
      <c r="BO948" s="17">
        <v>30.0</v>
      </c>
      <c r="BR948" s="17">
        <v>30.0</v>
      </c>
      <c r="BU948" s="12" t="s">
        <v>621</v>
      </c>
    </row>
    <row r="949">
      <c r="A949" s="12" t="s">
        <v>4942</v>
      </c>
      <c r="B949" s="12" t="s">
        <v>54</v>
      </c>
      <c r="C949" s="14">
        <v>46140.0</v>
      </c>
      <c r="D949" s="12" t="s">
        <v>1103</v>
      </c>
      <c r="E949" s="12" t="s">
        <v>5328</v>
      </c>
      <c r="F949" s="12" t="s">
        <v>153</v>
      </c>
      <c r="BP949" s="12" t="s">
        <v>5329</v>
      </c>
      <c r="BQ949" s="12" t="b">
        <v>0</v>
      </c>
      <c r="BS949" s="16" t="s">
        <v>6387</v>
      </c>
      <c r="BT949" s="12" t="b">
        <v>1</v>
      </c>
      <c r="BU949" s="12" t="s">
        <v>1784</v>
      </c>
    </row>
    <row r="950">
      <c r="A950" s="12" t="s">
        <v>5011</v>
      </c>
      <c r="B950" s="12" t="s">
        <v>54</v>
      </c>
      <c r="C950" s="14">
        <v>46150.0</v>
      </c>
      <c r="D950" s="12" t="s">
        <v>683</v>
      </c>
      <c r="E950" s="12" t="s">
        <v>5332</v>
      </c>
      <c r="F950" s="12" t="s">
        <v>859</v>
      </c>
      <c r="BP950" s="12" t="s">
        <v>5333</v>
      </c>
      <c r="BQ950" s="12" t="b">
        <v>0</v>
      </c>
      <c r="BS950" s="16" t="s">
        <v>6388</v>
      </c>
      <c r="BT950" s="12" t="b">
        <v>1</v>
      </c>
      <c r="BU950" s="12" t="s">
        <v>69</v>
      </c>
    </row>
    <row r="951">
      <c r="A951" s="12" t="s">
        <v>6389</v>
      </c>
      <c r="B951" s="12" t="s">
        <v>54</v>
      </c>
      <c r="C951" s="14">
        <v>46147.0</v>
      </c>
      <c r="D951" s="12" t="s">
        <v>897</v>
      </c>
      <c r="E951" s="12" t="s">
        <v>6390</v>
      </c>
      <c r="F951" s="12" t="s">
        <v>423</v>
      </c>
      <c r="BP951" s="12" t="s">
        <v>6391</v>
      </c>
      <c r="BQ951" s="12" t="b">
        <v>0</v>
      </c>
      <c r="BT951" s="12" t="b">
        <v>0</v>
      </c>
      <c r="BU951" s="12" t="s">
        <v>69</v>
      </c>
    </row>
    <row r="952">
      <c r="A952" s="12" t="s">
        <v>4970</v>
      </c>
      <c r="B952" s="12" t="s">
        <v>54</v>
      </c>
      <c r="C952" s="14">
        <v>46147.0</v>
      </c>
      <c r="D952" s="12" t="s">
        <v>435</v>
      </c>
      <c r="E952" s="12" t="s">
        <v>5338</v>
      </c>
      <c r="F952" s="12" t="s">
        <v>5341</v>
      </c>
      <c r="BP952" s="12" t="s">
        <v>5340</v>
      </c>
      <c r="BQ952" s="12" t="b">
        <v>0</v>
      </c>
      <c r="BS952" s="16" t="s">
        <v>6394</v>
      </c>
      <c r="BT952" s="12" t="b">
        <v>1</v>
      </c>
      <c r="BU952" s="12" t="s">
        <v>69</v>
      </c>
    </row>
    <row r="953">
      <c r="A953" s="12" t="s">
        <v>5013</v>
      </c>
      <c r="B953" s="12" t="s">
        <v>54</v>
      </c>
      <c r="C953" s="14">
        <v>46150.0</v>
      </c>
      <c r="D953" s="12" t="s">
        <v>5344</v>
      </c>
      <c r="E953" s="12" t="s">
        <v>5346</v>
      </c>
      <c r="F953" s="12" t="s">
        <v>5349</v>
      </c>
      <c r="BP953" s="12" t="s">
        <v>5348</v>
      </c>
      <c r="BQ953" s="12" t="b">
        <v>0</v>
      </c>
      <c r="BS953" s="16" t="s">
        <v>6395</v>
      </c>
      <c r="BT953" s="12" t="b">
        <v>1</v>
      </c>
      <c r="BU953" s="12" t="s">
        <v>1784</v>
      </c>
    </row>
    <row r="954">
      <c r="A954" s="12" t="s">
        <v>5042</v>
      </c>
      <c r="B954" s="12" t="s">
        <v>54</v>
      </c>
      <c r="C954" s="14">
        <v>46151.0</v>
      </c>
      <c r="D954" s="12" t="s">
        <v>435</v>
      </c>
      <c r="E954" s="12" t="s">
        <v>5354</v>
      </c>
      <c r="F954" s="12" t="s">
        <v>5357</v>
      </c>
      <c r="BP954" s="12" t="s">
        <v>5355</v>
      </c>
      <c r="BQ954" s="12" t="b">
        <v>0</v>
      </c>
      <c r="BS954" s="16" t="s">
        <v>6397</v>
      </c>
      <c r="BT954" s="12" t="b">
        <v>1</v>
      </c>
      <c r="BU954" s="12" t="s">
        <v>69</v>
      </c>
    </row>
    <row r="955">
      <c r="A955" s="12" t="s">
        <v>5001</v>
      </c>
      <c r="B955" s="12" t="s">
        <v>54</v>
      </c>
      <c r="C955" s="14">
        <v>46149.0</v>
      </c>
      <c r="D955" s="12" t="s">
        <v>77</v>
      </c>
      <c r="E955" s="12" t="s">
        <v>5363</v>
      </c>
      <c r="F955" s="12" t="s">
        <v>5365</v>
      </c>
      <c r="BP955" s="12" t="s">
        <v>5364</v>
      </c>
      <c r="BQ955" s="12" t="b">
        <v>0</v>
      </c>
      <c r="BS955" s="16" t="s">
        <v>6398</v>
      </c>
      <c r="BT955" s="12" t="b">
        <v>1</v>
      </c>
      <c r="BU955" s="12" t="s">
        <v>69</v>
      </c>
    </row>
    <row r="956">
      <c r="A956" s="12" t="s">
        <v>5047</v>
      </c>
      <c r="B956" s="12" t="s">
        <v>54</v>
      </c>
      <c r="C956" s="14">
        <v>46152.0</v>
      </c>
      <c r="D956" s="12" t="s">
        <v>470</v>
      </c>
      <c r="E956" s="12" t="s">
        <v>5370</v>
      </c>
      <c r="F956" s="12" t="s">
        <v>3989</v>
      </c>
      <c r="BP956" s="12" t="s">
        <v>5371</v>
      </c>
      <c r="BQ956" s="12" t="b">
        <v>0</v>
      </c>
      <c r="BS956" s="16" t="s">
        <v>6399</v>
      </c>
      <c r="BT956" s="12" t="b">
        <v>1</v>
      </c>
      <c r="BU956" s="12" t="s">
        <v>69</v>
      </c>
    </row>
    <row r="957">
      <c r="A957" s="12" t="s">
        <v>2727</v>
      </c>
      <c r="B957" s="12" t="s">
        <v>54</v>
      </c>
      <c r="C957" s="19">
        <v>46154.0</v>
      </c>
      <c r="D957" s="12" t="s">
        <v>156</v>
      </c>
      <c r="F957" s="12" t="s">
        <v>5378</v>
      </c>
      <c r="G957" s="12" t="s">
        <v>786</v>
      </c>
      <c r="H957" s="12">
        <v>1.0</v>
      </c>
      <c r="I957" s="17">
        <v>2082.0</v>
      </c>
      <c r="J957" s="17">
        <v>2082.0</v>
      </c>
      <c r="BO957" s="17">
        <v>2082.0</v>
      </c>
      <c r="BR957" s="17">
        <v>2082.0</v>
      </c>
      <c r="BU957" s="12" t="s">
        <v>621</v>
      </c>
    </row>
    <row r="958">
      <c r="A958" s="12" t="s">
        <v>2731</v>
      </c>
      <c r="B958" s="12" t="s">
        <v>54</v>
      </c>
      <c r="C958" s="19">
        <v>46154.0</v>
      </c>
      <c r="D958" s="12" t="s">
        <v>156</v>
      </c>
      <c r="F958" s="12" t="s">
        <v>5380</v>
      </c>
      <c r="G958" s="12" t="s">
        <v>1236</v>
      </c>
      <c r="H958" s="12">
        <v>1.0</v>
      </c>
      <c r="I958" s="17">
        <v>1148.42</v>
      </c>
      <c r="J958" s="17">
        <v>1148.42</v>
      </c>
      <c r="BO958" s="17">
        <v>1148.42</v>
      </c>
      <c r="BR958" s="17">
        <v>1148.42</v>
      </c>
      <c r="BU958" s="12" t="s">
        <v>621</v>
      </c>
    </row>
    <row r="959">
      <c r="A959" s="12" t="s">
        <v>5006</v>
      </c>
      <c r="B959" s="12" t="s">
        <v>54</v>
      </c>
      <c r="C959" s="14">
        <v>46149.0</v>
      </c>
      <c r="D959" s="12" t="s">
        <v>5383</v>
      </c>
      <c r="E959" s="12" t="s">
        <v>6402</v>
      </c>
      <c r="F959" s="12" t="s">
        <v>5388</v>
      </c>
      <c r="BP959" s="12" t="s">
        <v>5386</v>
      </c>
      <c r="BQ959" s="12" t="b">
        <v>0</v>
      </c>
      <c r="BS959" s="16" t="s">
        <v>6403</v>
      </c>
      <c r="BT959" s="12" t="b">
        <v>1</v>
      </c>
      <c r="BU959" s="12" t="s">
        <v>69</v>
      </c>
    </row>
    <row r="960">
      <c r="A960" s="12" t="s">
        <v>2735</v>
      </c>
      <c r="B960" s="12" t="s">
        <v>54</v>
      </c>
      <c r="C960" s="19">
        <v>46155.0</v>
      </c>
      <c r="F960" s="12" t="s">
        <v>5392</v>
      </c>
      <c r="G960" s="12" t="s">
        <v>1113</v>
      </c>
      <c r="H960" s="12">
        <v>1.0</v>
      </c>
      <c r="I960" s="17">
        <v>500.0</v>
      </c>
      <c r="J960" s="17">
        <v>500.0</v>
      </c>
      <c r="BO960" s="17">
        <v>500.0</v>
      </c>
      <c r="BR960" s="17">
        <v>500.0</v>
      </c>
      <c r="BU960" s="12" t="s">
        <v>191</v>
      </c>
      <c r="BV960" s="12" t="s">
        <v>1183</v>
      </c>
    </row>
    <row r="961">
      <c r="A961" s="12" t="s">
        <v>2737</v>
      </c>
      <c r="B961" s="12" t="s">
        <v>54</v>
      </c>
      <c r="C961" s="19">
        <v>46155.0</v>
      </c>
      <c r="F961" s="12" t="s">
        <v>5392</v>
      </c>
      <c r="G961" s="12" t="s">
        <v>1113</v>
      </c>
      <c r="H961" s="12">
        <v>1.0</v>
      </c>
      <c r="I961" s="17">
        <v>500.0</v>
      </c>
      <c r="J961" s="17">
        <v>500.0</v>
      </c>
      <c r="BO961" s="17">
        <v>500.0</v>
      </c>
      <c r="BR961" s="17">
        <v>500.0</v>
      </c>
      <c r="BU961" s="12" t="s">
        <v>191</v>
      </c>
      <c r="BV961" s="12" t="s">
        <v>152</v>
      </c>
    </row>
    <row r="962">
      <c r="A962" s="12" t="s">
        <v>2741</v>
      </c>
      <c r="B962" s="12" t="s">
        <v>54</v>
      </c>
      <c r="C962" s="19">
        <v>46155.0</v>
      </c>
      <c r="F962" s="12" t="s">
        <v>5392</v>
      </c>
      <c r="G962" s="12" t="s">
        <v>1113</v>
      </c>
      <c r="H962" s="12">
        <v>1.0</v>
      </c>
      <c r="I962" s="17">
        <v>500.0</v>
      </c>
      <c r="J962" s="17">
        <v>500.0</v>
      </c>
      <c r="BO962" s="17">
        <v>500.0</v>
      </c>
      <c r="BR962" s="17">
        <v>500.0</v>
      </c>
      <c r="BU962" s="12" t="s">
        <v>191</v>
      </c>
      <c r="BV962" s="12" t="s">
        <v>62</v>
      </c>
    </row>
    <row r="963">
      <c r="A963" s="12" t="s">
        <v>2746</v>
      </c>
      <c r="B963" s="12" t="s">
        <v>54</v>
      </c>
      <c r="C963" s="19">
        <v>46155.0</v>
      </c>
      <c r="F963" s="12" t="s">
        <v>5392</v>
      </c>
      <c r="G963" s="12" t="s">
        <v>1113</v>
      </c>
      <c r="H963" s="12">
        <v>1.0</v>
      </c>
      <c r="I963" s="17">
        <v>500.0</v>
      </c>
      <c r="J963" s="17">
        <v>500.0</v>
      </c>
      <c r="BO963" s="17">
        <v>500.0</v>
      </c>
      <c r="BR963" s="17">
        <v>500.0</v>
      </c>
      <c r="BU963" s="12" t="s">
        <v>191</v>
      </c>
      <c r="BV963" s="12" t="s">
        <v>78</v>
      </c>
    </row>
    <row r="964">
      <c r="A964" s="12" t="s">
        <v>5050</v>
      </c>
      <c r="B964" s="12" t="s">
        <v>54</v>
      </c>
      <c r="C964" s="14">
        <v>46154.0</v>
      </c>
      <c r="D964" s="12" t="s">
        <v>912</v>
      </c>
      <c r="E964" s="12" t="s">
        <v>6406</v>
      </c>
      <c r="F964" s="12" t="s">
        <v>5404</v>
      </c>
      <c r="BP964" s="12" t="s">
        <v>5403</v>
      </c>
      <c r="BQ964" s="12" t="b">
        <v>0</v>
      </c>
      <c r="BT964" s="12" t="b">
        <v>0</v>
      </c>
      <c r="BU964" s="12" t="s">
        <v>69</v>
      </c>
    </row>
    <row r="965">
      <c r="A965" s="12" t="s">
        <v>5059</v>
      </c>
      <c r="B965" s="12" t="s">
        <v>54</v>
      </c>
      <c r="C965" s="14">
        <v>46154.0</v>
      </c>
      <c r="D965" s="12" t="s">
        <v>912</v>
      </c>
      <c r="E965" s="12" t="s">
        <v>6407</v>
      </c>
      <c r="F965" s="12" t="s">
        <v>5411</v>
      </c>
      <c r="BP965" s="12" t="s">
        <v>5408</v>
      </c>
      <c r="BQ965" s="12" t="b">
        <v>0</v>
      </c>
      <c r="BT965" s="12" t="b">
        <v>0</v>
      </c>
      <c r="BU965" s="12" t="s">
        <v>69</v>
      </c>
    </row>
    <row r="966">
      <c r="A966" s="12" t="s">
        <v>5067</v>
      </c>
      <c r="B966" s="12" t="s">
        <v>54</v>
      </c>
      <c r="C966" s="14">
        <v>46154.0</v>
      </c>
      <c r="D966" s="12" t="s">
        <v>912</v>
      </c>
      <c r="E966" s="12" t="s">
        <v>6408</v>
      </c>
      <c r="F966" s="12" t="s">
        <v>5420</v>
      </c>
      <c r="BP966" s="12" t="s">
        <v>5418</v>
      </c>
      <c r="BQ966" s="12" t="b">
        <v>0</v>
      </c>
      <c r="BT966" s="12" t="b">
        <v>0</v>
      </c>
      <c r="BU966" s="12" t="s">
        <v>69</v>
      </c>
    </row>
    <row r="967">
      <c r="A967" s="12" t="s">
        <v>5072</v>
      </c>
      <c r="B967" s="12" t="s">
        <v>54</v>
      </c>
      <c r="C967" s="14">
        <v>46154.0</v>
      </c>
      <c r="D967" s="12" t="s">
        <v>912</v>
      </c>
      <c r="E967" s="12" t="s">
        <v>6410</v>
      </c>
      <c r="F967" s="12" t="s">
        <v>5427</v>
      </c>
      <c r="BP967" s="12" t="s">
        <v>5426</v>
      </c>
      <c r="BQ967" s="12" t="b">
        <v>0</v>
      </c>
      <c r="BT967" s="12" t="b">
        <v>0</v>
      </c>
      <c r="BU967" s="12" t="s">
        <v>69</v>
      </c>
      <c r="BW967" s="12" t="s">
        <v>5428</v>
      </c>
    </row>
    <row r="968">
      <c r="A968" s="12" t="s">
        <v>6411</v>
      </c>
      <c r="B968" s="12" t="s">
        <v>54</v>
      </c>
      <c r="C968" s="14">
        <v>46154.0</v>
      </c>
      <c r="D968" s="12" t="s">
        <v>912</v>
      </c>
      <c r="E968" s="12" t="s">
        <v>6408</v>
      </c>
      <c r="F968" s="12" t="s">
        <v>5420</v>
      </c>
      <c r="BP968" s="12" t="s">
        <v>6412</v>
      </c>
      <c r="BQ968" s="12" t="b">
        <v>0</v>
      </c>
      <c r="BT968" s="12" t="b">
        <v>0</v>
      </c>
      <c r="BU968" s="12" t="s">
        <v>69</v>
      </c>
    </row>
    <row r="969">
      <c r="A969" s="12" t="s">
        <v>6413</v>
      </c>
      <c r="B969" s="12" t="s">
        <v>54</v>
      </c>
      <c r="C969" s="14">
        <v>46154.0</v>
      </c>
      <c r="D969" s="12" t="s">
        <v>912</v>
      </c>
      <c r="E969" s="12" t="s">
        <v>6414</v>
      </c>
      <c r="F969" s="12" t="s">
        <v>6415</v>
      </c>
      <c r="BP969" s="12" t="s">
        <v>6416</v>
      </c>
      <c r="BQ969" s="12" t="b">
        <v>0</v>
      </c>
      <c r="BT969" s="12" t="b">
        <v>0</v>
      </c>
      <c r="BU969" s="12" t="s">
        <v>69</v>
      </c>
      <c r="BW969" s="12" t="s">
        <v>6417</v>
      </c>
    </row>
    <row r="970">
      <c r="A970" s="12" t="s">
        <v>6419</v>
      </c>
      <c r="B970" s="12" t="s">
        <v>54</v>
      </c>
      <c r="C970" s="14">
        <v>46154.0</v>
      </c>
      <c r="D970" s="12" t="s">
        <v>912</v>
      </c>
      <c r="E970" s="12" t="s">
        <v>6407</v>
      </c>
      <c r="F970" s="12" t="s">
        <v>5411</v>
      </c>
      <c r="BP970" s="12" t="s">
        <v>6420</v>
      </c>
      <c r="BQ970" s="12" t="b">
        <v>0</v>
      </c>
      <c r="BT970" s="12" t="b">
        <v>0</v>
      </c>
      <c r="BU970" s="12" t="s">
        <v>69</v>
      </c>
    </row>
    <row r="971">
      <c r="A971" s="12" t="s">
        <v>6421</v>
      </c>
      <c r="B971" s="12" t="s">
        <v>54</v>
      </c>
      <c r="C971" s="14">
        <v>46154.0</v>
      </c>
      <c r="D971" s="12" t="s">
        <v>912</v>
      </c>
      <c r="E971" s="12" t="s">
        <v>6422</v>
      </c>
      <c r="F971" s="12" t="s">
        <v>6423</v>
      </c>
      <c r="BP971" s="12" t="s">
        <v>6424</v>
      </c>
      <c r="BQ971" s="12" t="b">
        <v>0</v>
      </c>
      <c r="BT971" s="12" t="b">
        <v>0</v>
      </c>
      <c r="BU971" s="12" t="s">
        <v>69</v>
      </c>
    </row>
    <row r="972">
      <c r="A972" s="12" t="s">
        <v>5097</v>
      </c>
      <c r="B972" s="12" t="s">
        <v>54</v>
      </c>
      <c r="C972" s="14">
        <v>46156.0</v>
      </c>
      <c r="D972" s="12" t="s">
        <v>5383</v>
      </c>
      <c r="E972" s="12" t="s">
        <v>5449</v>
      </c>
      <c r="F972" s="12" t="s">
        <v>5452</v>
      </c>
      <c r="BP972" s="12" t="s">
        <v>5451</v>
      </c>
      <c r="BQ972" s="12" t="b">
        <v>0</v>
      </c>
      <c r="BS972" s="16" t="s">
        <v>6425</v>
      </c>
      <c r="BT972" s="12" t="b">
        <v>1</v>
      </c>
      <c r="BU972" s="12" t="s">
        <v>69</v>
      </c>
    </row>
    <row r="973">
      <c r="A973" s="12" t="s">
        <v>5101</v>
      </c>
      <c r="B973" s="12" t="s">
        <v>54</v>
      </c>
      <c r="C973" s="14">
        <v>46156.0</v>
      </c>
      <c r="D973" s="12" t="s">
        <v>77</v>
      </c>
      <c r="E973" s="12" t="s">
        <v>5456</v>
      </c>
      <c r="F973" s="12" t="s">
        <v>5365</v>
      </c>
      <c r="BP973" s="12" t="s">
        <v>5459</v>
      </c>
      <c r="BQ973" s="12" t="b">
        <v>0</v>
      </c>
      <c r="BS973" s="16" t="s">
        <v>6426</v>
      </c>
      <c r="BT973" s="12" t="b">
        <v>1</v>
      </c>
      <c r="BU973" s="12" t="s">
        <v>69</v>
      </c>
    </row>
    <row r="974">
      <c r="A974" s="12"/>
      <c r="B974" s="12"/>
      <c r="C974" s="14"/>
      <c r="D974" s="12"/>
      <c r="E974" s="12"/>
      <c r="F974" s="12"/>
      <c r="BP974" s="12"/>
      <c r="BQ974" s="12"/>
      <c r="BT974" s="12"/>
      <c r="BU974" s="12"/>
    </row>
    <row r="975">
      <c r="A975" s="12" t="s">
        <v>5103</v>
      </c>
      <c r="B975" s="12" t="s">
        <v>54</v>
      </c>
      <c r="C975" s="14">
        <v>46157.0</v>
      </c>
      <c r="D975" s="12" t="s">
        <v>5383</v>
      </c>
      <c r="E975" s="12" t="s">
        <v>5463</v>
      </c>
      <c r="F975" s="12" t="s">
        <v>4829</v>
      </c>
      <c r="BP975" s="12" t="s">
        <v>5465</v>
      </c>
      <c r="BQ975" s="12" t="b">
        <v>0</v>
      </c>
      <c r="BS975" s="16" t="s">
        <v>6427</v>
      </c>
      <c r="BT975" s="12" t="b">
        <v>1</v>
      </c>
      <c r="BU975" s="12" t="s">
        <v>69</v>
      </c>
    </row>
    <row r="976">
      <c r="A976" s="12" t="s">
        <v>5108</v>
      </c>
      <c r="B976" s="12" t="s">
        <v>54</v>
      </c>
      <c r="C976" s="14">
        <v>46157.0</v>
      </c>
      <c r="D976" s="12" t="s">
        <v>5468</v>
      </c>
      <c r="E976" s="12" t="s">
        <v>5469</v>
      </c>
      <c r="F976" s="12" t="s">
        <v>5472</v>
      </c>
      <c r="BP976" s="12" t="s">
        <v>5471</v>
      </c>
      <c r="BQ976" s="12" t="b">
        <v>0</v>
      </c>
      <c r="BS976" s="16" t="s">
        <v>6428</v>
      </c>
      <c r="BT976" s="12" t="b">
        <v>1</v>
      </c>
      <c r="BU976" s="12" t="s">
        <v>69</v>
      </c>
    </row>
    <row r="977">
      <c r="A977" s="12" t="s">
        <v>5017</v>
      </c>
      <c r="B977" s="12" t="s">
        <v>54</v>
      </c>
      <c r="C977" s="14">
        <v>46150.0</v>
      </c>
      <c r="D977" s="12" t="s">
        <v>220</v>
      </c>
      <c r="E977" s="12" t="s">
        <v>5475</v>
      </c>
      <c r="F977" s="12" t="s">
        <v>5477</v>
      </c>
      <c r="BP977" s="12" t="s">
        <v>5476</v>
      </c>
      <c r="BQ977" s="12" t="b">
        <v>0</v>
      </c>
      <c r="BS977" s="16" t="s">
        <v>6429</v>
      </c>
      <c r="BT977" s="12" t="b">
        <v>1</v>
      </c>
      <c r="BU977" s="12" t="s">
        <v>69</v>
      </c>
    </row>
    <row r="978">
      <c r="A978" s="12" t="s">
        <v>5112</v>
      </c>
      <c r="B978" s="12" t="s">
        <v>54</v>
      </c>
      <c r="C978" s="14">
        <v>46157.0</v>
      </c>
      <c r="D978" s="12" t="s">
        <v>1103</v>
      </c>
      <c r="E978" s="12" t="s">
        <v>5481</v>
      </c>
      <c r="F978" s="12" t="s">
        <v>153</v>
      </c>
      <c r="BP978" s="12" t="s">
        <v>5482</v>
      </c>
      <c r="BQ978" s="12" t="b">
        <v>0</v>
      </c>
      <c r="BS978" s="16" t="s">
        <v>6431</v>
      </c>
      <c r="BT978" s="12" t="b">
        <v>1</v>
      </c>
      <c r="BU978" s="12" t="s">
        <v>69</v>
      </c>
    </row>
    <row r="979">
      <c r="A979" s="12" t="s">
        <v>4950</v>
      </c>
      <c r="B979" s="12" t="s">
        <v>54</v>
      </c>
      <c r="C979" s="14">
        <v>46140.0</v>
      </c>
      <c r="D979" s="12" t="s">
        <v>912</v>
      </c>
      <c r="E979" s="12" t="s">
        <v>6432</v>
      </c>
      <c r="F979" s="12" t="s">
        <v>5489</v>
      </c>
      <c r="BP979" s="12" t="s">
        <v>5488</v>
      </c>
      <c r="BQ979" s="12" t="b">
        <v>0</v>
      </c>
      <c r="BT979" s="12" t="b">
        <v>0</v>
      </c>
      <c r="BU979" s="12" t="s">
        <v>69</v>
      </c>
    </row>
    <row r="980">
      <c r="A980" s="12">
        <v>1533.0</v>
      </c>
      <c r="B980" s="12" t="s">
        <v>54</v>
      </c>
      <c r="C980" s="19">
        <v>46159.0</v>
      </c>
      <c r="D980" s="12" t="s">
        <v>156</v>
      </c>
      <c r="F980" s="12" t="s">
        <v>1905</v>
      </c>
      <c r="G980" s="12" t="s">
        <v>1082</v>
      </c>
      <c r="H980" s="12">
        <v>1.0</v>
      </c>
      <c r="I980" s="17">
        <v>625.0</v>
      </c>
      <c r="J980" s="17">
        <v>625.0</v>
      </c>
      <c r="BO980" s="17">
        <v>625.0</v>
      </c>
      <c r="BR980" s="17">
        <v>625.0</v>
      </c>
      <c r="BU980" s="12" t="s">
        <v>621</v>
      </c>
    </row>
    <row r="981">
      <c r="A981" s="12">
        <v>1534.0</v>
      </c>
      <c r="B981" s="12" t="s">
        <v>54</v>
      </c>
      <c r="C981" s="19">
        <v>46159.0</v>
      </c>
      <c r="D981" s="12" t="s">
        <v>156</v>
      </c>
      <c r="F981" s="12" t="s">
        <v>1909</v>
      </c>
      <c r="G981" s="12" t="s">
        <v>1906</v>
      </c>
      <c r="H981" s="12">
        <v>1.0</v>
      </c>
      <c r="I981" s="17">
        <v>396.0</v>
      </c>
      <c r="J981" s="17">
        <v>396.0</v>
      </c>
      <c r="BO981" s="17">
        <v>396.0</v>
      </c>
      <c r="BR981" s="17">
        <v>396.0</v>
      </c>
      <c r="BU981" s="12" t="s">
        <v>621</v>
      </c>
    </row>
    <row r="982">
      <c r="A982" s="12">
        <v>1535.0</v>
      </c>
      <c r="B982" s="12" t="s">
        <v>54</v>
      </c>
      <c r="C982" s="19">
        <v>46159.0</v>
      </c>
      <c r="D982" s="12" t="s">
        <v>1914</v>
      </c>
      <c r="F982" s="12" t="s">
        <v>1916</v>
      </c>
      <c r="G982" s="12" t="s">
        <v>1908</v>
      </c>
      <c r="H982" s="12">
        <v>1.0</v>
      </c>
      <c r="I982" s="17">
        <v>1110.0</v>
      </c>
      <c r="J982" s="17">
        <v>1110.0</v>
      </c>
      <c r="BO982" s="17">
        <v>1110.0</v>
      </c>
      <c r="BR982" s="17">
        <v>1110.0</v>
      </c>
      <c r="BU982" s="12" t="s">
        <v>621</v>
      </c>
    </row>
    <row r="983">
      <c r="A983" s="12" t="s">
        <v>5121</v>
      </c>
      <c r="B983" s="12" t="s">
        <v>54</v>
      </c>
      <c r="C983" s="14">
        <v>46157.0</v>
      </c>
      <c r="D983" s="12" t="s">
        <v>220</v>
      </c>
      <c r="E983" s="12" t="s">
        <v>5497</v>
      </c>
      <c r="F983" s="12" t="s">
        <v>2402</v>
      </c>
      <c r="BP983" s="12" t="s">
        <v>5498</v>
      </c>
      <c r="BQ983" s="12" t="b">
        <v>0</v>
      </c>
      <c r="BS983" s="16" t="s">
        <v>6435</v>
      </c>
      <c r="BT983" s="12" t="b">
        <v>1</v>
      </c>
      <c r="BU983" s="12" t="s">
        <v>69</v>
      </c>
    </row>
    <row r="984">
      <c r="A984" s="12" t="s">
        <v>5154</v>
      </c>
      <c r="B984" s="12" t="s">
        <v>54</v>
      </c>
      <c r="C984" s="14">
        <v>46159.0</v>
      </c>
      <c r="D984" s="12" t="s">
        <v>435</v>
      </c>
      <c r="E984" s="12" t="s">
        <v>5502</v>
      </c>
      <c r="F984" s="12" t="s">
        <v>880</v>
      </c>
      <c r="BP984" s="12" t="s">
        <v>5503</v>
      </c>
      <c r="BQ984" s="12" t="b">
        <v>0</v>
      </c>
      <c r="BS984" s="16" t="s">
        <v>6436</v>
      </c>
      <c r="BT984" s="12" t="b">
        <v>1</v>
      </c>
      <c r="BU984" s="12" t="s">
        <v>69</v>
      </c>
    </row>
    <row r="985">
      <c r="A985" s="12" t="s">
        <v>5159</v>
      </c>
      <c r="B985" s="12" t="s">
        <v>54</v>
      </c>
      <c r="C985" s="14">
        <v>46160.0</v>
      </c>
      <c r="D985" s="12" t="s">
        <v>5383</v>
      </c>
      <c r="E985" s="12" t="s">
        <v>5507</v>
      </c>
      <c r="F985" s="12" t="s">
        <v>328</v>
      </c>
      <c r="BP985" s="12" t="s">
        <v>5509</v>
      </c>
      <c r="BQ985" s="12" t="b">
        <v>0</v>
      </c>
      <c r="BS985" s="16" t="s">
        <v>6437</v>
      </c>
      <c r="BT985" s="12" t="b">
        <v>1</v>
      </c>
      <c r="BU985" s="12" t="s">
        <v>1784</v>
      </c>
    </row>
    <row r="986">
      <c r="A986" s="12" t="s">
        <v>5161</v>
      </c>
      <c r="B986" s="12" t="s">
        <v>54</v>
      </c>
      <c r="C986" s="14">
        <v>46160.0</v>
      </c>
      <c r="D986" s="12" t="s">
        <v>175</v>
      </c>
      <c r="E986" s="12" t="s">
        <v>5512</v>
      </c>
      <c r="F986" s="12" t="s">
        <v>5515</v>
      </c>
      <c r="BP986" s="12" t="s">
        <v>5514</v>
      </c>
      <c r="BQ986" s="12" t="b">
        <v>0</v>
      </c>
      <c r="BS986" s="16" t="s">
        <v>6438</v>
      </c>
      <c r="BT986" s="12" t="b">
        <v>1</v>
      </c>
      <c r="BU986" s="12" t="s">
        <v>69</v>
      </c>
    </row>
    <row r="987">
      <c r="A987" s="12" t="s">
        <v>5163</v>
      </c>
      <c r="B987" s="12" t="s">
        <v>54</v>
      </c>
      <c r="C987" s="14">
        <v>46160.0</v>
      </c>
      <c r="D987" s="12" t="s">
        <v>683</v>
      </c>
      <c r="E987" s="12" t="s">
        <v>5518</v>
      </c>
      <c r="F987" s="12" t="s">
        <v>5521</v>
      </c>
      <c r="BP987" s="12" t="s">
        <v>5520</v>
      </c>
      <c r="BQ987" s="12" t="b">
        <v>0</v>
      </c>
      <c r="BS987" s="16" t="s">
        <v>6439</v>
      </c>
      <c r="BT987" s="12" t="b">
        <v>1</v>
      </c>
      <c r="BU987" s="12" t="s">
        <v>69</v>
      </c>
    </row>
    <row r="988">
      <c r="A988" s="12" t="s">
        <v>5168</v>
      </c>
      <c r="B988" s="12" t="s">
        <v>54</v>
      </c>
      <c r="C988" s="14">
        <v>46161.0</v>
      </c>
      <c r="D988" s="12" t="s">
        <v>77</v>
      </c>
      <c r="E988" s="12" t="s">
        <v>5526</v>
      </c>
      <c r="F988" s="12" t="s">
        <v>5528</v>
      </c>
      <c r="BP988" s="12" t="s">
        <v>5527</v>
      </c>
      <c r="BQ988" s="12" t="b">
        <v>0</v>
      </c>
      <c r="BS988" s="16" t="s">
        <v>6440</v>
      </c>
      <c r="BT988" s="12" t="b">
        <v>1</v>
      </c>
      <c r="BU988" s="12" t="s">
        <v>69</v>
      </c>
    </row>
    <row r="989">
      <c r="A989" s="12">
        <v>1532.0</v>
      </c>
      <c r="B989" s="12" t="s">
        <v>54</v>
      </c>
      <c r="C989" s="19">
        <v>46161.0</v>
      </c>
      <c r="D989" s="12" t="s">
        <v>689</v>
      </c>
      <c r="F989" s="12" t="s">
        <v>959</v>
      </c>
      <c r="G989" s="12" t="s">
        <v>693</v>
      </c>
      <c r="H989" s="12">
        <v>1.0</v>
      </c>
      <c r="I989" s="17">
        <v>5300.0</v>
      </c>
      <c r="J989" s="17">
        <v>5300.0</v>
      </c>
      <c r="BO989" s="17">
        <v>5300.0</v>
      </c>
      <c r="BR989" s="17">
        <v>5300.0</v>
      </c>
      <c r="BU989" s="12" t="s">
        <v>621</v>
      </c>
    </row>
    <row r="990">
      <c r="A990" s="12">
        <v>1537.0</v>
      </c>
      <c r="B990" s="12" t="s">
        <v>54</v>
      </c>
      <c r="C990" s="19">
        <v>46161.0</v>
      </c>
      <c r="D990" s="12" t="s">
        <v>933</v>
      </c>
      <c r="F990" s="12" t="s">
        <v>1494</v>
      </c>
      <c r="G990" s="12" t="s">
        <v>1040</v>
      </c>
      <c r="H990" s="12">
        <v>1.0</v>
      </c>
      <c r="I990" s="17">
        <v>6336.67</v>
      </c>
      <c r="J990" s="17">
        <v>6336.67</v>
      </c>
      <c r="BO990" s="17">
        <v>6336.67</v>
      </c>
      <c r="BR990" s="17">
        <v>6336.67</v>
      </c>
      <c r="BU990" s="12" t="s">
        <v>621</v>
      </c>
    </row>
    <row r="991">
      <c r="A991" s="12" t="s">
        <v>5091</v>
      </c>
      <c r="B991" s="12" t="s">
        <v>54</v>
      </c>
      <c r="C991" s="14">
        <v>46155.0</v>
      </c>
      <c r="D991" s="12" t="s">
        <v>5536</v>
      </c>
      <c r="E991" s="12" t="s">
        <v>5538</v>
      </c>
      <c r="F991" s="12" t="s">
        <v>5540</v>
      </c>
      <c r="BP991" s="12" t="s">
        <v>5539</v>
      </c>
      <c r="BQ991" s="12" t="b">
        <v>0</v>
      </c>
      <c r="BT991" s="12" t="b">
        <v>0</v>
      </c>
      <c r="BU991" s="12" t="s">
        <v>69</v>
      </c>
    </row>
    <row r="992">
      <c r="A992" s="12" t="s">
        <v>5177</v>
      </c>
      <c r="B992" s="12" t="s">
        <v>54</v>
      </c>
      <c r="C992" s="14">
        <v>46162.0</v>
      </c>
      <c r="D992" s="12" t="s">
        <v>5542</v>
      </c>
      <c r="E992" s="12" t="s">
        <v>5543</v>
      </c>
      <c r="F992" s="12" t="s">
        <v>5546</v>
      </c>
      <c r="BP992" s="12" t="s">
        <v>5544</v>
      </c>
      <c r="BQ992" s="12" t="b">
        <v>0</v>
      </c>
      <c r="BS992" s="16" t="s">
        <v>6443</v>
      </c>
      <c r="BT992" s="12" t="b">
        <v>1</v>
      </c>
      <c r="BU992" s="12" t="s">
        <v>69</v>
      </c>
    </row>
    <row r="993">
      <c r="A993" s="12">
        <v>1538.0</v>
      </c>
      <c r="B993" s="12" t="s">
        <v>54</v>
      </c>
      <c r="C993" s="19">
        <v>46162.0</v>
      </c>
      <c r="D993" s="12" t="s">
        <v>734</v>
      </c>
      <c r="F993" s="12" t="s">
        <v>1466</v>
      </c>
      <c r="G993" s="12" t="s">
        <v>1056</v>
      </c>
      <c r="H993" s="12">
        <v>1.0</v>
      </c>
      <c r="I993" s="17">
        <v>1314.21</v>
      </c>
      <c r="J993" s="17">
        <v>1314.21</v>
      </c>
      <c r="BO993" s="17">
        <v>1314.21</v>
      </c>
      <c r="BR993" s="17">
        <v>1314.21</v>
      </c>
      <c r="BU993" s="12" t="s">
        <v>621</v>
      </c>
    </row>
    <row r="994">
      <c r="A994" s="12">
        <v>1539.0</v>
      </c>
      <c r="B994" s="12" t="s">
        <v>54</v>
      </c>
      <c r="C994" s="19">
        <v>46162.0</v>
      </c>
      <c r="D994" s="12" t="s">
        <v>1067</v>
      </c>
      <c r="F994" s="12" t="s">
        <v>1068</v>
      </c>
      <c r="G994" s="12" t="s">
        <v>741</v>
      </c>
      <c r="H994" s="12">
        <v>1.0</v>
      </c>
      <c r="I994" s="17">
        <v>1040.0</v>
      </c>
      <c r="J994" s="17">
        <v>1040.0</v>
      </c>
      <c r="BO994" s="17">
        <v>1040.0</v>
      </c>
      <c r="BR994" s="17">
        <v>1040.0</v>
      </c>
      <c r="BU994" s="12" t="s">
        <v>621</v>
      </c>
    </row>
    <row r="995">
      <c r="A995" s="12">
        <v>1540.0</v>
      </c>
      <c r="B995" s="12" t="s">
        <v>54</v>
      </c>
      <c r="C995" s="19">
        <v>46162.0</v>
      </c>
      <c r="D995" s="12" t="s">
        <v>1484</v>
      </c>
      <c r="F995" s="12" t="s">
        <v>1485</v>
      </c>
      <c r="G995" s="12" t="s">
        <v>1486</v>
      </c>
      <c r="H995" s="12">
        <v>1.0</v>
      </c>
      <c r="I995" s="17">
        <v>20.0</v>
      </c>
      <c r="J995" s="17">
        <v>20.0</v>
      </c>
      <c r="BO995" s="17">
        <v>20.0</v>
      </c>
      <c r="BR995" s="17">
        <v>20.0</v>
      </c>
      <c r="BU995" s="12" t="s">
        <v>621</v>
      </c>
    </row>
    <row r="996">
      <c r="A996" s="12" t="s">
        <v>2766</v>
      </c>
      <c r="B996" s="12" t="s">
        <v>54</v>
      </c>
      <c r="C996" s="19">
        <v>46162.0</v>
      </c>
      <c r="D996" s="12" t="s">
        <v>1715</v>
      </c>
      <c r="F996" s="12" t="s">
        <v>45</v>
      </c>
      <c r="G996" s="12" t="s">
        <v>1936</v>
      </c>
      <c r="H996" s="12">
        <v>1.0</v>
      </c>
      <c r="I996" s="17">
        <v>588.5</v>
      </c>
      <c r="J996" s="17">
        <v>588.5</v>
      </c>
      <c r="BO996" s="17">
        <v>588.5</v>
      </c>
      <c r="BR996" s="17">
        <v>588.5</v>
      </c>
      <c r="BU996" s="12" t="s">
        <v>621</v>
      </c>
    </row>
    <row r="997">
      <c r="A997" s="12">
        <v>1554.0</v>
      </c>
      <c r="B997" s="12" t="s">
        <v>54</v>
      </c>
      <c r="C997" s="19">
        <v>46162.0</v>
      </c>
      <c r="D997" s="12" t="s">
        <v>818</v>
      </c>
      <c r="F997" s="12" t="s">
        <v>819</v>
      </c>
      <c r="G997" s="12" t="s">
        <v>820</v>
      </c>
      <c r="H997" s="12">
        <v>1.0</v>
      </c>
      <c r="I997" s="17">
        <v>185.29</v>
      </c>
      <c r="J997" s="17">
        <v>185.29</v>
      </c>
      <c r="BO997" s="17">
        <v>185.29</v>
      </c>
      <c r="BR997" s="17">
        <v>185.29</v>
      </c>
      <c r="BU997" s="12" t="s">
        <v>621</v>
      </c>
    </row>
    <row r="998">
      <c r="A998" s="12" t="s">
        <v>5080</v>
      </c>
      <c r="B998" s="12" t="s">
        <v>54</v>
      </c>
      <c r="C998" s="19">
        <v>46154.0</v>
      </c>
      <c r="D998" s="12" t="s">
        <v>912</v>
      </c>
      <c r="E998" s="12" t="s">
        <v>6447</v>
      </c>
      <c r="F998" s="12" t="s">
        <v>5558</v>
      </c>
      <c r="G998" s="12"/>
      <c r="H998" s="12"/>
      <c r="I998" s="17"/>
      <c r="J998" s="17"/>
      <c r="BO998" s="17"/>
      <c r="BP998" s="12" t="s">
        <v>5557</v>
      </c>
      <c r="BQ998" s="12" t="b">
        <v>0</v>
      </c>
      <c r="BR998" s="17"/>
      <c r="BT998" s="12" t="b">
        <v>0</v>
      </c>
      <c r="BU998" s="12" t="s">
        <v>69</v>
      </c>
    </row>
    <row r="999">
      <c r="A999" s="12" t="s">
        <v>6448</v>
      </c>
      <c r="B999" s="12" t="s">
        <v>54</v>
      </c>
      <c r="C999" s="19">
        <v>46154.0</v>
      </c>
      <c r="D999" s="12" t="s">
        <v>156</v>
      </c>
      <c r="E999" s="12" t="s">
        <v>6447</v>
      </c>
      <c r="F999" s="12" t="s">
        <v>5558</v>
      </c>
      <c r="G999" s="12"/>
      <c r="H999" s="12"/>
      <c r="I999" s="17"/>
      <c r="J999" s="17"/>
      <c r="BO999" s="17"/>
      <c r="BP999" s="12" t="s">
        <v>6450</v>
      </c>
      <c r="BQ999" s="12" t="b">
        <v>0</v>
      </c>
      <c r="BR999" s="17"/>
      <c r="BT999" s="12" t="b">
        <v>0</v>
      </c>
      <c r="BU999" s="12" t="s">
        <v>69</v>
      </c>
    </row>
    <row r="1000">
      <c r="A1000" s="12" t="s">
        <v>2771</v>
      </c>
      <c r="B1000" s="12" t="s">
        <v>54</v>
      </c>
      <c r="C1000" s="19">
        <v>46163.0</v>
      </c>
      <c r="D1000" s="12" t="s">
        <v>4420</v>
      </c>
      <c r="E1000" s="12"/>
      <c r="F1000" s="12" t="s">
        <v>3112</v>
      </c>
      <c r="G1000" s="12" t="s">
        <v>1756</v>
      </c>
      <c r="H1000" s="12">
        <v>1.0</v>
      </c>
      <c r="I1000" s="17">
        <v>1292.72</v>
      </c>
      <c r="J1000" s="17">
        <v>1292.72</v>
      </c>
      <c r="BO1000" s="17">
        <v>1292.72</v>
      </c>
      <c r="BP1000" s="12"/>
      <c r="BQ1000" s="12"/>
      <c r="BR1000" s="17">
        <v>1292.72</v>
      </c>
      <c r="BT1000" s="12"/>
      <c r="BU1000" s="12" t="s">
        <v>621</v>
      </c>
    </row>
    <row r="1001">
      <c r="A1001" s="12" t="s">
        <v>5173</v>
      </c>
      <c r="B1001" s="12" t="s">
        <v>54</v>
      </c>
      <c r="C1001" s="19">
        <v>46164.0</v>
      </c>
      <c r="D1001" s="12" t="s">
        <v>683</v>
      </c>
      <c r="E1001" s="12" t="s">
        <v>5567</v>
      </c>
      <c r="F1001" s="12" t="s">
        <v>687</v>
      </c>
      <c r="G1001" s="12"/>
      <c r="H1001" s="12"/>
      <c r="I1001" s="17"/>
      <c r="J1001" s="17"/>
      <c r="BO1001" s="17"/>
      <c r="BP1001" s="12" t="s">
        <v>5568</v>
      </c>
      <c r="BQ1001" s="12" t="b">
        <v>0</v>
      </c>
      <c r="BR1001" s="17"/>
      <c r="BS1001" s="16" t="s">
        <v>6453</v>
      </c>
      <c r="BT1001" s="12" t="b">
        <v>1</v>
      </c>
      <c r="BU1001" s="12" t="s">
        <v>1784</v>
      </c>
    </row>
    <row r="1002">
      <c r="A1002" s="12" t="s">
        <v>6454</v>
      </c>
      <c r="B1002" s="12" t="s">
        <v>54</v>
      </c>
      <c r="C1002" s="19">
        <v>46154.0</v>
      </c>
      <c r="D1002" s="12" t="s">
        <v>156</v>
      </c>
      <c r="E1002" s="12" t="s">
        <v>6447</v>
      </c>
      <c r="F1002" s="12" t="s">
        <v>5558</v>
      </c>
      <c r="G1002" s="12"/>
      <c r="H1002" s="12"/>
      <c r="I1002" s="17"/>
      <c r="J1002" s="17"/>
      <c r="BO1002" s="17"/>
      <c r="BP1002" s="12" t="s">
        <v>6455</v>
      </c>
      <c r="BQ1002" s="12" t="b">
        <v>0</v>
      </c>
      <c r="BR1002" s="17"/>
      <c r="BS1002" s="12"/>
      <c r="BT1002" s="12" t="b">
        <v>0</v>
      </c>
      <c r="BU1002" s="12" t="s">
        <v>69</v>
      </c>
    </row>
    <row r="1003">
      <c r="A1003" s="12" t="s">
        <v>5189</v>
      </c>
      <c r="B1003" s="12" t="s">
        <v>54</v>
      </c>
      <c r="C1003" s="19">
        <v>46164.0</v>
      </c>
      <c r="D1003" s="12" t="s">
        <v>175</v>
      </c>
      <c r="E1003" s="12" t="s">
        <v>5573</v>
      </c>
      <c r="F1003" s="12" t="s">
        <v>5576</v>
      </c>
      <c r="G1003" s="12"/>
      <c r="H1003" s="12"/>
      <c r="I1003" s="17"/>
      <c r="J1003" s="17"/>
      <c r="BO1003" s="17"/>
      <c r="BP1003" s="12" t="s">
        <v>5575</v>
      </c>
      <c r="BQ1003" s="12" t="b">
        <v>0</v>
      </c>
      <c r="BR1003" s="17"/>
      <c r="BS1003" s="16" t="s">
        <v>6459</v>
      </c>
      <c r="BT1003" s="12" t="b">
        <v>1</v>
      </c>
      <c r="BU1003" s="12" t="s">
        <v>69</v>
      </c>
    </row>
    <row r="1004">
      <c r="A1004" s="12" t="s">
        <v>5232</v>
      </c>
      <c r="B1004" s="12" t="s">
        <v>54</v>
      </c>
      <c r="C1004" s="19">
        <v>46166.0</v>
      </c>
      <c r="D1004" s="12" t="s">
        <v>77</v>
      </c>
      <c r="E1004" s="12" t="s">
        <v>5579</v>
      </c>
      <c r="F1004" s="12" t="s">
        <v>5582</v>
      </c>
      <c r="G1004" s="12"/>
      <c r="H1004" s="12"/>
      <c r="I1004" s="17"/>
      <c r="J1004" s="17"/>
      <c r="BO1004" s="17"/>
      <c r="BP1004" s="12" t="s">
        <v>5581</v>
      </c>
      <c r="BQ1004" s="12" t="b">
        <v>0</v>
      </c>
      <c r="BR1004" s="17"/>
      <c r="BS1004" s="16" t="s">
        <v>6460</v>
      </c>
      <c r="BT1004" s="12" t="b">
        <v>1</v>
      </c>
      <c r="BU1004" s="12" t="s">
        <v>69</v>
      </c>
    </row>
    <row r="1005">
      <c r="A1005" s="12" t="s">
        <v>5234</v>
      </c>
      <c r="B1005" s="12" t="s">
        <v>54</v>
      </c>
      <c r="C1005" s="19">
        <v>46166.0</v>
      </c>
      <c r="D1005" s="12" t="s">
        <v>77</v>
      </c>
      <c r="E1005" s="12" t="s">
        <v>5585</v>
      </c>
      <c r="F1005" s="12" t="s">
        <v>2540</v>
      </c>
      <c r="G1005" s="12"/>
      <c r="H1005" s="12"/>
      <c r="I1005" s="17"/>
      <c r="J1005" s="17"/>
      <c r="BO1005" s="17"/>
      <c r="BP1005" s="12" t="s">
        <v>5586</v>
      </c>
      <c r="BQ1005" s="12" t="b">
        <v>0</v>
      </c>
      <c r="BR1005" s="17"/>
      <c r="BS1005" s="16" t="s">
        <v>6462</v>
      </c>
      <c r="BT1005" s="12" t="b">
        <v>1</v>
      </c>
      <c r="BU1005" s="12" t="s">
        <v>69</v>
      </c>
    </row>
    <row r="1006">
      <c r="A1006" s="12" t="s">
        <v>5191</v>
      </c>
      <c r="B1006" s="12" t="s">
        <v>54</v>
      </c>
      <c r="C1006" s="19">
        <v>46164.0</v>
      </c>
      <c r="D1006" s="12" t="s">
        <v>220</v>
      </c>
      <c r="E1006" s="12" t="s">
        <v>5590</v>
      </c>
      <c r="F1006" s="12" t="s">
        <v>2402</v>
      </c>
      <c r="G1006" s="12"/>
      <c r="H1006" s="12"/>
      <c r="I1006" s="17"/>
      <c r="J1006" s="17"/>
      <c r="BO1006" s="17"/>
      <c r="BP1006" s="12" t="s">
        <v>5591</v>
      </c>
      <c r="BQ1006" s="12" t="b">
        <v>0</v>
      </c>
      <c r="BR1006" s="17"/>
      <c r="BS1006" s="16" t="s">
        <v>6465</v>
      </c>
      <c r="BT1006" s="12" t="b">
        <v>1</v>
      </c>
      <c r="BU1006" s="12" t="s">
        <v>69</v>
      </c>
    </row>
    <row r="1007">
      <c r="A1007" s="12" t="s">
        <v>5229</v>
      </c>
      <c r="B1007" s="12" t="s">
        <v>54</v>
      </c>
      <c r="C1007" s="19">
        <v>46165.0</v>
      </c>
      <c r="D1007" s="12" t="s">
        <v>220</v>
      </c>
      <c r="E1007" s="12" t="s">
        <v>5594</v>
      </c>
      <c r="F1007" s="12" t="s">
        <v>5596</v>
      </c>
      <c r="G1007" s="12"/>
      <c r="H1007" s="12"/>
      <c r="I1007" s="17"/>
      <c r="J1007" s="17"/>
      <c r="BO1007" s="17"/>
      <c r="BP1007" s="12" t="s">
        <v>5595</v>
      </c>
      <c r="BQ1007" s="12" t="b">
        <v>0</v>
      </c>
      <c r="BR1007" s="17"/>
      <c r="BS1007" s="16" t="s">
        <v>6466</v>
      </c>
      <c r="BT1007" s="12" t="b">
        <v>1</v>
      </c>
      <c r="BU1007" s="12" t="s">
        <v>69</v>
      </c>
    </row>
    <row r="1008">
      <c r="A1008" s="12" t="s">
        <v>5238</v>
      </c>
      <c r="B1008" s="12" t="s">
        <v>54</v>
      </c>
      <c r="C1008" s="19">
        <v>46167.0</v>
      </c>
      <c r="D1008" s="12" t="s">
        <v>4411</v>
      </c>
      <c r="E1008" s="12" t="s">
        <v>5599</v>
      </c>
      <c r="F1008" s="12" t="s">
        <v>5311</v>
      </c>
      <c r="G1008" s="12"/>
      <c r="H1008" s="12"/>
      <c r="I1008" s="17"/>
      <c r="J1008" s="17"/>
      <c r="BO1008" s="17"/>
      <c r="BP1008" s="12" t="s">
        <v>5600</v>
      </c>
      <c r="BQ1008" s="12" t="b">
        <v>0</v>
      </c>
      <c r="BR1008" s="17"/>
      <c r="BS1008" s="16" t="s">
        <v>6469</v>
      </c>
      <c r="BT1008" s="12" t="b">
        <v>1</v>
      </c>
      <c r="BU1008" s="12" t="s">
        <v>69</v>
      </c>
    </row>
    <row r="1009">
      <c r="A1009" s="12" t="s">
        <v>5152</v>
      </c>
      <c r="B1009" s="12" t="s">
        <v>54</v>
      </c>
      <c r="C1009" s="19">
        <v>46158.0</v>
      </c>
      <c r="D1009" s="12" t="s">
        <v>5604</v>
      </c>
      <c r="E1009" s="12" t="s">
        <v>5610</v>
      </c>
      <c r="F1009" s="12" t="s">
        <v>5612</v>
      </c>
      <c r="G1009" s="12"/>
      <c r="H1009" s="12"/>
      <c r="I1009" s="17"/>
      <c r="J1009" s="17"/>
      <c r="BO1009" s="17"/>
      <c r="BP1009" s="12" t="s">
        <v>5611</v>
      </c>
      <c r="BQ1009" s="12" t="b">
        <v>0</v>
      </c>
      <c r="BR1009" s="17"/>
      <c r="BS1009" s="16" t="s">
        <v>6470</v>
      </c>
      <c r="BT1009" s="12" t="b">
        <v>1</v>
      </c>
      <c r="BU1009" s="12" t="s">
        <v>69</v>
      </c>
    </row>
    <row r="1010">
      <c r="A1010" s="12" t="s">
        <v>5180</v>
      </c>
      <c r="B1010" s="12" t="s">
        <v>54</v>
      </c>
      <c r="C1010" s="19">
        <v>46162.0</v>
      </c>
      <c r="D1010" s="12" t="s">
        <v>156</v>
      </c>
      <c r="E1010" s="12" t="s">
        <v>5615</v>
      </c>
      <c r="F1010" s="12" t="s">
        <v>5617</v>
      </c>
      <c r="G1010" s="12"/>
      <c r="H1010" s="12"/>
      <c r="I1010" s="17"/>
      <c r="J1010" s="17"/>
      <c r="BO1010" s="17"/>
      <c r="BP1010" s="12" t="s">
        <v>5616</v>
      </c>
      <c r="BQ1010" s="12" t="b">
        <v>0</v>
      </c>
      <c r="BR1010" s="17"/>
      <c r="BS1010" s="12"/>
      <c r="BT1010" s="12" t="b">
        <v>0</v>
      </c>
      <c r="BU1010" s="12" t="s">
        <v>69</v>
      </c>
    </row>
    <row r="1011">
      <c r="A1011" s="12" t="s">
        <v>6472</v>
      </c>
      <c r="B1011" s="12" t="s">
        <v>54</v>
      </c>
      <c r="C1011" s="19">
        <v>46162.0</v>
      </c>
      <c r="D1011" s="12" t="s">
        <v>156</v>
      </c>
      <c r="E1011" s="12" t="s">
        <v>5615</v>
      </c>
      <c r="F1011" s="12" t="s">
        <v>5617</v>
      </c>
      <c r="G1011" s="12"/>
      <c r="H1011" s="12"/>
      <c r="I1011" s="17"/>
      <c r="J1011" s="17"/>
      <c r="BO1011" s="17"/>
      <c r="BP1011" s="12" t="s">
        <v>6473</v>
      </c>
      <c r="BQ1011" s="12" t="b">
        <v>0</v>
      </c>
      <c r="BR1011" s="17"/>
      <c r="BS1011" s="12"/>
      <c r="BT1011" s="12" t="b">
        <v>0</v>
      </c>
      <c r="BU1011" s="12" t="s">
        <v>69</v>
      </c>
    </row>
    <row r="1012">
      <c r="A1012" s="12" t="s">
        <v>5225</v>
      </c>
      <c r="B1012" s="12" t="s">
        <v>54</v>
      </c>
      <c r="C1012" s="19">
        <v>46164.0</v>
      </c>
      <c r="D1012" s="16" t="s">
        <v>6474</v>
      </c>
      <c r="E1012" s="12" t="s">
        <v>5624</v>
      </c>
      <c r="F1012" s="12" t="s">
        <v>715</v>
      </c>
      <c r="G1012" s="12"/>
      <c r="H1012" s="12"/>
      <c r="I1012" s="17"/>
      <c r="J1012" s="17"/>
      <c r="BO1012" s="17"/>
      <c r="BP1012" s="12" t="s">
        <v>5626</v>
      </c>
      <c r="BQ1012" s="12" t="b">
        <v>0</v>
      </c>
      <c r="BR1012" s="17"/>
      <c r="BS1012" s="12"/>
      <c r="BT1012" s="12" t="b">
        <v>0</v>
      </c>
      <c r="BU1012" s="12" t="s">
        <v>69</v>
      </c>
    </row>
    <row r="1013">
      <c r="A1013" s="12" t="s">
        <v>6475</v>
      </c>
      <c r="B1013" s="12" t="s">
        <v>54</v>
      </c>
      <c r="C1013" s="19">
        <v>46164.0</v>
      </c>
      <c r="D1013" s="16" t="s">
        <v>6474</v>
      </c>
      <c r="E1013" s="12" t="s">
        <v>5624</v>
      </c>
      <c r="F1013" s="12" t="s">
        <v>715</v>
      </c>
      <c r="G1013" s="12"/>
      <c r="H1013" s="12"/>
      <c r="I1013" s="17"/>
      <c r="J1013" s="17"/>
      <c r="BO1013" s="17"/>
      <c r="BP1013" s="12" t="s">
        <v>6476</v>
      </c>
      <c r="BQ1013" s="12" t="b">
        <v>0</v>
      </c>
      <c r="BR1013" s="17"/>
      <c r="BS1013" s="12"/>
      <c r="BT1013" s="12" t="b">
        <v>0</v>
      </c>
      <c r="BU1013" s="12" t="s">
        <v>69</v>
      </c>
    </row>
    <row r="1014">
      <c r="A1014" s="12" t="s">
        <v>5240</v>
      </c>
      <c r="B1014" s="12" t="s">
        <v>54</v>
      </c>
      <c r="C1014" s="19">
        <v>46168.0</v>
      </c>
      <c r="D1014" s="12" t="s">
        <v>441</v>
      </c>
      <c r="E1014" s="12" t="s">
        <v>5636</v>
      </c>
      <c r="F1014" s="12" t="s">
        <v>5638</v>
      </c>
      <c r="G1014" s="12"/>
      <c r="H1014" s="12"/>
      <c r="I1014" s="17"/>
      <c r="J1014" s="17"/>
      <c r="BO1014" s="17"/>
      <c r="BP1014" s="12" t="s">
        <v>5637</v>
      </c>
      <c r="BQ1014" s="12" t="b">
        <v>0</v>
      </c>
      <c r="BR1014" s="17"/>
      <c r="BS1014" s="16" t="s">
        <v>6478</v>
      </c>
      <c r="BT1014" s="12" t="b">
        <v>1</v>
      </c>
      <c r="BU1014" s="12" t="s">
        <v>69</v>
      </c>
    </row>
    <row r="1015">
      <c r="A1015" s="12" t="s">
        <v>5244</v>
      </c>
      <c r="B1015" s="12" t="s">
        <v>54</v>
      </c>
      <c r="C1015" s="19">
        <v>46168.0</v>
      </c>
      <c r="D1015" s="12" t="s">
        <v>5643</v>
      </c>
      <c r="E1015" s="12" t="s">
        <v>5644</v>
      </c>
      <c r="F1015" s="12" t="s">
        <v>5646</v>
      </c>
      <c r="G1015" s="12"/>
      <c r="H1015" s="12"/>
      <c r="I1015" s="17"/>
      <c r="J1015" s="17"/>
      <c r="BO1015" s="17"/>
      <c r="BP1015" s="12" t="s">
        <v>5645</v>
      </c>
      <c r="BQ1015" s="12" t="b">
        <v>0</v>
      </c>
      <c r="BR1015" s="17"/>
      <c r="BS1015" s="16" t="s">
        <v>6481</v>
      </c>
      <c r="BT1015" s="12" t="b">
        <v>1</v>
      </c>
      <c r="BU1015" s="12" t="s">
        <v>69</v>
      </c>
    </row>
    <row r="1016">
      <c r="A1016" s="12" t="s">
        <v>5250</v>
      </c>
      <c r="B1016" s="12" t="s">
        <v>54</v>
      </c>
      <c r="C1016" s="19">
        <v>46169.0</v>
      </c>
      <c r="D1016" s="12" t="s">
        <v>190</v>
      </c>
      <c r="E1016" s="12" t="s">
        <v>5650</v>
      </c>
      <c r="F1016" s="12" t="s">
        <v>328</v>
      </c>
      <c r="G1016" s="12"/>
      <c r="H1016" s="12"/>
      <c r="I1016" s="17"/>
      <c r="J1016" s="17"/>
      <c r="BO1016" s="17"/>
      <c r="BP1016" s="12" t="s">
        <v>5651</v>
      </c>
      <c r="BQ1016" s="12" t="b">
        <v>0</v>
      </c>
      <c r="BR1016" s="17"/>
      <c r="BS1016" s="16" t="s">
        <v>6482</v>
      </c>
      <c r="BT1016" s="12" t="b">
        <v>1</v>
      </c>
      <c r="BU1016" s="12" t="s">
        <v>69</v>
      </c>
    </row>
    <row r="1017">
      <c r="A1017" s="12" t="s">
        <v>5252</v>
      </c>
      <c r="B1017" s="12" t="s">
        <v>54</v>
      </c>
      <c r="C1017" s="19">
        <v>46169.0</v>
      </c>
      <c r="D1017" s="12" t="s">
        <v>182</v>
      </c>
      <c r="E1017" s="12" t="s">
        <v>5655</v>
      </c>
      <c r="F1017" s="12" t="s">
        <v>1839</v>
      </c>
      <c r="G1017" s="12"/>
      <c r="H1017" s="12"/>
      <c r="I1017" s="17"/>
      <c r="J1017" s="17"/>
      <c r="BO1017" s="17"/>
      <c r="BP1017" s="12" t="s">
        <v>5656</v>
      </c>
      <c r="BQ1017" s="12" t="b">
        <v>0</v>
      </c>
      <c r="BR1017" s="17"/>
      <c r="BS1017" s="16" t="s">
        <v>6484</v>
      </c>
      <c r="BT1017" s="12" t="b">
        <v>1</v>
      </c>
      <c r="BU1017" s="12" t="s">
        <v>69</v>
      </c>
    </row>
    <row r="1018">
      <c r="A1018" s="12" t="s">
        <v>5247</v>
      </c>
      <c r="B1018" s="12" t="s">
        <v>54</v>
      </c>
      <c r="C1018" s="19">
        <v>46168.0</v>
      </c>
      <c r="D1018" s="12" t="s">
        <v>220</v>
      </c>
      <c r="E1018" s="12" t="s">
        <v>5660</v>
      </c>
      <c r="F1018" s="12" t="s">
        <v>5662</v>
      </c>
      <c r="G1018" s="12"/>
      <c r="H1018" s="12"/>
      <c r="I1018" s="17"/>
      <c r="J1018" s="17"/>
      <c r="BO1018" s="17"/>
      <c r="BP1018" s="12" t="s">
        <v>5661</v>
      </c>
      <c r="BQ1018" s="12" t="b">
        <v>0</v>
      </c>
      <c r="BR1018" s="17"/>
      <c r="BS1018" s="16" t="s">
        <v>6485</v>
      </c>
      <c r="BT1018" s="12" t="b">
        <v>1</v>
      </c>
      <c r="BU1018" s="12" t="s">
        <v>69</v>
      </c>
    </row>
    <row r="1019">
      <c r="A1019" s="12" t="s">
        <v>5254</v>
      </c>
      <c r="B1019" s="12" t="s">
        <v>54</v>
      </c>
      <c r="C1019" s="19">
        <v>46169.0</v>
      </c>
      <c r="D1019" s="12" t="s">
        <v>77</v>
      </c>
      <c r="E1019" s="12" t="s">
        <v>5666</v>
      </c>
      <c r="F1019" s="12" t="s">
        <v>2540</v>
      </c>
      <c r="G1019" s="12"/>
      <c r="H1019" s="12"/>
      <c r="I1019" s="17"/>
      <c r="J1019" s="17"/>
      <c r="BO1019" s="17"/>
      <c r="BP1019" s="12" t="s">
        <v>5667</v>
      </c>
      <c r="BQ1019" s="12" t="b">
        <v>0</v>
      </c>
      <c r="BR1019" s="17"/>
      <c r="BS1019" s="16" t="s">
        <v>6487</v>
      </c>
      <c r="BT1019" s="12" t="b">
        <v>1</v>
      </c>
      <c r="BU1019" s="12" t="s">
        <v>69</v>
      </c>
    </row>
    <row r="1020">
      <c r="A1020" s="12" t="s">
        <v>2775</v>
      </c>
      <c r="B1020" s="12" t="s">
        <v>54</v>
      </c>
      <c r="C1020" s="19">
        <v>46169.0</v>
      </c>
      <c r="D1020" s="12" t="s">
        <v>156</v>
      </c>
      <c r="E1020" s="12"/>
      <c r="F1020" s="12" t="s">
        <v>5672</v>
      </c>
      <c r="G1020" s="12" t="s">
        <v>786</v>
      </c>
      <c r="H1020" s="12">
        <v>1.0</v>
      </c>
      <c r="I1020" s="17">
        <v>166.87</v>
      </c>
      <c r="J1020" s="17">
        <v>166.87</v>
      </c>
      <c r="BO1020" s="17">
        <v>166.87</v>
      </c>
      <c r="BP1020" s="12"/>
      <c r="BQ1020" s="12"/>
      <c r="BR1020" s="17">
        <v>166.87</v>
      </c>
      <c r="BS1020" s="12"/>
      <c r="BT1020" s="12"/>
      <c r="BU1020" s="12" t="s">
        <v>621</v>
      </c>
    </row>
    <row r="1021">
      <c r="A1021" s="12" t="s">
        <v>2778</v>
      </c>
      <c r="B1021" s="12" t="s">
        <v>54</v>
      </c>
      <c r="C1021" s="19">
        <v>46169.0</v>
      </c>
      <c r="D1021" s="12" t="s">
        <v>156</v>
      </c>
      <c r="E1021" s="12"/>
      <c r="F1021" s="12" t="s">
        <v>5674</v>
      </c>
      <c r="G1021" s="12" t="s">
        <v>786</v>
      </c>
      <c r="H1021" s="12">
        <v>1.0</v>
      </c>
      <c r="I1021" s="17">
        <v>60.0</v>
      </c>
      <c r="J1021" s="17">
        <v>60.0</v>
      </c>
      <c r="BO1021" s="17">
        <v>60.0</v>
      </c>
      <c r="BP1021" s="12"/>
      <c r="BQ1021" s="12"/>
      <c r="BR1021" s="17">
        <v>60.0</v>
      </c>
      <c r="BS1021" s="12"/>
      <c r="BT1021" s="12"/>
      <c r="BU1021" s="12" t="s">
        <v>621</v>
      </c>
    </row>
    <row r="1022">
      <c r="A1022" s="12">
        <v>1.44845451E8</v>
      </c>
      <c r="B1022" s="12" t="s">
        <v>54</v>
      </c>
      <c r="C1022" s="19">
        <v>46169.0</v>
      </c>
      <c r="D1022" s="12" t="s">
        <v>156</v>
      </c>
      <c r="E1022" s="12"/>
      <c r="F1022" s="12" t="s">
        <v>5676</v>
      </c>
      <c r="G1022" s="12" t="s">
        <v>786</v>
      </c>
      <c r="H1022" s="12">
        <v>1.0</v>
      </c>
      <c r="I1022" s="17">
        <v>1673.2</v>
      </c>
      <c r="J1022" s="17">
        <v>1673.2</v>
      </c>
      <c r="BO1022" s="17">
        <v>1673.2</v>
      </c>
      <c r="BP1022" s="12"/>
      <c r="BQ1022" s="12"/>
      <c r="BR1022" s="17">
        <v>1673.2</v>
      </c>
      <c r="BS1022" s="12"/>
      <c r="BT1022" s="12"/>
      <c r="BU1022" s="12" t="s">
        <v>621</v>
      </c>
    </row>
    <row r="1023">
      <c r="A1023" s="12" t="s">
        <v>2782</v>
      </c>
      <c r="B1023" s="12" t="s">
        <v>54</v>
      </c>
      <c r="C1023" s="19">
        <v>46169.0</v>
      </c>
      <c r="D1023" s="12" t="s">
        <v>156</v>
      </c>
      <c r="E1023" s="12"/>
      <c r="F1023" s="12" t="s">
        <v>5680</v>
      </c>
      <c r="G1023" s="12" t="s">
        <v>1236</v>
      </c>
      <c r="H1023" s="12">
        <v>1.0</v>
      </c>
      <c r="I1023" s="17">
        <v>338.2</v>
      </c>
      <c r="J1023" s="17">
        <v>338.2</v>
      </c>
      <c r="BO1023" s="17">
        <v>338.2</v>
      </c>
      <c r="BP1023" s="12"/>
      <c r="BQ1023" s="12"/>
      <c r="BR1023" s="17">
        <v>338.2</v>
      </c>
      <c r="BS1023" s="12"/>
      <c r="BT1023" s="12"/>
      <c r="BU1023" s="12" t="s">
        <v>621</v>
      </c>
    </row>
    <row r="1024">
      <c r="A1024" s="12">
        <v>1557.0</v>
      </c>
      <c r="B1024" s="12" t="s">
        <v>54</v>
      </c>
      <c r="C1024" s="19">
        <v>46169.0</v>
      </c>
      <c r="D1024" s="12" t="s">
        <v>1712</v>
      </c>
      <c r="E1024" s="12"/>
      <c r="F1024" s="19">
        <v>46304.0</v>
      </c>
      <c r="G1024" s="12" t="s">
        <v>1818</v>
      </c>
      <c r="H1024" s="12">
        <v>1.0</v>
      </c>
      <c r="I1024" s="17">
        <v>236.83</v>
      </c>
      <c r="J1024" s="17">
        <v>236.83</v>
      </c>
      <c r="BO1024" s="17">
        <v>236.83</v>
      </c>
      <c r="BP1024" s="12"/>
      <c r="BQ1024" s="12"/>
      <c r="BR1024" s="17">
        <v>236.83</v>
      </c>
      <c r="BS1024" s="12"/>
      <c r="BT1024" s="12"/>
      <c r="BU1024" s="12" t="s">
        <v>621</v>
      </c>
    </row>
    <row r="1025">
      <c r="A1025" s="12" t="s">
        <v>2786</v>
      </c>
      <c r="B1025" s="12" t="s">
        <v>54</v>
      </c>
      <c r="C1025" s="19">
        <v>46169.0</v>
      </c>
      <c r="D1025" s="12" t="s">
        <v>156</v>
      </c>
      <c r="E1025" s="12"/>
      <c r="F1025" s="12" t="s">
        <v>5684</v>
      </c>
      <c r="G1025" s="12" t="s">
        <v>1236</v>
      </c>
      <c r="H1025" s="12">
        <v>1.0</v>
      </c>
      <c r="I1025" s="17">
        <v>1573.9</v>
      </c>
      <c r="J1025" s="17">
        <v>1573.9</v>
      </c>
      <c r="BO1025" s="17">
        <v>1573.9</v>
      </c>
      <c r="BP1025" s="12"/>
      <c r="BQ1025" s="12"/>
      <c r="BR1025" s="17">
        <v>1573.9</v>
      </c>
      <c r="BS1025" s="12"/>
      <c r="BT1025" s="12"/>
      <c r="BU1025" s="12" t="s">
        <v>621</v>
      </c>
    </row>
    <row r="1026">
      <c r="A1026" s="12" t="s">
        <v>5262</v>
      </c>
      <c r="B1026" s="12" t="s">
        <v>54</v>
      </c>
      <c r="C1026" s="19">
        <v>46170.0</v>
      </c>
      <c r="D1026" s="12" t="s">
        <v>556</v>
      </c>
      <c r="E1026" s="12" t="s">
        <v>5688</v>
      </c>
      <c r="F1026" s="12" t="s">
        <v>859</v>
      </c>
      <c r="G1026" s="12"/>
      <c r="H1026" s="12"/>
      <c r="I1026" s="17"/>
      <c r="J1026" s="17"/>
      <c r="BO1026" s="17"/>
      <c r="BP1026" s="12" t="s">
        <v>5689</v>
      </c>
      <c r="BQ1026" s="12" t="b">
        <v>0</v>
      </c>
      <c r="BR1026" s="17"/>
      <c r="BS1026" s="16" t="s">
        <v>6490</v>
      </c>
      <c r="BT1026" s="12" t="b">
        <v>1</v>
      </c>
      <c r="BU1026" s="12" t="s">
        <v>69</v>
      </c>
    </row>
    <row r="1027">
      <c r="A1027" s="12" t="s">
        <v>5271</v>
      </c>
      <c r="B1027" s="12" t="s">
        <v>54</v>
      </c>
      <c r="C1027" s="19">
        <v>46171.0</v>
      </c>
      <c r="D1027" s="12" t="s">
        <v>1103</v>
      </c>
      <c r="E1027" s="12" t="s">
        <v>5693</v>
      </c>
      <c r="F1027" s="12" t="s">
        <v>5695</v>
      </c>
      <c r="G1027" s="12"/>
      <c r="H1027" s="12"/>
      <c r="I1027" s="17"/>
      <c r="J1027" s="17"/>
      <c r="BO1027" s="17"/>
      <c r="BP1027" s="12" t="s">
        <v>5694</v>
      </c>
      <c r="BQ1027" s="12" t="b">
        <v>0</v>
      </c>
      <c r="BR1027" s="17"/>
      <c r="BS1027" s="16" t="s">
        <v>6491</v>
      </c>
      <c r="BT1027" s="12" t="b">
        <v>1</v>
      </c>
      <c r="BU1027" s="12" t="s">
        <v>69</v>
      </c>
    </row>
    <row r="1028">
      <c r="A1028" s="12" t="s">
        <v>5087</v>
      </c>
      <c r="B1028" s="12" t="s">
        <v>54</v>
      </c>
      <c r="C1028" s="19">
        <v>46154.0</v>
      </c>
      <c r="D1028" s="12" t="s">
        <v>912</v>
      </c>
      <c r="E1028" s="12" t="s">
        <v>6492</v>
      </c>
      <c r="F1028" s="12" t="s">
        <v>254</v>
      </c>
      <c r="G1028" s="12"/>
      <c r="H1028" s="12"/>
      <c r="I1028" s="17"/>
      <c r="J1028" s="17"/>
      <c r="BO1028" s="17"/>
      <c r="BP1028" s="12" t="s">
        <v>5702</v>
      </c>
      <c r="BQ1028" s="12" t="b">
        <v>0</v>
      </c>
      <c r="BR1028" s="17"/>
      <c r="BS1028" s="12"/>
      <c r="BT1028" s="12" t="b">
        <v>0</v>
      </c>
      <c r="BU1028" s="12" t="s">
        <v>69</v>
      </c>
    </row>
    <row r="1029">
      <c r="A1029" s="12" t="s">
        <v>6493</v>
      </c>
      <c r="B1029" s="12" t="s">
        <v>54</v>
      </c>
      <c r="C1029" s="19">
        <v>46154.0</v>
      </c>
      <c r="D1029" s="12" t="s">
        <v>912</v>
      </c>
      <c r="E1029" s="12" t="s">
        <v>6492</v>
      </c>
      <c r="F1029" s="12" t="s">
        <v>254</v>
      </c>
      <c r="G1029" s="12"/>
      <c r="H1029" s="12"/>
      <c r="I1029" s="17"/>
      <c r="J1029" s="17"/>
      <c r="BO1029" s="17"/>
      <c r="BP1029" s="12" t="s">
        <v>6494</v>
      </c>
      <c r="BQ1029" s="12" t="b">
        <v>0</v>
      </c>
      <c r="BR1029" s="17"/>
      <c r="BS1029" s="12"/>
      <c r="BT1029" s="12" t="b">
        <v>0</v>
      </c>
      <c r="BU1029" s="12" t="s">
        <v>69</v>
      </c>
      <c r="BW1029" s="12" t="s">
        <v>6495</v>
      </c>
    </row>
    <row r="1030">
      <c r="A1030" s="12">
        <v>1561.0</v>
      </c>
      <c r="B1030" s="12" t="s">
        <v>54</v>
      </c>
      <c r="C1030" s="19">
        <v>46171.0</v>
      </c>
      <c r="D1030" s="12"/>
      <c r="E1030" s="12"/>
      <c r="F1030" s="12" t="s">
        <v>1644</v>
      </c>
      <c r="G1030" s="12" t="s">
        <v>1196</v>
      </c>
      <c r="H1030" s="12">
        <v>1.0</v>
      </c>
      <c r="I1030" s="17">
        <v>3500.0</v>
      </c>
      <c r="J1030" s="17">
        <v>3500.0</v>
      </c>
      <c r="BO1030" s="17">
        <v>3500.0</v>
      </c>
      <c r="BP1030" s="12"/>
      <c r="BQ1030" s="12"/>
      <c r="BR1030" s="17">
        <v>3500.0</v>
      </c>
      <c r="BS1030" s="12"/>
      <c r="BT1030" s="12"/>
      <c r="BU1030" s="12" t="s">
        <v>191</v>
      </c>
      <c r="BV1030" s="12" t="s">
        <v>727</v>
      </c>
      <c r="BW1030" s="12"/>
    </row>
    <row r="1031">
      <c r="A1031" s="12">
        <v>1562.0</v>
      </c>
      <c r="B1031" s="12" t="s">
        <v>54</v>
      </c>
      <c r="C1031" s="19">
        <v>46171.0</v>
      </c>
      <c r="D1031" s="12"/>
      <c r="E1031" s="12"/>
      <c r="F1031" s="12" t="s">
        <v>1884</v>
      </c>
      <c r="G1031" s="12" t="s">
        <v>1196</v>
      </c>
      <c r="H1031" s="12">
        <v>1.0</v>
      </c>
      <c r="I1031" s="17">
        <v>3411.66</v>
      </c>
      <c r="J1031" s="17">
        <v>3411.66</v>
      </c>
      <c r="BO1031" s="17">
        <v>3411.66</v>
      </c>
      <c r="BP1031" s="12"/>
      <c r="BQ1031" s="12"/>
      <c r="BR1031" s="17">
        <v>3411.66</v>
      </c>
      <c r="BS1031" s="12"/>
      <c r="BT1031" s="12"/>
      <c r="BU1031" s="12" t="s">
        <v>191</v>
      </c>
      <c r="BV1031" s="12" t="s">
        <v>727</v>
      </c>
      <c r="BW1031" s="12"/>
    </row>
    <row r="1032">
      <c r="A1032" s="12">
        <v>1563.0</v>
      </c>
      <c r="B1032" s="12" t="s">
        <v>54</v>
      </c>
      <c r="C1032" s="19">
        <v>46171.0</v>
      </c>
      <c r="D1032" s="12"/>
      <c r="E1032" s="12"/>
      <c r="F1032" s="12" t="s">
        <v>1884</v>
      </c>
      <c r="G1032" s="12" t="s">
        <v>1196</v>
      </c>
      <c r="H1032" s="12">
        <v>1.0</v>
      </c>
      <c r="I1032" s="17">
        <v>1504.79</v>
      </c>
      <c r="J1032" s="17">
        <v>1504.79</v>
      </c>
      <c r="BO1032" s="17">
        <v>1504.79</v>
      </c>
      <c r="BP1032" s="12"/>
      <c r="BQ1032" s="12"/>
      <c r="BR1032" s="17">
        <v>1504.79</v>
      </c>
      <c r="BS1032" s="12"/>
      <c r="BT1032" s="12"/>
      <c r="BU1032" s="12" t="s">
        <v>191</v>
      </c>
      <c r="BV1032" s="12" t="s">
        <v>1183</v>
      </c>
      <c r="BW1032" s="12"/>
    </row>
    <row r="1033">
      <c r="A1033" s="12">
        <v>1564.0</v>
      </c>
      <c r="B1033" s="12" t="s">
        <v>54</v>
      </c>
      <c r="C1033" s="19">
        <v>46171.0</v>
      </c>
      <c r="D1033" s="12"/>
      <c r="E1033" s="12"/>
      <c r="F1033" s="12" t="s">
        <v>1884</v>
      </c>
      <c r="G1033" s="12" t="s">
        <v>1196</v>
      </c>
      <c r="H1033" s="12">
        <v>1.0</v>
      </c>
      <c r="I1033" s="17">
        <v>1315.46</v>
      </c>
      <c r="J1033" s="17">
        <v>1315.46</v>
      </c>
      <c r="BO1033" s="17">
        <v>1315.46</v>
      </c>
      <c r="BP1033" s="12"/>
      <c r="BQ1033" s="12"/>
      <c r="BR1033" s="17">
        <v>1315.46</v>
      </c>
      <c r="BS1033" s="12"/>
      <c r="BT1033" s="12"/>
      <c r="BU1033" s="12" t="s">
        <v>191</v>
      </c>
      <c r="BV1033" s="12" t="s">
        <v>62</v>
      </c>
      <c r="BW1033" s="12"/>
    </row>
    <row r="1034">
      <c r="A1034" s="12">
        <v>1565.0</v>
      </c>
      <c r="B1034" s="12" t="s">
        <v>54</v>
      </c>
      <c r="C1034" s="19">
        <v>46171.0</v>
      </c>
      <c r="D1034" s="12"/>
      <c r="E1034" s="12"/>
      <c r="F1034" s="12" t="s">
        <v>1884</v>
      </c>
      <c r="G1034" s="12" t="s">
        <v>1196</v>
      </c>
      <c r="H1034" s="12">
        <v>1.0</v>
      </c>
      <c r="I1034" s="17">
        <v>1040.31</v>
      </c>
      <c r="J1034" s="17">
        <v>1040.31</v>
      </c>
      <c r="BO1034" s="17">
        <v>1040.31</v>
      </c>
      <c r="BP1034" s="12"/>
      <c r="BQ1034" s="12"/>
      <c r="BR1034" s="17">
        <v>1040.31</v>
      </c>
      <c r="BS1034" s="12"/>
      <c r="BT1034" s="12"/>
      <c r="BU1034" s="12" t="s">
        <v>191</v>
      </c>
      <c r="BV1034" s="12" t="s">
        <v>78</v>
      </c>
      <c r="BW1034" s="12"/>
    </row>
    <row r="1035">
      <c r="A1035" s="12">
        <v>1566.0</v>
      </c>
      <c r="B1035" s="12" t="s">
        <v>54</v>
      </c>
      <c r="C1035" s="19">
        <v>46171.0</v>
      </c>
      <c r="D1035" s="12"/>
      <c r="E1035" s="12"/>
      <c r="F1035" s="12" t="s">
        <v>1884</v>
      </c>
      <c r="G1035" s="12" t="s">
        <v>1196</v>
      </c>
      <c r="H1035" s="12">
        <v>1.0</v>
      </c>
      <c r="I1035" s="17">
        <v>1816.11</v>
      </c>
      <c r="J1035" s="17">
        <v>1816.11</v>
      </c>
      <c r="BO1035" s="17">
        <v>1816.11</v>
      </c>
      <c r="BP1035" s="12"/>
      <c r="BQ1035" s="12"/>
      <c r="BR1035" s="17">
        <v>1816.11</v>
      </c>
      <c r="BS1035" s="12"/>
      <c r="BT1035" s="12"/>
      <c r="BU1035" s="12" t="s">
        <v>191</v>
      </c>
      <c r="BV1035" s="12" t="s">
        <v>152</v>
      </c>
      <c r="BW1035" s="12"/>
    </row>
    <row r="1036">
      <c r="A1036" s="12" t="s">
        <v>5281</v>
      </c>
      <c r="B1036" s="12" t="s">
        <v>54</v>
      </c>
      <c r="C1036" s="19">
        <v>46171.0</v>
      </c>
      <c r="D1036" s="12" t="s">
        <v>175</v>
      </c>
      <c r="E1036" s="12" t="s">
        <v>5726</v>
      </c>
      <c r="F1036" s="12" t="s">
        <v>2402</v>
      </c>
      <c r="G1036" s="12"/>
      <c r="H1036" s="12"/>
      <c r="I1036" s="17"/>
      <c r="J1036" s="17"/>
      <c r="BO1036" s="17"/>
      <c r="BP1036" s="12" t="s">
        <v>5727</v>
      </c>
      <c r="BQ1036" s="12" t="b">
        <v>0</v>
      </c>
      <c r="BR1036" s="17"/>
      <c r="BS1036" s="16" t="s">
        <v>6504</v>
      </c>
      <c r="BT1036" s="12" t="b">
        <v>1</v>
      </c>
      <c r="BU1036" s="12" t="s">
        <v>69</v>
      </c>
      <c r="BV1036" s="12"/>
      <c r="BW1036" s="12"/>
    </row>
    <row r="1037">
      <c r="A1037" s="12" t="s">
        <v>5314</v>
      </c>
      <c r="B1037" s="12" t="s">
        <v>54</v>
      </c>
      <c r="C1037" s="19">
        <v>46171.0</v>
      </c>
      <c r="D1037" s="12" t="s">
        <v>220</v>
      </c>
      <c r="E1037" s="12" t="s">
        <v>5731</v>
      </c>
      <c r="F1037" s="12" t="s">
        <v>2814</v>
      </c>
      <c r="G1037" s="12"/>
      <c r="H1037" s="12"/>
      <c r="I1037" s="17"/>
      <c r="J1037" s="17"/>
      <c r="BO1037" s="17"/>
      <c r="BP1037" s="12" t="s">
        <v>5733</v>
      </c>
      <c r="BQ1037" s="12" t="b">
        <v>0</v>
      </c>
      <c r="BR1037" s="17"/>
      <c r="BS1037" s="16" t="s">
        <v>6507</v>
      </c>
      <c r="BT1037" s="12" t="b">
        <v>1</v>
      </c>
      <c r="BU1037" s="12" t="s">
        <v>69</v>
      </c>
      <c r="BV1037" s="12"/>
      <c r="BW1037" s="12"/>
    </row>
    <row r="1038">
      <c r="A1038" s="12" t="s">
        <v>5289</v>
      </c>
      <c r="B1038" s="12" t="s">
        <v>54</v>
      </c>
      <c r="C1038" s="19">
        <v>46172.0</v>
      </c>
      <c r="D1038" s="12" t="s">
        <v>470</v>
      </c>
      <c r="E1038" s="12" t="s">
        <v>5738</v>
      </c>
      <c r="F1038" s="12" t="s">
        <v>3989</v>
      </c>
      <c r="G1038" s="12"/>
      <c r="H1038" s="12"/>
      <c r="I1038" s="17"/>
      <c r="J1038" s="17"/>
      <c r="BO1038" s="17"/>
      <c r="BP1038" s="12" t="s">
        <v>5739</v>
      </c>
      <c r="BQ1038" s="12" t="b">
        <v>0</v>
      </c>
      <c r="BR1038" s="17"/>
      <c r="BS1038" s="16" t="s">
        <v>6509</v>
      </c>
      <c r="BT1038" s="12" t="b">
        <v>1</v>
      </c>
      <c r="BU1038" s="12" t="s">
        <v>69</v>
      </c>
      <c r="BV1038" s="12"/>
      <c r="BW1038" s="12"/>
    </row>
    <row r="1039">
      <c r="A1039" s="12" t="s">
        <v>5296</v>
      </c>
      <c r="B1039" s="12" t="s">
        <v>54</v>
      </c>
      <c r="C1039" s="19">
        <v>46174.0</v>
      </c>
      <c r="D1039" s="12" t="s">
        <v>77</v>
      </c>
      <c r="E1039" s="12" t="s">
        <v>5743</v>
      </c>
      <c r="F1039" s="12" t="s">
        <v>2814</v>
      </c>
      <c r="G1039" s="12"/>
      <c r="H1039" s="12"/>
      <c r="I1039" s="17"/>
      <c r="J1039" s="17"/>
      <c r="BO1039" s="17"/>
      <c r="BP1039" s="12" t="s">
        <v>5744</v>
      </c>
      <c r="BQ1039" s="12" t="b">
        <v>0</v>
      </c>
      <c r="BR1039" s="17"/>
      <c r="BS1039" s="16" t="s">
        <v>6511</v>
      </c>
      <c r="BT1039" s="12" t="b">
        <v>1</v>
      </c>
      <c r="BU1039" s="12" t="s">
        <v>69</v>
      </c>
      <c r="BV1039" s="12"/>
      <c r="BW1039" s="12"/>
    </row>
    <row r="1040">
      <c r="A1040" s="12" t="s">
        <v>2801</v>
      </c>
      <c r="B1040" s="12" t="s">
        <v>54</v>
      </c>
      <c r="C1040" s="19">
        <v>46172.0</v>
      </c>
      <c r="D1040" s="12"/>
      <c r="E1040" s="12"/>
      <c r="F1040" s="12" t="s">
        <v>5749</v>
      </c>
      <c r="G1040" s="12" t="s">
        <v>1196</v>
      </c>
      <c r="H1040" s="12">
        <v>1.0</v>
      </c>
      <c r="I1040" s="17">
        <v>8378.4</v>
      </c>
      <c r="J1040" s="17">
        <v>8378.4</v>
      </c>
      <c r="BO1040" s="17">
        <v>8378.4</v>
      </c>
      <c r="BP1040" s="12"/>
      <c r="BQ1040" s="12"/>
      <c r="BR1040" s="17">
        <v>8378.4</v>
      </c>
      <c r="BS1040" s="12"/>
      <c r="BT1040" s="12"/>
      <c r="BU1040" s="12" t="s">
        <v>621</v>
      </c>
      <c r="BV1040" s="12" t="s">
        <v>727</v>
      </c>
      <c r="BW1040" s="12"/>
    </row>
    <row r="1041">
      <c r="A1041" s="12">
        <v>1567.0</v>
      </c>
      <c r="B1041" s="12" t="s">
        <v>54</v>
      </c>
      <c r="C1041" s="19">
        <v>46174.0</v>
      </c>
      <c r="D1041" s="12"/>
      <c r="E1041" s="12"/>
      <c r="F1041" s="12" t="s">
        <v>3108</v>
      </c>
      <c r="G1041" s="12" t="s">
        <v>1196</v>
      </c>
      <c r="H1041" s="12">
        <v>1.0</v>
      </c>
      <c r="I1041" s="17">
        <v>585.0</v>
      </c>
      <c r="J1041" s="17">
        <v>585.0</v>
      </c>
      <c r="BO1041" s="17">
        <v>585.0</v>
      </c>
      <c r="BP1041" s="12"/>
      <c r="BQ1041" s="12"/>
      <c r="BR1041" s="17">
        <v>585.0</v>
      </c>
      <c r="BS1041" s="12"/>
      <c r="BT1041" s="12"/>
      <c r="BU1041" s="12" t="s">
        <v>621</v>
      </c>
      <c r="BV1041" s="12" t="s">
        <v>259</v>
      </c>
      <c r="BW1041" s="12"/>
    </row>
    <row r="1042">
      <c r="A1042" s="12">
        <v>1568.0</v>
      </c>
      <c r="B1042" s="12" t="s">
        <v>54</v>
      </c>
      <c r="C1042" s="19">
        <v>46174.0</v>
      </c>
      <c r="D1042" s="12" t="s">
        <v>1712</v>
      </c>
      <c r="E1042" s="12"/>
      <c r="F1042" s="12" t="s">
        <v>5753</v>
      </c>
      <c r="G1042" s="12" t="s">
        <v>2807</v>
      </c>
      <c r="H1042" s="12">
        <v>1.0</v>
      </c>
      <c r="I1042" s="17">
        <v>855.0</v>
      </c>
      <c r="J1042" s="17">
        <v>855.0</v>
      </c>
      <c r="BO1042" s="17">
        <v>855.0</v>
      </c>
      <c r="BP1042" s="12"/>
      <c r="BQ1042" s="12"/>
      <c r="BR1042" s="17">
        <v>855.0</v>
      </c>
      <c r="BS1042" s="12"/>
      <c r="BT1042" s="12"/>
      <c r="BU1042" s="12" t="s">
        <v>621</v>
      </c>
      <c r="BV1042" s="12"/>
      <c r="BW1042" s="12"/>
    </row>
    <row r="1043">
      <c r="A1043" s="12" t="s">
        <v>5307</v>
      </c>
      <c r="B1043" s="12" t="s">
        <v>54</v>
      </c>
      <c r="C1043" s="19">
        <v>46175.0</v>
      </c>
      <c r="D1043" s="12" t="s">
        <v>220</v>
      </c>
      <c r="E1043" s="12" t="s">
        <v>5755</v>
      </c>
      <c r="F1043" s="12" t="s">
        <v>1365</v>
      </c>
      <c r="G1043" s="12"/>
      <c r="H1043" s="12"/>
      <c r="I1043" s="17"/>
      <c r="J1043" s="17"/>
      <c r="BO1043" s="17"/>
      <c r="BP1043" s="12" t="s">
        <v>5756</v>
      </c>
      <c r="BQ1043" s="12" t="b">
        <v>0</v>
      </c>
      <c r="BR1043" s="17"/>
      <c r="BS1043" s="16" t="s">
        <v>6517</v>
      </c>
      <c r="BT1043" s="12" t="b">
        <v>1</v>
      </c>
      <c r="BU1043" s="12" t="s">
        <v>69</v>
      </c>
      <c r="BV1043" s="12"/>
      <c r="BW1043" s="12"/>
    </row>
    <row r="1044">
      <c r="A1044" s="12" t="s">
        <v>5339</v>
      </c>
      <c r="B1044" s="12" t="s">
        <v>54</v>
      </c>
      <c r="C1044" s="19">
        <v>46175.0</v>
      </c>
      <c r="D1044" s="12" t="s">
        <v>4411</v>
      </c>
      <c r="E1044" s="12" t="s">
        <v>5759</v>
      </c>
      <c r="F1044" s="12" t="s">
        <v>5761</v>
      </c>
      <c r="G1044" s="12"/>
      <c r="H1044" s="12"/>
      <c r="I1044" s="17"/>
      <c r="J1044" s="17"/>
      <c r="BO1044" s="17"/>
      <c r="BP1044" s="12" t="s">
        <v>5760</v>
      </c>
      <c r="BQ1044" s="12" t="b">
        <v>0</v>
      </c>
      <c r="BR1044" s="17"/>
      <c r="BS1044" s="16" t="s">
        <v>6518</v>
      </c>
      <c r="BT1044" s="12" t="b">
        <v>1</v>
      </c>
      <c r="BU1044" s="12" t="s">
        <v>69</v>
      </c>
      <c r="BV1044" s="12"/>
      <c r="BW1044" s="12"/>
    </row>
    <row r="1045">
      <c r="A1045" s="12" t="s">
        <v>5303</v>
      </c>
      <c r="B1045" s="12" t="s">
        <v>54</v>
      </c>
      <c r="C1045" s="19">
        <v>46174.0</v>
      </c>
      <c r="D1045" s="12" t="s">
        <v>58</v>
      </c>
      <c r="E1045" s="12" t="s">
        <v>5764</v>
      </c>
      <c r="F1045" s="12" t="s">
        <v>1000</v>
      </c>
      <c r="G1045" s="12"/>
      <c r="H1045" s="12"/>
      <c r="I1045" s="17"/>
      <c r="J1045" s="17"/>
      <c r="BO1045" s="17"/>
      <c r="BP1045" s="12" t="s">
        <v>5765</v>
      </c>
      <c r="BQ1045" s="12" t="b">
        <v>0</v>
      </c>
      <c r="BR1045" s="17"/>
      <c r="BS1045" s="16" t="s">
        <v>6520</v>
      </c>
      <c r="BT1045" s="12" t="b">
        <v>1</v>
      </c>
      <c r="BU1045" s="12" t="s">
        <v>69</v>
      </c>
      <c r="BV1045" s="12"/>
      <c r="BW1045" s="12"/>
    </row>
    <row r="1046">
      <c r="A1046" s="16" t="s">
        <v>5264</v>
      </c>
      <c r="B1046" s="12" t="s">
        <v>54</v>
      </c>
      <c r="C1046" s="19">
        <v>46170.0</v>
      </c>
      <c r="D1046" s="12" t="s">
        <v>784</v>
      </c>
      <c r="E1046" s="12" t="s">
        <v>5768</v>
      </c>
      <c r="F1046" s="12" t="s">
        <v>715</v>
      </c>
      <c r="G1046" s="12"/>
      <c r="H1046" s="12"/>
      <c r="I1046" s="17"/>
      <c r="J1046" s="17"/>
      <c r="BO1046" s="17"/>
      <c r="BP1046" s="12" t="s">
        <v>5769</v>
      </c>
      <c r="BQ1046" s="12" t="b">
        <v>0</v>
      </c>
      <c r="BR1046" s="17"/>
      <c r="BS1046" s="12"/>
      <c r="BT1046" s="12" t="b">
        <v>0</v>
      </c>
      <c r="BU1046" s="12" t="s">
        <v>69</v>
      </c>
      <c r="BV1046" s="12"/>
      <c r="BW1046" s="12"/>
    </row>
    <row r="1047">
      <c r="A1047" s="12" t="s">
        <v>6522</v>
      </c>
      <c r="B1047" s="12" t="s">
        <v>54</v>
      </c>
      <c r="C1047" s="19">
        <v>46170.0</v>
      </c>
      <c r="D1047" s="12" t="s">
        <v>784</v>
      </c>
      <c r="E1047" s="12" t="s">
        <v>5768</v>
      </c>
      <c r="F1047" s="12" t="s">
        <v>715</v>
      </c>
      <c r="G1047" s="12"/>
      <c r="H1047" s="12"/>
      <c r="I1047" s="17"/>
      <c r="J1047" s="17"/>
      <c r="BO1047" s="17"/>
      <c r="BP1047" s="12" t="s">
        <v>6523</v>
      </c>
      <c r="BQ1047" s="12" t="b">
        <v>0</v>
      </c>
      <c r="BR1047" s="17"/>
      <c r="BS1047" s="12"/>
      <c r="BT1047" s="12" t="b">
        <v>0</v>
      </c>
      <c r="BU1047" s="12" t="s">
        <v>69</v>
      </c>
      <c r="BV1047" s="12"/>
      <c r="BW1047" s="12"/>
    </row>
    <row r="1048">
      <c r="A1048" s="12" t="s">
        <v>5343</v>
      </c>
      <c r="B1048" s="12" t="s">
        <v>54</v>
      </c>
      <c r="C1048" s="19">
        <v>46175.0</v>
      </c>
      <c r="D1048" s="12" t="s">
        <v>556</v>
      </c>
      <c r="E1048" s="12" t="s">
        <v>5773</v>
      </c>
      <c r="F1048" s="12" t="s">
        <v>687</v>
      </c>
      <c r="G1048" s="12"/>
      <c r="H1048" s="12"/>
      <c r="I1048" s="17"/>
      <c r="J1048" s="17"/>
      <c r="BO1048" s="17"/>
      <c r="BP1048" s="12" t="s">
        <v>5774</v>
      </c>
      <c r="BQ1048" s="12" t="b">
        <v>0</v>
      </c>
      <c r="BR1048" s="17"/>
      <c r="BS1048" s="16" t="s">
        <v>6524</v>
      </c>
      <c r="BT1048" s="12" t="b">
        <v>1</v>
      </c>
      <c r="BU1048" s="12" t="s">
        <v>69</v>
      </c>
      <c r="BV1048" s="12"/>
      <c r="BW1048" s="12"/>
    </row>
    <row r="1049">
      <c r="A1049" s="12" t="s">
        <v>5294</v>
      </c>
      <c r="B1049" s="12" t="s">
        <v>54</v>
      </c>
      <c r="C1049" s="19">
        <v>46173.0</v>
      </c>
      <c r="D1049" s="12" t="s">
        <v>3425</v>
      </c>
      <c r="E1049" s="12" t="s">
        <v>5778</v>
      </c>
      <c r="F1049" s="12" t="s">
        <v>5781</v>
      </c>
      <c r="G1049" s="12"/>
      <c r="H1049" s="12"/>
      <c r="I1049" s="17"/>
      <c r="J1049" s="17"/>
      <c r="BO1049" s="17"/>
      <c r="BP1049" s="12" t="s">
        <v>5780</v>
      </c>
      <c r="BQ1049" s="12" t="b">
        <v>0</v>
      </c>
      <c r="BR1049" s="17"/>
      <c r="BS1049" s="16" t="s">
        <v>6526</v>
      </c>
      <c r="BT1049" s="12" t="b">
        <v>1</v>
      </c>
      <c r="BU1049" s="12" t="s">
        <v>69</v>
      </c>
      <c r="BV1049" s="12"/>
      <c r="BW1049" s="12"/>
    </row>
    <row r="1050">
      <c r="A1050" s="12" t="s">
        <v>2809</v>
      </c>
      <c r="B1050" s="12" t="s">
        <v>54</v>
      </c>
      <c r="C1050" s="19">
        <v>46176.0</v>
      </c>
      <c r="D1050" s="12" t="s">
        <v>156</v>
      </c>
      <c r="E1050" s="12"/>
      <c r="F1050" s="12" t="s">
        <v>5783</v>
      </c>
      <c r="G1050" s="12" t="s">
        <v>786</v>
      </c>
      <c r="H1050" s="12">
        <v>1.0</v>
      </c>
      <c r="I1050" s="17">
        <v>351.0</v>
      </c>
      <c r="J1050" s="17">
        <v>351.0</v>
      </c>
      <c r="BO1050" s="17">
        <v>351.0</v>
      </c>
      <c r="BP1050" s="12"/>
      <c r="BQ1050" s="12"/>
      <c r="BR1050" s="17">
        <v>351.0</v>
      </c>
      <c r="BS1050" s="12"/>
      <c r="BT1050" s="12"/>
      <c r="BU1050" s="12" t="s">
        <v>621</v>
      </c>
      <c r="BV1050" s="12"/>
      <c r="BW1050" s="12"/>
    </row>
    <row r="1051">
      <c r="A1051" s="12">
        <v>1577.0</v>
      </c>
      <c r="B1051" s="12" t="s">
        <v>54</v>
      </c>
      <c r="C1051" s="19">
        <v>46177.0</v>
      </c>
      <c r="D1051" s="12" t="s">
        <v>897</v>
      </c>
      <c r="E1051" s="12"/>
      <c r="F1051" s="12" t="s">
        <v>909</v>
      </c>
      <c r="G1051" s="12" t="s">
        <v>911</v>
      </c>
      <c r="H1051" s="12">
        <v>1.0</v>
      </c>
      <c r="I1051" s="17">
        <v>0.0</v>
      </c>
      <c r="J1051" s="17">
        <v>0.0</v>
      </c>
      <c r="BO1051" s="17">
        <v>0.0</v>
      </c>
      <c r="BP1051" s="12"/>
      <c r="BQ1051" s="12"/>
      <c r="BR1051" s="17">
        <v>0.0</v>
      </c>
      <c r="BS1051" s="12"/>
      <c r="BT1051" s="12"/>
      <c r="BU1051" s="12" t="s">
        <v>621</v>
      </c>
      <c r="BV1051" s="12"/>
      <c r="BW1051" s="12"/>
    </row>
    <row r="1052">
      <c r="A1052" s="12" t="s">
        <v>5347</v>
      </c>
      <c r="B1052" s="12" t="s">
        <v>54</v>
      </c>
      <c r="C1052" s="19">
        <v>46178.0</v>
      </c>
      <c r="D1052" s="12" t="s">
        <v>220</v>
      </c>
      <c r="E1052" s="12" t="s">
        <v>5791</v>
      </c>
      <c r="F1052" s="12" t="s">
        <v>1365</v>
      </c>
      <c r="G1052" s="12"/>
      <c r="H1052" s="12"/>
      <c r="I1052" s="17"/>
      <c r="J1052" s="17"/>
      <c r="BO1052" s="17"/>
      <c r="BP1052" s="12" t="s">
        <v>5792</v>
      </c>
      <c r="BQ1052" s="12" t="b">
        <v>0</v>
      </c>
      <c r="BR1052" s="17"/>
      <c r="BS1052" s="16" t="s">
        <v>6528</v>
      </c>
      <c r="BT1052" s="12" t="b">
        <v>1</v>
      </c>
      <c r="BU1052" s="12" t="s">
        <v>69</v>
      </c>
      <c r="BV1052" s="12"/>
      <c r="BW1052" s="12"/>
    </row>
    <row r="1053">
      <c r="A1053" s="12" t="s">
        <v>5387</v>
      </c>
      <c r="B1053" s="12" t="s">
        <v>54</v>
      </c>
      <c r="C1053" s="19">
        <v>46178.0</v>
      </c>
      <c r="D1053" s="12" t="s">
        <v>77</v>
      </c>
      <c r="E1053" s="12" t="s">
        <v>5796</v>
      </c>
      <c r="F1053" s="12" t="s">
        <v>3841</v>
      </c>
      <c r="G1053" s="12"/>
      <c r="H1053" s="12"/>
      <c r="I1053" s="17"/>
      <c r="J1053" s="17"/>
      <c r="BO1053" s="17"/>
      <c r="BP1053" s="12" t="s">
        <v>5798</v>
      </c>
      <c r="BQ1053" s="12" t="b">
        <v>0</v>
      </c>
      <c r="BR1053" s="17"/>
      <c r="BS1053" s="16" t="s">
        <v>6529</v>
      </c>
      <c r="BT1053" s="12" t="b">
        <v>1</v>
      </c>
      <c r="BU1053" s="12" t="s">
        <v>69</v>
      </c>
      <c r="BV1053" s="12"/>
      <c r="BW1053" s="12"/>
    </row>
    <row r="1054">
      <c r="A1054" s="12" t="s">
        <v>5394</v>
      </c>
      <c r="B1054" s="12" t="s">
        <v>54</v>
      </c>
      <c r="C1054" s="19">
        <v>46181.0</v>
      </c>
      <c r="D1054" s="12" t="s">
        <v>220</v>
      </c>
      <c r="E1054" s="12" t="s">
        <v>5803</v>
      </c>
      <c r="F1054" s="12" t="s">
        <v>2402</v>
      </c>
      <c r="G1054" s="12"/>
      <c r="H1054" s="12"/>
      <c r="I1054" s="17"/>
      <c r="J1054" s="17"/>
      <c r="BO1054" s="17"/>
      <c r="BP1054" s="12" t="s">
        <v>5804</v>
      </c>
      <c r="BQ1054" s="12" t="b">
        <v>0</v>
      </c>
      <c r="BR1054" s="17"/>
      <c r="BS1054" s="16" t="s">
        <v>6530</v>
      </c>
      <c r="BT1054" s="12" t="b">
        <v>1</v>
      </c>
      <c r="BU1054" s="12" t="s">
        <v>69</v>
      </c>
      <c r="BV1054" s="12"/>
      <c r="BW1054" s="12"/>
    </row>
    <row r="1055">
      <c r="A1055" s="12" t="s">
        <v>5390</v>
      </c>
      <c r="B1055" s="12" t="s">
        <v>54</v>
      </c>
      <c r="C1055" s="19">
        <v>46180.0</v>
      </c>
      <c r="D1055" s="12" t="s">
        <v>3425</v>
      </c>
      <c r="E1055" s="12" t="s">
        <v>5810</v>
      </c>
      <c r="F1055" s="12" t="s">
        <v>4151</v>
      </c>
      <c r="G1055" s="12"/>
      <c r="H1055" s="12"/>
      <c r="I1055" s="17"/>
      <c r="J1055" s="17"/>
      <c r="BO1055" s="17"/>
      <c r="BP1055" s="12" t="s">
        <v>5811</v>
      </c>
      <c r="BQ1055" s="12" t="b">
        <v>0</v>
      </c>
      <c r="BR1055" s="17"/>
      <c r="BS1055" s="16" t="s">
        <v>6532</v>
      </c>
      <c r="BT1055" s="12" t="b">
        <v>1</v>
      </c>
      <c r="BU1055" s="12" t="s">
        <v>69</v>
      </c>
      <c r="BV1055" s="12"/>
      <c r="BW1055" s="12"/>
    </row>
    <row r="1056">
      <c r="A1056" s="12" t="s">
        <v>6533</v>
      </c>
      <c r="B1056" s="12" t="s">
        <v>54</v>
      </c>
      <c r="C1056" s="19">
        <v>46183.0</v>
      </c>
      <c r="D1056" s="12" t="s">
        <v>418</v>
      </c>
      <c r="E1056" s="12" t="s">
        <v>6534</v>
      </c>
      <c r="F1056" s="12" t="s">
        <v>423</v>
      </c>
      <c r="G1056" s="12"/>
      <c r="H1056" s="12"/>
      <c r="I1056" s="17"/>
      <c r="J1056" s="17"/>
      <c r="BO1056" s="17"/>
      <c r="BP1056" s="12" t="s">
        <v>6535</v>
      </c>
      <c r="BQ1056" s="12" t="b">
        <v>0</v>
      </c>
      <c r="BR1056" s="17"/>
      <c r="BS1056" s="12"/>
      <c r="BT1056" s="12" t="b">
        <v>0</v>
      </c>
      <c r="BU1056" s="12" t="s">
        <v>69</v>
      </c>
      <c r="BV1056" s="12"/>
      <c r="BW1056" s="12"/>
    </row>
    <row r="1057">
      <c r="A1057" s="12" t="s">
        <v>5417</v>
      </c>
      <c r="B1057" s="12" t="s">
        <v>54</v>
      </c>
      <c r="C1057" s="19">
        <v>46183.0</v>
      </c>
      <c r="D1057" s="12" t="s">
        <v>190</v>
      </c>
      <c r="E1057" s="12" t="s">
        <v>5817</v>
      </c>
      <c r="F1057" s="12" t="s">
        <v>328</v>
      </c>
      <c r="G1057" s="12"/>
      <c r="H1057" s="12"/>
      <c r="I1057" s="17"/>
      <c r="J1057" s="17"/>
      <c r="BO1057" s="17"/>
      <c r="BP1057" s="12" t="s">
        <v>5819</v>
      </c>
      <c r="BQ1057" s="12" t="b">
        <v>0</v>
      </c>
      <c r="BR1057" s="17"/>
      <c r="BS1057" s="16" t="s">
        <v>6537</v>
      </c>
      <c r="BT1057" s="12" t="b">
        <v>1</v>
      </c>
      <c r="BU1057" s="12" t="s">
        <v>69</v>
      </c>
      <c r="BV1057" s="12"/>
      <c r="BW1057" s="12"/>
    </row>
    <row r="1058">
      <c r="A1058" s="12">
        <v>1575.0</v>
      </c>
      <c r="B1058" s="12" t="s">
        <v>54</v>
      </c>
      <c r="C1058" s="19">
        <v>46183.0</v>
      </c>
      <c r="D1058" s="12" t="s">
        <v>1668</v>
      </c>
      <c r="E1058" s="12"/>
      <c r="F1058" s="12" t="s">
        <v>1671</v>
      </c>
      <c r="G1058" s="12" t="s">
        <v>874</v>
      </c>
      <c r="H1058" s="12">
        <v>1.0</v>
      </c>
      <c r="I1058" s="17">
        <v>125.0</v>
      </c>
      <c r="J1058" s="17">
        <v>125.0</v>
      </c>
      <c r="BO1058" s="17">
        <v>125.0</v>
      </c>
      <c r="BP1058" s="12"/>
      <c r="BQ1058" s="12"/>
      <c r="BR1058" s="17">
        <v>125.0</v>
      </c>
      <c r="BS1058" s="12"/>
      <c r="BT1058" s="12"/>
      <c r="BU1058" s="12" t="s">
        <v>621</v>
      </c>
      <c r="BV1058" s="12"/>
      <c r="BW1058" s="12"/>
    </row>
    <row r="1059">
      <c r="A1059" s="12">
        <v>1578.0</v>
      </c>
      <c r="B1059" s="12" t="s">
        <v>54</v>
      </c>
      <c r="C1059" s="19">
        <v>46183.0</v>
      </c>
      <c r="D1059" s="12" t="s">
        <v>933</v>
      </c>
      <c r="E1059" s="12"/>
      <c r="F1059" s="12" t="s">
        <v>1346</v>
      </c>
      <c r="G1059" s="12" t="s">
        <v>936</v>
      </c>
      <c r="H1059" s="12">
        <v>1.0</v>
      </c>
      <c r="I1059" s="17">
        <v>523.0</v>
      </c>
      <c r="J1059" s="17">
        <v>523.0</v>
      </c>
      <c r="BO1059" s="17">
        <v>523.0</v>
      </c>
      <c r="BP1059" s="12"/>
      <c r="BQ1059" s="12"/>
      <c r="BR1059" s="17">
        <v>523.0</v>
      </c>
      <c r="BS1059" s="12"/>
      <c r="BT1059" s="12"/>
      <c r="BU1059" s="12" t="s">
        <v>621</v>
      </c>
      <c r="BV1059" s="12"/>
      <c r="BW1059" s="12"/>
    </row>
    <row r="1060">
      <c r="A1060" s="12" t="s">
        <v>2824</v>
      </c>
      <c r="B1060" s="12" t="s">
        <v>54</v>
      </c>
      <c r="C1060" s="19">
        <v>46183.0</v>
      </c>
      <c r="D1060" s="12"/>
      <c r="E1060" s="12"/>
      <c r="F1060" s="12" t="s">
        <v>5829</v>
      </c>
      <c r="G1060" s="12" t="s">
        <v>1113</v>
      </c>
      <c r="H1060" s="12">
        <v>1.0</v>
      </c>
      <c r="I1060" s="17">
        <v>500.0</v>
      </c>
      <c r="J1060" s="17">
        <v>500.0</v>
      </c>
      <c r="BO1060" s="17">
        <v>500.0</v>
      </c>
      <c r="BP1060" s="12"/>
      <c r="BQ1060" s="12"/>
      <c r="BR1060" s="17">
        <v>500.0</v>
      </c>
      <c r="BS1060" s="12"/>
      <c r="BT1060" s="12"/>
      <c r="BU1060" s="12" t="s">
        <v>191</v>
      </c>
      <c r="BV1060" s="12" t="s">
        <v>62</v>
      </c>
      <c r="BW1060" s="12"/>
    </row>
    <row r="1061">
      <c r="A1061" s="12" t="s">
        <v>2827</v>
      </c>
      <c r="B1061" s="12" t="s">
        <v>54</v>
      </c>
      <c r="C1061" s="19">
        <v>46183.0</v>
      </c>
      <c r="D1061" s="12"/>
      <c r="E1061" s="12"/>
      <c r="F1061" s="12" t="s">
        <v>5829</v>
      </c>
      <c r="G1061" s="12" t="s">
        <v>1113</v>
      </c>
      <c r="H1061" s="12">
        <v>1.0</v>
      </c>
      <c r="I1061" s="17">
        <v>500.0</v>
      </c>
      <c r="J1061" s="17">
        <v>500.0</v>
      </c>
      <c r="BO1061" s="17">
        <v>500.0</v>
      </c>
      <c r="BP1061" s="12"/>
      <c r="BQ1061" s="12"/>
      <c r="BR1061" s="17">
        <v>500.0</v>
      </c>
      <c r="BS1061" s="12"/>
      <c r="BT1061" s="12"/>
      <c r="BU1061" s="12" t="s">
        <v>191</v>
      </c>
      <c r="BV1061" s="12" t="s">
        <v>78</v>
      </c>
      <c r="BW1061" s="12"/>
    </row>
    <row r="1062">
      <c r="A1062" s="12" t="s">
        <v>2832</v>
      </c>
      <c r="B1062" s="12" t="s">
        <v>54</v>
      </c>
      <c r="C1062" s="19">
        <v>46183.0</v>
      </c>
      <c r="D1062" s="12"/>
      <c r="E1062" s="12"/>
      <c r="F1062" s="12" t="s">
        <v>5829</v>
      </c>
      <c r="G1062" s="12" t="s">
        <v>1113</v>
      </c>
      <c r="H1062" s="12">
        <v>1.0</v>
      </c>
      <c r="I1062" s="17">
        <v>500.0</v>
      </c>
      <c r="J1062" s="17">
        <v>500.0</v>
      </c>
      <c r="BO1062" s="17">
        <v>500.0</v>
      </c>
      <c r="BP1062" s="12"/>
      <c r="BQ1062" s="12"/>
      <c r="BR1062" s="17">
        <v>500.0</v>
      </c>
      <c r="BS1062" s="12"/>
      <c r="BT1062" s="12"/>
      <c r="BU1062" s="12" t="s">
        <v>191</v>
      </c>
      <c r="BV1062" s="12" t="s">
        <v>1183</v>
      </c>
      <c r="BW1062" s="12"/>
    </row>
    <row r="1063">
      <c r="A1063" s="12" t="s">
        <v>2835</v>
      </c>
      <c r="B1063" s="12" t="s">
        <v>54</v>
      </c>
      <c r="C1063" s="19">
        <v>46183.0</v>
      </c>
      <c r="D1063" s="12"/>
      <c r="E1063" s="12"/>
      <c r="F1063" s="12" t="s">
        <v>5829</v>
      </c>
      <c r="G1063" s="12" t="s">
        <v>1113</v>
      </c>
      <c r="H1063" s="12">
        <v>1.0</v>
      </c>
      <c r="I1063" s="17">
        <v>500.0</v>
      </c>
      <c r="J1063" s="17">
        <v>500.0</v>
      </c>
      <c r="BO1063" s="17">
        <v>500.0</v>
      </c>
      <c r="BP1063" s="12"/>
      <c r="BQ1063" s="12"/>
      <c r="BR1063" s="17">
        <v>500.0</v>
      </c>
      <c r="BS1063" s="12"/>
      <c r="BT1063" s="12"/>
      <c r="BU1063" s="12" t="s">
        <v>191</v>
      </c>
      <c r="BV1063" s="12" t="s">
        <v>152</v>
      </c>
      <c r="BW1063" s="12"/>
    </row>
    <row r="1064">
      <c r="A1064" s="12" t="s">
        <v>5430</v>
      </c>
      <c r="B1064" s="12" t="s">
        <v>54</v>
      </c>
      <c r="C1064" s="19">
        <v>46184.0</v>
      </c>
      <c r="D1064" s="12" t="s">
        <v>1371</v>
      </c>
      <c r="E1064" s="12" t="s">
        <v>5840</v>
      </c>
      <c r="F1064" s="12" t="s">
        <v>2402</v>
      </c>
      <c r="G1064" s="12"/>
      <c r="H1064" s="12"/>
      <c r="I1064" s="17"/>
      <c r="J1064" s="17"/>
      <c r="BO1064" s="17"/>
      <c r="BP1064" s="12" t="s">
        <v>5842</v>
      </c>
      <c r="BQ1064" s="12" t="b">
        <v>0</v>
      </c>
      <c r="BR1064" s="17"/>
      <c r="BS1064" s="16" t="s">
        <v>6546</v>
      </c>
      <c r="BT1064" s="12" t="b">
        <v>1</v>
      </c>
      <c r="BU1064" s="12" t="s">
        <v>69</v>
      </c>
      <c r="BV1064" s="12"/>
      <c r="BW1064" s="12"/>
    </row>
    <row r="1065">
      <c r="A1065" s="12" t="s">
        <v>5434</v>
      </c>
      <c r="B1065" s="12" t="s">
        <v>54</v>
      </c>
      <c r="C1065" s="19">
        <v>46184.0</v>
      </c>
      <c r="D1065" s="12" t="s">
        <v>5846</v>
      </c>
      <c r="E1065" s="12" t="s">
        <v>5847</v>
      </c>
      <c r="F1065" s="12" t="s">
        <v>1365</v>
      </c>
      <c r="G1065" s="12"/>
      <c r="H1065" s="12"/>
      <c r="I1065" s="17"/>
      <c r="J1065" s="17"/>
      <c r="BO1065" s="17"/>
      <c r="BP1065" s="12" t="s">
        <v>5848</v>
      </c>
      <c r="BQ1065" s="12" t="b">
        <v>0</v>
      </c>
      <c r="BR1065" s="17"/>
      <c r="BS1065" s="16" t="s">
        <v>6549</v>
      </c>
      <c r="BT1065" s="12" t="b">
        <v>1</v>
      </c>
      <c r="BU1065" s="12" t="s">
        <v>69</v>
      </c>
      <c r="BV1065" s="12"/>
      <c r="BW1065" s="12"/>
    </row>
    <row r="1066">
      <c r="A1066" s="12" t="s">
        <v>5444</v>
      </c>
      <c r="B1066" s="12" t="s">
        <v>54</v>
      </c>
      <c r="C1066" s="19">
        <v>46184.0</v>
      </c>
      <c r="D1066" s="12" t="s">
        <v>5846</v>
      </c>
      <c r="E1066" s="12" t="s">
        <v>5847</v>
      </c>
      <c r="F1066" s="12" t="s">
        <v>1365</v>
      </c>
      <c r="G1066" s="12"/>
      <c r="H1066" s="12"/>
      <c r="I1066" s="17"/>
      <c r="J1066" s="17"/>
      <c r="BO1066" s="17"/>
      <c r="BP1066" s="12" t="s">
        <v>5852</v>
      </c>
      <c r="BQ1066" s="12" t="b">
        <v>0</v>
      </c>
      <c r="BR1066" s="17"/>
      <c r="BS1066" s="16" t="s">
        <v>6550</v>
      </c>
      <c r="BT1066" s="12" t="b">
        <v>1</v>
      </c>
      <c r="BU1066" s="12" t="s">
        <v>69</v>
      </c>
      <c r="BV1066" s="12"/>
      <c r="BW1066" s="12"/>
    </row>
    <row r="1067">
      <c r="A1067" s="12" t="s">
        <v>5460</v>
      </c>
      <c r="B1067" s="12" t="s">
        <v>54</v>
      </c>
      <c r="C1067" s="19">
        <v>46185.0</v>
      </c>
      <c r="D1067" s="12" t="s">
        <v>3425</v>
      </c>
      <c r="E1067" s="12" t="s">
        <v>5856</v>
      </c>
      <c r="F1067" s="12" t="s">
        <v>2814</v>
      </c>
      <c r="G1067" s="12"/>
      <c r="H1067" s="12"/>
      <c r="I1067" s="17"/>
      <c r="J1067" s="17"/>
      <c r="BO1067" s="17"/>
      <c r="BP1067" s="12" t="s">
        <v>5857</v>
      </c>
      <c r="BQ1067" s="12" t="b">
        <v>0</v>
      </c>
      <c r="BR1067" s="17"/>
      <c r="BS1067" s="16" t="s">
        <v>6553</v>
      </c>
      <c r="BT1067" s="12" t="b">
        <v>1</v>
      </c>
      <c r="BU1067" s="12" t="s">
        <v>69</v>
      </c>
      <c r="BV1067" s="12"/>
      <c r="BW1067" s="12"/>
    </row>
    <row r="1068">
      <c r="A1068" s="12" t="s">
        <v>5462</v>
      </c>
      <c r="B1068" s="12" t="s">
        <v>54</v>
      </c>
      <c r="C1068" s="19">
        <v>46185.0</v>
      </c>
      <c r="D1068" s="12" t="s">
        <v>220</v>
      </c>
      <c r="E1068" s="12" t="s">
        <v>5861</v>
      </c>
      <c r="F1068" s="12" t="s">
        <v>2402</v>
      </c>
      <c r="G1068" s="12"/>
      <c r="H1068" s="12"/>
      <c r="I1068" s="17"/>
      <c r="J1068" s="17"/>
      <c r="BO1068" s="17"/>
      <c r="BP1068" s="12" t="s">
        <v>5862</v>
      </c>
      <c r="BQ1068" s="12" t="b">
        <v>0</v>
      </c>
      <c r="BR1068" s="17"/>
      <c r="BS1068" s="16" t="s">
        <v>6555</v>
      </c>
      <c r="BT1068" s="12" t="b">
        <v>1</v>
      </c>
      <c r="BU1068" s="12" t="s">
        <v>69</v>
      </c>
      <c r="BV1068" s="12"/>
      <c r="BW1068" s="12"/>
    </row>
    <row r="1069">
      <c r="A1069" s="12" t="s">
        <v>5500</v>
      </c>
      <c r="B1069" s="12" t="s">
        <v>54</v>
      </c>
      <c r="C1069" s="19">
        <v>46185.0</v>
      </c>
      <c r="D1069" s="12" t="s">
        <v>182</v>
      </c>
      <c r="E1069" s="12" t="s">
        <v>5866</v>
      </c>
      <c r="F1069" s="12" t="s">
        <v>2389</v>
      </c>
      <c r="G1069" s="12"/>
      <c r="H1069" s="12"/>
      <c r="I1069" s="17"/>
      <c r="J1069" s="17"/>
      <c r="BO1069" s="17"/>
      <c r="BP1069" s="12" t="s">
        <v>5867</v>
      </c>
      <c r="BQ1069" s="12" t="b">
        <v>0</v>
      </c>
      <c r="BR1069" s="17"/>
      <c r="BS1069" s="16" t="s">
        <v>6556</v>
      </c>
      <c r="BT1069" s="12" t="b">
        <v>1</v>
      </c>
      <c r="BU1069" s="12" t="s">
        <v>69</v>
      </c>
      <c r="BV1069" s="12"/>
      <c r="BW1069" s="12"/>
    </row>
    <row r="1070">
      <c r="A1070" s="12" t="s">
        <v>5505</v>
      </c>
      <c r="B1070" s="12" t="s">
        <v>54</v>
      </c>
      <c r="C1070" s="19">
        <v>46185.0</v>
      </c>
      <c r="D1070" s="12" t="s">
        <v>1103</v>
      </c>
      <c r="E1070" s="12" t="s">
        <v>5872</v>
      </c>
      <c r="F1070" s="12" t="s">
        <v>153</v>
      </c>
      <c r="G1070" s="12"/>
      <c r="H1070" s="12"/>
      <c r="I1070" s="17"/>
      <c r="J1070" s="17"/>
      <c r="BO1070" s="17"/>
      <c r="BP1070" s="12" t="s">
        <v>5873</v>
      </c>
      <c r="BQ1070" s="12" t="b">
        <v>0</v>
      </c>
      <c r="BR1070" s="17"/>
      <c r="BS1070" s="16" t="s">
        <v>6558</v>
      </c>
      <c r="BT1070" s="12" t="b">
        <v>1</v>
      </c>
      <c r="BU1070" s="12" t="s">
        <v>69</v>
      </c>
      <c r="BV1070" s="12"/>
      <c r="BW1070" s="12"/>
    </row>
    <row r="1071">
      <c r="A1071" s="12" t="s">
        <v>5446</v>
      </c>
      <c r="B1071" s="12" t="s">
        <v>54</v>
      </c>
      <c r="C1071" s="19">
        <v>46184.0</v>
      </c>
      <c r="D1071" s="12" t="s">
        <v>324</v>
      </c>
      <c r="E1071" s="12" t="s">
        <v>5878</v>
      </c>
      <c r="F1071" s="12" t="s">
        <v>5880</v>
      </c>
      <c r="G1071" s="12"/>
      <c r="H1071" s="12"/>
      <c r="I1071" s="17"/>
      <c r="J1071" s="17"/>
      <c r="BO1071" s="17"/>
      <c r="BP1071" s="12" t="s">
        <v>5879</v>
      </c>
      <c r="BQ1071" s="12" t="b">
        <v>0</v>
      </c>
      <c r="BR1071" s="17"/>
      <c r="BS1071" s="16" t="s">
        <v>6560</v>
      </c>
      <c r="BT1071" s="12" t="b">
        <v>1</v>
      </c>
      <c r="BU1071" s="12" t="s">
        <v>69</v>
      </c>
      <c r="BV1071" s="12"/>
      <c r="BW1071" s="12"/>
    </row>
    <row r="1072">
      <c r="A1072" s="12" t="s">
        <v>5453</v>
      </c>
      <c r="B1072" s="12" t="s">
        <v>54</v>
      </c>
      <c r="C1072" s="19">
        <v>46184.0</v>
      </c>
      <c r="D1072" s="12" t="s">
        <v>324</v>
      </c>
      <c r="E1072" s="12" t="s">
        <v>5878</v>
      </c>
      <c r="F1072" s="12" t="s">
        <v>5880</v>
      </c>
      <c r="G1072" s="12"/>
      <c r="H1072" s="12"/>
      <c r="I1072" s="17"/>
      <c r="J1072" s="17"/>
      <c r="BO1072" s="17"/>
      <c r="BP1072" s="12" t="s">
        <v>5885</v>
      </c>
      <c r="BQ1072" s="12" t="b">
        <v>0</v>
      </c>
      <c r="BR1072" s="17"/>
      <c r="BS1072" s="16" t="s">
        <v>6563</v>
      </c>
      <c r="BT1072" s="12" t="b">
        <v>1</v>
      </c>
      <c r="BU1072" s="12" t="s">
        <v>69</v>
      </c>
      <c r="BV1072" s="12"/>
      <c r="BW1072" s="12"/>
    </row>
    <row r="1073">
      <c r="A1073" s="12" t="s">
        <v>5455</v>
      </c>
      <c r="B1073" s="12" t="s">
        <v>54</v>
      </c>
      <c r="C1073" s="19">
        <v>46184.0</v>
      </c>
      <c r="D1073" s="12" t="s">
        <v>532</v>
      </c>
      <c r="E1073" s="12" t="s">
        <v>5889</v>
      </c>
      <c r="F1073" s="12" t="s">
        <v>5892</v>
      </c>
      <c r="G1073" s="12"/>
      <c r="H1073" s="12"/>
      <c r="I1073" s="17"/>
      <c r="J1073" s="17"/>
      <c r="BO1073" s="17"/>
      <c r="BP1073" s="12" t="s">
        <v>5890</v>
      </c>
      <c r="BQ1073" s="12" t="b">
        <v>0</v>
      </c>
      <c r="BR1073" s="17"/>
      <c r="BS1073" s="16" t="s">
        <v>6564</v>
      </c>
      <c r="BT1073" s="12" t="b">
        <v>1</v>
      </c>
      <c r="BU1073" s="12" t="s">
        <v>69</v>
      </c>
      <c r="BV1073" s="12"/>
      <c r="BW1073" s="12"/>
    </row>
    <row r="1074">
      <c r="A1074" s="12" t="s">
        <v>5513</v>
      </c>
      <c r="B1074" s="12" t="s">
        <v>54</v>
      </c>
      <c r="C1074" s="19">
        <v>46186.0</v>
      </c>
      <c r="D1074" s="12" t="s">
        <v>532</v>
      </c>
      <c r="E1074" s="12" t="s">
        <v>5895</v>
      </c>
      <c r="F1074" s="12" t="s">
        <v>5898</v>
      </c>
      <c r="G1074" s="12"/>
      <c r="H1074" s="12"/>
      <c r="I1074" s="17"/>
      <c r="J1074" s="17"/>
      <c r="BO1074" s="17"/>
      <c r="BP1074" s="12" t="s">
        <v>5896</v>
      </c>
      <c r="BQ1074" s="12" t="b">
        <v>0</v>
      </c>
      <c r="BR1074" s="17"/>
      <c r="BS1074" s="16" t="s">
        <v>6568</v>
      </c>
      <c r="BT1074" s="12" t="b">
        <v>1</v>
      </c>
      <c r="BU1074" s="12" t="s">
        <v>69</v>
      </c>
      <c r="BV1074" s="12"/>
      <c r="BW1074" s="12"/>
    </row>
    <row r="1075">
      <c r="A1075" s="12" t="s">
        <v>5519</v>
      </c>
      <c r="B1075" s="12" t="s">
        <v>54</v>
      </c>
      <c r="C1075" s="19">
        <v>46187.0</v>
      </c>
      <c r="D1075" s="12" t="s">
        <v>3425</v>
      </c>
      <c r="E1075" s="12" t="s">
        <v>5901</v>
      </c>
      <c r="F1075" s="12" t="s">
        <v>3989</v>
      </c>
      <c r="G1075" s="12"/>
      <c r="H1075" s="12"/>
      <c r="I1075" s="17"/>
      <c r="J1075" s="17"/>
      <c r="BO1075" s="17"/>
      <c r="BP1075" s="12" t="s">
        <v>5902</v>
      </c>
      <c r="BQ1075" s="12" t="b">
        <v>0</v>
      </c>
      <c r="BR1075" s="17"/>
      <c r="BS1075" s="16" t="s">
        <v>6569</v>
      </c>
      <c r="BT1075" s="12" t="b">
        <v>1</v>
      </c>
      <c r="BU1075" s="12" t="s">
        <v>69</v>
      </c>
      <c r="BV1075" s="12"/>
      <c r="BW1075" s="12"/>
    </row>
    <row r="1076">
      <c r="A1076" s="12" t="s">
        <v>5523</v>
      </c>
      <c r="B1076" s="12" t="s">
        <v>54</v>
      </c>
      <c r="C1076" s="19">
        <v>46189.0</v>
      </c>
      <c r="D1076" s="12" t="s">
        <v>3425</v>
      </c>
      <c r="E1076" s="12" t="s">
        <v>5905</v>
      </c>
      <c r="F1076" s="12" t="s">
        <v>3841</v>
      </c>
      <c r="G1076" s="12"/>
      <c r="H1076" s="12"/>
      <c r="I1076" s="17"/>
      <c r="J1076" s="17"/>
      <c r="BO1076" s="17"/>
      <c r="BP1076" s="12" t="s">
        <v>5907</v>
      </c>
      <c r="BQ1076" s="12" t="b">
        <v>0</v>
      </c>
      <c r="BR1076" s="17"/>
      <c r="BS1076" s="16" t="s">
        <v>6571</v>
      </c>
      <c r="BT1076" s="12" t="b">
        <v>1</v>
      </c>
      <c r="BU1076" s="12" t="s">
        <v>69</v>
      </c>
      <c r="BV1076" s="12"/>
      <c r="BW1076" s="12"/>
    </row>
    <row r="1077">
      <c r="A1077" s="12" t="s">
        <v>5562</v>
      </c>
      <c r="B1077" s="12" t="s">
        <v>54</v>
      </c>
      <c r="C1077" s="19">
        <v>46197.0</v>
      </c>
      <c r="D1077" s="12" t="s">
        <v>1103</v>
      </c>
      <c r="E1077" s="12" t="s">
        <v>5911</v>
      </c>
      <c r="F1077" s="12" t="s">
        <v>715</v>
      </c>
      <c r="G1077" s="12"/>
      <c r="H1077" s="12"/>
      <c r="I1077" s="17"/>
      <c r="J1077" s="17"/>
      <c r="BO1077" s="17"/>
      <c r="BP1077" s="12" t="s">
        <v>5913</v>
      </c>
      <c r="BQ1077" s="12" t="b">
        <v>0</v>
      </c>
      <c r="BR1077" s="17"/>
      <c r="BS1077" s="12"/>
      <c r="BT1077" s="12" t="b">
        <v>0</v>
      </c>
      <c r="BU1077" s="12" t="s">
        <v>69</v>
      </c>
      <c r="BV1077" s="12"/>
      <c r="BW1077" s="12"/>
    </row>
    <row r="1078">
      <c r="A1078" s="12" t="s">
        <v>5423</v>
      </c>
      <c r="B1078" s="12" t="s">
        <v>54</v>
      </c>
      <c r="C1078" s="19">
        <v>46183.0</v>
      </c>
      <c r="D1078" s="12" t="s">
        <v>6572</v>
      </c>
      <c r="E1078" s="12" t="s">
        <v>6573</v>
      </c>
      <c r="F1078" s="12" t="s">
        <v>715</v>
      </c>
      <c r="G1078" s="12"/>
      <c r="H1078" s="12"/>
      <c r="I1078" s="17"/>
      <c r="J1078" s="17"/>
      <c r="BO1078" s="17"/>
      <c r="BP1078" s="12" t="s">
        <v>5918</v>
      </c>
      <c r="BQ1078" s="12" t="b">
        <v>0</v>
      </c>
      <c r="BR1078" s="17"/>
      <c r="BS1078" s="12"/>
      <c r="BT1078" s="12" t="b">
        <v>0</v>
      </c>
      <c r="BU1078" s="12" t="s">
        <v>69</v>
      </c>
      <c r="BV1078" s="12"/>
      <c r="BW1078" s="12"/>
    </row>
    <row r="1079">
      <c r="A1079" s="16" t="s">
        <v>6574</v>
      </c>
      <c r="B1079" s="12" t="s">
        <v>54</v>
      </c>
      <c r="C1079" s="19">
        <v>46183.0</v>
      </c>
      <c r="D1079" s="12" t="s">
        <v>6572</v>
      </c>
      <c r="E1079" s="12" t="s">
        <v>6573</v>
      </c>
      <c r="F1079" s="12" t="s">
        <v>715</v>
      </c>
      <c r="G1079" s="12"/>
      <c r="H1079" s="12"/>
      <c r="I1079" s="17"/>
      <c r="J1079" s="17"/>
      <c r="BO1079" s="17"/>
      <c r="BP1079" s="12" t="s">
        <v>6575</v>
      </c>
      <c r="BQ1079" s="12" t="b">
        <v>0</v>
      </c>
      <c r="BR1079" s="17"/>
      <c r="BS1079" s="12"/>
      <c r="BT1079" s="12" t="b">
        <v>0</v>
      </c>
      <c r="BU1079" s="12" t="s">
        <v>69</v>
      </c>
      <c r="BV1079" s="12"/>
      <c r="BW1079" s="12"/>
    </row>
    <row r="1080">
      <c r="A1080" s="12" t="s">
        <v>5525</v>
      </c>
      <c r="B1080" s="12" t="s">
        <v>54</v>
      </c>
      <c r="C1080" s="19">
        <v>46189.0</v>
      </c>
      <c r="D1080" s="12" t="s">
        <v>1043</v>
      </c>
      <c r="E1080" s="12" t="s">
        <v>5925</v>
      </c>
      <c r="F1080" s="12" t="s">
        <v>687</v>
      </c>
      <c r="G1080" s="12"/>
      <c r="H1080" s="12"/>
      <c r="I1080" s="17"/>
      <c r="J1080" s="17"/>
      <c r="BO1080" s="17"/>
      <c r="BP1080" s="12" t="s">
        <v>5926</v>
      </c>
      <c r="BQ1080" s="12" t="b">
        <v>0</v>
      </c>
      <c r="BR1080" s="17"/>
      <c r="BS1080" s="16" t="s">
        <v>6576</v>
      </c>
      <c r="BT1080" s="12" t="b">
        <v>1</v>
      </c>
      <c r="BU1080" s="12" t="s">
        <v>69</v>
      </c>
      <c r="BV1080" s="12"/>
      <c r="BW1080" s="12"/>
    </row>
    <row r="1081">
      <c r="A1081" s="12" t="s">
        <v>2840</v>
      </c>
      <c r="B1081" s="12" t="s">
        <v>54</v>
      </c>
      <c r="C1081" s="19">
        <v>46189.0</v>
      </c>
      <c r="D1081" s="12" t="s">
        <v>689</v>
      </c>
      <c r="E1081" s="12"/>
      <c r="F1081" s="12" t="s">
        <v>5933</v>
      </c>
      <c r="G1081" s="12" t="s">
        <v>693</v>
      </c>
      <c r="H1081" s="12">
        <v>1.0</v>
      </c>
      <c r="I1081" s="17">
        <v>5300.0</v>
      </c>
      <c r="J1081" s="17">
        <v>5300.0</v>
      </c>
      <c r="BO1081" s="17">
        <v>5300.0</v>
      </c>
      <c r="BP1081" s="12"/>
      <c r="BQ1081" s="12"/>
      <c r="BR1081" s="17">
        <v>5300.0</v>
      </c>
      <c r="BS1081" s="12"/>
      <c r="BT1081" s="12"/>
      <c r="BU1081" s="12" t="s">
        <v>621</v>
      </c>
      <c r="BV1081" s="12"/>
      <c r="BW1081" s="12"/>
    </row>
    <row r="1082">
      <c r="A1082" s="12">
        <v>1581.0</v>
      </c>
      <c r="B1082" s="12" t="s">
        <v>54</v>
      </c>
      <c r="C1082" s="19">
        <v>46190.0</v>
      </c>
      <c r="D1082" s="12" t="s">
        <v>933</v>
      </c>
      <c r="E1082" s="12"/>
      <c r="F1082" s="12" t="s">
        <v>1494</v>
      </c>
      <c r="G1082" s="12" t="s">
        <v>1040</v>
      </c>
      <c r="H1082" s="12">
        <v>1.0</v>
      </c>
      <c r="I1082" s="17">
        <v>3949.05</v>
      </c>
      <c r="J1082" s="17">
        <v>3949.05</v>
      </c>
      <c r="BO1082" s="17">
        <v>3949.05</v>
      </c>
      <c r="BP1082" s="12"/>
      <c r="BQ1082" s="12"/>
      <c r="BR1082" s="17">
        <v>3949.05</v>
      </c>
      <c r="BS1082" s="12"/>
      <c r="BT1082" s="12"/>
      <c r="BU1082" s="12" t="s">
        <v>621</v>
      </c>
      <c r="BV1082" s="12"/>
      <c r="BW1082" s="12"/>
    </row>
    <row r="1083">
      <c r="A1083" s="12">
        <v>1582.0</v>
      </c>
      <c r="B1083" s="12" t="s">
        <v>54</v>
      </c>
      <c r="C1083" s="19">
        <v>46190.0</v>
      </c>
      <c r="D1083" s="12" t="s">
        <v>734</v>
      </c>
      <c r="E1083" s="12"/>
      <c r="F1083" s="12" t="s">
        <v>1466</v>
      </c>
      <c r="G1083" s="12" t="s">
        <v>1056</v>
      </c>
      <c r="H1083" s="12">
        <v>1.0</v>
      </c>
      <c r="I1083" s="17">
        <v>1324.89</v>
      </c>
      <c r="J1083" s="17">
        <v>1324.89</v>
      </c>
      <c r="BO1083" s="17">
        <v>1324.89</v>
      </c>
      <c r="BP1083" s="12"/>
      <c r="BQ1083" s="12"/>
      <c r="BR1083" s="17">
        <v>1324.89</v>
      </c>
      <c r="BS1083" s="12"/>
      <c r="BT1083" s="12"/>
      <c r="BU1083" s="12" t="s">
        <v>621</v>
      </c>
      <c r="BV1083" s="12"/>
      <c r="BW1083" s="12"/>
    </row>
    <row r="1084">
      <c r="A1084" s="12">
        <v>1583.0</v>
      </c>
      <c r="B1084" s="12" t="s">
        <v>54</v>
      </c>
      <c r="C1084" s="19">
        <v>46190.0</v>
      </c>
      <c r="D1084" s="12" t="s">
        <v>1067</v>
      </c>
      <c r="E1084" s="12"/>
      <c r="F1084" s="12" t="s">
        <v>1068</v>
      </c>
      <c r="G1084" s="12" t="s">
        <v>741</v>
      </c>
      <c r="H1084" s="12">
        <v>1.0</v>
      </c>
      <c r="I1084" s="17">
        <v>1096.14</v>
      </c>
      <c r="J1084" s="17">
        <v>1096.14</v>
      </c>
      <c r="BO1084" s="17">
        <v>1096.14</v>
      </c>
      <c r="BP1084" s="12"/>
      <c r="BQ1084" s="12"/>
      <c r="BR1084" s="17">
        <v>1096.14</v>
      </c>
      <c r="BS1084" s="12"/>
      <c r="BT1084" s="12"/>
      <c r="BU1084" s="12" t="s">
        <v>621</v>
      </c>
      <c r="BV1084" s="12"/>
      <c r="BW1084" s="12"/>
    </row>
    <row r="1085">
      <c r="A1085" s="12">
        <v>1584.0</v>
      </c>
      <c r="B1085" s="12" t="s">
        <v>54</v>
      </c>
      <c r="C1085" s="19">
        <v>46190.0</v>
      </c>
      <c r="D1085" s="12" t="s">
        <v>1484</v>
      </c>
      <c r="E1085" s="12"/>
      <c r="F1085" s="12" t="s">
        <v>1485</v>
      </c>
      <c r="G1085" s="12" t="s">
        <v>1486</v>
      </c>
      <c r="H1085" s="12">
        <v>1.0</v>
      </c>
      <c r="I1085" s="17">
        <v>0.0</v>
      </c>
      <c r="J1085" s="17">
        <v>0.0</v>
      </c>
      <c r="BO1085" s="17">
        <v>0.0</v>
      </c>
      <c r="BP1085" s="12"/>
      <c r="BQ1085" s="12"/>
      <c r="BR1085" s="17">
        <v>0.0</v>
      </c>
      <c r="BS1085" s="12"/>
      <c r="BT1085" s="12"/>
      <c r="BU1085" s="12" t="s">
        <v>621</v>
      </c>
      <c r="BV1085" s="12"/>
      <c r="BW1085" s="12"/>
    </row>
    <row r="1086">
      <c r="A1086" s="12" t="s">
        <v>2853</v>
      </c>
      <c r="B1086" s="12" t="s">
        <v>54</v>
      </c>
      <c r="C1086" s="19">
        <v>46190.0</v>
      </c>
      <c r="D1086" s="12" t="s">
        <v>5943</v>
      </c>
      <c r="E1086" s="12"/>
      <c r="F1086" s="12" t="s">
        <v>5944</v>
      </c>
      <c r="G1086" s="12" t="s">
        <v>2855</v>
      </c>
      <c r="H1086" s="12">
        <v>1.0</v>
      </c>
      <c r="I1086" s="17">
        <v>306.0</v>
      </c>
      <c r="J1086" s="17">
        <v>306.0</v>
      </c>
      <c r="BO1086" s="17">
        <v>306.0</v>
      </c>
      <c r="BP1086" s="12"/>
      <c r="BQ1086" s="12"/>
      <c r="BR1086" s="17">
        <v>306.0</v>
      </c>
      <c r="BS1086" s="12"/>
      <c r="BT1086" s="12"/>
      <c r="BU1086" s="12" t="s">
        <v>621</v>
      </c>
      <c r="BV1086" s="12"/>
      <c r="BW1086" s="12"/>
    </row>
    <row r="1087">
      <c r="A1087" s="12" t="s">
        <v>2858</v>
      </c>
      <c r="B1087" s="12" t="s">
        <v>54</v>
      </c>
      <c r="C1087" s="19">
        <v>46191.0</v>
      </c>
      <c r="D1087" s="12"/>
      <c r="E1087" s="12"/>
      <c r="F1087" s="12" t="s">
        <v>5946</v>
      </c>
      <c r="G1087" s="12" t="s">
        <v>1196</v>
      </c>
      <c r="H1087" s="12">
        <v>1.0</v>
      </c>
      <c r="I1087" s="17">
        <v>2212.33</v>
      </c>
      <c r="J1087" s="17">
        <v>2212.33</v>
      </c>
      <c r="BO1087" s="17">
        <v>2212.33</v>
      </c>
      <c r="BP1087" s="12"/>
      <c r="BQ1087" s="12"/>
      <c r="BR1087" s="17">
        <v>2212.33</v>
      </c>
      <c r="BS1087" s="12"/>
      <c r="BT1087" s="12"/>
      <c r="BU1087" s="12" t="s">
        <v>191</v>
      </c>
      <c r="BV1087" s="12" t="s">
        <v>1183</v>
      </c>
      <c r="BW1087" s="12"/>
    </row>
    <row r="1088">
      <c r="A1088" s="12" t="s">
        <v>5534</v>
      </c>
      <c r="B1088" s="12" t="s">
        <v>54</v>
      </c>
      <c r="C1088" s="19">
        <v>46192.0</v>
      </c>
      <c r="D1088" s="12" t="s">
        <v>220</v>
      </c>
      <c r="E1088" s="12" t="s">
        <v>5950</v>
      </c>
      <c r="F1088" s="12" t="s">
        <v>2402</v>
      </c>
      <c r="G1088" s="12"/>
      <c r="H1088" s="12"/>
      <c r="I1088" s="17"/>
      <c r="J1088" s="17"/>
      <c r="BO1088" s="17"/>
      <c r="BP1088" s="12" t="s">
        <v>5951</v>
      </c>
      <c r="BQ1088" s="12" t="b">
        <v>0</v>
      </c>
      <c r="BR1088" s="17"/>
      <c r="BS1088" s="16" t="s">
        <v>6583</v>
      </c>
      <c r="BT1088" s="12" t="b">
        <v>1</v>
      </c>
      <c r="BU1088" s="12" t="s">
        <v>69</v>
      </c>
      <c r="BV1088" s="12"/>
      <c r="BW1088" s="12"/>
    </row>
    <row r="1089">
      <c r="A1089" s="16" t="s">
        <v>5530</v>
      </c>
      <c r="B1089" s="12" t="s">
        <v>54</v>
      </c>
      <c r="C1089" s="19">
        <v>46192.0</v>
      </c>
      <c r="D1089" s="12" t="s">
        <v>220</v>
      </c>
      <c r="E1089" s="12" t="s">
        <v>5957</v>
      </c>
      <c r="F1089" s="12" t="s">
        <v>5959</v>
      </c>
      <c r="G1089" s="12"/>
      <c r="H1089" s="12"/>
      <c r="I1089" s="17"/>
      <c r="J1089" s="17"/>
      <c r="BO1089" s="17"/>
      <c r="BP1089" s="12" t="s">
        <v>5958</v>
      </c>
      <c r="BQ1089" s="12" t="b">
        <v>0</v>
      </c>
      <c r="BR1089" s="17"/>
      <c r="BS1089" s="16" t="s">
        <v>6583</v>
      </c>
      <c r="BT1089" s="12" t="b">
        <v>1</v>
      </c>
      <c r="BU1089" s="12" t="s">
        <v>69</v>
      </c>
      <c r="BV1089" s="12"/>
      <c r="BW1089" s="12"/>
    </row>
    <row r="1090">
      <c r="A1090" s="12" t="s">
        <v>5532</v>
      </c>
      <c r="B1090" s="12" t="s">
        <v>54</v>
      </c>
      <c r="C1090" s="19">
        <v>46192.0</v>
      </c>
      <c r="D1090" s="12" t="s">
        <v>470</v>
      </c>
      <c r="E1090" s="12" t="s">
        <v>5962</v>
      </c>
      <c r="F1090" s="12" t="s">
        <v>3989</v>
      </c>
      <c r="G1090" s="12"/>
      <c r="H1090" s="12"/>
      <c r="I1090" s="17"/>
      <c r="J1090" s="17"/>
      <c r="BO1090" s="17"/>
      <c r="BP1090" s="12" t="s">
        <v>5964</v>
      </c>
      <c r="BQ1090" s="12" t="b">
        <v>0</v>
      </c>
      <c r="BR1090" s="17"/>
      <c r="BS1090" s="16" t="s">
        <v>6583</v>
      </c>
      <c r="BT1090" s="12" t="b">
        <v>1</v>
      </c>
      <c r="BU1090" s="12" t="s">
        <v>69</v>
      </c>
      <c r="BV1090" s="12"/>
      <c r="BW1090" s="12"/>
    </row>
    <row r="1091">
      <c r="A1091" s="12" t="s">
        <v>2862</v>
      </c>
      <c r="B1091" s="12" t="s">
        <v>54</v>
      </c>
      <c r="C1091" s="19">
        <v>46195.0</v>
      </c>
      <c r="D1091" s="12"/>
      <c r="E1091" s="12"/>
      <c r="F1091" s="12" t="s">
        <v>5966</v>
      </c>
      <c r="G1091" s="12" t="s">
        <v>1196</v>
      </c>
      <c r="H1091" s="12">
        <v>1.0</v>
      </c>
      <c r="I1091" s="17">
        <v>0.01</v>
      </c>
      <c r="J1091" s="17">
        <v>0.01</v>
      </c>
      <c r="BO1091" s="17">
        <v>0.01</v>
      </c>
      <c r="BP1091" s="12"/>
      <c r="BQ1091" s="12"/>
      <c r="BR1091" s="17">
        <v>0.01</v>
      </c>
      <c r="BS1091" s="12"/>
      <c r="BT1091" s="12"/>
      <c r="BU1091" s="12" t="s">
        <v>621</v>
      </c>
      <c r="BV1091" s="12" t="s">
        <v>1183</v>
      </c>
      <c r="BW1091" s="12"/>
    </row>
    <row r="1092">
      <c r="A1092" s="12">
        <v>1576.0</v>
      </c>
      <c r="B1092" s="12" t="s">
        <v>54</v>
      </c>
      <c r="C1092" s="19">
        <v>46195.0</v>
      </c>
      <c r="D1092" s="12" t="s">
        <v>4420</v>
      </c>
      <c r="E1092" s="12"/>
      <c r="F1092" s="12" t="s">
        <v>5970</v>
      </c>
      <c r="G1092" s="12" t="s">
        <v>1756</v>
      </c>
      <c r="H1092" s="12">
        <v>1.0</v>
      </c>
      <c r="I1092" s="17">
        <v>1078.68</v>
      </c>
      <c r="J1092" s="17">
        <v>1078.68</v>
      </c>
      <c r="BO1092" s="17">
        <v>1078.68</v>
      </c>
      <c r="BP1092" s="12"/>
      <c r="BQ1092" s="12"/>
      <c r="BR1092" s="17">
        <v>1078.68</v>
      </c>
      <c r="BS1092" s="12"/>
      <c r="BT1092" s="12"/>
      <c r="BU1092" s="12" t="s">
        <v>621</v>
      </c>
      <c r="BV1092" s="12"/>
      <c r="BW1092" s="12"/>
    </row>
    <row r="1093">
      <c r="A1093" s="12">
        <v>1591.0</v>
      </c>
      <c r="B1093" s="12" t="s">
        <v>54</v>
      </c>
      <c r="C1093" s="19">
        <v>46195.0</v>
      </c>
      <c r="D1093" s="12" t="s">
        <v>818</v>
      </c>
      <c r="E1093" s="12"/>
      <c r="F1093" s="12" t="s">
        <v>819</v>
      </c>
      <c r="G1093" s="12" t="s">
        <v>820</v>
      </c>
      <c r="H1093" s="12">
        <v>1.0</v>
      </c>
      <c r="I1093" s="17">
        <v>185.0</v>
      </c>
      <c r="J1093" s="17">
        <v>185.0</v>
      </c>
      <c r="BO1093" s="17">
        <v>185.0</v>
      </c>
      <c r="BP1093" s="12"/>
      <c r="BQ1093" s="12"/>
      <c r="BR1093" s="17">
        <v>185.0</v>
      </c>
      <c r="BS1093" s="12"/>
      <c r="BT1093" s="12"/>
      <c r="BU1093" s="12" t="s">
        <v>621</v>
      </c>
      <c r="BV1093" s="12"/>
      <c r="BW1093" s="12"/>
    </row>
    <row r="1094">
      <c r="A1094" s="12" t="s">
        <v>2870</v>
      </c>
      <c r="B1094" s="12" t="s">
        <v>54</v>
      </c>
      <c r="C1094" s="19">
        <v>46195.0</v>
      </c>
      <c r="D1094" s="12" t="s">
        <v>5974</v>
      </c>
      <c r="E1094" s="12"/>
      <c r="F1094" s="12" t="s">
        <v>5975</v>
      </c>
      <c r="G1094" s="12">
        <v>7.9792017E7</v>
      </c>
      <c r="H1094" s="12">
        <v>1.0</v>
      </c>
      <c r="I1094" s="17">
        <v>1057.0</v>
      </c>
      <c r="J1094" s="17">
        <v>1057.0</v>
      </c>
      <c r="BO1094" s="17">
        <v>1057.0</v>
      </c>
      <c r="BP1094" s="12"/>
      <c r="BQ1094" s="12"/>
      <c r="BR1094" s="17">
        <v>1057.0</v>
      </c>
      <c r="BS1094" s="12"/>
      <c r="BT1094" s="12"/>
      <c r="BU1094" s="12" t="s">
        <v>621</v>
      </c>
      <c r="BV1094" s="12"/>
      <c r="BW1094" s="12"/>
    </row>
    <row r="1095">
      <c r="A1095" s="12">
        <v>1596.0</v>
      </c>
      <c r="B1095" s="12" t="s">
        <v>54</v>
      </c>
      <c r="C1095" s="19">
        <v>46195.0</v>
      </c>
      <c r="D1095" s="12" t="s">
        <v>1712</v>
      </c>
      <c r="E1095" s="12"/>
      <c r="F1095" s="12" t="s">
        <v>5978</v>
      </c>
      <c r="G1095" s="12" t="s">
        <v>1818</v>
      </c>
      <c r="H1095" s="12">
        <v>1.0</v>
      </c>
      <c r="I1095" s="17">
        <v>236.83</v>
      </c>
      <c r="J1095" s="17">
        <v>236.83</v>
      </c>
      <c r="BO1095" s="17">
        <v>236.83</v>
      </c>
      <c r="BP1095" s="12"/>
      <c r="BQ1095" s="12"/>
      <c r="BR1095" s="17">
        <v>236.83</v>
      </c>
      <c r="BS1095" s="12"/>
      <c r="BT1095" s="12"/>
      <c r="BU1095" s="12" t="s">
        <v>621</v>
      </c>
      <c r="BV1095" s="12"/>
      <c r="BW1095" s="12"/>
    </row>
    <row r="1096">
      <c r="A1096" s="12" t="s">
        <v>2878</v>
      </c>
      <c r="B1096" s="12" t="s">
        <v>54</v>
      </c>
      <c r="C1096" s="19">
        <v>46195.0</v>
      </c>
      <c r="D1096" s="12" t="s">
        <v>1914</v>
      </c>
      <c r="E1096" s="12"/>
      <c r="F1096" s="12" t="s">
        <v>5982</v>
      </c>
      <c r="G1096" s="12" t="s">
        <v>1908</v>
      </c>
      <c r="H1096" s="12">
        <v>1.0</v>
      </c>
      <c r="I1096" s="17">
        <v>1117.77</v>
      </c>
      <c r="J1096" s="17">
        <v>1117.77</v>
      </c>
      <c r="BO1096" s="17">
        <v>1117.77</v>
      </c>
      <c r="BP1096" s="12"/>
      <c r="BQ1096" s="12"/>
      <c r="BR1096" s="17">
        <v>1117.77</v>
      </c>
      <c r="BS1096" s="12"/>
      <c r="BT1096" s="12"/>
      <c r="BU1096" s="12" t="s">
        <v>621</v>
      </c>
      <c r="BV1096" s="12"/>
      <c r="BW1096" s="12"/>
    </row>
    <row r="1097">
      <c r="A1097" s="12" t="s">
        <v>2882</v>
      </c>
      <c r="B1097" s="12" t="s">
        <v>54</v>
      </c>
      <c r="C1097" s="19">
        <v>46195.0</v>
      </c>
      <c r="D1097" s="12" t="s">
        <v>1914</v>
      </c>
      <c r="E1097" s="12"/>
      <c r="F1097" s="12" t="s">
        <v>5984</v>
      </c>
      <c r="G1097" s="12" t="s">
        <v>1082</v>
      </c>
      <c r="H1097" s="12">
        <v>1.0</v>
      </c>
      <c r="I1097" s="17">
        <v>1110.0</v>
      </c>
      <c r="J1097" s="17">
        <v>1110.0</v>
      </c>
      <c r="BO1097" s="17">
        <v>1110.0</v>
      </c>
      <c r="BP1097" s="12"/>
      <c r="BQ1097" s="12"/>
      <c r="BR1097" s="17">
        <v>1110.0</v>
      </c>
      <c r="BS1097" s="12"/>
      <c r="BT1097" s="12"/>
      <c r="BU1097" s="12" t="s">
        <v>621</v>
      </c>
      <c r="BV1097" s="12"/>
      <c r="BW1097" s="12"/>
    </row>
    <row r="1098">
      <c r="A1098" s="12" t="s">
        <v>2886</v>
      </c>
      <c r="B1098" s="12" t="s">
        <v>54</v>
      </c>
      <c r="C1098" s="19">
        <v>46195.0</v>
      </c>
      <c r="D1098" s="12" t="s">
        <v>1914</v>
      </c>
      <c r="E1098" s="12"/>
      <c r="F1098" s="12" t="s">
        <v>5989</v>
      </c>
      <c r="G1098" s="12" t="s">
        <v>1906</v>
      </c>
      <c r="H1098" s="12">
        <v>1.0</v>
      </c>
      <c r="I1098" s="17">
        <v>398.8</v>
      </c>
      <c r="J1098" s="17">
        <v>398.8</v>
      </c>
      <c r="BO1098" s="17">
        <v>398.8</v>
      </c>
      <c r="BP1098" s="12"/>
      <c r="BQ1098" s="12"/>
      <c r="BR1098" s="17">
        <v>398.8</v>
      </c>
      <c r="BS1098" s="12"/>
      <c r="BT1098" s="12"/>
      <c r="BU1098" s="12" t="s">
        <v>621</v>
      </c>
      <c r="BV1098" s="12"/>
      <c r="BW1098" s="12"/>
    </row>
    <row r="1099">
      <c r="A1099" s="12" t="s">
        <v>6594</v>
      </c>
      <c r="B1099" s="12" t="s">
        <v>54</v>
      </c>
      <c r="C1099" s="19">
        <v>46197.0</v>
      </c>
      <c r="D1099" s="12" t="s">
        <v>683</v>
      </c>
      <c r="E1099" s="12" t="s">
        <v>6596</v>
      </c>
      <c r="F1099" s="12" t="s">
        <v>687</v>
      </c>
      <c r="G1099" s="12"/>
      <c r="H1099" s="12"/>
      <c r="I1099" s="17"/>
      <c r="J1099" s="17"/>
      <c r="BO1099" s="17"/>
      <c r="BP1099" s="12" t="s">
        <v>6597</v>
      </c>
      <c r="BQ1099" s="12" t="b">
        <v>0</v>
      </c>
      <c r="BR1099" s="17"/>
      <c r="BS1099" s="16" t="s">
        <v>6598</v>
      </c>
      <c r="BT1099" s="12" t="b">
        <v>1</v>
      </c>
      <c r="BU1099" s="12" t="s">
        <v>69</v>
      </c>
      <c r="BV1099" s="12"/>
      <c r="BW1099" s="12"/>
    </row>
    <row r="1100">
      <c r="A1100" s="12" t="s">
        <v>5566</v>
      </c>
      <c r="B1100" s="12" t="s">
        <v>54</v>
      </c>
      <c r="C1100" s="19">
        <v>46198.0</v>
      </c>
      <c r="D1100" s="12" t="s">
        <v>220</v>
      </c>
      <c r="E1100" s="12" t="s">
        <v>5994</v>
      </c>
      <c r="F1100" s="12" t="s">
        <v>2402</v>
      </c>
      <c r="G1100" s="12"/>
      <c r="H1100" s="12"/>
      <c r="I1100" s="17"/>
      <c r="J1100" s="17"/>
      <c r="BO1100" s="17"/>
      <c r="BP1100" s="12" t="s">
        <v>5995</v>
      </c>
      <c r="BQ1100" s="12" t="b">
        <v>0</v>
      </c>
      <c r="BR1100" s="17"/>
      <c r="BS1100" s="16" t="s">
        <v>6599</v>
      </c>
      <c r="BT1100" s="12" t="b">
        <v>1</v>
      </c>
      <c r="BU1100" s="12" t="s">
        <v>69</v>
      </c>
      <c r="BV1100" s="12"/>
      <c r="BW1100" s="12"/>
    </row>
    <row r="1101">
      <c r="A1101" s="12" t="s">
        <v>5602</v>
      </c>
      <c r="B1101" s="12" t="s">
        <v>54</v>
      </c>
      <c r="C1101" s="19">
        <v>46198.0</v>
      </c>
      <c r="D1101" s="12" t="s">
        <v>4672</v>
      </c>
      <c r="E1101" s="12" t="s">
        <v>5999</v>
      </c>
      <c r="F1101" s="12" t="s">
        <v>3841</v>
      </c>
      <c r="G1101" s="12"/>
      <c r="H1101" s="12"/>
      <c r="I1101" s="17"/>
      <c r="J1101" s="17"/>
      <c r="BO1101" s="17"/>
      <c r="BP1101" s="12" t="s">
        <v>6001</v>
      </c>
      <c r="BQ1101" s="12" t="b">
        <v>0</v>
      </c>
      <c r="BR1101" s="17"/>
      <c r="BS1101" s="16" t="s">
        <v>6603</v>
      </c>
      <c r="BT1101" s="12" t="b">
        <v>1</v>
      </c>
      <c r="BU1101" s="12" t="s">
        <v>69</v>
      </c>
      <c r="BV1101" s="12"/>
      <c r="BW1101" s="12"/>
    </row>
    <row r="1102">
      <c r="A1102" s="12" t="s">
        <v>6604</v>
      </c>
      <c r="B1102" s="12" t="s">
        <v>54</v>
      </c>
      <c r="C1102" s="19">
        <v>46170.0</v>
      </c>
      <c r="D1102" s="12" t="s">
        <v>6572</v>
      </c>
      <c r="E1102" s="12" t="s">
        <v>6605</v>
      </c>
      <c r="F1102" s="12" t="s">
        <v>715</v>
      </c>
      <c r="G1102" s="12"/>
      <c r="H1102" s="12"/>
      <c r="I1102" s="17"/>
      <c r="J1102" s="17"/>
      <c r="BO1102" s="17"/>
      <c r="BP1102" s="12" t="s">
        <v>6606</v>
      </c>
      <c r="BQ1102" s="12" t="b">
        <v>0</v>
      </c>
      <c r="BR1102" s="17"/>
      <c r="BS1102" s="12"/>
      <c r="BT1102" s="12" t="b">
        <v>0</v>
      </c>
      <c r="BU1102" s="12" t="s">
        <v>69</v>
      </c>
      <c r="BV1102" s="12"/>
      <c r="BW1102" s="12"/>
    </row>
    <row r="1103">
      <c r="A1103" s="12" t="s">
        <v>6608</v>
      </c>
      <c r="B1103" s="12" t="s">
        <v>54</v>
      </c>
      <c r="C1103" s="19">
        <v>46170.0</v>
      </c>
      <c r="D1103" s="12" t="s">
        <v>6572</v>
      </c>
      <c r="E1103" s="12" t="s">
        <v>6605</v>
      </c>
      <c r="F1103" s="12" t="s">
        <v>715</v>
      </c>
      <c r="G1103" s="12"/>
      <c r="H1103" s="12"/>
      <c r="I1103" s="17"/>
      <c r="J1103" s="17"/>
      <c r="BO1103" s="17"/>
      <c r="BP1103" s="12" t="s">
        <v>6609</v>
      </c>
      <c r="BQ1103" s="12" t="b">
        <v>0</v>
      </c>
      <c r="BR1103" s="17"/>
      <c r="BS1103" s="12"/>
      <c r="BT1103" s="12" t="b">
        <v>0</v>
      </c>
      <c r="BU1103" s="12" t="s">
        <v>69</v>
      </c>
      <c r="BV1103" s="12"/>
      <c r="BW1103" s="12"/>
    </row>
    <row r="1104">
      <c r="A1104" s="12" t="s">
        <v>2891</v>
      </c>
      <c r="B1104" s="12" t="s">
        <v>54</v>
      </c>
      <c r="C1104" s="19">
        <v>46199.0</v>
      </c>
      <c r="D1104" s="12" t="s">
        <v>1715</v>
      </c>
      <c r="E1104" s="12"/>
      <c r="F1104" s="12" t="s">
        <v>45</v>
      </c>
      <c r="G1104" s="12" t="s">
        <v>1936</v>
      </c>
      <c r="H1104" s="12">
        <v>1.0</v>
      </c>
      <c r="I1104" s="17">
        <v>593.12</v>
      </c>
      <c r="J1104" s="17">
        <v>593.12</v>
      </c>
      <c r="BO1104" s="17">
        <v>593.12</v>
      </c>
      <c r="BP1104" s="12"/>
      <c r="BQ1104" s="12"/>
      <c r="BR1104" s="17">
        <v>593.12</v>
      </c>
      <c r="BS1104" s="12"/>
      <c r="BT1104" s="12"/>
      <c r="BU1104" s="12" t="s">
        <v>621</v>
      </c>
      <c r="BV1104" s="12"/>
      <c r="BW1104" s="12"/>
    </row>
    <row r="1105">
      <c r="A1105" s="12" t="s">
        <v>2894</v>
      </c>
      <c r="B1105" s="12" t="s">
        <v>54</v>
      </c>
      <c r="C1105" s="19">
        <v>46199.0</v>
      </c>
      <c r="D1105" s="12" t="s">
        <v>734</v>
      </c>
      <c r="E1105" s="12"/>
      <c r="F1105" s="12" t="s">
        <v>6010</v>
      </c>
      <c r="G1105" s="12" t="s">
        <v>2895</v>
      </c>
      <c r="H1105" s="12">
        <v>1.0</v>
      </c>
      <c r="I1105" s="17">
        <v>394.83</v>
      </c>
      <c r="J1105" s="17">
        <v>394.83</v>
      </c>
      <c r="BO1105" s="17">
        <v>394.83</v>
      </c>
      <c r="BP1105" s="12"/>
      <c r="BQ1105" s="12"/>
      <c r="BR1105" s="17">
        <v>394.83</v>
      </c>
      <c r="BS1105" s="12"/>
      <c r="BT1105" s="12"/>
      <c r="BU1105" s="12" t="s">
        <v>621</v>
      </c>
      <c r="BV1105" s="12"/>
      <c r="BW1105" s="12"/>
    </row>
    <row r="1106">
      <c r="A1106" s="12" t="s">
        <v>2901</v>
      </c>
      <c r="B1106" s="12" t="s">
        <v>54</v>
      </c>
      <c r="C1106" s="19">
        <v>46199.0</v>
      </c>
      <c r="D1106" s="12" t="s">
        <v>6012</v>
      </c>
      <c r="E1106" s="12"/>
      <c r="F1106" s="12" t="s">
        <v>6013</v>
      </c>
      <c r="G1106" s="12" t="s">
        <v>2902</v>
      </c>
      <c r="H1106" s="12">
        <v>1.0</v>
      </c>
      <c r="I1106" s="17">
        <v>134.0</v>
      </c>
      <c r="J1106" s="17">
        <v>134.0</v>
      </c>
      <c r="BO1106" s="17">
        <v>134.0</v>
      </c>
      <c r="BP1106" s="12"/>
      <c r="BQ1106" s="12"/>
      <c r="BR1106" s="17">
        <v>134.0</v>
      </c>
      <c r="BS1106" s="12"/>
      <c r="BT1106" s="12"/>
      <c r="BU1106" s="12" t="s">
        <v>621</v>
      </c>
      <c r="BV1106" s="12"/>
      <c r="BW1106" s="12"/>
    </row>
    <row r="1107">
      <c r="A1107" s="12" t="s">
        <v>5605</v>
      </c>
      <c r="B1107" s="12" t="s">
        <v>54</v>
      </c>
      <c r="C1107" s="19">
        <v>46201.0</v>
      </c>
      <c r="D1107" s="12" t="s">
        <v>3425</v>
      </c>
      <c r="E1107" s="12" t="s">
        <v>6016</v>
      </c>
      <c r="F1107" s="12" t="s">
        <v>3989</v>
      </c>
      <c r="G1107" s="12"/>
      <c r="H1107" s="12"/>
      <c r="I1107" s="17"/>
      <c r="J1107" s="17"/>
      <c r="BO1107" s="17"/>
      <c r="BP1107" s="12" t="s">
        <v>6017</v>
      </c>
      <c r="BQ1107" s="12" t="b">
        <v>0</v>
      </c>
      <c r="BR1107" s="17"/>
      <c r="BS1107" s="16" t="s">
        <v>6614</v>
      </c>
      <c r="BT1107" s="12" t="b">
        <v>1</v>
      </c>
      <c r="BU1107" s="12" t="s">
        <v>69</v>
      </c>
      <c r="BV1107" s="12"/>
      <c r="BW1107" s="12"/>
    </row>
    <row r="1108">
      <c r="A1108" s="12" t="s">
        <v>5607</v>
      </c>
      <c r="B1108" s="12" t="s">
        <v>54</v>
      </c>
      <c r="C1108" s="19">
        <v>46203.0</v>
      </c>
      <c r="D1108" s="12" t="s">
        <v>220</v>
      </c>
      <c r="E1108" s="12" t="s">
        <v>6020</v>
      </c>
      <c r="F1108" s="12" t="s">
        <v>2402</v>
      </c>
      <c r="G1108" s="12"/>
      <c r="H1108" s="12"/>
      <c r="I1108" s="17"/>
      <c r="J1108" s="17"/>
      <c r="BO1108" s="17"/>
      <c r="BP1108" s="12" t="s">
        <v>6021</v>
      </c>
      <c r="BQ1108" s="12" t="b">
        <v>0</v>
      </c>
      <c r="BR1108" s="17"/>
      <c r="BS1108" s="16" t="s">
        <v>6615</v>
      </c>
      <c r="BT1108" s="12" t="b">
        <v>1</v>
      </c>
      <c r="BU1108" s="12" t="s">
        <v>69</v>
      </c>
      <c r="BV1108" s="12"/>
      <c r="BW1108" s="12"/>
    </row>
    <row r="1109">
      <c r="A1109" s="12" t="s">
        <v>6617</v>
      </c>
      <c r="B1109" s="12" t="s">
        <v>54</v>
      </c>
      <c r="C1109" s="19">
        <v>46204.0</v>
      </c>
      <c r="D1109" s="12" t="s">
        <v>156</v>
      </c>
      <c r="E1109" s="12" t="s">
        <v>6619</v>
      </c>
      <c r="F1109" s="12" t="s">
        <v>488</v>
      </c>
      <c r="G1109" s="12"/>
      <c r="H1109" s="12"/>
      <c r="I1109" s="17"/>
      <c r="J1109" s="17"/>
      <c r="BO1109" s="17"/>
      <c r="BP1109" s="12" t="s">
        <v>6620</v>
      </c>
      <c r="BQ1109" s="12" t="b">
        <v>0</v>
      </c>
      <c r="BR1109" s="17"/>
      <c r="BS1109" s="12"/>
      <c r="BT1109" s="12" t="b">
        <v>0</v>
      </c>
      <c r="BU1109" s="12" t="s">
        <v>69</v>
      </c>
      <c r="BV1109" s="12"/>
      <c r="BW1109" s="12" t="s">
        <v>6621</v>
      </c>
    </row>
    <row r="1110">
      <c r="A1110" s="12" t="s">
        <v>6622</v>
      </c>
      <c r="B1110" s="12" t="s">
        <v>54</v>
      </c>
      <c r="C1110" s="19">
        <v>46204.0</v>
      </c>
      <c r="D1110" s="12" t="s">
        <v>156</v>
      </c>
      <c r="E1110" s="12" t="s">
        <v>6623</v>
      </c>
      <c r="F1110" s="12" t="s">
        <v>6624</v>
      </c>
      <c r="G1110" s="12"/>
      <c r="H1110" s="12"/>
      <c r="I1110" s="17"/>
      <c r="J1110" s="17"/>
      <c r="BO1110" s="17"/>
      <c r="BP1110" s="12" t="s">
        <v>6625</v>
      </c>
      <c r="BQ1110" s="12" t="b">
        <v>0</v>
      </c>
      <c r="BR1110" s="17"/>
      <c r="BS1110" s="12"/>
      <c r="BT1110" s="12" t="b">
        <v>0</v>
      </c>
      <c r="BU1110" s="12" t="s">
        <v>69</v>
      </c>
      <c r="BV1110" s="12"/>
      <c r="BW1110" s="12"/>
    </row>
    <row r="1111">
      <c r="A1111" s="12" t="s">
        <v>6626</v>
      </c>
      <c r="B1111" s="12" t="s">
        <v>54</v>
      </c>
      <c r="C1111" s="19">
        <v>46196.0</v>
      </c>
      <c r="D1111" s="12" t="s">
        <v>156</v>
      </c>
      <c r="E1111" s="12" t="s">
        <v>6627</v>
      </c>
      <c r="F1111" s="12" t="s">
        <v>368</v>
      </c>
      <c r="G1111" s="12"/>
      <c r="H1111" s="12"/>
      <c r="I1111" s="17"/>
      <c r="J1111" s="17"/>
      <c r="BO1111" s="17"/>
      <c r="BP1111" s="12" t="s">
        <v>6630</v>
      </c>
      <c r="BQ1111" s="12" t="b">
        <v>0</v>
      </c>
      <c r="BR1111" s="17"/>
      <c r="BS1111" s="12"/>
      <c r="BT1111" s="12" t="b">
        <v>0</v>
      </c>
      <c r="BU1111" s="12" t="s">
        <v>69</v>
      </c>
      <c r="BV1111" s="12"/>
      <c r="BW1111" s="12"/>
    </row>
    <row r="1112">
      <c r="A1112" s="12" t="s">
        <v>6631</v>
      </c>
      <c r="B1112" s="12" t="s">
        <v>54</v>
      </c>
      <c r="C1112" s="19">
        <v>46196.0</v>
      </c>
      <c r="D1112" s="12" t="s">
        <v>156</v>
      </c>
      <c r="E1112" s="12" t="s">
        <v>6627</v>
      </c>
      <c r="F1112" s="12" t="s">
        <v>368</v>
      </c>
      <c r="G1112" s="12"/>
      <c r="H1112" s="12"/>
      <c r="I1112" s="17"/>
      <c r="J1112" s="17"/>
      <c r="BO1112" s="17"/>
      <c r="BP1112" s="12" t="s">
        <v>6632</v>
      </c>
      <c r="BQ1112" s="12" t="b">
        <v>0</v>
      </c>
      <c r="BR1112" s="17"/>
      <c r="BS1112" s="12"/>
      <c r="BT1112" s="12" t="b">
        <v>0</v>
      </c>
      <c r="BU1112" s="12" t="s">
        <v>69</v>
      </c>
      <c r="BV1112" s="12"/>
      <c r="BW1112" s="12"/>
    </row>
    <row r="1113">
      <c r="A1113" s="12" t="s">
        <v>6633</v>
      </c>
      <c r="B1113" s="12" t="s">
        <v>54</v>
      </c>
      <c r="C1113" s="19">
        <v>46196.0</v>
      </c>
      <c r="D1113" s="12" t="s">
        <v>156</v>
      </c>
      <c r="E1113" s="12" t="s">
        <v>6627</v>
      </c>
      <c r="F1113" s="12" t="s">
        <v>368</v>
      </c>
      <c r="G1113" s="12"/>
      <c r="H1113" s="12"/>
      <c r="I1113" s="17"/>
      <c r="J1113" s="17"/>
      <c r="BO1113" s="17"/>
      <c r="BP1113" s="12" t="s">
        <v>6634</v>
      </c>
      <c r="BQ1113" s="12" t="b">
        <v>0</v>
      </c>
      <c r="BR1113" s="17"/>
      <c r="BS1113" s="12"/>
      <c r="BT1113" s="12" t="b">
        <v>0</v>
      </c>
      <c r="BU1113" s="12" t="s">
        <v>69</v>
      </c>
      <c r="BV1113" s="12"/>
      <c r="BW1113" s="12" t="s">
        <v>6635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5" t="s">
        <v>4</v>
      </c>
      <c r="B1" s="5" t="s">
        <v>8</v>
      </c>
      <c r="C1" s="5" t="s">
        <v>10</v>
      </c>
      <c r="D1" s="5" t="s">
        <v>11</v>
      </c>
      <c r="E1" s="5" t="s">
        <v>12</v>
      </c>
      <c r="F1" s="5" t="s">
        <v>16</v>
      </c>
      <c r="G1" s="5" t="s">
        <v>20</v>
      </c>
      <c r="H1" s="5" t="s">
        <v>6</v>
      </c>
      <c r="I1" s="5" t="s">
        <v>23</v>
      </c>
      <c r="J1" s="5" t="s">
        <v>25</v>
      </c>
      <c r="K1" s="5" t="s">
        <v>17</v>
      </c>
      <c r="L1" s="5" t="s">
        <v>30</v>
      </c>
      <c r="M1" s="5" t="s">
        <v>34</v>
      </c>
      <c r="N1" s="5" t="s">
        <v>37</v>
      </c>
      <c r="O1" s="5" t="s">
        <v>41</v>
      </c>
      <c r="P1" s="5" t="s">
        <v>0</v>
      </c>
      <c r="Q1" s="5" t="s">
        <v>22</v>
      </c>
      <c r="R1" s="5" t="s">
        <v>45</v>
      </c>
      <c r="S1" s="5" t="s">
        <v>47</v>
      </c>
    </row>
    <row r="2">
      <c r="A2" s="12" t="s">
        <v>49</v>
      </c>
      <c r="B2" s="12" t="s">
        <v>54</v>
      </c>
      <c r="C2" s="14">
        <v>45852.0</v>
      </c>
      <c r="D2" s="12" t="s">
        <v>58</v>
      </c>
      <c r="E2" s="12" t="s">
        <v>60</v>
      </c>
      <c r="G2" s="12" t="s">
        <v>63</v>
      </c>
      <c r="H2" s="12" t="s">
        <v>65</v>
      </c>
      <c r="I2" s="12" t="b">
        <v>1</v>
      </c>
      <c r="J2" s="12" t="s">
        <v>69</v>
      </c>
      <c r="P2" s="12">
        <v>1572963.0</v>
      </c>
      <c r="Q2" s="12" t="b">
        <v>1</v>
      </c>
    </row>
    <row r="3">
      <c r="A3" s="12" t="s">
        <v>72</v>
      </c>
      <c r="B3" s="12" t="s">
        <v>54</v>
      </c>
      <c r="C3" s="14">
        <v>45853.0</v>
      </c>
      <c r="D3" s="12" t="s">
        <v>77</v>
      </c>
      <c r="E3" s="12" t="s">
        <v>79</v>
      </c>
      <c r="G3" s="12" t="s">
        <v>81</v>
      </c>
      <c r="H3" s="12" t="s">
        <v>82</v>
      </c>
      <c r="I3" s="12" t="b">
        <v>1</v>
      </c>
      <c r="J3" s="12" t="s">
        <v>69</v>
      </c>
      <c r="P3" s="12">
        <v>1574188.0</v>
      </c>
      <c r="Q3" s="12" t="b">
        <v>1</v>
      </c>
    </row>
    <row r="4">
      <c r="A4" s="12" t="s">
        <v>88</v>
      </c>
      <c r="B4" s="12" t="s">
        <v>54</v>
      </c>
      <c r="C4" s="14">
        <v>45854.0</v>
      </c>
      <c r="D4" s="12" t="s">
        <v>93</v>
      </c>
      <c r="E4" s="12" t="s">
        <v>96</v>
      </c>
      <c r="G4" s="12" t="s">
        <v>98</v>
      </c>
      <c r="H4" s="12" t="s">
        <v>100</v>
      </c>
      <c r="I4" s="12" t="b">
        <v>1</v>
      </c>
      <c r="J4" s="12" t="s">
        <v>69</v>
      </c>
      <c r="P4" s="12">
        <v>1575164.0</v>
      </c>
      <c r="Q4" s="12" t="b">
        <v>1</v>
      </c>
    </row>
    <row r="5">
      <c r="A5" s="12" t="s">
        <v>105</v>
      </c>
      <c r="B5" s="12" t="s">
        <v>54</v>
      </c>
      <c r="C5" s="14">
        <v>45854.0</v>
      </c>
      <c r="D5" s="12" t="s">
        <v>109</v>
      </c>
      <c r="E5" s="12" t="s">
        <v>111</v>
      </c>
      <c r="G5" s="12" t="s">
        <v>113</v>
      </c>
      <c r="H5" s="12" t="s">
        <v>115</v>
      </c>
      <c r="I5" s="12" t="b">
        <v>1</v>
      </c>
      <c r="J5" s="12" t="s">
        <v>69</v>
      </c>
      <c r="P5" s="12">
        <v>1575610.0</v>
      </c>
      <c r="Q5" s="12" t="b">
        <v>1</v>
      </c>
    </row>
    <row r="6">
      <c r="A6" s="12" t="s">
        <v>134</v>
      </c>
      <c r="B6" s="12" t="s">
        <v>54</v>
      </c>
      <c r="C6" s="14">
        <v>45853.0</v>
      </c>
      <c r="D6" s="12" t="s">
        <v>137</v>
      </c>
      <c r="E6" s="12" t="s">
        <v>139</v>
      </c>
      <c r="G6" s="12" t="s">
        <v>140</v>
      </c>
      <c r="H6" s="12" t="s">
        <v>143</v>
      </c>
      <c r="I6" s="12" t="b">
        <v>1</v>
      </c>
      <c r="J6" s="12" t="s">
        <v>69</v>
      </c>
      <c r="P6" s="12">
        <v>1575617.0</v>
      </c>
      <c r="Q6" s="12" t="b">
        <v>1</v>
      </c>
    </row>
    <row r="7">
      <c r="A7" s="12" t="s">
        <v>145</v>
      </c>
      <c r="B7" s="12" t="s">
        <v>54</v>
      </c>
      <c r="C7" s="14">
        <v>45854.0</v>
      </c>
      <c r="D7" s="12" t="s">
        <v>148</v>
      </c>
      <c r="E7" s="12" t="s">
        <v>150</v>
      </c>
      <c r="G7" s="12" t="s">
        <v>151</v>
      </c>
      <c r="H7" s="12" t="s">
        <v>153</v>
      </c>
      <c r="I7" s="12" t="b">
        <v>1</v>
      </c>
      <c r="J7" s="12" t="s">
        <v>69</v>
      </c>
      <c r="P7" s="12">
        <v>1575225.0</v>
      </c>
      <c r="Q7" s="12" t="b">
        <v>1</v>
      </c>
    </row>
    <row r="8">
      <c r="A8" s="12" t="s">
        <v>155</v>
      </c>
      <c r="B8" s="12" t="s">
        <v>54</v>
      </c>
      <c r="C8" s="14">
        <v>45848.0</v>
      </c>
      <c r="D8" s="12" t="s">
        <v>156</v>
      </c>
      <c r="E8" s="12" t="s">
        <v>158</v>
      </c>
      <c r="G8" s="12" t="s">
        <v>159</v>
      </c>
      <c r="H8" s="12" t="s">
        <v>160</v>
      </c>
      <c r="I8" s="12" t="b">
        <v>0</v>
      </c>
      <c r="J8" s="12" t="s">
        <v>69</v>
      </c>
      <c r="Q8" s="12" t="b">
        <v>1</v>
      </c>
    </row>
    <row r="9">
      <c r="A9" s="12" t="s">
        <v>161</v>
      </c>
      <c r="B9" s="12" t="s">
        <v>54</v>
      </c>
      <c r="C9" s="14">
        <v>45856.0</v>
      </c>
      <c r="D9" s="12" t="s">
        <v>137</v>
      </c>
      <c r="E9" s="12" t="s">
        <v>163</v>
      </c>
      <c r="G9" s="12" t="s">
        <v>164</v>
      </c>
      <c r="H9" s="12" t="s">
        <v>165</v>
      </c>
      <c r="I9" s="12" t="b">
        <v>1</v>
      </c>
      <c r="J9" s="12" t="s">
        <v>69</v>
      </c>
      <c r="P9" s="12">
        <v>1579049.0</v>
      </c>
      <c r="Q9" s="12" t="b">
        <v>1</v>
      </c>
    </row>
    <row r="10">
      <c r="A10" s="12" t="s">
        <v>167</v>
      </c>
      <c r="B10" s="12" t="s">
        <v>54</v>
      </c>
      <c r="C10" s="14">
        <v>45856.0</v>
      </c>
      <c r="D10" s="12" t="s">
        <v>168</v>
      </c>
      <c r="E10" s="12" t="s">
        <v>170</v>
      </c>
      <c r="G10" s="12" t="s">
        <v>172</v>
      </c>
      <c r="H10" s="12" t="s">
        <v>173</v>
      </c>
      <c r="I10" s="12" t="b">
        <v>1</v>
      </c>
      <c r="J10" s="12" t="s">
        <v>69</v>
      </c>
      <c r="P10" s="12">
        <v>1579068.0</v>
      </c>
      <c r="Q10" s="12" t="b">
        <v>1</v>
      </c>
    </row>
    <row r="11">
      <c r="A11" s="12" t="s">
        <v>174</v>
      </c>
      <c r="B11" s="12" t="s">
        <v>54</v>
      </c>
      <c r="C11" s="14">
        <v>45856.0</v>
      </c>
      <c r="D11" s="12" t="s">
        <v>175</v>
      </c>
      <c r="E11" s="12" t="s">
        <v>176</v>
      </c>
      <c r="G11" s="12" t="s">
        <v>177</v>
      </c>
      <c r="H11" s="12" t="s">
        <v>178</v>
      </c>
      <c r="I11" s="12" t="b">
        <v>1</v>
      </c>
      <c r="J11" s="12" t="s">
        <v>69</v>
      </c>
      <c r="P11" s="12">
        <v>1579125.0</v>
      </c>
      <c r="Q11" s="12" t="b">
        <v>1</v>
      </c>
    </row>
    <row r="12">
      <c r="A12" s="12" t="s">
        <v>181</v>
      </c>
      <c r="B12" s="12" t="s">
        <v>54</v>
      </c>
      <c r="C12" s="14">
        <v>45857.0</v>
      </c>
      <c r="D12" s="12" t="s">
        <v>182</v>
      </c>
      <c r="E12" s="12" t="s">
        <v>184</v>
      </c>
      <c r="G12" s="12" t="s">
        <v>185</v>
      </c>
      <c r="H12" s="12" t="s">
        <v>186</v>
      </c>
      <c r="I12" s="12" t="b">
        <v>1</v>
      </c>
      <c r="J12" s="12" t="s">
        <v>69</v>
      </c>
      <c r="P12" s="12">
        <v>1580883.0</v>
      </c>
      <c r="Q12" s="12" t="b">
        <v>1</v>
      </c>
    </row>
    <row r="13">
      <c r="A13" s="12" t="s">
        <v>189</v>
      </c>
      <c r="B13" s="12" t="s">
        <v>54</v>
      </c>
      <c r="C13" s="14">
        <v>45856.0</v>
      </c>
      <c r="D13" s="12" t="s">
        <v>190</v>
      </c>
      <c r="E13" s="12" t="s">
        <v>193</v>
      </c>
      <c r="G13" s="12" t="s">
        <v>195</v>
      </c>
      <c r="H13" s="12" t="s">
        <v>196</v>
      </c>
      <c r="I13" s="12" t="b">
        <v>1</v>
      </c>
      <c r="J13" s="12" t="s">
        <v>69</v>
      </c>
      <c r="P13" s="12">
        <v>1580893.0</v>
      </c>
      <c r="Q13" s="12" t="b">
        <v>1</v>
      </c>
    </row>
    <row r="14">
      <c r="A14" s="12" t="s">
        <v>199</v>
      </c>
      <c r="B14" s="12" t="s">
        <v>54</v>
      </c>
      <c r="C14" s="14">
        <v>45858.0</v>
      </c>
      <c r="D14" s="12" t="s">
        <v>182</v>
      </c>
      <c r="E14" s="12" t="s">
        <v>201</v>
      </c>
      <c r="G14" s="12" t="s">
        <v>203</v>
      </c>
      <c r="H14" s="12" t="s">
        <v>204</v>
      </c>
      <c r="I14" s="12" t="b">
        <v>1</v>
      </c>
      <c r="J14" s="12" t="s">
        <v>69</v>
      </c>
      <c r="P14" s="12">
        <v>1582980.0</v>
      </c>
      <c r="Q14" s="12" t="b">
        <v>1</v>
      </c>
    </row>
    <row r="15">
      <c r="A15" s="12" t="s">
        <v>206</v>
      </c>
      <c r="B15" s="12" t="s">
        <v>54</v>
      </c>
      <c r="C15" s="14">
        <v>45858.0</v>
      </c>
      <c r="D15" s="12" t="s">
        <v>77</v>
      </c>
      <c r="E15" s="12" t="s">
        <v>208</v>
      </c>
      <c r="G15" s="12" t="s">
        <v>209</v>
      </c>
      <c r="H15" s="12" t="s">
        <v>82</v>
      </c>
      <c r="I15" s="12" t="b">
        <v>1</v>
      </c>
      <c r="J15" s="12" t="s">
        <v>69</v>
      </c>
      <c r="P15" s="12">
        <v>1583020.0</v>
      </c>
      <c r="Q15" s="12" t="b">
        <v>1</v>
      </c>
    </row>
    <row r="16">
      <c r="A16" s="12" t="s">
        <v>211</v>
      </c>
      <c r="B16" s="12" t="s">
        <v>54</v>
      </c>
      <c r="C16" s="14">
        <v>45860.0</v>
      </c>
      <c r="D16" s="12" t="s">
        <v>212</v>
      </c>
      <c r="E16" s="12" t="s">
        <v>214</v>
      </c>
      <c r="G16" s="12" t="s">
        <v>215</v>
      </c>
      <c r="H16" s="12" t="s">
        <v>216</v>
      </c>
      <c r="I16" s="12" t="b">
        <v>1</v>
      </c>
      <c r="J16" s="12" t="s">
        <v>69</v>
      </c>
      <c r="P16" s="12">
        <v>1586680.0</v>
      </c>
      <c r="Q16" s="12" t="b">
        <v>1</v>
      </c>
    </row>
    <row r="17">
      <c r="A17" s="12" t="s">
        <v>218</v>
      </c>
      <c r="B17" s="12" t="s">
        <v>54</v>
      </c>
      <c r="C17" s="14">
        <v>45859.0</v>
      </c>
      <c r="D17" s="12" t="s">
        <v>220</v>
      </c>
      <c r="E17" s="12" t="s">
        <v>222</v>
      </c>
      <c r="G17" s="12" t="s">
        <v>223</v>
      </c>
      <c r="H17" s="12" t="s">
        <v>224</v>
      </c>
      <c r="I17" s="12" t="b">
        <v>1</v>
      </c>
      <c r="J17" s="12" t="s">
        <v>69</v>
      </c>
      <c r="P17" s="12">
        <v>1586688.0</v>
      </c>
      <c r="Q17" s="12" t="b">
        <v>1</v>
      </c>
    </row>
    <row r="18">
      <c r="A18" s="12" t="s">
        <v>226</v>
      </c>
      <c r="B18" s="12" t="s">
        <v>54</v>
      </c>
      <c r="C18" s="14">
        <v>45860.0</v>
      </c>
      <c r="D18" s="12" t="s">
        <v>220</v>
      </c>
      <c r="E18" s="12" t="s">
        <v>231</v>
      </c>
      <c r="G18" s="12" t="s">
        <v>232</v>
      </c>
      <c r="H18" s="12" t="s">
        <v>234</v>
      </c>
      <c r="I18" s="12" t="b">
        <v>1</v>
      </c>
      <c r="J18" s="12" t="s">
        <v>69</v>
      </c>
      <c r="P18" s="12">
        <v>1586685.0</v>
      </c>
      <c r="Q18" s="12" t="b">
        <v>1</v>
      </c>
    </row>
    <row r="19">
      <c r="A19" s="12" t="s">
        <v>237</v>
      </c>
      <c r="B19" s="12" t="s">
        <v>54</v>
      </c>
      <c r="C19" s="14">
        <v>45859.0</v>
      </c>
      <c r="D19" s="12" t="s">
        <v>190</v>
      </c>
      <c r="E19" s="12" t="s">
        <v>239</v>
      </c>
      <c r="G19" s="12" t="s">
        <v>240</v>
      </c>
      <c r="H19" s="12" t="s">
        <v>242</v>
      </c>
      <c r="I19" s="12" t="b">
        <v>1</v>
      </c>
      <c r="J19" s="12" t="s">
        <v>69</v>
      </c>
      <c r="P19" s="12">
        <v>1586682.0</v>
      </c>
      <c r="Q19" s="12" t="b">
        <v>1</v>
      </c>
    </row>
    <row r="20">
      <c r="A20" s="12" t="s">
        <v>244</v>
      </c>
      <c r="B20" s="12" t="s">
        <v>54</v>
      </c>
      <c r="C20" s="14">
        <v>45861.0</v>
      </c>
      <c r="D20" s="12" t="s">
        <v>245</v>
      </c>
      <c r="E20" s="12" t="s">
        <v>247</v>
      </c>
      <c r="G20" s="12" t="s">
        <v>248</v>
      </c>
      <c r="H20" s="12" t="s">
        <v>249</v>
      </c>
      <c r="I20" s="12" t="b">
        <v>1</v>
      </c>
      <c r="J20" s="12" t="s">
        <v>69</v>
      </c>
      <c r="P20" s="12">
        <v>1587260.0</v>
      </c>
      <c r="Q20" s="12" t="b">
        <v>1</v>
      </c>
    </row>
    <row r="21">
      <c r="A21" s="12" t="s">
        <v>250</v>
      </c>
      <c r="B21" s="12" t="s">
        <v>54</v>
      </c>
      <c r="C21" s="14">
        <v>45860.0</v>
      </c>
      <c r="D21" s="12" t="s">
        <v>156</v>
      </c>
      <c r="E21" s="12" t="s">
        <v>252</v>
      </c>
      <c r="G21" s="12" t="s">
        <v>253</v>
      </c>
      <c r="H21" s="12" t="s">
        <v>254</v>
      </c>
      <c r="I21" s="12" t="b">
        <v>0</v>
      </c>
      <c r="J21" s="12" t="s">
        <v>69</v>
      </c>
      <c r="L21" s="12" t="s">
        <v>256</v>
      </c>
      <c r="M21" s="12" t="s">
        <v>257</v>
      </c>
      <c r="Q21" s="12" t="b">
        <v>1</v>
      </c>
    </row>
    <row r="22">
      <c r="A22" s="12" t="s">
        <v>258</v>
      </c>
      <c r="B22" s="12" t="s">
        <v>54</v>
      </c>
      <c r="C22" s="14">
        <v>45863.0</v>
      </c>
      <c r="D22" s="12" t="s">
        <v>175</v>
      </c>
      <c r="E22" s="12" t="s">
        <v>260</v>
      </c>
      <c r="G22" s="12" t="s">
        <v>261</v>
      </c>
      <c r="H22" s="12" t="s">
        <v>262</v>
      </c>
      <c r="I22" s="12" t="b">
        <v>1</v>
      </c>
      <c r="J22" s="12" t="s">
        <v>69</v>
      </c>
      <c r="P22" s="12">
        <v>1590967.0</v>
      </c>
      <c r="Q22" s="12" t="b">
        <v>1</v>
      </c>
    </row>
    <row r="23">
      <c r="A23" s="12" t="s">
        <v>264</v>
      </c>
      <c r="B23" s="12" t="s">
        <v>54</v>
      </c>
      <c r="C23" s="14">
        <v>45863.0</v>
      </c>
      <c r="D23" s="12" t="s">
        <v>220</v>
      </c>
      <c r="E23" s="12" t="s">
        <v>266</v>
      </c>
      <c r="G23" s="12" t="s">
        <v>267</v>
      </c>
      <c r="H23" s="12" t="s">
        <v>268</v>
      </c>
      <c r="I23" s="12" t="b">
        <v>1</v>
      </c>
      <c r="J23" s="12" t="s">
        <v>69</v>
      </c>
      <c r="P23" s="12">
        <v>1590969.0</v>
      </c>
      <c r="Q23" s="12" t="b">
        <v>1</v>
      </c>
    </row>
    <row r="24">
      <c r="A24" s="12" t="s">
        <v>270</v>
      </c>
      <c r="B24" s="12" t="s">
        <v>54</v>
      </c>
      <c r="C24" s="14">
        <v>45864.0</v>
      </c>
      <c r="D24" s="12" t="s">
        <v>77</v>
      </c>
      <c r="E24" s="12" t="s">
        <v>271</v>
      </c>
      <c r="G24" s="12" t="s">
        <v>272</v>
      </c>
      <c r="H24" s="12" t="s">
        <v>274</v>
      </c>
      <c r="I24" s="12" t="b">
        <v>1</v>
      </c>
      <c r="J24" s="12" t="s">
        <v>69</v>
      </c>
      <c r="P24" s="12">
        <v>1593017.0</v>
      </c>
      <c r="Q24" s="12" t="b">
        <v>1</v>
      </c>
    </row>
    <row r="25">
      <c r="A25" s="12" t="s">
        <v>275</v>
      </c>
      <c r="B25" s="12" t="s">
        <v>54</v>
      </c>
      <c r="C25" s="14">
        <v>45865.0</v>
      </c>
      <c r="D25" s="12" t="s">
        <v>77</v>
      </c>
      <c r="E25" s="12" t="s">
        <v>277</v>
      </c>
      <c r="G25" s="12" t="s">
        <v>278</v>
      </c>
      <c r="H25" s="12" t="s">
        <v>279</v>
      </c>
      <c r="I25" s="12" t="b">
        <v>1</v>
      </c>
      <c r="J25" s="12" t="s">
        <v>69</v>
      </c>
      <c r="P25" s="12">
        <v>1594710.0</v>
      </c>
      <c r="Q25" s="12" t="b">
        <v>1</v>
      </c>
    </row>
    <row r="26">
      <c r="A26" s="12" t="s">
        <v>282</v>
      </c>
      <c r="B26" s="12" t="s">
        <v>54</v>
      </c>
      <c r="C26" s="14">
        <v>45865.0</v>
      </c>
      <c r="D26" s="12" t="s">
        <v>182</v>
      </c>
      <c r="E26" s="12" t="s">
        <v>284</v>
      </c>
      <c r="G26" s="12" t="s">
        <v>285</v>
      </c>
      <c r="H26" s="12" t="s">
        <v>287</v>
      </c>
      <c r="I26" s="12" t="b">
        <v>1</v>
      </c>
      <c r="J26" s="12" t="s">
        <v>69</v>
      </c>
      <c r="P26" s="12">
        <v>1594718.0</v>
      </c>
      <c r="Q26" s="12" t="b">
        <v>1</v>
      </c>
    </row>
    <row r="27">
      <c r="A27" s="12" t="s">
        <v>289</v>
      </c>
      <c r="B27" s="12" t="s">
        <v>54</v>
      </c>
      <c r="C27" s="14">
        <v>45862.0</v>
      </c>
      <c r="D27" s="12" t="s">
        <v>156</v>
      </c>
      <c r="E27" s="12" t="s">
        <v>291</v>
      </c>
      <c r="G27" s="12" t="s">
        <v>292</v>
      </c>
      <c r="H27" s="12" t="s">
        <v>293</v>
      </c>
      <c r="I27" s="12" t="b">
        <v>0</v>
      </c>
      <c r="J27" s="12" t="s">
        <v>69</v>
      </c>
      <c r="L27" s="12" t="s">
        <v>294</v>
      </c>
      <c r="M27" s="12" t="s">
        <v>296</v>
      </c>
      <c r="Q27" s="12" t="b">
        <v>1</v>
      </c>
    </row>
    <row r="28">
      <c r="A28" s="12" t="s">
        <v>297</v>
      </c>
      <c r="B28" s="12" t="s">
        <v>54</v>
      </c>
      <c r="C28" s="14">
        <v>45868.0</v>
      </c>
      <c r="D28" s="12" t="s">
        <v>77</v>
      </c>
      <c r="E28" s="12" t="s">
        <v>299</v>
      </c>
      <c r="G28" s="12" t="s">
        <v>300</v>
      </c>
      <c r="H28" s="12" t="s">
        <v>301</v>
      </c>
      <c r="I28" s="12" t="b">
        <v>1</v>
      </c>
      <c r="J28" s="12" t="s">
        <v>69</v>
      </c>
      <c r="P28" s="12">
        <v>1598530.0</v>
      </c>
      <c r="Q28" s="12" t="b">
        <v>1</v>
      </c>
    </row>
    <row r="29">
      <c r="A29" s="12" t="s">
        <v>303</v>
      </c>
      <c r="B29" s="12" t="s">
        <v>54</v>
      </c>
      <c r="C29" s="14">
        <v>45869.0</v>
      </c>
      <c r="D29" s="12" t="s">
        <v>220</v>
      </c>
      <c r="E29" s="12" t="s">
        <v>305</v>
      </c>
      <c r="G29" s="12" t="s">
        <v>306</v>
      </c>
      <c r="H29" s="12" t="s">
        <v>268</v>
      </c>
      <c r="I29" s="12" t="b">
        <v>1</v>
      </c>
      <c r="J29" s="12" t="s">
        <v>69</v>
      </c>
      <c r="P29" s="12">
        <v>1600641.0</v>
      </c>
      <c r="Q29" s="12" t="b">
        <v>1</v>
      </c>
    </row>
    <row r="30">
      <c r="A30" s="12" t="s">
        <v>308</v>
      </c>
      <c r="B30" s="12" t="s">
        <v>54</v>
      </c>
      <c r="C30" s="14">
        <v>45871.0</v>
      </c>
      <c r="D30" s="12" t="s">
        <v>182</v>
      </c>
      <c r="E30" s="12" t="s">
        <v>309</v>
      </c>
      <c r="G30" s="12" t="s">
        <v>310</v>
      </c>
      <c r="H30" s="12" t="s">
        <v>312</v>
      </c>
      <c r="I30" s="12" t="b">
        <v>1</v>
      </c>
      <c r="J30" s="12" t="s">
        <v>69</v>
      </c>
      <c r="P30" s="12">
        <v>1604489.0</v>
      </c>
      <c r="Q30" s="12" t="b">
        <v>1</v>
      </c>
    </row>
    <row r="31">
      <c r="A31" s="12" t="s">
        <v>315</v>
      </c>
      <c r="B31" s="12" t="s">
        <v>54</v>
      </c>
      <c r="C31" s="14">
        <v>45871.0</v>
      </c>
      <c r="D31" s="12" t="s">
        <v>220</v>
      </c>
      <c r="E31" s="12" t="s">
        <v>318</v>
      </c>
      <c r="G31" s="12" t="s">
        <v>319</v>
      </c>
      <c r="H31" s="12" t="s">
        <v>320</v>
      </c>
      <c r="I31" s="12" t="b">
        <v>1</v>
      </c>
      <c r="J31" s="12" t="s">
        <v>69</v>
      </c>
      <c r="P31" s="12">
        <v>1604492.0</v>
      </c>
      <c r="Q31" s="12" t="b">
        <v>1</v>
      </c>
    </row>
    <row r="32">
      <c r="A32" s="12" t="s">
        <v>323</v>
      </c>
      <c r="B32" s="12" t="s">
        <v>54</v>
      </c>
      <c r="C32" s="14">
        <v>45873.0</v>
      </c>
      <c r="D32" s="12" t="s">
        <v>324</v>
      </c>
      <c r="E32" s="12" t="s">
        <v>325</v>
      </c>
      <c r="G32" s="12" t="s">
        <v>326</v>
      </c>
      <c r="H32" s="12" t="s">
        <v>328</v>
      </c>
      <c r="I32" s="12" t="b">
        <v>1</v>
      </c>
      <c r="J32" s="12" t="s">
        <v>69</v>
      </c>
      <c r="P32" s="12">
        <v>1609039.0</v>
      </c>
      <c r="Q32" s="12" t="b">
        <v>1</v>
      </c>
    </row>
    <row r="33">
      <c r="A33" s="12" t="s">
        <v>330</v>
      </c>
      <c r="B33" s="12" t="s">
        <v>54</v>
      </c>
      <c r="C33" s="14">
        <v>45873.0</v>
      </c>
      <c r="D33" s="12" t="s">
        <v>324</v>
      </c>
      <c r="E33" s="12" t="s">
        <v>333</v>
      </c>
      <c r="G33" s="12" t="s">
        <v>334</v>
      </c>
      <c r="H33" s="12" t="s">
        <v>336</v>
      </c>
      <c r="I33" s="12" t="b">
        <v>1</v>
      </c>
      <c r="J33" s="12" t="s">
        <v>69</v>
      </c>
      <c r="P33" s="12">
        <v>1609034.0</v>
      </c>
      <c r="Q33" s="12" t="b">
        <v>1</v>
      </c>
    </row>
    <row r="34">
      <c r="A34" s="12" t="s">
        <v>337</v>
      </c>
      <c r="B34" s="12" t="s">
        <v>54</v>
      </c>
      <c r="C34" s="14">
        <v>45874.0</v>
      </c>
      <c r="D34" s="12" t="s">
        <v>324</v>
      </c>
      <c r="E34" s="12" t="s">
        <v>340</v>
      </c>
      <c r="G34" s="12" t="s">
        <v>341</v>
      </c>
      <c r="H34" s="12" t="s">
        <v>328</v>
      </c>
      <c r="I34" s="12" t="b">
        <v>1</v>
      </c>
      <c r="J34" s="12" t="s">
        <v>69</v>
      </c>
      <c r="P34" s="12">
        <v>1609331.0</v>
      </c>
      <c r="Q34" s="12" t="b">
        <v>1</v>
      </c>
    </row>
    <row r="35">
      <c r="A35" s="12" t="s">
        <v>344</v>
      </c>
      <c r="B35" s="12" t="s">
        <v>54</v>
      </c>
      <c r="C35" s="14">
        <v>45873.0</v>
      </c>
      <c r="D35" s="12" t="s">
        <v>345</v>
      </c>
      <c r="E35" s="12" t="s">
        <v>346</v>
      </c>
      <c r="G35" s="12" t="s">
        <v>348</v>
      </c>
      <c r="H35" s="12" t="s">
        <v>349</v>
      </c>
      <c r="I35" s="12" t="b">
        <v>1</v>
      </c>
      <c r="J35" s="12" t="s">
        <v>69</v>
      </c>
      <c r="P35" s="12">
        <v>1609333.0</v>
      </c>
      <c r="Q35" s="12" t="b">
        <v>1</v>
      </c>
    </row>
    <row r="36">
      <c r="A36" s="12" t="s">
        <v>354</v>
      </c>
      <c r="B36" s="12" t="s">
        <v>54</v>
      </c>
      <c r="C36" s="14">
        <v>45873.0</v>
      </c>
      <c r="D36" s="12" t="s">
        <v>355</v>
      </c>
      <c r="E36" s="12" t="s">
        <v>358</v>
      </c>
      <c r="G36" s="12" t="s">
        <v>359</v>
      </c>
      <c r="H36" s="12" t="s">
        <v>360</v>
      </c>
      <c r="I36" s="12" t="b">
        <v>1</v>
      </c>
      <c r="J36" s="12" t="s">
        <v>69</v>
      </c>
      <c r="P36" s="12">
        <v>1609338.0</v>
      </c>
      <c r="Q36" s="12" t="b">
        <v>1</v>
      </c>
    </row>
    <row r="37">
      <c r="A37" s="12" t="s">
        <v>363</v>
      </c>
      <c r="B37" s="12" t="s">
        <v>54</v>
      </c>
      <c r="C37" s="14">
        <v>45860.0</v>
      </c>
      <c r="D37" s="12" t="s">
        <v>156</v>
      </c>
      <c r="E37" s="12" t="s">
        <v>365</v>
      </c>
      <c r="G37" s="12" t="s">
        <v>366</v>
      </c>
      <c r="H37" s="12" t="s">
        <v>368</v>
      </c>
      <c r="I37" s="12" t="b">
        <v>0</v>
      </c>
      <c r="J37" s="12" t="s">
        <v>69</v>
      </c>
      <c r="L37" s="12" t="s">
        <v>370</v>
      </c>
      <c r="M37" s="12" t="s">
        <v>371</v>
      </c>
      <c r="Q37" s="12" t="b">
        <v>1</v>
      </c>
    </row>
    <row r="38">
      <c r="A38" s="12" t="s">
        <v>374</v>
      </c>
      <c r="B38" s="12" t="s">
        <v>54</v>
      </c>
      <c r="C38" s="14">
        <v>45875.0</v>
      </c>
      <c r="D38" s="12" t="s">
        <v>375</v>
      </c>
      <c r="E38" s="12" t="s">
        <v>376</v>
      </c>
      <c r="G38" s="12" t="s">
        <v>377</v>
      </c>
      <c r="H38" s="12" t="s">
        <v>378</v>
      </c>
      <c r="I38" s="12" t="b">
        <v>1</v>
      </c>
      <c r="J38" s="12" t="s">
        <v>69</v>
      </c>
      <c r="P38" s="12">
        <v>1610407.0</v>
      </c>
      <c r="Q38" s="12" t="b">
        <v>1</v>
      </c>
    </row>
    <row r="39">
      <c r="A39" s="12" t="s">
        <v>380</v>
      </c>
      <c r="B39" s="12" t="s">
        <v>54</v>
      </c>
      <c r="C39" s="14">
        <v>45873.0</v>
      </c>
      <c r="D39" s="12" t="s">
        <v>156</v>
      </c>
      <c r="E39" s="12" t="s">
        <v>383</v>
      </c>
      <c r="G39" s="12" t="s">
        <v>384</v>
      </c>
      <c r="H39" s="12" t="s">
        <v>254</v>
      </c>
      <c r="I39" s="12" t="b">
        <v>0</v>
      </c>
      <c r="J39" s="12" t="s">
        <v>69</v>
      </c>
      <c r="L39" s="12" t="s">
        <v>385</v>
      </c>
      <c r="M39" s="12" t="s">
        <v>386</v>
      </c>
      <c r="N39" s="12" t="s">
        <v>388</v>
      </c>
      <c r="Q39" s="12" t="b">
        <v>1</v>
      </c>
    </row>
    <row r="40">
      <c r="A40" s="12" t="s">
        <v>389</v>
      </c>
      <c r="B40" s="12" t="s">
        <v>54</v>
      </c>
      <c r="C40" s="14">
        <v>45875.0</v>
      </c>
      <c r="D40" s="12" t="s">
        <v>392</v>
      </c>
      <c r="E40" s="12" t="s">
        <v>393</v>
      </c>
      <c r="G40" s="12" t="s">
        <v>394</v>
      </c>
      <c r="H40" s="12" t="s">
        <v>395</v>
      </c>
      <c r="I40" s="12" t="b">
        <v>1</v>
      </c>
      <c r="J40" s="12" t="s">
        <v>69</v>
      </c>
      <c r="P40" s="12">
        <v>1611004.0</v>
      </c>
      <c r="Q40" s="12" t="b">
        <v>1</v>
      </c>
    </row>
    <row r="41">
      <c r="A41" s="12" t="s">
        <v>397</v>
      </c>
      <c r="B41" s="12" t="s">
        <v>54</v>
      </c>
      <c r="C41" s="14">
        <v>45874.0</v>
      </c>
      <c r="D41" s="12" t="s">
        <v>190</v>
      </c>
      <c r="E41" s="12" t="s">
        <v>399</v>
      </c>
      <c r="G41" s="12" t="s">
        <v>400</v>
      </c>
      <c r="H41" s="12" t="s">
        <v>401</v>
      </c>
      <c r="I41" s="12" t="b">
        <v>1</v>
      </c>
      <c r="J41" s="12" t="s">
        <v>69</v>
      </c>
      <c r="P41" s="12">
        <v>1611000.0</v>
      </c>
      <c r="Q41" s="12" t="b">
        <v>1</v>
      </c>
    </row>
    <row r="42">
      <c r="A42" s="12" t="s">
        <v>404</v>
      </c>
      <c r="B42" s="12" t="s">
        <v>54</v>
      </c>
      <c r="C42" s="14">
        <v>45875.0</v>
      </c>
      <c r="D42" s="12" t="s">
        <v>190</v>
      </c>
      <c r="E42" s="12" t="s">
        <v>406</v>
      </c>
      <c r="G42" s="12" t="s">
        <v>407</v>
      </c>
      <c r="H42" s="12" t="s">
        <v>401</v>
      </c>
      <c r="I42" s="12" t="b">
        <v>1</v>
      </c>
      <c r="J42" s="12" t="s">
        <v>69</v>
      </c>
      <c r="P42" s="12">
        <v>1610997.0</v>
      </c>
      <c r="Q42" s="12" t="b">
        <v>1</v>
      </c>
    </row>
    <row r="43">
      <c r="A43" s="12" t="s">
        <v>409</v>
      </c>
      <c r="B43" s="12" t="s">
        <v>54</v>
      </c>
      <c r="C43" s="14">
        <v>45872.0</v>
      </c>
      <c r="D43" s="12" t="s">
        <v>220</v>
      </c>
      <c r="E43" s="12" t="s">
        <v>410</v>
      </c>
      <c r="G43" s="12" t="s">
        <v>412</v>
      </c>
      <c r="H43" s="12" t="s">
        <v>413</v>
      </c>
      <c r="I43" s="12" t="b">
        <v>1</v>
      </c>
      <c r="J43" s="12" t="s">
        <v>69</v>
      </c>
      <c r="P43" s="12">
        <v>1610996.0</v>
      </c>
      <c r="Q43" s="12" t="b">
        <v>1</v>
      </c>
    </row>
    <row r="44">
      <c r="A44" s="12" t="s">
        <v>416</v>
      </c>
      <c r="B44" s="12" t="s">
        <v>54</v>
      </c>
      <c r="C44" s="14">
        <v>45910.0</v>
      </c>
      <c r="D44" s="12" t="s">
        <v>418</v>
      </c>
      <c r="E44" s="12" t="s">
        <v>421</v>
      </c>
      <c r="G44" s="12" t="s">
        <v>422</v>
      </c>
      <c r="H44" s="12" t="s">
        <v>423</v>
      </c>
      <c r="I44" s="12" t="b">
        <v>0</v>
      </c>
      <c r="J44" s="12" t="s">
        <v>69</v>
      </c>
      <c r="Q44" s="12" t="b">
        <v>1</v>
      </c>
    </row>
    <row r="45">
      <c r="A45" s="12" t="s">
        <v>426</v>
      </c>
      <c r="B45" s="12" t="s">
        <v>54</v>
      </c>
      <c r="C45" s="14">
        <v>45876.0</v>
      </c>
      <c r="D45" s="12" t="s">
        <v>220</v>
      </c>
      <c r="E45" s="12" t="s">
        <v>428</v>
      </c>
      <c r="G45" s="12" t="s">
        <v>429</v>
      </c>
      <c r="H45" s="12" t="s">
        <v>431</v>
      </c>
      <c r="I45" s="12" t="b">
        <v>1</v>
      </c>
      <c r="J45" s="12" t="s">
        <v>69</v>
      </c>
      <c r="P45" s="12">
        <v>1612346.0</v>
      </c>
      <c r="Q45" s="12" t="b">
        <v>1</v>
      </c>
    </row>
    <row r="46">
      <c r="A46" s="12" t="s">
        <v>434</v>
      </c>
      <c r="B46" s="12" t="s">
        <v>54</v>
      </c>
      <c r="C46" s="14">
        <v>45877.0</v>
      </c>
      <c r="D46" s="12" t="s">
        <v>435</v>
      </c>
      <c r="E46" s="12" t="s">
        <v>436</v>
      </c>
      <c r="G46" s="12" t="s">
        <v>437</v>
      </c>
      <c r="H46" s="12" t="s">
        <v>439</v>
      </c>
      <c r="I46" s="12" t="b">
        <v>1</v>
      </c>
      <c r="J46" s="12" t="s">
        <v>69</v>
      </c>
      <c r="P46" s="12">
        <v>1613253.0</v>
      </c>
      <c r="Q46" s="12" t="b">
        <v>1</v>
      </c>
    </row>
    <row r="47">
      <c r="A47" s="12" t="s">
        <v>440</v>
      </c>
      <c r="B47" s="12" t="s">
        <v>54</v>
      </c>
      <c r="C47" s="14">
        <v>45876.0</v>
      </c>
      <c r="D47" s="12" t="s">
        <v>441</v>
      </c>
      <c r="E47" s="12" t="s">
        <v>442</v>
      </c>
      <c r="G47" s="12" t="s">
        <v>444</v>
      </c>
      <c r="H47" s="12" t="s">
        <v>445</v>
      </c>
      <c r="I47" s="12" t="b">
        <v>1</v>
      </c>
      <c r="J47" s="12" t="s">
        <v>69</v>
      </c>
      <c r="P47" s="12">
        <v>1613257.0</v>
      </c>
      <c r="Q47" s="12" t="b">
        <v>1</v>
      </c>
    </row>
    <row r="48">
      <c r="A48" s="12" t="s">
        <v>447</v>
      </c>
      <c r="B48" s="12" t="s">
        <v>54</v>
      </c>
      <c r="C48" s="14">
        <v>45877.0</v>
      </c>
      <c r="D48" s="12" t="s">
        <v>212</v>
      </c>
      <c r="E48" s="12" t="s">
        <v>448</v>
      </c>
      <c r="G48" s="12" t="s">
        <v>449</v>
      </c>
      <c r="H48" s="12" t="s">
        <v>451</v>
      </c>
      <c r="I48" s="12" t="b">
        <v>1</v>
      </c>
      <c r="J48" s="12" t="s">
        <v>69</v>
      </c>
      <c r="P48" s="12">
        <v>1613564.0</v>
      </c>
      <c r="Q48" s="12" t="b">
        <v>1</v>
      </c>
    </row>
    <row r="49">
      <c r="A49" s="12" t="s">
        <v>453</v>
      </c>
      <c r="B49" s="12" t="s">
        <v>54</v>
      </c>
      <c r="C49" s="14">
        <v>45878.0</v>
      </c>
      <c r="D49" s="12" t="s">
        <v>220</v>
      </c>
      <c r="E49" s="12" t="s">
        <v>455</v>
      </c>
      <c r="G49" s="12" t="s">
        <v>456</v>
      </c>
      <c r="H49" s="12" t="s">
        <v>457</v>
      </c>
      <c r="I49" s="12" t="b">
        <v>1</v>
      </c>
      <c r="J49" s="12" t="s">
        <v>69</v>
      </c>
      <c r="P49" s="12">
        <v>1614502.0</v>
      </c>
      <c r="Q49" s="12" t="b">
        <v>1</v>
      </c>
    </row>
    <row r="50">
      <c r="A50" s="12" t="s">
        <v>459</v>
      </c>
      <c r="B50" s="12" t="s">
        <v>54</v>
      </c>
      <c r="C50" s="14">
        <v>45880.0</v>
      </c>
      <c r="D50" s="12" t="s">
        <v>461</v>
      </c>
      <c r="E50" s="12" t="s">
        <v>463</v>
      </c>
      <c r="G50" s="12" t="s">
        <v>464</v>
      </c>
      <c r="H50" s="12" t="s">
        <v>466</v>
      </c>
      <c r="I50" s="12" t="b">
        <v>1</v>
      </c>
      <c r="J50" s="12" t="s">
        <v>69</v>
      </c>
      <c r="P50" s="12">
        <v>1618499.0</v>
      </c>
      <c r="Q50" s="12" t="b">
        <v>1</v>
      </c>
    </row>
    <row r="51">
      <c r="A51" s="12" t="s">
        <v>468</v>
      </c>
      <c r="B51" s="12" t="s">
        <v>54</v>
      </c>
      <c r="C51" s="14">
        <v>45880.0</v>
      </c>
      <c r="D51" s="12" t="s">
        <v>470</v>
      </c>
      <c r="E51" s="12" t="s">
        <v>471</v>
      </c>
      <c r="G51" s="12" t="s">
        <v>472</v>
      </c>
      <c r="H51" s="12" t="s">
        <v>82</v>
      </c>
      <c r="I51" s="12" t="b">
        <v>1</v>
      </c>
      <c r="J51" s="12" t="s">
        <v>69</v>
      </c>
      <c r="P51" s="12">
        <v>1618581.0</v>
      </c>
      <c r="Q51" s="12" t="b">
        <v>1</v>
      </c>
    </row>
    <row r="52">
      <c r="A52" s="12" t="s">
        <v>476</v>
      </c>
      <c r="B52" s="12" t="s">
        <v>54</v>
      </c>
      <c r="C52" s="14">
        <v>45876.0</v>
      </c>
      <c r="D52" s="12" t="s">
        <v>478</v>
      </c>
      <c r="E52" s="12" t="s">
        <v>479</v>
      </c>
      <c r="G52" s="12" t="s">
        <v>480</v>
      </c>
      <c r="H52" s="12" t="s">
        <v>482</v>
      </c>
      <c r="I52" s="12" t="b">
        <v>1</v>
      </c>
      <c r="J52" s="12" t="s">
        <v>69</v>
      </c>
      <c r="L52" s="12" t="s">
        <v>483</v>
      </c>
      <c r="P52" s="12">
        <v>1618799.0</v>
      </c>
      <c r="Q52" s="12" t="b">
        <v>1</v>
      </c>
    </row>
    <row r="53">
      <c r="A53" s="12">
        <v>4.6791994E7</v>
      </c>
      <c r="B53" s="12" t="s">
        <v>54</v>
      </c>
      <c r="C53" s="14">
        <v>45874.0</v>
      </c>
      <c r="D53" s="12" t="s">
        <v>156</v>
      </c>
      <c r="E53" s="12" t="s">
        <v>486</v>
      </c>
      <c r="G53" s="12" t="s">
        <v>487</v>
      </c>
      <c r="H53" s="12" t="s">
        <v>488</v>
      </c>
      <c r="I53" s="12" t="b">
        <v>0</v>
      </c>
      <c r="J53" s="12" t="s">
        <v>69</v>
      </c>
      <c r="L53" s="12" t="s">
        <v>491</v>
      </c>
      <c r="M53" s="12" t="s">
        <v>492</v>
      </c>
      <c r="Q53" s="12" t="b">
        <v>1</v>
      </c>
    </row>
    <row r="54">
      <c r="A54" s="12" t="s">
        <v>493</v>
      </c>
      <c r="B54" s="12" t="s">
        <v>54</v>
      </c>
      <c r="C54" s="14">
        <v>45874.0</v>
      </c>
      <c r="D54" s="12" t="s">
        <v>156</v>
      </c>
      <c r="E54" s="12" t="s">
        <v>486</v>
      </c>
      <c r="G54" s="12" t="s">
        <v>495</v>
      </c>
      <c r="H54" s="12" t="s">
        <v>488</v>
      </c>
      <c r="I54" s="12" t="b">
        <v>0</v>
      </c>
      <c r="J54" s="12" t="s">
        <v>69</v>
      </c>
      <c r="Q54" s="12" t="b">
        <v>1</v>
      </c>
    </row>
    <row r="55">
      <c r="A55" s="12" t="s">
        <v>497</v>
      </c>
      <c r="B55" s="12" t="s">
        <v>54</v>
      </c>
      <c r="C55" s="14">
        <v>45881.0</v>
      </c>
      <c r="D55" s="12" t="s">
        <v>220</v>
      </c>
      <c r="E55" s="12" t="s">
        <v>500</v>
      </c>
      <c r="G55" s="12" t="s">
        <v>501</v>
      </c>
      <c r="H55" s="12" t="s">
        <v>502</v>
      </c>
      <c r="I55" s="12" t="b">
        <v>1</v>
      </c>
      <c r="J55" s="12" t="s">
        <v>69</v>
      </c>
      <c r="P55" s="12">
        <v>1619917.0</v>
      </c>
      <c r="Q55" s="12" t="b">
        <v>1</v>
      </c>
    </row>
    <row r="56">
      <c r="A56" s="12" t="s">
        <v>503</v>
      </c>
      <c r="B56" s="12" t="s">
        <v>54</v>
      </c>
      <c r="C56" s="14">
        <v>45881.0</v>
      </c>
      <c r="D56" s="12" t="s">
        <v>504</v>
      </c>
      <c r="E56" s="12" t="s">
        <v>505</v>
      </c>
      <c r="G56" s="12" t="s">
        <v>506</v>
      </c>
      <c r="H56" s="12" t="s">
        <v>507</v>
      </c>
      <c r="I56" s="12" t="b">
        <v>1</v>
      </c>
      <c r="J56" s="12" t="s">
        <v>69</v>
      </c>
      <c r="P56" s="12">
        <v>1619880.0</v>
      </c>
      <c r="Q56" s="12" t="b">
        <v>1</v>
      </c>
    </row>
    <row r="57">
      <c r="A57" s="12" t="s">
        <v>510</v>
      </c>
      <c r="B57" s="12" t="s">
        <v>54</v>
      </c>
      <c r="C57" s="14">
        <v>45881.0</v>
      </c>
      <c r="D57" s="12" t="s">
        <v>512</v>
      </c>
      <c r="E57" s="12" t="s">
        <v>513</v>
      </c>
      <c r="G57" s="12" t="s">
        <v>514</v>
      </c>
      <c r="H57" s="12" t="s">
        <v>515</v>
      </c>
      <c r="I57" s="12" t="b">
        <v>1</v>
      </c>
      <c r="J57" s="12" t="s">
        <v>69</v>
      </c>
      <c r="P57" s="12">
        <v>1619891.0</v>
      </c>
      <c r="Q57" s="12" t="b">
        <v>1</v>
      </c>
    </row>
    <row r="58">
      <c r="A58" s="12" t="s">
        <v>518</v>
      </c>
      <c r="B58" s="12" t="s">
        <v>54</v>
      </c>
      <c r="C58" s="14">
        <v>45881.0</v>
      </c>
      <c r="D58" s="12" t="s">
        <v>175</v>
      </c>
      <c r="E58" s="12" t="s">
        <v>519</v>
      </c>
      <c r="G58" s="12" t="s">
        <v>521</v>
      </c>
      <c r="H58" s="12" t="s">
        <v>522</v>
      </c>
      <c r="I58" s="12" t="b">
        <v>1</v>
      </c>
      <c r="J58" s="12" t="s">
        <v>69</v>
      </c>
      <c r="P58" s="12">
        <v>1620146.0</v>
      </c>
      <c r="Q58" s="12" t="b">
        <v>1</v>
      </c>
    </row>
    <row r="59">
      <c r="A59" s="12" t="s">
        <v>523</v>
      </c>
      <c r="B59" s="12" t="s">
        <v>54</v>
      </c>
      <c r="C59" s="14">
        <v>45882.0</v>
      </c>
      <c r="D59" s="12" t="s">
        <v>182</v>
      </c>
      <c r="E59" s="12" t="s">
        <v>525</v>
      </c>
      <c r="G59" s="12" t="s">
        <v>526</v>
      </c>
      <c r="H59" s="12" t="s">
        <v>527</v>
      </c>
      <c r="I59" s="12" t="b">
        <v>1</v>
      </c>
      <c r="J59" s="12" t="s">
        <v>69</v>
      </c>
      <c r="P59" s="12">
        <v>1621256.0</v>
      </c>
      <c r="Q59" s="12" t="b">
        <v>1</v>
      </c>
    </row>
    <row r="60">
      <c r="A60" s="12" t="s">
        <v>530</v>
      </c>
      <c r="B60" s="12" t="s">
        <v>54</v>
      </c>
      <c r="C60" s="14">
        <v>45883.0</v>
      </c>
      <c r="D60" s="12" t="s">
        <v>532</v>
      </c>
      <c r="E60" s="12" t="s">
        <v>533</v>
      </c>
      <c r="G60" s="12" t="s">
        <v>535</v>
      </c>
      <c r="H60" s="12" t="s">
        <v>536</v>
      </c>
      <c r="I60" s="12" t="b">
        <v>1</v>
      </c>
      <c r="J60" s="12" t="s">
        <v>69</v>
      </c>
      <c r="P60" s="12">
        <v>1622576.0</v>
      </c>
      <c r="Q60" s="12" t="b">
        <v>1</v>
      </c>
    </row>
    <row r="61">
      <c r="A61" s="12" t="s">
        <v>538</v>
      </c>
      <c r="B61" s="12" t="s">
        <v>54</v>
      </c>
      <c r="C61" s="14">
        <v>45884.0</v>
      </c>
      <c r="D61" s="12" t="s">
        <v>540</v>
      </c>
      <c r="E61" s="12" t="s">
        <v>541</v>
      </c>
      <c r="G61" s="12" t="s">
        <v>543</v>
      </c>
      <c r="H61" s="12" t="s">
        <v>545</v>
      </c>
      <c r="I61" s="12" t="b">
        <v>1</v>
      </c>
      <c r="J61" s="12" t="s">
        <v>69</v>
      </c>
      <c r="P61" s="12">
        <v>1624343.0</v>
      </c>
      <c r="Q61" s="12" t="b">
        <v>1</v>
      </c>
    </row>
    <row r="62">
      <c r="A62" s="12" t="s">
        <v>547</v>
      </c>
      <c r="B62" s="12" t="s">
        <v>54</v>
      </c>
      <c r="C62" s="14">
        <v>45884.0</v>
      </c>
      <c r="D62" s="12" t="s">
        <v>220</v>
      </c>
      <c r="E62" s="12" t="s">
        <v>549</v>
      </c>
      <c r="G62" s="12" t="s">
        <v>550</v>
      </c>
      <c r="H62" s="12" t="s">
        <v>552</v>
      </c>
      <c r="I62" s="12" t="b">
        <v>1</v>
      </c>
      <c r="J62" s="12" t="s">
        <v>69</v>
      </c>
      <c r="P62" s="12">
        <v>1626687.0</v>
      </c>
      <c r="Q62" s="12" t="b">
        <v>1</v>
      </c>
    </row>
    <row r="63">
      <c r="A63" s="12" t="s">
        <v>555</v>
      </c>
      <c r="B63" s="12" t="s">
        <v>54</v>
      </c>
      <c r="C63" s="14">
        <v>45883.0</v>
      </c>
      <c r="D63" s="12" t="s">
        <v>556</v>
      </c>
      <c r="E63" s="12" t="s">
        <v>558</v>
      </c>
      <c r="G63" s="12" t="s">
        <v>560</v>
      </c>
      <c r="H63" s="12" t="s">
        <v>561</v>
      </c>
      <c r="I63" s="12" t="b">
        <v>1</v>
      </c>
      <c r="J63" s="12" t="s">
        <v>69</v>
      </c>
      <c r="P63" s="12">
        <v>1626688.0</v>
      </c>
      <c r="Q63" s="12" t="b">
        <v>1</v>
      </c>
    </row>
    <row r="64">
      <c r="A64" s="12" t="s">
        <v>564</v>
      </c>
      <c r="B64" s="12" t="s">
        <v>54</v>
      </c>
      <c r="C64" s="14">
        <v>45885.0</v>
      </c>
      <c r="D64" s="12" t="s">
        <v>182</v>
      </c>
      <c r="E64" s="12" t="s">
        <v>565</v>
      </c>
      <c r="G64" s="12" t="s">
        <v>567</v>
      </c>
      <c r="H64" s="12" t="s">
        <v>457</v>
      </c>
      <c r="I64" s="12" t="b">
        <v>1</v>
      </c>
      <c r="J64" s="12" t="s">
        <v>69</v>
      </c>
      <c r="P64" s="12">
        <v>1626704.0</v>
      </c>
      <c r="Q64" s="12" t="b">
        <v>1</v>
      </c>
    </row>
    <row r="65">
      <c r="A65" s="12" t="s">
        <v>569</v>
      </c>
      <c r="B65" s="12" t="s">
        <v>54</v>
      </c>
      <c r="C65" s="14">
        <v>45886.0</v>
      </c>
      <c r="D65" s="12" t="s">
        <v>182</v>
      </c>
      <c r="E65" s="12" t="s">
        <v>571</v>
      </c>
      <c r="G65" s="12" t="s">
        <v>573</v>
      </c>
      <c r="H65" s="12" t="s">
        <v>575</v>
      </c>
      <c r="I65" s="12" t="b">
        <v>1</v>
      </c>
      <c r="J65" s="12" t="s">
        <v>69</v>
      </c>
      <c r="P65" s="12">
        <v>1629588.0</v>
      </c>
      <c r="Q65" s="12" t="b">
        <v>1</v>
      </c>
    </row>
    <row r="66">
      <c r="A66" s="12" t="s">
        <v>576</v>
      </c>
      <c r="B66" s="12" t="s">
        <v>54</v>
      </c>
      <c r="C66" s="14">
        <v>45888.0</v>
      </c>
      <c r="D66" s="12" t="s">
        <v>375</v>
      </c>
      <c r="E66" s="12" t="s">
        <v>578</v>
      </c>
      <c r="G66" s="12" t="s">
        <v>579</v>
      </c>
      <c r="H66" s="12" t="s">
        <v>580</v>
      </c>
      <c r="I66" s="12" t="b">
        <v>1</v>
      </c>
      <c r="J66" s="12" t="s">
        <v>69</v>
      </c>
      <c r="P66" s="12">
        <v>1632804.0</v>
      </c>
      <c r="Q66" s="12" t="b">
        <v>1</v>
      </c>
    </row>
    <row r="67">
      <c r="A67" s="12" t="s">
        <v>581</v>
      </c>
      <c r="B67" s="12" t="s">
        <v>54</v>
      </c>
      <c r="C67" s="14">
        <v>45887.0</v>
      </c>
      <c r="D67" s="12" t="s">
        <v>156</v>
      </c>
      <c r="E67" s="12" t="s">
        <v>584</v>
      </c>
      <c r="G67" s="12" t="s">
        <v>585</v>
      </c>
      <c r="H67" s="12" t="s">
        <v>586</v>
      </c>
      <c r="I67" s="12" t="b">
        <v>0</v>
      </c>
      <c r="J67" s="12" t="s">
        <v>69</v>
      </c>
      <c r="L67" s="12" t="s">
        <v>587</v>
      </c>
      <c r="Q67" s="12" t="b">
        <v>1</v>
      </c>
    </row>
    <row r="68">
      <c r="A68" s="12" t="s">
        <v>588</v>
      </c>
      <c r="B68" s="12" t="s">
        <v>54</v>
      </c>
      <c r="C68" s="14">
        <v>45883.0</v>
      </c>
      <c r="D68" s="12" t="s">
        <v>590</v>
      </c>
      <c r="E68" s="12" t="s">
        <v>591</v>
      </c>
      <c r="G68" s="12" t="s">
        <v>592</v>
      </c>
      <c r="H68" s="12" t="s">
        <v>594</v>
      </c>
      <c r="I68" s="12" t="b">
        <v>1</v>
      </c>
      <c r="J68" s="12" t="s">
        <v>69</v>
      </c>
      <c r="P68" s="12">
        <v>1634326.0</v>
      </c>
      <c r="Q68" s="12" t="b">
        <v>1</v>
      </c>
    </row>
    <row r="69">
      <c r="A69" s="12" t="s">
        <v>596</v>
      </c>
      <c r="B69" s="12" t="s">
        <v>54</v>
      </c>
      <c r="C69" s="14">
        <v>45888.0</v>
      </c>
      <c r="D69" s="12" t="s">
        <v>220</v>
      </c>
      <c r="E69" s="12" t="s">
        <v>597</v>
      </c>
      <c r="G69" s="12" t="s">
        <v>598</v>
      </c>
      <c r="H69" s="12" t="s">
        <v>599</v>
      </c>
      <c r="I69" s="12" t="b">
        <v>1</v>
      </c>
      <c r="J69" s="12" t="s">
        <v>69</v>
      </c>
      <c r="P69" s="12">
        <v>1634266.0</v>
      </c>
      <c r="Q69" s="12" t="b">
        <v>1</v>
      </c>
    </row>
    <row r="70">
      <c r="A70" s="12" t="s">
        <v>601</v>
      </c>
      <c r="B70" s="12" t="s">
        <v>54</v>
      </c>
      <c r="C70" s="14">
        <v>45887.0</v>
      </c>
      <c r="D70" s="12" t="s">
        <v>603</v>
      </c>
      <c r="E70" s="12" t="s">
        <v>605</v>
      </c>
      <c r="G70" s="12" t="s">
        <v>606</v>
      </c>
      <c r="H70" s="12" t="s">
        <v>607</v>
      </c>
      <c r="I70" s="12" t="b">
        <v>1</v>
      </c>
      <c r="J70" s="12" t="s">
        <v>69</v>
      </c>
      <c r="P70" s="12">
        <v>1634269.0</v>
      </c>
      <c r="Q70" s="12" t="b">
        <v>1</v>
      </c>
    </row>
    <row r="71">
      <c r="A71" s="12" t="s">
        <v>611</v>
      </c>
      <c r="B71" s="12" t="s">
        <v>54</v>
      </c>
      <c r="C71" s="14">
        <v>45887.0</v>
      </c>
      <c r="D71" s="12" t="s">
        <v>190</v>
      </c>
      <c r="E71" s="12" t="s">
        <v>613</v>
      </c>
      <c r="G71" s="12" t="s">
        <v>614</v>
      </c>
      <c r="H71" s="12" t="s">
        <v>616</v>
      </c>
      <c r="I71" s="12" t="b">
        <v>1</v>
      </c>
      <c r="J71" s="12" t="s">
        <v>69</v>
      </c>
      <c r="P71" s="12">
        <v>1634271.0</v>
      </c>
      <c r="Q71" s="12" t="b">
        <v>1</v>
      </c>
    </row>
    <row r="72">
      <c r="A72" s="12">
        <v>4.4718838E7</v>
      </c>
      <c r="B72" s="12" t="s">
        <v>54</v>
      </c>
      <c r="C72" s="14">
        <v>45887.0</v>
      </c>
      <c r="D72" s="12" t="s">
        <v>220</v>
      </c>
      <c r="E72" s="12" t="s">
        <v>620</v>
      </c>
      <c r="G72" s="12" t="s">
        <v>622</v>
      </c>
      <c r="H72" s="12" t="s">
        <v>625</v>
      </c>
      <c r="I72" s="12" t="b">
        <v>1</v>
      </c>
      <c r="J72" s="12" t="s">
        <v>69</v>
      </c>
      <c r="P72" s="12">
        <v>1634272.0</v>
      </c>
      <c r="Q72" s="12" t="b">
        <v>1</v>
      </c>
    </row>
    <row r="73">
      <c r="A73" s="12" t="s">
        <v>630</v>
      </c>
      <c r="B73" s="12" t="s">
        <v>54</v>
      </c>
      <c r="C73" s="14">
        <v>45887.0</v>
      </c>
      <c r="D73" s="12" t="s">
        <v>156</v>
      </c>
      <c r="E73" s="12" t="s">
        <v>632</v>
      </c>
      <c r="G73" s="12" t="s">
        <v>633</v>
      </c>
      <c r="H73" s="12" t="s">
        <v>293</v>
      </c>
      <c r="I73" s="12" t="b">
        <v>0</v>
      </c>
      <c r="J73" s="12" t="s">
        <v>69</v>
      </c>
      <c r="L73" s="12" t="s">
        <v>635</v>
      </c>
      <c r="M73" s="12" t="s">
        <v>638</v>
      </c>
      <c r="N73" s="12" t="s">
        <v>639</v>
      </c>
      <c r="Q73" s="12" t="b">
        <v>1</v>
      </c>
    </row>
    <row r="74">
      <c r="A74" s="12">
        <v>9.5043757E7</v>
      </c>
      <c r="B74" s="12" t="s">
        <v>54</v>
      </c>
      <c r="C74" s="14">
        <v>45887.0</v>
      </c>
      <c r="D74" s="12" t="s">
        <v>156</v>
      </c>
      <c r="E74" s="12" t="s">
        <v>642</v>
      </c>
      <c r="G74" s="12" t="s">
        <v>645</v>
      </c>
      <c r="H74" s="12" t="s">
        <v>646</v>
      </c>
      <c r="I74" s="12" t="b">
        <v>0</v>
      </c>
      <c r="J74" s="12" t="s">
        <v>69</v>
      </c>
      <c r="L74" s="12" t="s">
        <v>648</v>
      </c>
      <c r="Q74" s="12" t="b">
        <v>1</v>
      </c>
    </row>
    <row r="75">
      <c r="A75" s="12" t="s">
        <v>651</v>
      </c>
      <c r="B75" s="12" t="s">
        <v>54</v>
      </c>
      <c r="C75" s="14">
        <v>45887.0</v>
      </c>
      <c r="D75" s="12" t="s">
        <v>156</v>
      </c>
      <c r="E75" s="12" t="s">
        <v>654</v>
      </c>
      <c r="G75" s="12" t="s">
        <v>655</v>
      </c>
      <c r="H75" s="12" t="s">
        <v>657</v>
      </c>
      <c r="I75" s="12" t="b">
        <v>0</v>
      </c>
      <c r="J75" s="12" t="s">
        <v>69</v>
      </c>
      <c r="L75" s="12" t="s">
        <v>660</v>
      </c>
      <c r="Q75" s="12" t="b">
        <v>1</v>
      </c>
    </row>
    <row r="76">
      <c r="A76" s="12" t="s">
        <v>663</v>
      </c>
      <c r="B76" s="12" t="s">
        <v>54</v>
      </c>
      <c r="C76" s="14">
        <v>45890.0</v>
      </c>
      <c r="D76" s="12" t="s">
        <v>666</v>
      </c>
      <c r="E76" s="12" t="s">
        <v>667</v>
      </c>
      <c r="G76" s="12" t="s">
        <v>668</v>
      </c>
      <c r="H76" s="12" t="s">
        <v>669</v>
      </c>
      <c r="I76" s="12" t="b">
        <v>1</v>
      </c>
      <c r="J76" s="12" t="s">
        <v>69</v>
      </c>
      <c r="P76" s="12">
        <v>1635329.0</v>
      </c>
      <c r="Q76" s="12" t="b">
        <v>1</v>
      </c>
    </row>
    <row r="77">
      <c r="A77" s="12" t="s">
        <v>672</v>
      </c>
      <c r="B77" s="12" t="s">
        <v>54</v>
      </c>
      <c r="C77" s="14">
        <v>45890.0</v>
      </c>
      <c r="D77" s="12" t="s">
        <v>182</v>
      </c>
      <c r="E77" s="12" t="s">
        <v>676</v>
      </c>
      <c r="G77" s="12" t="s">
        <v>679</v>
      </c>
      <c r="H77" s="12" t="s">
        <v>680</v>
      </c>
      <c r="I77" s="12" t="b">
        <v>1</v>
      </c>
      <c r="J77" s="12" t="s">
        <v>69</v>
      </c>
      <c r="P77" s="12">
        <v>1635331.0</v>
      </c>
      <c r="Q77" s="12" t="b">
        <v>1</v>
      </c>
    </row>
    <row r="78">
      <c r="A78" s="12" t="s">
        <v>682</v>
      </c>
      <c r="B78" s="12" t="s">
        <v>54</v>
      </c>
      <c r="C78" s="14">
        <v>45887.0</v>
      </c>
      <c r="D78" s="12" t="s">
        <v>683</v>
      </c>
      <c r="E78" s="12" t="s">
        <v>684</v>
      </c>
      <c r="G78" s="12" t="s">
        <v>686</v>
      </c>
      <c r="H78" s="12" t="s">
        <v>687</v>
      </c>
      <c r="I78" s="12" t="b">
        <v>1</v>
      </c>
      <c r="J78" s="12" t="s">
        <v>69</v>
      </c>
      <c r="P78" s="12">
        <v>1636111.0</v>
      </c>
      <c r="Q78" s="12" t="b">
        <v>1</v>
      </c>
    </row>
    <row r="79">
      <c r="A79" s="12" t="s">
        <v>691</v>
      </c>
      <c r="B79" s="12" t="s">
        <v>54</v>
      </c>
      <c r="C79" s="14">
        <v>45891.0</v>
      </c>
      <c r="D79" s="12" t="s">
        <v>220</v>
      </c>
      <c r="E79" s="12" t="s">
        <v>694</v>
      </c>
      <c r="G79" s="12" t="s">
        <v>695</v>
      </c>
      <c r="H79" s="12" t="s">
        <v>268</v>
      </c>
      <c r="I79" s="12" t="b">
        <v>1</v>
      </c>
      <c r="J79" s="12" t="s">
        <v>69</v>
      </c>
      <c r="P79" s="12">
        <v>1637607.0</v>
      </c>
      <c r="Q79" s="12" t="b">
        <v>1</v>
      </c>
    </row>
    <row r="80">
      <c r="A80" s="12" t="s">
        <v>698</v>
      </c>
      <c r="B80" s="12" t="s">
        <v>54</v>
      </c>
      <c r="C80" s="14">
        <v>45892.0</v>
      </c>
      <c r="D80" s="12" t="s">
        <v>182</v>
      </c>
      <c r="E80" s="12" t="s">
        <v>701</v>
      </c>
      <c r="G80" s="12" t="s">
        <v>703</v>
      </c>
      <c r="H80" s="12" t="s">
        <v>704</v>
      </c>
      <c r="I80" s="12" t="b">
        <v>1</v>
      </c>
      <c r="J80" s="12" t="s">
        <v>69</v>
      </c>
      <c r="P80" s="12">
        <v>1638842.0</v>
      </c>
      <c r="Q80" s="12" t="b">
        <v>1</v>
      </c>
    </row>
    <row r="81">
      <c r="A81" s="12" t="s">
        <v>706</v>
      </c>
      <c r="B81" s="12" t="s">
        <v>54</v>
      </c>
      <c r="C81" s="14">
        <v>45894.0</v>
      </c>
      <c r="D81" s="12" t="s">
        <v>190</v>
      </c>
      <c r="E81" s="12" t="s">
        <v>710</v>
      </c>
      <c r="G81" s="12" t="s">
        <v>712</v>
      </c>
      <c r="H81" s="12" t="s">
        <v>713</v>
      </c>
      <c r="I81" s="12" t="b">
        <v>1</v>
      </c>
      <c r="J81" s="12" t="s">
        <v>69</v>
      </c>
      <c r="P81" s="12">
        <v>1643493.0</v>
      </c>
      <c r="Q81" s="12" t="b">
        <v>1</v>
      </c>
    </row>
    <row r="82">
      <c r="A82" s="12" t="s">
        <v>716</v>
      </c>
      <c r="B82" s="12" t="s">
        <v>54</v>
      </c>
      <c r="C82" s="14">
        <v>45894.0</v>
      </c>
      <c r="D82" s="12" t="s">
        <v>245</v>
      </c>
      <c r="E82" s="12" t="s">
        <v>718</v>
      </c>
      <c r="G82" s="12" t="s">
        <v>720</v>
      </c>
      <c r="H82" s="12" t="s">
        <v>722</v>
      </c>
      <c r="I82" s="12" t="b">
        <v>1</v>
      </c>
      <c r="J82" s="12" t="s">
        <v>69</v>
      </c>
      <c r="P82" s="12">
        <v>1643495.0</v>
      </c>
      <c r="Q82" s="12" t="b">
        <v>1</v>
      </c>
    </row>
    <row r="83">
      <c r="A83" s="12" t="s">
        <v>726</v>
      </c>
      <c r="B83" s="12" t="s">
        <v>54</v>
      </c>
      <c r="C83" s="14">
        <v>45894.0</v>
      </c>
      <c r="D83" s="12" t="s">
        <v>728</v>
      </c>
      <c r="E83" s="12" t="s">
        <v>731</v>
      </c>
      <c r="G83" s="12" t="s">
        <v>732</v>
      </c>
      <c r="H83" s="12" t="s">
        <v>733</v>
      </c>
      <c r="I83" s="12" t="b">
        <v>1</v>
      </c>
      <c r="J83" s="12" t="s">
        <v>69</v>
      </c>
      <c r="P83" s="12">
        <v>1643497.0</v>
      </c>
      <c r="Q83" s="12" t="b">
        <v>1</v>
      </c>
    </row>
    <row r="84">
      <c r="A84" s="12" t="s">
        <v>737</v>
      </c>
      <c r="B84" s="12" t="s">
        <v>54</v>
      </c>
      <c r="C84" s="14">
        <v>45894.0</v>
      </c>
      <c r="D84" s="12" t="s">
        <v>738</v>
      </c>
      <c r="E84" s="12" t="s">
        <v>739</v>
      </c>
      <c r="G84" s="12" t="s">
        <v>740</v>
      </c>
      <c r="H84" s="12" t="s">
        <v>742</v>
      </c>
      <c r="I84" s="12" t="b">
        <v>1</v>
      </c>
      <c r="J84" s="12" t="s">
        <v>69</v>
      </c>
      <c r="P84" s="12">
        <v>1643501.0</v>
      </c>
      <c r="Q84" s="12" t="b">
        <v>1</v>
      </c>
    </row>
    <row r="85">
      <c r="A85" s="12" t="s">
        <v>743</v>
      </c>
      <c r="B85" s="12" t="s">
        <v>54</v>
      </c>
      <c r="C85" s="14">
        <v>45894.0</v>
      </c>
      <c r="D85" s="12" t="s">
        <v>745</v>
      </c>
      <c r="E85" s="12" t="s">
        <v>746</v>
      </c>
      <c r="G85" s="12" t="s">
        <v>747</v>
      </c>
      <c r="H85" s="12" t="s">
        <v>748</v>
      </c>
      <c r="I85" s="12" t="b">
        <v>1</v>
      </c>
      <c r="J85" s="12" t="s">
        <v>69</v>
      </c>
      <c r="P85" s="12">
        <v>1643605.0</v>
      </c>
      <c r="Q85" s="12" t="b">
        <v>1</v>
      </c>
    </row>
    <row r="86">
      <c r="A86" s="12" t="s">
        <v>751</v>
      </c>
      <c r="B86" s="12" t="s">
        <v>54</v>
      </c>
      <c r="C86" s="14">
        <v>45894.0</v>
      </c>
      <c r="D86" s="12" t="s">
        <v>745</v>
      </c>
      <c r="E86" s="12" t="s">
        <v>746</v>
      </c>
      <c r="G86" s="12" t="s">
        <v>757</v>
      </c>
      <c r="H86" s="12" t="s">
        <v>748</v>
      </c>
      <c r="I86" s="12" t="b">
        <v>1</v>
      </c>
      <c r="J86" s="12" t="s">
        <v>69</v>
      </c>
      <c r="P86" s="12">
        <v>1643607.0</v>
      </c>
      <c r="Q86" s="12" t="b">
        <v>1</v>
      </c>
    </row>
    <row r="87">
      <c r="A87" s="12" t="s">
        <v>758</v>
      </c>
      <c r="B87" s="12" t="s">
        <v>54</v>
      </c>
      <c r="C87" s="14">
        <v>45894.0</v>
      </c>
      <c r="D87" s="12" t="s">
        <v>58</v>
      </c>
      <c r="E87" s="12" t="s">
        <v>760</v>
      </c>
      <c r="G87" s="12" t="s">
        <v>763</v>
      </c>
      <c r="H87" s="12" t="s">
        <v>378</v>
      </c>
      <c r="I87" s="12" t="b">
        <v>1</v>
      </c>
      <c r="J87" s="12" t="s">
        <v>69</v>
      </c>
      <c r="P87" s="12">
        <v>1643502.0</v>
      </c>
      <c r="Q87" s="12" t="b">
        <v>1</v>
      </c>
    </row>
    <row r="88">
      <c r="A88" s="12" t="s">
        <v>766</v>
      </c>
      <c r="B88" s="12" t="s">
        <v>54</v>
      </c>
      <c r="C88" s="14">
        <v>45894.0</v>
      </c>
      <c r="D88" s="12" t="s">
        <v>769</v>
      </c>
      <c r="E88" s="12" t="s">
        <v>770</v>
      </c>
      <c r="G88" s="12" t="s">
        <v>772</v>
      </c>
      <c r="H88" s="12" t="s">
        <v>774</v>
      </c>
      <c r="I88" s="12" t="b">
        <v>1</v>
      </c>
      <c r="J88" s="12" t="s">
        <v>69</v>
      </c>
      <c r="P88" s="12">
        <v>1644945.0</v>
      </c>
      <c r="Q88" s="12" t="b">
        <v>1</v>
      </c>
    </row>
    <row r="89">
      <c r="A89" s="12" t="s">
        <v>777</v>
      </c>
      <c r="B89" s="12" t="s">
        <v>54</v>
      </c>
      <c r="C89" s="14">
        <v>45895.0</v>
      </c>
      <c r="D89" s="12" t="s">
        <v>470</v>
      </c>
      <c r="E89" s="12" t="s">
        <v>779</v>
      </c>
      <c r="G89" s="12" t="s">
        <v>780</v>
      </c>
      <c r="H89" s="12" t="s">
        <v>268</v>
      </c>
      <c r="I89" s="12" t="b">
        <v>1</v>
      </c>
      <c r="J89" s="12" t="s">
        <v>69</v>
      </c>
      <c r="P89" s="12">
        <v>1644946.0</v>
      </c>
      <c r="Q89" s="12" t="b">
        <v>1</v>
      </c>
    </row>
    <row r="90">
      <c r="A90" s="12" t="s">
        <v>782</v>
      </c>
      <c r="B90" s="12" t="s">
        <v>54</v>
      </c>
      <c r="C90" s="14">
        <v>45895.0</v>
      </c>
      <c r="D90" s="12" t="s">
        <v>784</v>
      </c>
      <c r="E90" s="12" t="s">
        <v>785</v>
      </c>
      <c r="G90" s="12" t="s">
        <v>787</v>
      </c>
      <c r="H90" s="12" t="s">
        <v>715</v>
      </c>
      <c r="I90" s="12" t="b">
        <v>0</v>
      </c>
      <c r="J90" s="12" t="s">
        <v>69</v>
      </c>
      <c r="L90" s="12" t="s">
        <v>789</v>
      </c>
      <c r="Q90" s="12" t="b">
        <v>1</v>
      </c>
    </row>
    <row r="91">
      <c r="A91" s="12" t="s">
        <v>791</v>
      </c>
      <c r="B91" s="12" t="s">
        <v>54</v>
      </c>
      <c r="C91" s="14">
        <v>45895.0</v>
      </c>
      <c r="D91" s="12" t="s">
        <v>784</v>
      </c>
      <c r="E91" s="12" t="s">
        <v>785</v>
      </c>
      <c r="G91" s="12" t="s">
        <v>792</v>
      </c>
      <c r="H91" s="12" t="s">
        <v>715</v>
      </c>
      <c r="I91" s="12" t="b">
        <v>0</v>
      </c>
      <c r="J91" s="12" t="s">
        <v>69</v>
      </c>
      <c r="L91" s="12" t="s">
        <v>794</v>
      </c>
      <c r="Q91" s="12" t="b">
        <v>1</v>
      </c>
    </row>
    <row r="92">
      <c r="A92" s="12" t="s">
        <v>795</v>
      </c>
      <c r="B92" s="12" t="s">
        <v>54</v>
      </c>
      <c r="C92" s="14">
        <v>45895.0</v>
      </c>
      <c r="D92" s="12" t="s">
        <v>784</v>
      </c>
      <c r="E92" s="12" t="s">
        <v>785</v>
      </c>
      <c r="G92" s="12" t="s">
        <v>798</v>
      </c>
      <c r="H92" s="12" t="s">
        <v>715</v>
      </c>
      <c r="I92" s="12" t="b">
        <v>0</v>
      </c>
      <c r="J92" s="12" t="s">
        <v>69</v>
      </c>
      <c r="L92" s="12" t="s">
        <v>800</v>
      </c>
      <c r="Q92" s="12" t="b">
        <v>1</v>
      </c>
    </row>
    <row r="93">
      <c r="A93" s="12">
        <v>8.6095401E7</v>
      </c>
      <c r="B93" s="12" t="s">
        <v>54</v>
      </c>
      <c r="C93" s="14">
        <v>45896.0</v>
      </c>
      <c r="D93" s="12" t="s">
        <v>324</v>
      </c>
      <c r="E93" s="12" t="s">
        <v>803</v>
      </c>
      <c r="G93" s="12" t="s">
        <v>805</v>
      </c>
      <c r="H93" s="12" t="s">
        <v>733</v>
      </c>
      <c r="I93" s="12" t="b">
        <v>1</v>
      </c>
      <c r="J93" s="12" t="s">
        <v>69</v>
      </c>
      <c r="P93" s="12">
        <v>1645818.0</v>
      </c>
      <c r="Q93" s="12" t="b">
        <v>1</v>
      </c>
    </row>
    <row r="94">
      <c r="A94" s="12" t="s">
        <v>806</v>
      </c>
      <c r="B94" s="12" t="s">
        <v>54</v>
      </c>
      <c r="C94" s="14">
        <v>45896.0</v>
      </c>
      <c r="D94" s="12" t="s">
        <v>324</v>
      </c>
      <c r="E94" s="12" t="s">
        <v>808</v>
      </c>
      <c r="G94" s="12" t="s">
        <v>809</v>
      </c>
      <c r="H94" s="12" t="s">
        <v>328</v>
      </c>
      <c r="I94" s="12" t="b">
        <v>1</v>
      </c>
      <c r="J94" s="12" t="s">
        <v>69</v>
      </c>
      <c r="P94" s="12">
        <v>1645819.0</v>
      </c>
      <c r="Q94" s="12" t="b">
        <v>1</v>
      </c>
    </row>
    <row r="95">
      <c r="A95" s="12" t="s">
        <v>811</v>
      </c>
      <c r="B95" s="12" t="s">
        <v>54</v>
      </c>
      <c r="C95" s="14">
        <v>45889.0</v>
      </c>
      <c r="D95" s="12" t="s">
        <v>784</v>
      </c>
      <c r="E95" s="12" t="s">
        <v>815</v>
      </c>
      <c r="G95" s="12" t="s">
        <v>817</v>
      </c>
      <c r="H95" s="12" t="s">
        <v>715</v>
      </c>
      <c r="I95" s="12" t="b">
        <v>0</v>
      </c>
      <c r="J95" s="12" t="s">
        <v>69</v>
      </c>
      <c r="L95" s="12" t="s">
        <v>821</v>
      </c>
      <c r="Q95" s="12" t="b">
        <v>1</v>
      </c>
    </row>
    <row r="96">
      <c r="A96" s="12" t="s">
        <v>822</v>
      </c>
      <c r="B96" s="12" t="s">
        <v>54</v>
      </c>
      <c r="C96" s="14">
        <v>45898.0</v>
      </c>
      <c r="D96" s="12" t="s">
        <v>220</v>
      </c>
      <c r="E96" s="12" t="s">
        <v>824</v>
      </c>
      <c r="G96" s="12" t="s">
        <v>825</v>
      </c>
      <c r="H96" s="12" t="s">
        <v>826</v>
      </c>
      <c r="I96" s="12" t="b">
        <v>1</v>
      </c>
      <c r="J96" s="12" t="s">
        <v>69</v>
      </c>
      <c r="P96" s="12">
        <v>1649335.0</v>
      </c>
      <c r="Q96" s="12" t="b">
        <v>1</v>
      </c>
    </row>
    <row r="97">
      <c r="A97" s="12" t="s">
        <v>829</v>
      </c>
      <c r="B97" s="12" t="s">
        <v>54</v>
      </c>
      <c r="C97" s="14">
        <v>45895.0</v>
      </c>
      <c r="D97" s="12" t="s">
        <v>355</v>
      </c>
      <c r="E97" s="12" t="s">
        <v>830</v>
      </c>
      <c r="G97" s="12" t="s">
        <v>832</v>
      </c>
      <c r="H97" s="12" t="s">
        <v>835</v>
      </c>
      <c r="I97" s="12" t="b">
        <v>1</v>
      </c>
      <c r="J97" s="12" t="s">
        <v>69</v>
      </c>
      <c r="P97" s="12">
        <v>1649337.0</v>
      </c>
      <c r="Q97" s="12" t="b">
        <v>1</v>
      </c>
    </row>
    <row r="98">
      <c r="A98" s="12" t="s">
        <v>837</v>
      </c>
      <c r="B98" s="12" t="s">
        <v>54</v>
      </c>
      <c r="C98" s="14">
        <v>45898.0</v>
      </c>
      <c r="D98" s="12" t="s">
        <v>838</v>
      </c>
      <c r="E98" s="12" t="s">
        <v>839</v>
      </c>
      <c r="G98" s="12" t="s">
        <v>841</v>
      </c>
      <c r="H98" s="12" t="s">
        <v>842</v>
      </c>
      <c r="I98" s="12" t="b">
        <v>1</v>
      </c>
      <c r="J98" s="12" t="s">
        <v>69</v>
      </c>
      <c r="P98" s="12">
        <v>1649346.0</v>
      </c>
      <c r="Q98" s="12" t="b">
        <v>1</v>
      </c>
    </row>
    <row r="99">
      <c r="A99" s="12" t="s">
        <v>845</v>
      </c>
      <c r="B99" s="12" t="s">
        <v>54</v>
      </c>
      <c r="C99" s="14">
        <v>45901.0</v>
      </c>
      <c r="D99" s="12" t="s">
        <v>375</v>
      </c>
      <c r="E99" s="12" t="s">
        <v>849</v>
      </c>
      <c r="G99" s="12" t="s">
        <v>851</v>
      </c>
      <c r="H99" s="12" t="s">
        <v>853</v>
      </c>
      <c r="I99" s="12" t="b">
        <v>1</v>
      </c>
      <c r="J99" s="12" t="s">
        <v>69</v>
      </c>
      <c r="P99" s="12">
        <v>1656142.0</v>
      </c>
      <c r="Q99" s="12" t="b">
        <v>1</v>
      </c>
    </row>
    <row r="100">
      <c r="A100" s="12" t="s">
        <v>855</v>
      </c>
      <c r="B100" s="12" t="s">
        <v>54</v>
      </c>
      <c r="C100" s="14">
        <v>45901.0</v>
      </c>
      <c r="D100" s="12" t="s">
        <v>109</v>
      </c>
      <c r="E100" s="12" t="s">
        <v>856</v>
      </c>
      <c r="G100" s="12" t="s">
        <v>858</v>
      </c>
      <c r="H100" s="12" t="s">
        <v>859</v>
      </c>
      <c r="I100" s="12" t="b">
        <v>1</v>
      </c>
      <c r="J100" s="12" t="s">
        <v>69</v>
      </c>
      <c r="P100" s="12">
        <v>1655470.0</v>
      </c>
      <c r="Q100" s="12" t="b">
        <v>1</v>
      </c>
    </row>
    <row r="101">
      <c r="A101" s="12" t="s">
        <v>862</v>
      </c>
      <c r="B101" s="12" t="s">
        <v>54</v>
      </c>
      <c r="C101" s="14">
        <v>45902.0</v>
      </c>
      <c r="D101" s="12" t="s">
        <v>461</v>
      </c>
      <c r="E101" s="12" t="s">
        <v>865</v>
      </c>
      <c r="G101" s="12" t="s">
        <v>866</v>
      </c>
      <c r="H101" s="12" t="s">
        <v>868</v>
      </c>
      <c r="I101" s="12" t="b">
        <v>1</v>
      </c>
      <c r="J101" s="12" t="s">
        <v>69</v>
      </c>
      <c r="P101" s="12">
        <v>1657738.0</v>
      </c>
      <c r="Q101" s="12" t="b">
        <v>1</v>
      </c>
    </row>
    <row r="102">
      <c r="A102" s="12" t="s">
        <v>869</v>
      </c>
      <c r="B102" s="12" t="s">
        <v>54</v>
      </c>
      <c r="C102" s="14">
        <v>45904.0</v>
      </c>
      <c r="D102" s="12" t="s">
        <v>109</v>
      </c>
      <c r="E102" s="12" t="s">
        <v>873</v>
      </c>
      <c r="G102" s="12" t="s">
        <v>875</v>
      </c>
      <c r="H102" s="12" t="s">
        <v>859</v>
      </c>
      <c r="I102" s="12" t="b">
        <v>1</v>
      </c>
      <c r="J102" s="12" t="s">
        <v>69</v>
      </c>
      <c r="P102" s="12">
        <v>1660412.0</v>
      </c>
      <c r="Q102" s="12" t="b">
        <v>1</v>
      </c>
    </row>
    <row r="103">
      <c r="A103" s="12" t="s">
        <v>876</v>
      </c>
      <c r="B103" s="12" t="s">
        <v>54</v>
      </c>
      <c r="C103" s="14">
        <v>45899.0</v>
      </c>
      <c r="D103" s="12" t="s">
        <v>182</v>
      </c>
      <c r="E103" s="12" t="s">
        <v>878</v>
      </c>
      <c r="G103" s="12" t="s">
        <v>879</v>
      </c>
      <c r="H103" s="12" t="s">
        <v>880</v>
      </c>
      <c r="I103" s="12" t="b">
        <v>1</v>
      </c>
      <c r="J103" s="12" t="s">
        <v>69</v>
      </c>
      <c r="P103" s="12">
        <v>1660840.0</v>
      </c>
      <c r="Q103" s="12" t="b">
        <v>1</v>
      </c>
    </row>
    <row r="104">
      <c r="A104" s="12" t="s">
        <v>883</v>
      </c>
      <c r="B104" s="12" t="s">
        <v>54</v>
      </c>
      <c r="C104" s="14">
        <v>45902.0</v>
      </c>
      <c r="D104" s="12" t="s">
        <v>156</v>
      </c>
      <c r="E104" s="12" t="s">
        <v>885</v>
      </c>
      <c r="G104" s="12" t="s">
        <v>886</v>
      </c>
      <c r="H104" s="12" t="s">
        <v>293</v>
      </c>
      <c r="I104" s="12" t="b">
        <v>0</v>
      </c>
      <c r="J104" s="12" t="s">
        <v>69</v>
      </c>
      <c r="L104" s="12" t="s">
        <v>888</v>
      </c>
      <c r="M104" s="12" t="s">
        <v>889</v>
      </c>
      <c r="N104" s="12" t="s">
        <v>891</v>
      </c>
      <c r="Q104" s="12" t="b">
        <v>1</v>
      </c>
    </row>
    <row r="105">
      <c r="A105" s="12" t="s">
        <v>892</v>
      </c>
      <c r="B105" s="12" t="s">
        <v>54</v>
      </c>
      <c r="C105" s="14">
        <v>45902.0</v>
      </c>
      <c r="D105" s="12" t="s">
        <v>156</v>
      </c>
      <c r="E105" s="12" t="s">
        <v>885</v>
      </c>
      <c r="G105" s="12" t="s">
        <v>894</v>
      </c>
      <c r="H105" s="12" t="s">
        <v>293</v>
      </c>
      <c r="I105" s="12" t="b">
        <v>0</v>
      </c>
      <c r="J105" s="12" t="s">
        <v>69</v>
      </c>
      <c r="L105" s="12" t="s">
        <v>896</v>
      </c>
      <c r="Q105" s="12" t="b">
        <v>1</v>
      </c>
    </row>
    <row r="106">
      <c r="A106" s="12">
        <v>9.2784572E7</v>
      </c>
      <c r="B106" s="12" t="s">
        <v>54</v>
      </c>
      <c r="C106" s="14">
        <v>45906.0</v>
      </c>
      <c r="D106" s="12" t="s">
        <v>182</v>
      </c>
      <c r="E106" s="12" t="s">
        <v>900</v>
      </c>
      <c r="G106" s="12" t="s">
        <v>901</v>
      </c>
      <c r="H106" s="12" t="s">
        <v>902</v>
      </c>
      <c r="I106" s="12" t="b">
        <v>1</v>
      </c>
      <c r="J106" s="12" t="s">
        <v>69</v>
      </c>
      <c r="P106" s="12">
        <v>1664381.0</v>
      </c>
      <c r="Q106" s="12" t="b">
        <v>1</v>
      </c>
    </row>
    <row r="107">
      <c r="A107" s="12" t="s">
        <v>903</v>
      </c>
      <c r="B107" s="12" t="s">
        <v>54</v>
      </c>
      <c r="C107" s="14">
        <v>45909.0</v>
      </c>
      <c r="D107" s="12" t="s">
        <v>418</v>
      </c>
      <c r="E107" s="12" t="s">
        <v>905</v>
      </c>
      <c r="G107" s="12" t="s">
        <v>906</v>
      </c>
      <c r="H107" s="12" t="s">
        <v>907</v>
      </c>
      <c r="I107" s="12" t="b">
        <v>0</v>
      </c>
      <c r="J107" s="12" t="s">
        <v>69</v>
      </c>
      <c r="Q107" s="12" t="b">
        <v>1</v>
      </c>
    </row>
    <row r="108">
      <c r="A108" s="12" t="s">
        <v>910</v>
      </c>
      <c r="B108" s="12" t="s">
        <v>54</v>
      </c>
      <c r="C108" s="14">
        <v>45904.0</v>
      </c>
      <c r="D108" s="12" t="s">
        <v>912</v>
      </c>
      <c r="E108" s="12" t="s">
        <v>913</v>
      </c>
      <c r="G108" s="12" t="s">
        <v>914</v>
      </c>
      <c r="H108" s="12" t="s">
        <v>254</v>
      </c>
      <c r="I108" s="12" t="b">
        <v>0</v>
      </c>
      <c r="J108" s="12" t="s">
        <v>69</v>
      </c>
      <c r="Q108" s="12" t="b">
        <v>1</v>
      </c>
    </row>
    <row r="109">
      <c r="A109" s="12" t="s">
        <v>917</v>
      </c>
      <c r="B109" s="12" t="s">
        <v>54</v>
      </c>
      <c r="C109" s="14">
        <v>45908.0</v>
      </c>
      <c r="D109" s="12" t="s">
        <v>683</v>
      </c>
      <c r="E109" s="12" t="s">
        <v>920</v>
      </c>
      <c r="G109" s="12" t="s">
        <v>921</v>
      </c>
      <c r="H109" s="12" t="s">
        <v>859</v>
      </c>
      <c r="I109" s="12" t="b">
        <v>1</v>
      </c>
      <c r="J109" s="12" t="s">
        <v>69</v>
      </c>
      <c r="P109" s="12">
        <v>1668885.0</v>
      </c>
      <c r="Q109" s="12" t="b">
        <v>1</v>
      </c>
    </row>
    <row r="110">
      <c r="A110" s="12" t="s">
        <v>926</v>
      </c>
      <c r="B110" s="12" t="s">
        <v>54</v>
      </c>
      <c r="C110" s="14">
        <v>45909.0</v>
      </c>
      <c r="D110" s="12" t="s">
        <v>441</v>
      </c>
      <c r="E110" s="12" t="s">
        <v>929</v>
      </c>
      <c r="G110" s="12" t="s">
        <v>931</v>
      </c>
      <c r="H110" s="12" t="s">
        <v>932</v>
      </c>
      <c r="I110" s="12" t="b">
        <v>1</v>
      </c>
      <c r="J110" s="12" t="s">
        <v>69</v>
      </c>
      <c r="P110" s="12">
        <v>1671779.0</v>
      </c>
      <c r="Q110" s="12" t="b">
        <v>1</v>
      </c>
    </row>
    <row r="111">
      <c r="A111" s="12" t="s">
        <v>935</v>
      </c>
      <c r="B111" s="12" t="s">
        <v>54</v>
      </c>
      <c r="C111" s="14">
        <v>45910.0</v>
      </c>
      <c r="D111" s="12" t="s">
        <v>938</v>
      </c>
      <c r="E111" s="12" t="s">
        <v>939</v>
      </c>
      <c r="G111" s="12" t="s">
        <v>940</v>
      </c>
      <c r="H111" s="12" t="s">
        <v>941</v>
      </c>
      <c r="I111" s="12" t="b">
        <v>1</v>
      </c>
      <c r="J111" s="12" t="s">
        <v>69</v>
      </c>
      <c r="P111" s="12">
        <v>1673054.0</v>
      </c>
      <c r="Q111" s="12" t="b">
        <v>1</v>
      </c>
    </row>
    <row r="112">
      <c r="A112" s="12" t="s">
        <v>945</v>
      </c>
      <c r="B112" s="12" t="s">
        <v>54</v>
      </c>
      <c r="C112" s="14">
        <v>45900.0</v>
      </c>
      <c r="D112" s="12" t="s">
        <v>77</v>
      </c>
      <c r="E112" s="12" t="s">
        <v>947</v>
      </c>
      <c r="G112" s="12" t="s">
        <v>948</v>
      </c>
      <c r="H112" s="12" t="s">
        <v>950</v>
      </c>
      <c r="I112" s="12" t="b">
        <v>1</v>
      </c>
      <c r="J112" s="12" t="s">
        <v>69</v>
      </c>
      <c r="P112" s="12">
        <v>1673110.0</v>
      </c>
      <c r="Q112" s="12" t="b">
        <v>1</v>
      </c>
    </row>
    <row r="113">
      <c r="A113" s="12" t="s">
        <v>952</v>
      </c>
      <c r="B113" s="12" t="s">
        <v>54</v>
      </c>
      <c r="C113" s="14">
        <v>45905.0</v>
      </c>
      <c r="D113" s="12" t="s">
        <v>220</v>
      </c>
      <c r="E113" s="12" t="s">
        <v>953</v>
      </c>
      <c r="G113" s="12" t="s">
        <v>954</v>
      </c>
      <c r="H113" s="12" t="s">
        <v>268</v>
      </c>
      <c r="I113" s="12" t="b">
        <v>1</v>
      </c>
      <c r="J113" s="12" t="s">
        <v>69</v>
      </c>
      <c r="P113" s="12">
        <v>1673095.0</v>
      </c>
      <c r="Q113" s="12" t="b">
        <v>1</v>
      </c>
    </row>
    <row r="114">
      <c r="A114" s="12" t="s">
        <v>958</v>
      </c>
      <c r="B114" s="12" t="s">
        <v>54</v>
      </c>
      <c r="C114" s="14">
        <v>45901.0</v>
      </c>
      <c r="D114" s="12" t="s">
        <v>220</v>
      </c>
      <c r="E114" s="12" t="s">
        <v>961</v>
      </c>
      <c r="G114" s="12" t="s">
        <v>962</v>
      </c>
      <c r="H114" s="12" t="s">
        <v>268</v>
      </c>
      <c r="I114" s="12" t="b">
        <v>1</v>
      </c>
      <c r="J114" s="12" t="s">
        <v>69</v>
      </c>
      <c r="P114" s="12">
        <v>1673091.0</v>
      </c>
      <c r="Q114" s="12" t="b">
        <v>1</v>
      </c>
    </row>
    <row r="115">
      <c r="A115" s="12">
        <v>7.7789568E7</v>
      </c>
      <c r="B115" s="12" t="s">
        <v>54</v>
      </c>
      <c r="C115" s="14">
        <v>45907.0</v>
      </c>
      <c r="D115" s="12" t="s">
        <v>77</v>
      </c>
      <c r="E115" s="12" t="s">
        <v>965</v>
      </c>
      <c r="G115" s="12" t="s">
        <v>966</v>
      </c>
      <c r="H115" s="12" t="s">
        <v>967</v>
      </c>
      <c r="I115" s="12" t="b">
        <v>1</v>
      </c>
      <c r="J115" s="12" t="s">
        <v>69</v>
      </c>
      <c r="P115" s="12">
        <v>1673086.0</v>
      </c>
      <c r="Q115" s="12" t="b">
        <v>1</v>
      </c>
    </row>
    <row r="116">
      <c r="A116" s="12" t="s">
        <v>971</v>
      </c>
      <c r="B116" s="12" t="s">
        <v>54</v>
      </c>
      <c r="C116" s="14">
        <v>45909.0</v>
      </c>
      <c r="D116" s="12" t="s">
        <v>220</v>
      </c>
      <c r="E116" s="12" t="s">
        <v>973</v>
      </c>
      <c r="G116" s="12" t="s">
        <v>974</v>
      </c>
      <c r="H116" s="12" t="s">
        <v>268</v>
      </c>
      <c r="I116" s="12" t="b">
        <v>1</v>
      </c>
      <c r="J116" s="12" t="s">
        <v>69</v>
      </c>
      <c r="P116" s="12">
        <v>1673081.0</v>
      </c>
      <c r="Q116" s="12" t="b">
        <v>1</v>
      </c>
    </row>
    <row r="117">
      <c r="A117" s="12" t="s">
        <v>978</v>
      </c>
      <c r="B117" s="12" t="s">
        <v>54</v>
      </c>
      <c r="C117" s="14">
        <v>45911.0</v>
      </c>
      <c r="D117" s="12" t="s">
        <v>375</v>
      </c>
      <c r="E117" s="12" t="s">
        <v>981</v>
      </c>
      <c r="G117" s="12" t="s">
        <v>982</v>
      </c>
      <c r="H117" s="12" t="s">
        <v>153</v>
      </c>
      <c r="I117" s="12" t="b">
        <v>1</v>
      </c>
      <c r="J117" s="12" t="s">
        <v>69</v>
      </c>
      <c r="P117" s="12">
        <v>1674144.0</v>
      </c>
      <c r="Q117" s="12" t="b">
        <v>1</v>
      </c>
    </row>
    <row r="118">
      <c r="A118" s="12" t="s">
        <v>986</v>
      </c>
      <c r="B118" s="12" t="s">
        <v>54</v>
      </c>
      <c r="C118" s="14">
        <v>45911.0</v>
      </c>
      <c r="D118" s="12" t="s">
        <v>220</v>
      </c>
      <c r="E118" s="12" t="s">
        <v>989</v>
      </c>
      <c r="G118" s="12" t="s">
        <v>990</v>
      </c>
      <c r="H118" s="12" t="s">
        <v>268</v>
      </c>
      <c r="I118" s="12" t="b">
        <v>1</v>
      </c>
      <c r="J118" s="12" t="s">
        <v>69</v>
      </c>
      <c r="P118" s="12">
        <v>1675264.0</v>
      </c>
      <c r="Q118" s="12" t="b">
        <v>1</v>
      </c>
    </row>
    <row r="119">
      <c r="A119" s="12" t="s">
        <v>993</v>
      </c>
      <c r="B119" s="12" t="s">
        <v>54</v>
      </c>
      <c r="C119" s="14">
        <v>45912.0</v>
      </c>
      <c r="D119" s="12" t="s">
        <v>470</v>
      </c>
      <c r="E119" s="12" t="s">
        <v>995</v>
      </c>
      <c r="G119" s="12" t="s">
        <v>997</v>
      </c>
      <c r="H119" s="12" t="s">
        <v>1000</v>
      </c>
      <c r="I119" s="12" t="b">
        <v>1</v>
      </c>
      <c r="J119" s="12" t="s">
        <v>69</v>
      </c>
      <c r="P119" s="12">
        <v>1676824.0</v>
      </c>
      <c r="Q119" s="12" t="b">
        <v>1</v>
      </c>
    </row>
    <row r="120">
      <c r="A120" s="12" t="s">
        <v>1002</v>
      </c>
      <c r="B120" s="12" t="s">
        <v>54</v>
      </c>
      <c r="C120" s="14">
        <v>45912.0</v>
      </c>
      <c r="D120" s="12" t="s">
        <v>355</v>
      </c>
      <c r="E120" s="12" t="s">
        <v>1004</v>
      </c>
      <c r="G120" s="12" t="s">
        <v>1005</v>
      </c>
      <c r="H120" s="12" t="s">
        <v>1006</v>
      </c>
      <c r="I120" s="12" t="b">
        <v>1</v>
      </c>
      <c r="J120" s="12" t="s">
        <v>69</v>
      </c>
      <c r="P120" s="12">
        <v>1676822.0</v>
      </c>
      <c r="Q120" s="12" t="b">
        <v>1</v>
      </c>
    </row>
    <row r="121">
      <c r="A121" s="12" t="s">
        <v>1009</v>
      </c>
      <c r="B121" s="12" t="s">
        <v>54</v>
      </c>
      <c r="C121" s="14">
        <v>45912.0</v>
      </c>
      <c r="D121" s="12" t="s">
        <v>182</v>
      </c>
      <c r="E121" s="12" t="s">
        <v>1012</v>
      </c>
      <c r="G121" s="12" t="s">
        <v>1013</v>
      </c>
      <c r="H121" s="12" t="s">
        <v>82</v>
      </c>
      <c r="I121" s="12" t="b">
        <v>1</v>
      </c>
      <c r="J121" s="12" t="s">
        <v>69</v>
      </c>
      <c r="P121" s="12">
        <v>1676819.0</v>
      </c>
      <c r="Q121" s="12" t="b">
        <v>1</v>
      </c>
    </row>
    <row r="122">
      <c r="A122" s="12" t="s">
        <v>1016</v>
      </c>
      <c r="B122" s="12" t="s">
        <v>54</v>
      </c>
      <c r="C122" s="14">
        <v>45913.0</v>
      </c>
      <c r="D122" s="12" t="s">
        <v>182</v>
      </c>
      <c r="E122" s="12" t="s">
        <v>1018</v>
      </c>
      <c r="G122" s="12" t="s">
        <v>1020</v>
      </c>
      <c r="H122" s="12" t="s">
        <v>1021</v>
      </c>
      <c r="I122" s="12" t="b">
        <v>1</v>
      </c>
      <c r="J122" s="12" t="s">
        <v>69</v>
      </c>
      <c r="P122" s="12">
        <v>1677686.0</v>
      </c>
      <c r="Q122" s="12" t="b">
        <v>1</v>
      </c>
    </row>
    <row r="123">
      <c r="A123" s="12" t="s">
        <v>1024</v>
      </c>
      <c r="B123" s="12" t="s">
        <v>54</v>
      </c>
      <c r="C123" s="14">
        <v>45914.0</v>
      </c>
      <c r="D123" s="12" t="s">
        <v>182</v>
      </c>
      <c r="E123" s="12" t="s">
        <v>1027</v>
      </c>
      <c r="G123" s="12" t="s">
        <v>1030</v>
      </c>
      <c r="H123" s="12" t="s">
        <v>457</v>
      </c>
      <c r="I123" s="12" t="b">
        <v>1</v>
      </c>
      <c r="J123" s="12" t="s">
        <v>69</v>
      </c>
      <c r="P123" s="12">
        <v>1680014.0</v>
      </c>
      <c r="Q123" s="12" t="b">
        <v>1</v>
      </c>
    </row>
    <row r="124">
      <c r="A124" s="12" t="s">
        <v>1032</v>
      </c>
      <c r="B124" s="12" t="s">
        <v>54</v>
      </c>
      <c r="C124" s="14">
        <v>45912.0</v>
      </c>
      <c r="D124" s="12" t="s">
        <v>683</v>
      </c>
      <c r="E124" s="12" t="s">
        <v>1034</v>
      </c>
      <c r="G124" s="12" t="s">
        <v>1036</v>
      </c>
      <c r="H124" s="12" t="s">
        <v>1037</v>
      </c>
      <c r="I124" s="12" t="b">
        <v>1</v>
      </c>
      <c r="J124" s="12" t="s">
        <v>69</v>
      </c>
      <c r="P124" s="12">
        <v>1.6775785E7</v>
      </c>
      <c r="Q124" s="12" t="b">
        <v>1</v>
      </c>
    </row>
    <row r="125">
      <c r="A125" s="12" t="s">
        <v>1041</v>
      </c>
      <c r="B125" s="12" t="s">
        <v>54</v>
      </c>
      <c r="C125" s="14">
        <v>45911.0</v>
      </c>
      <c r="D125" s="12" t="s">
        <v>1043</v>
      </c>
      <c r="E125" s="12" t="s">
        <v>1044</v>
      </c>
      <c r="G125" s="12" t="s">
        <v>1045</v>
      </c>
      <c r="H125" s="12" t="s">
        <v>859</v>
      </c>
      <c r="I125" s="12" t="b">
        <v>1</v>
      </c>
      <c r="J125" s="12" t="s">
        <v>69</v>
      </c>
      <c r="P125" s="12">
        <v>1674693.0</v>
      </c>
      <c r="Q125" s="12" t="b">
        <v>1</v>
      </c>
    </row>
    <row r="126">
      <c r="A126" s="12" t="s">
        <v>1048</v>
      </c>
      <c r="B126" s="12" t="s">
        <v>54</v>
      </c>
      <c r="C126" s="14">
        <v>45915.0</v>
      </c>
      <c r="D126" s="12" t="s">
        <v>220</v>
      </c>
      <c r="E126" s="12" t="s">
        <v>1051</v>
      </c>
      <c r="G126" s="12" t="s">
        <v>1052</v>
      </c>
      <c r="H126" s="12" t="s">
        <v>1054</v>
      </c>
      <c r="I126" s="12" t="b">
        <v>1</v>
      </c>
      <c r="J126" s="12" t="s">
        <v>69</v>
      </c>
      <c r="P126" s="12">
        <v>1683466.0</v>
      </c>
      <c r="Q126" s="12" t="b">
        <v>1</v>
      </c>
    </row>
    <row r="127">
      <c r="A127" s="12" t="s">
        <v>1057</v>
      </c>
      <c r="B127" s="12" t="s">
        <v>54</v>
      </c>
      <c r="C127" s="14">
        <v>45915.0</v>
      </c>
      <c r="D127" s="12" t="s">
        <v>156</v>
      </c>
      <c r="E127" s="12" t="s">
        <v>1059</v>
      </c>
      <c r="G127" s="12" t="s">
        <v>1060</v>
      </c>
      <c r="H127" s="12" t="s">
        <v>254</v>
      </c>
      <c r="I127" s="12" t="b">
        <v>0</v>
      </c>
      <c r="J127" s="12" t="s">
        <v>69</v>
      </c>
      <c r="Q127" s="12" t="b">
        <v>1</v>
      </c>
    </row>
    <row r="128">
      <c r="A128" s="12" t="s">
        <v>1061</v>
      </c>
      <c r="B128" s="12" t="s">
        <v>54</v>
      </c>
      <c r="C128" s="14">
        <v>45916.0</v>
      </c>
      <c r="D128" s="12" t="s">
        <v>784</v>
      </c>
      <c r="E128" s="12" t="s">
        <v>1064</v>
      </c>
      <c r="G128" s="12" t="s">
        <v>1066</v>
      </c>
      <c r="H128" s="12" t="s">
        <v>715</v>
      </c>
      <c r="I128" s="12" t="b">
        <v>0</v>
      </c>
      <c r="J128" s="12" t="s">
        <v>69</v>
      </c>
      <c r="Q128" s="12" t="b">
        <v>1</v>
      </c>
    </row>
    <row r="129">
      <c r="A129" s="12" t="s">
        <v>1071</v>
      </c>
      <c r="B129" s="12" t="s">
        <v>54</v>
      </c>
      <c r="C129" s="14">
        <v>45916.0</v>
      </c>
      <c r="D129" s="12" t="s">
        <v>784</v>
      </c>
      <c r="E129" s="12" t="s">
        <v>1064</v>
      </c>
      <c r="G129" s="12" t="s">
        <v>1072</v>
      </c>
      <c r="H129" s="12" t="s">
        <v>715</v>
      </c>
      <c r="I129" s="12" t="b">
        <v>0</v>
      </c>
      <c r="J129" s="12" t="s">
        <v>69</v>
      </c>
      <c r="Q129" s="12" t="b">
        <v>1</v>
      </c>
    </row>
    <row r="130">
      <c r="A130" s="12" t="s">
        <v>1075</v>
      </c>
      <c r="B130" s="12" t="s">
        <v>54</v>
      </c>
      <c r="C130" s="14">
        <v>45916.0</v>
      </c>
      <c r="D130" s="12" t="s">
        <v>156</v>
      </c>
      <c r="E130" s="12" t="s">
        <v>1080</v>
      </c>
      <c r="G130" s="12" t="s">
        <v>1081</v>
      </c>
      <c r="H130" s="12" t="s">
        <v>1083</v>
      </c>
      <c r="I130" s="12" t="b">
        <v>0</v>
      </c>
      <c r="J130" s="12" t="s">
        <v>621</v>
      </c>
      <c r="Q130" s="12" t="b">
        <v>1</v>
      </c>
    </row>
    <row r="131">
      <c r="A131" s="12" t="s">
        <v>1085</v>
      </c>
      <c r="B131" s="12" t="s">
        <v>54</v>
      </c>
      <c r="C131" s="14">
        <v>45916.0</v>
      </c>
      <c r="D131" s="12" t="s">
        <v>156</v>
      </c>
      <c r="E131" s="12" t="s">
        <v>1087</v>
      </c>
      <c r="G131" s="12" t="s">
        <v>1089</v>
      </c>
      <c r="H131" s="12" t="s">
        <v>1090</v>
      </c>
      <c r="I131" s="12" t="b">
        <v>0</v>
      </c>
      <c r="J131" s="12" t="s">
        <v>621</v>
      </c>
      <c r="L131" s="12" t="s">
        <v>1093</v>
      </c>
      <c r="M131" s="12" t="s">
        <v>1097</v>
      </c>
      <c r="Q131" s="12" t="b">
        <v>1</v>
      </c>
    </row>
    <row r="132">
      <c r="A132" s="12" t="s">
        <v>1100</v>
      </c>
      <c r="B132" s="12" t="s">
        <v>54</v>
      </c>
      <c r="C132" s="14">
        <v>45918.0</v>
      </c>
      <c r="D132" s="12" t="s">
        <v>1103</v>
      </c>
      <c r="E132" s="12" t="s">
        <v>1104</v>
      </c>
      <c r="G132" s="12" t="s">
        <v>1105</v>
      </c>
      <c r="H132" s="12" t="s">
        <v>1106</v>
      </c>
      <c r="I132" s="12" t="b">
        <v>1</v>
      </c>
      <c r="J132" s="12" t="s">
        <v>69</v>
      </c>
      <c r="P132" s="12">
        <v>1688235.0</v>
      </c>
      <c r="Q132" s="12" t="b">
        <v>1</v>
      </c>
    </row>
    <row r="133">
      <c r="A133" s="12" t="s">
        <v>1110</v>
      </c>
      <c r="B133" s="12" t="s">
        <v>54</v>
      </c>
      <c r="C133" s="14">
        <v>45918.0</v>
      </c>
      <c r="D133" s="12" t="s">
        <v>324</v>
      </c>
      <c r="E133" s="12" t="s">
        <v>1114</v>
      </c>
      <c r="G133" s="12" t="s">
        <v>1115</v>
      </c>
      <c r="H133" s="12" t="s">
        <v>1117</v>
      </c>
      <c r="I133" s="12" t="b">
        <v>1</v>
      </c>
      <c r="J133" s="12" t="s">
        <v>69</v>
      </c>
      <c r="P133" s="12">
        <v>1688481.0</v>
      </c>
      <c r="Q133" s="12" t="b">
        <v>1</v>
      </c>
    </row>
    <row r="134">
      <c r="A134" s="12" t="s">
        <v>1120</v>
      </c>
      <c r="B134" s="12" t="s">
        <v>54</v>
      </c>
      <c r="C134" s="14">
        <v>45918.0</v>
      </c>
      <c r="D134" s="12" t="s">
        <v>324</v>
      </c>
      <c r="E134" s="12" t="s">
        <v>1124</v>
      </c>
      <c r="G134" s="12" t="s">
        <v>1126</v>
      </c>
      <c r="H134" s="12" t="s">
        <v>328</v>
      </c>
      <c r="I134" s="12" t="b">
        <v>1</v>
      </c>
      <c r="J134" s="12" t="s">
        <v>69</v>
      </c>
      <c r="P134" s="12">
        <v>1688483.0</v>
      </c>
      <c r="Q134" s="12" t="b">
        <v>1</v>
      </c>
    </row>
    <row r="135">
      <c r="A135" s="12" t="s">
        <v>1131</v>
      </c>
      <c r="B135" s="12" t="s">
        <v>54</v>
      </c>
      <c r="C135" s="14">
        <v>45918.0</v>
      </c>
      <c r="D135" s="12" t="s">
        <v>1043</v>
      </c>
      <c r="E135" s="12" t="s">
        <v>1134</v>
      </c>
      <c r="G135" s="12" t="s">
        <v>1135</v>
      </c>
      <c r="H135" s="12" t="s">
        <v>859</v>
      </c>
      <c r="I135" s="12" t="b">
        <v>1</v>
      </c>
      <c r="J135" s="12" t="s">
        <v>69</v>
      </c>
      <c r="P135" s="12">
        <v>1689248.0</v>
      </c>
      <c r="Q135" s="12" t="b">
        <v>1</v>
      </c>
    </row>
    <row r="136">
      <c r="A136" s="12" t="s">
        <v>1137</v>
      </c>
      <c r="B136" s="12" t="s">
        <v>54</v>
      </c>
      <c r="C136" s="14">
        <v>45919.0</v>
      </c>
      <c r="D136" s="12" t="s">
        <v>461</v>
      </c>
      <c r="E136" s="12" t="s">
        <v>1140</v>
      </c>
      <c r="G136" s="12" t="s">
        <v>1141</v>
      </c>
      <c r="H136" s="12" t="s">
        <v>1143</v>
      </c>
      <c r="I136" s="12" t="b">
        <v>1</v>
      </c>
      <c r="J136" s="12" t="s">
        <v>69</v>
      </c>
      <c r="P136" s="12">
        <v>1689849.0</v>
      </c>
      <c r="Q136" s="12" t="b">
        <v>1</v>
      </c>
    </row>
    <row r="137">
      <c r="A137" s="12" t="s">
        <v>1145</v>
      </c>
      <c r="B137" s="12" t="s">
        <v>54</v>
      </c>
      <c r="C137" s="14">
        <v>45918.0</v>
      </c>
      <c r="D137" s="12" t="s">
        <v>220</v>
      </c>
      <c r="E137" s="12" t="s">
        <v>1148</v>
      </c>
      <c r="G137" s="12" t="s">
        <v>1150</v>
      </c>
      <c r="H137" s="12" t="s">
        <v>186</v>
      </c>
      <c r="I137" s="12" t="b">
        <v>1</v>
      </c>
      <c r="J137" s="12" t="s">
        <v>69</v>
      </c>
      <c r="P137" s="12">
        <v>1691299.0</v>
      </c>
      <c r="Q137" s="12" t="b">
        <v>1</v>
      </c>
    </row>
    <row r="138">
      <c r="A138" s="12" t="s">
        <v>1155</v>
      </c>
      <c r="B138" s="12" t="s">
        <v>54</v>
      </c>
      <c r="C138" s="14">
        <v>45917.0</v>
      </c>
      <c r="D138" s="12" t="s">
        <v>220</v>
      </c>
      <c r="E138" s="12" t="s">
        <v>1157</v>
      </c>
      <c r="G138" s="12" t="s">
        <v>1159</v>
      </c>
      <c r="H138" s="12" t="s">
        <v>1160</v>
      </c>
      <c r="I138" s="12" t="b">
        <v>1</v>
      </c>
      <c r="J138" s="12" t="s">
        <v>69</v>
      </c>
      <c r="P138" s="12">
        <v>1691207.0</v>
      </c>
      <c r="Q138" s="12" t="b">
        <v>1</v>
      </c>
    </row>
    <row r="139">
      <c r="A139" s="12" t="s">
        <v>1163</v>
      </c>
      <c r="B139" s="12" t="s">
        <v>54</v>
      </c>
      <c r="C139" s="14">
        <v>45922.0</v>
      </c>
      <c r="D139" s="12" t="s">
        <v>220</v>
      </c>
      <c r="E139" s="12" t="s">
        <v>1166</v>
      </c>
      <c r="G139" s="12" t="s">
        <v>1169</v>
      </c>
      <c r="H139" s="12" t="s">
        <v>1054</v>
      </c>
      <c r="I139" s="12" t="b">
        <v>1</v>
      </c>
      <c r="J139" s="12" t="s">
        <v>69</v>
      </c>
      <c r="P139" s="12">
        <v>1697595.0</v>
      </c>
      <c r="Q139" s="12" t="b">
        <v>1</v>
      </c>
    </row>
    <row r="140">
      <c r="A140" s="12" t="s">
        <v>1173</v>
      </c>
      <c r="B140" s="12" t="s">
        <v>54</v>
      </c>
      <c r="C140" s="14">
        <v>45920.0</v>
      </c>
      <c r="D140" s="12" t="s">
        <v>182</v>
      </c>
      <c r="E140" s="12" t="s">
        <v>1176</v>
      </c>
      <c r="G140" s="12" t="s">
        <v>1179</v>
      </c>
      <c r="H140" s="12" t="s">
        <v>457</v>
      </c>
      <c r="I140" s="12" t="b">
        <v>1</v>
      </c>
      <c r="J140" s="12" t="s">
        <v>69</v>
      </c>
      <c r="P140" s="12">
        <v>1697596.0</v>
      </c>
      <c r="Q140" s="12" t="b">
        <v>1</v>
      </c>
    </row>
    <row r="141">
      <c r="A141" s="12" t="s">
        <v>1182</v>
      </c>
      <c r="B141" s="12" t="s">
        <v>54</v>
      </c>
      <c r="C141" s="14">
        <v>45922.0</v>
      </c>
      <c r="D141" s="12" t="s">
        <v>345</v>
      </c>
      <c r="E141" s="12" t="s">
        <v>1186</v>
      </c>
      <c r="G141" s="12" t="s">
        <v>1188</v>
      </c>
      <c r="H141" s="12" t="s">
        <v>1189</v>
      </c>
      <c r="I141" s="12" t="b">
        <v>1</v>
      </c>
      <c r="J141" s="12" t="s">
        <v>69</v>
      </c>
      <c r="P141" s="12">
        <v>1697594.0</v>
      </c>
      <c r="Q141" s="12" t="b">
        <v>1</v>
      </c>
    </row>
    <row r="142">
      <c r="A142" s="12" t="s">
        <v>1194</v>
      </c>
      <c r="B142" s="12" t="s">
        <v>54</v>
      </c>
      <c r="C142" s="14">
        <v>45924.0</v>
      </c>
      <c r="D142" s="12" t="s">
        <v>1103</v>
      </c>
      <c r="E142" s="12" t="s">
        <v>1198</v>
      </c>
      <c r="G142" s="12" t="s">
        <v>1200</v>
      </c>
      <c r="H142" s="12" t="s">
        <v>153</v>
      </c>
      <c r="I142" s="12" t="b">
        <v>1</v>
      </c>
      <c r="J142" s="12" t="s">
        <v>69</v>
      </c>
      <c r="P142" s="12">
        <v>1700340.0</v>
      </c>
      <c r="Q142" s="12" t="b">
        <v>1</v>
      </c>
    </row>
    <row r="143">
      <c r="A143" s="12" t="s">
        <v>1203</v>
      </c>
      <c r="B143" s="12" t="s">
        <v>54</v>
      </c>
      <c r="C143" s="14">
        <v>45924.0</v>
      </c>
      <c r="D143" s="12" t="s">
        <v>441</v>
      </c>
      <c r="E143" s="12" t="s">
        <v>1209</v>
      </c>
      <c r="G143" s="12" t="s">
        <v>1210</v>
      </c>
      <c r="H143" s="12" t="s">
        <v>1211</v>
      </c>
      <c r="I143" s="12" t="b">
        <v>1</v>
      </c>
      <c r="J143" s="12" t="s">
        <v>69</v>
      </c>
      <c r="P143" s="12">
        <v>1700341.0</v>
      </c>
      <c r="Q143" s="12" t="b">
        <v>1</v>
      </c>
    </row>
    <row r="144">
      <c r="A144" s="12" t="s">
        <v>1214</v>
      </c>
      <c r="B144" s="12" t="s">
        <v>54</v>
      </c>
      <c r="C144" s="14">
        <v>45924.0</v>
      </c>
      <c r="D144" s="12" t="s">
        <v>1218</v>
      </c>
      <c r="E144" s="12" t="s">
        <v>1219</v>
      </c>
      <c r="G144" s="12" t="s">
        <v>1221</v>
      </c>
      <c r="H144" s="12" t="s">
        <v>1222</v>
      </c>
      <c r="I144" s="12" t="b">
        <v>1</v>
      </c>
      <c r="J144" s="12" t="s">
        <v>69</v>
      </c>
      <c r="P144" s="12">
        <v>1700594.0</v>
      </c>
      <c r="Q144" s="12" t="b">
        <v>1</v>
      </c>
    </row>
    <row r="145">
      <c r="A145" s="12" t="s">
        <v>1227</v>
      </c>
      <c r="B145" s="12" t="s">
        <v>54</v>
      </c>
      <c r="C145" s="14">
        <v>45923.0</v>
      </c>
      <c r="D145" s="12" t="s">
        <v>77</v>
      </c>
      <c r="E145" s="12" t="s">
        <v>1230</v>
      </c>
      <c r="G145" s="12" t="s">
        <v>1231</v>
      </c>
      <c r="H145" s="12" t="s">
        <v>1233</v>
      </c>
      <c r="I145" s="12" t="b">
        <v>1</v>
      </c>
      <c r="J145" s="12" t="s">
        <v>69</v>
      </c>
      <c r="P145" s="12">
        <v>1700583.0</v>
      </c>
      <c r="Q145" s="12" t="b">
        <v>1</v>
      </c>
    </row>
    <row r="146">
      <c r="A146" s="12" t="s">
        <v>1237</v>
      </c>
      <c r="B146" s="12" t="s">
        <v>54</v>
      </c>
      <c r="C146" s="14">
        <v>45924.0</v>
      </c>
      <c r="D146" s="12" t="s">
        <v>175</v>
      </c>
      <c r="E146" s="12" t="s">
        <v>1240</v>
      </c>
      <c r="G146" s="12" t="s">
        <v>1243</v>
      </c>
      <c r="H146" s="12" t="s">
        <v>1244</v>
      </c>
      <c r="I146" s="12" t="b">
        <v>1</v>
      </c>
      <c r="J146" s="12" t="s">
        <v>69</v>
      </c>
      <c r="P146" s="12">
        <v>1700596.0</v>
      </c>
      <c r="Q146" s="12" t="b">
        <v>1</v>
      </c>
    </row>
    <row r="147">
      <c r="A147" s="12" t="s">
        <v>1249</v>
      </c>
      <c r="B147" s="12" t="s">
        <v>54</v>
      </c>
      <c r="C147" s="14">
        <v>45925.0</v>
      </c>
      <c r="D147" s="12" t="s">
        <v>435</v>
      </c>
      <c r="E147" s="12" t="s">
        <v>1252</v>
      </c>
      <c r="G147" s="12" t="s">
        <v>1253</v>
      </c>
      <c r="H147" s="12" t="s">
        <v>1256</v>
      </c>
      <c r="I147" s="12" t="b">
        <v>1</v>
      </c>
      <c r="J147" s="12" t="s">
        <v>69</v>
      </c>
      <c r="P147" s="12">
        <v>1704178.0</v>
      </c>
      <c r="Q147" s="12" t="b">
        <v>1</v>
      </c>
    </row>
    <row r="148">
      <c r="A148" s="12" t="s">
        <v>1260</v>
      </c>
      <c r="B148" s="12" t="s">
        <v>54</v>
      </c>
      <c r="C148" s="14">
        <v>45925.0</v>
      </c>
      <c r="D148" s="12" t="s">
        <v>220</v>
      </c>
      <c r="E148" s="12" t="s">
        <v>1263</v>
      </c>
      <c r="G148" s="12" t="s">
        <v>1264</v>
      </c>
      <c r="H148" s="12" t="s">
        <v>268</v>
      </c>
      <c r="I148" s="12" t="b">
        <v>1</v>
      </c>
      <c r="J148" s="12" t="s">
        <v>69</v>
      </c>
      <c r="P148" s="12">
        <v>1705333.0</v>
      </c>
      <c r="Q148" s="12" t="b">
        <v>1</v>
      </c>
    </row>
    <row r="149">
      <c r="A149" s="12" t="s">
        <v>1268</v>
      </c>
      <c r="B149" s="12" t="s">
        <v>54</v>
      </c>
      <c r="C149" s="14">
        <v>45927.0</v>
      </c>
      <c r="D149" s="12" t="s">
        <v>182</v>
      </c>
      <c r="E149" s="12" t="s">
        <v>1270</v>
      </c>
      <c r="G149" s="12" t="s">
        <v>1273</v>
      </c>
      <c r="H149" s="12" t="s">
        <v>457</v>
      </c>
      <c r="I149" s="12" t="b">
        <v>1</v>
      </c>
      <c r="J149" s="12" t="s">
        <v>69</v>
      </c>
      <c r="P149" s="12">
        <v>1710125.0</v>
      </c>
      <c r="Q149" s="12" t="b">
        <v>1</v>
      </c>
    </row>
    <row r="150">
      <c r="A150" s="12" t="s">
        <v>1277</v>
      </c>
      <c r="B150" s="12" t="s">
        <v>54</v>
      </c>
      <c r="C150" s="14">
        <v>45929.0</v>
      </c>
      <c r="D150" s="12" t="s">
        <v>182</v>
      </c>
      <c r="E150" s="12" t="s">
        <v>1282</v>
      </c>
      <c r="G150" s="12" t="s">
        <v>1283</v>
      </c>
      <c r="H150" s="12" t="s">
        <v>312</v>
      </c>
      <c r="I150" s="12" t="b">
        <v>1</v>
      </c>
      <c r="J150" s="12" t="s">
        <v>69</v>
      </c>
      <c r="P150" s="12">
        <v>1711373.0</v>
      </c>
      <c r="Q150" s="12" t="b">
        <v>1</v>
      </c>
    </row>
    <row r="151">
      <c r="A151" s="12" t="s">
        <v>1287</v>
      </c>
      <c r="B151" s="12" t="s">
        <v>54</v>
      </c>
      <c r="C151" s="14">
        <v>45930.0</v>
      </c>
      <c r="D151" s="12" t="s">
        <v>182</v>
      </c>
      <c r="E151" s="12" t="s">
        <v>1290</v>
      </c>
      <c r="G151" s="12" t="s">
        <v>1291</v>
      </c>
      <c r="H151" s="12" t="s">
        <v>1222</v>
      </c>
      <c r="I151" s="12" t="b">
        <v>1</v>
      </c>
      <c r="J151" s="12" t="s">
        <v>69</v>
      </c>
      <c r="P151" s="12">
        <v>1712047.0</v>
      </c>
      <c r="Q151" s="12" t="b">
        <v>1</v>
      </c>
    </row>
    <row r="152">
      <c r="A152" s="12" t="s">
        <v>1295</v>
      </c>
      <c r="B152" s="12" t="s">
        <v>54</v>
      </c>
      <c r="C152" s="14">
        <v>45931.0</v>
      </c>
      <c r="D152" s="12" t="s">
        <v>1296</v>
      </c>
      <c r="E152" s="12" t="s">
        <v>1297</v>
      </c>
      <c r="G152" s="12" t="s">
        <v>1301</v>
      </c>
      <c r="H152" s="12" t="s">
        <v>1302</v>
      </c>
      <c r="I152" s="12" t="b">
        <v>1</v>
      </c>
      <c r="J152" s="12" t="s">
        <v>69</v>
      </c>
      <c r="P152" s="12">
        <v>234556.0</v>
      </c>
      <c r="Q152" s="12" t="b">
        <v>1</v>
      </c>
    </row>
    <row r="153">
      <c r="A153" s="12" t="s">
        <v>1305</v>
      </c>
      <c r="B153" s="12" t="s">
        <v>54</v>
      </c>
      <c r="C153" s="14">
        <v>45932.0</v>
      </c>
      <c r="D153" s="12" t="s">
        <v>220</v>
      </c>
      <c r="E153" s="12" t="s">
        <v>1307</v>
      </c>
      <c r="G153" s="12" t="s">
        <v>1309</v>
      </c>
      <c r="H153" s="12" t="s">
        <v>1310</v>
      </c>
      <c r="I153" s="12" t="b">
        <v>1</v>
      </c>
      <c r="J153" s="12" t="s">
        <v>69</v>
      </c>
      <c r="P153" s="12">
        <v>1715603.0</v>
      </c>
      <c r="Q153" s="12" t="b">
        <v>1</v>
      </c>
    </row>
    <row r="154">
      <c r="A154" s="12" t="s">
        <v>1313</v>
      </c>
      <c r="B154" s="12" t="s">
        <v>54</v>
      </c>
      <c r="C154" s="14">
        <v>45932.0</v>
      </c>
      <c r="D154" s="12" t="s">
        <v>355</v>
      </c>
      <c r="E154" s="12" t="s">
        <v>1319</v>
      </c>
      <c r="G154" s="12" t="s">
        <v>1321</v>
      </c>
      <c r="H154" s="12" t="s">
        <v>1322</v>
      </c>
      <c r="I154" s="12" t="b">
        <v>1</v>
      </c>
      <c r="J154" s="12" t="s">
        <v>69</v>
      </c>
      <c r="P154" s="12">
        <v>1715604.0</v>
      </c>
      <c r="Q154" s="12" t="b">
        <v>1</v>
      </c>
    </row>
    <row r="155">
      <c r="A155" s="12" t="s">
        <v>1325</v>
      </c>
      <c r="B155" s="12" t="s">
        <v>54</v>
      </c>
      <c r="C155" s="14">
        <v>45933.0</v>
      </c>
      <c r="D155" s="12" t="s">
        <v>375</v>
      </c>
      <c r="E155" s="12" t="s">
        <v>1327</v>
      </c>
      <c r="G155" s="12" t="s">
        <v>1329</v>
      </c>
      <c r="H155" s="12" t="s">
        <v>153</v>
      </c>
      <c r="I155" s="12" t="b">
        <v>1</v>
      </c>
      <c r="J155" s="12" t="s">
        <v>69</v>
      </c>
      <c r="P155" s="12">
        <v>1716488.0</v>
      </c>
      <c r="Q155" s="12" t="b">
        <v>1</v>
      </c>
    </row>
    <row r="156">
      <c r="A156" s="12" t="s">
        <v>1331</v>
      </c>
      <c r="B156" s="12" t="s">
        <v>54</v>
      </c>
      <c r="C156" s="14">
        <v>45929.0</v>
      </c>
      <c r="D156" s="12" t="s">
        <v>156</v>
      </c>
      <c r="E156" s="12" t="s">
        <v>1333</v>
      </c>
      <c r="G156" s="12" t="s">
        <v>1335</v>
      </c>
      <c r="H156" s="12" t="s">
        <v>293</v>
      </c>
      <c r="I156" s="12" t="b">
        <v>0</v>
      </c>
      <c r="J156" s="12" t="s">
        <v>69</v>
      </c>
      <c r="L156" s="12" t="s">
        <v>1337</v>
      </c>
      <c r="M156" s="12" t="s">
        <v>1338</v>
      </c>
      <c r="Q156" s="12" t="b">
        <v>1</v>
      </c>
    </row>
    <row r="157">
      <c r="A157" s="12" t="s">
        <v>1339</v>
      </c>
      <c r="B157" s="12" t="s">
        <v>54</v>
      </c>
      <c r="C157" s="14">
        <v>45931.0</v>
      </c>
      <c r="D157" s="12" t="s">
        <v>156</v>
      </c>
      <c r="E157" s="12" t="s">
        <v>1342</v>
      </c>
      <c r="G157" s="12" t="s">
        <v>1343</v>
      </c>
      <c r="H157" s="12" t="s">
        <v>254</v>
      </c>
      <c r="I157" s="12" t="b">
        <v>0</v>
      </c>
      <c r="J157" s="12" t="s">
        <v>69</v>
      </c>
      <c r="L157" s="12" t="s">
        <v>1345</v>
      </c>
      <c r="Q157" s="12" t="b">
        <v>1</v>
      </c>
    </row>
    <row r="158">
      <c r="A158" s="12" t="s">
        <v>1347</v>
      </c>
      <c r="B158" s="12" t="s">
        <v>54</v>
      </c>
      <c r="C158" s="14">
        <v>45936.0</v>
      </c>
      <c r="D158" s="12" t="s">
        <v>58</v>
      </c>
      <c r="E158" s="12" t="s">
        <v>1349</v>
      </c>
      <c r="G158" s="12" t="s">
        <v>1350</v>
      </c>
      <c r="H158" s="12" t="s">
        <v>1351</v>
      </c>
      <c r="I158" s="12" t="b">
        <v>1</v>
      </c>
      <c r="J158" s="12" t="s">
        <v>69</v>
      </c>
      <c r="P158" s="12">
        <v>1724471.0</v>
      </c>
      <c r="Q158" s="12" t="b">
        <v>1</v>
      </c>
    </row>
    <row r="159">
      <c r="A159" s="12" t="s">
        <v>1355</v>
      </c>
      <c r="B159" s="12" t="s">
        <v>54</v>
      </c>
      <c r="C159" s="14">
        <v>45937.0</v>
      </c>
      <c r="D159" s="12" t="s">
        <v>375</v>
      </c>
      <c r="E159" s="12" t="s">
        <v>1357</v>
      </c>
      <c r="G159" s="12" t="s">
        <v>1358</v>
      </c>
      <c r="H159" s="12" t="s">
        <v>153</v>
      </c>
      <c r="I159" s="12" t="b">
        <v>1</v>
      </c>
      <c r="J159" s="12" t="s">
        <v>69</v>
      </c>
      <c r="P159" s="12">
        <v>1725974.0</v>
      </c>
      <c r="Q159" s="12" t="b">
        <v>1</v>
      </c>
    </row>
    <row r="160">
      <c r="A160" s="12" t="s">
        <v>1360</v>
      </c>
      <c r="B160" s="12" t="s">
        <v>54</v>
      </c>
      <c r="C160" s="14">
        <v>45938.0</v>
      </c>
      <c r="D160" s="12" t="s">
        <v>532</v>
      </c>
      <c r="E160" s="12" t="s">
        <v>1362</v>
      </c>
      <c r="G160" s="12" t="s">
        <v>1364</v>
      </c>
      <c r="H160" s="12" t="s">
        <v>1365</v>
      </c>
      <c r="I160" s="12" t="b">
        <v>1</v>
      </c>
      <c r="J160" s="12" t="s">
        <v>69</v>
      </c>
      <c r="P160" s="12">
        <v>1727778.0</v>
      </c>
      <c r="Q160" s="12" t="b">
        <v>1</v>
      </c>
    </row>
    <row r="161">
      <c r="A161" s="12" t="s">
        <v>1367</v>
      </c>
      <c r="B161" s="12" t="s">
        <v>54</v>
      </c>
      <c r="C161" s="14">
        <v>45938.0</v>
      </c>
      <c r="D161" s="12" t="s">
        <v>1371</v>
      </c>
      <c r="E161" s="12" t="s">
        <v>1373</v>
      </c>
      <c r="G161" s="12" t="s">
        <v>1374</v>
      </c>
      <c r="H161" s="12" t="s">
        <v>1365</v>
      </c>
      <c r="I161" s="12" t="b">
        <v>1</v>
      </c>
      <c r="J161" s="12" t="s">
        <v>69</v>
      </c>
      <c r="P161" s="12">
        <v>1727788.0</v>
      </c>
      <c r="Q161" s="12" t="b">
        <v>1</v>
      </c>
    </row>
    <row r="162">
      <c r="A162" s="12" t="s">
        <v>1378</v>
      </c>
      <c r="B162" s="12" t="s">
        <v>54</v>
      </c>
      <c r="C162" s="14">
        <v>45935.0</v>
      </c>
      <c r="D162" s="12" t="s">
        <v>182</v>
      </c>
      <c r="E162" s="12" t="s">
        <v>1379</v>
      </c>
      <c r="G162" s="12" t="s">
        <v>1381</v>
      </c>
      <c r="H162" s="12" t="s">
        <v>312</v>
      </c>
      <c r="I162" s="12" t="b">
        <v>1</v>
      </c>
      <c r="J162" s="12" t="s">
        <v>69</v>
      </c>
      <c r="P162" s="12">
        <v>1729081.0</v>
      </c>
      <c r="Q162" s="12" t="b">
        <v>1</v>
      </c>
    </row>
    <row r="163">
      <c r="A163" s="12" t="s">
        <v>1384</v>
      </c>
      <c r="B163" s="12" t="s">
        <v>54</v>
      </c>
      <c r="C163" s="14">
        <v>45939.0</v>
      </c>
      <c r="D163" s="12" t="s">
        <v>182</v>
      </c>
      <c r="E163" s="12" t="s">
        <v>1388</v>
      </c>
      <c r="G163" s="12" t="s">
        <v>1389</v>
      </c>
      <c r="H163" s="12" t="s">
        <v>312</v>
      </c>
      <c r="I163" s="12" t="b">
        <v>1</v>
      </c>
      <c r="J163" s="12" t="s">
        <v>69</v>
      </c>
      <c r="P163" s="12">
        <v>1729078.0</v>
      </c>
      <c r="Q163" s="12" t="b">
        <v>1</v>
      </c>
    </row>
    <row r="164">
      <c r="A164" s="12" t="s">
        <v>1392</v>
      </c>
      <c r="B164" s="12" t="s">
        <v>54</v>
      </c>
      <c r="C164" s="14">
        <v>45934.0</v>
      </c>
      <c r="D164" s="12" t="s">
        <v>182</v>
      </c>
      <c r="E164" s="12" t="s">
        <v>1393</v>
      </c>
      <c r="G164" s="12" t="s">
        <v>1396</v>
      </c>
      <c r="H164" s="12" t="s">
        <v>880</v>
      </c>
      <c r="I164" s="12" t="b">
        <v>1</v>
      </c>
      <c r="J164" s="12" t="s">
        <v>69</v>
      </c>
      <c r="P164" s="12">
        <v>1729077.0</v>
      </c>
      <c r="Q164" s="12" t="b">
        <v>1</v>
      </c>
    </row>
    <row r="165">
      <c r="A165" s="12" t="s">
        <v>1398</v>
      </c>
      <c r="B165" s="12" t="s">
        <v>54</v>
      </c>
      <c r="C165" s="14">
        <v>45936.0</v>
      </c>
      <c r="D165" s="12" t="s">
        <v>220</v>
      </c>
      <c r="E165" s="12" t="s">
        <v>1400</v>
      </c>
      <c r="G165" s="12" t="s">
        <v>1401</v>
      </c>
      <c r="H165" s="12" t="s">
        <v>1402</v>
      </c>
      <c r="I165" s="12" t="b">
        <v>1</v>
      </c>
      <c r="J165" s="12" t="s">
        <v>69</v>
      </c>
      <c r="P165" s="12">
        <v>1729074.0</v>
      </c>
      <c r="Q165" s="12" t="b">
        <v>1</v>
      </c>
    </row>
    <row r="166">
      <c r="A166" s="12" t="s">
        <v>1405</v>
      </c>
      <c r="B166" s="12" t="s">
        <v>54</v>
      </c>
      <c r="C166" s="14">
        <v>45937.0</v>
      </c>
      <c r="D166" s="12" t="s">
        <v>220</v>
      </c>
      <c r="E166" s="12" t="s">
        <v>1407</v>
      </c>
      <c r="G166" s="12" t="s">
        <v>1409</v>
      </c>
      <c r="H166" s="12" t="s">
        <v>1410</v>
      </c>
      <c r="I166" s="12" t="b">
        <v>1</v>
      </c>
      <c r="J166" s="12" t="s">
        <v>69</v>
      </c>
      <c r="P166" s="12">
        <v>1729293.0</v>
      </c>
      <c r="Q166" s="12" t="b">
        <v>1</v>
      </c>
    </row>
    <row r="167">
      <c r="A167" s="12" t="s">
        <v>1413</v>
      </c>
      <c r="B167" s="12" t="s">
        <v>54</v>
      </c>
      <c r="C167" s="15">
        <v>45940.0</v>
      </c>
      <c r="D167" s="12" t="s">
        <v>1417</v>
      </c>
      <c r="E167" s="12" t="s">
        <v>1418</v>
      </c>
      <c r="G167" s="12" t="s">
        <v>1419</v>
      </c>
      <c r="H167" s="12" t="s">
        <v>1420</v>
      </c>
      <c r="I167" s="12" t="b">
        <v>1</v>
      </c>
      <c r="J167" s="12" t="s">
        <v>69</v>
      </c>
      <c r="P167" s="12">
        <v>1730898.0</v>
      </c>
      <c r="Q167" s="12" t="b">
        <v>1</v>
      </c>
    </row>
    <row r="168">
      <c r="A168" s="12" t="s">
        <v>1423</v>
      </c>
      <c r="B168" s="12" t="s">
        <v>54</v>
      </c>
      <c r="C168" s="15">
        <v>45940.0</v>
      </c>
      <c r="D168" s="12" t="s">
        <v>220</v>
      </c>
      <c r="E168" s="12" t="s">
        <v>1426</v>
      </c>
      <c r="G168" s="12" t="s">
        <v>1429</v>
      </c>
      <c r="H168" s="12" t="s">
        <v>1431</v>
      </c>
      <c r="I168" s="12" t="b">
        <v>1</v>
      </c>
      <c r="J168" s="12" t="s">
        <v>69</v>
      </c>
      <c r="P168" s="12">
        <v>1733632.0</v>
      </c>
      <c r="Q168" s="12" t="b">
        <v>1</v>
      </c>
    </row>
    <row r="169">
      <c r="A169" s="12" t="s">
        <v>1433</v>
      </c>
      <c r="B169" s="12" t="s">
        <v>54</v>
      </c>
      <c r="C169" s="15">
        <v>45941.0</v>
      </c>
      <c r="D169" s="12" t="s">
        <v>182</v>
      </c>
      <c r="E169" s="12" t="s">
        <v>1435</v>
      </c>
      <c r="G169" s="12" t="s">
        <v>1436</v>
      </c>
      <c r="H169" s="12" t="s">
        <v>880</v>
      </c>
      <c r="I169" s="12" t="b">
        <v>1</v>
      </c>
      <c r="J169" s="12" t="s">
        <v>69</v>
      </c>
      <c r="P169" s="12">
        <v>1733671.0</v>
      </c>
      <c r="Q169" s="12" t="b">
        <v>1</v>
      </c>
    </row>
    <row r="170">
      <c r="A170" s="12" t="s">
        <v>1439</v>
      </c>
      <c r="B170" s="12" t="s">
        <v>54</v>
      </c>
      <c r="C170" s="14">
        <v>45933.0</v>
      </c>
      <c r="D170" s="12" t="s">
        <v>182</v>
      </c>
      <c r="E170" s="12" t="s">
        <v>1443</v>
      </c>
      <c r="G170" s="12" t="s">
        <v>1444</v>
      </c>
      <c r="H170" s="12" t="s">
        <v>1445</v>
      </c>
      <c r="I170" s="12" t="b">
        <v>1</v>
      </c>
      <c r="J170" s="12" t="s">
        <v>69</v>
      </c>
      <c r="P170" s="12">
        <v>1733669.0</v>
      </c>
      <c r="Q170" s="12" t="b">
        <v>1</v>
      </c>
    </row>
    <row r="171">
      <c r="A171" s="12" t="s">
        <v>1448</v>
      </c>
      <c r="B171" s="12" t="s">
        <v>54</v>
      </c>
      <c r="C171" s="15">
        <v>45944.0</v>
      </c>
      <c r="D171" s="12" t="s">
        <v>375</v>
      </c>
      <c r="E171" s="12" t="s">
        <v>1452</v>
      </c>
      <c r="G171" s="12" t="s">
        <v>1453</v>
      </c>
      <c r="H171" s="12" t="s">
        <v>153</v>
      </c>
      <c r="I171" s="12" t="b">
        <v>1</v>
      </c>
      <c r="J171" s="12" t="s">
        <v>69</v>
      </c>
      <c r="P171" s="12">
        <v>1739330.0</v>
      </c>
      <c r="Q171" s="12" t="b">
        <v>1</v>
      </c>
    </row>
    <row r="172">
      <c r="A172" s="12" t="s">
        <v>1456</v>
      </c>
      <c r="B172" s="12" t="s">
        <v>54</v>
      </c>
      <c r="C172" s="15">
        <v>45944.0</v>
      </c>
      <c r="D172" s="12" t="s">
        <v>1218</v>
      </c>
      <c r="E172" s="12" t="s">
        <v>1458</v>
      </c>
      <c r="G172" s="12" t="s">
        <v>1459</v>
      </c>
      <c r="H172" s="12" t="s">
        <v>1365</v>
      </c>
      <c r="I172" s="12" t="b">
        <v>1</v>
      </c>
      <c r="J172" s="12" t="s">
        <v>69</v>
      </c>
      <c r="P172" s="12">
        <v>1739329.0</v>
      </c>
      <c r="Q172" s="12" t="b">
        <v>1</v>
      </c>
    </row>
    <row r="173">
      <c r="A173" s="12" t="s">
        <v>1462</v>
      </c>
      <c r="B173" s="12" t="s">
        <v>54</v>
      </c>
      <c r="C173" s="15">
        <v>45944.0</v>
      </c>
      <c r="D173" s="12" t="s">
        <v>324</v>
      </c>
      <c r="E173" s="12" t="s">
        <v>1464</v>
      </c>
      <c r="G173" s="12" t="s">
        <v>1465</v>
      </c>
      <c r="H173" s="12" t="s">
        <v>1467</v>
      </c>
      <c r="I173" s="12" t="b">
        <v>1</v>
      </c>
      <c r="J173" s="12" t="s">
        <v>69</v>
      </c>
      <c r="P173" s="12">
        <v>1744038.0</v>
      </c>
      <c r="Q173" s="12" t="b">
        <v>1</v>
      </c>
    </row>
    <row r="174">
      <c r="A174" s="12" t="s">
        <v>1468</v>
      </c>
      <c r="B174" s="12" t="s">
        <v>54</v>
      </c>
      <c r="C174" s="15">
        <v>45942.0</v>
      </c>
      <c r="D174" s="12" t="s">
        <v>182</v>
      </c>
      <c r="E174" s="12" t="s">
        <v>1471</v>
      </c>
      <c r="G174" s="12" t="s">
        <v>1472</v>
      </c>
      <c r="H174" s="12" t="s">
        <v>1474</v>
      </c>
      <c r="I174" s="12" t="b">
        <v>1</v>
      </c>
      <c r="J174" s="12" t="s">
        <v>69</v>
      </c>
      <c r="P174" s="12">
        <v>1744033.0</v>
      </c>
      <c r="Q174" s="12" t="b">
        <v>1</v>
      </c>
    </row>
    <row r="175">
      <c r="A175" s="12" t="s">
        <v>1477</v>
      </c>
      <c r="B175" s="12" t="s">
        <v>54</v>
      </c>
      <c r="C175" s="15">
        <v>45945.0</v>
      </c>
      <c r="D175" s="12" t="s">
        <v>182</v>
      </c>
      <c r="E175" s="12" t="s">
        <v>1480</v>
      </c>
      <c r="G175" s="12" t="s">
        <v>1481</v>
      </c>
      <c r="H175" s="12" t="s">
        <v>1482</v>
      </c>
      <c r="I175" s="12" t="b">
        <v>1</v>
      </c>
      <c r="J175" s="12" t="s">
        <v>69</v>
      </c>
      <c r="P175" s="12">
        <v>1744017.0</v>
      </c>
      <c r="Q175" s="12" t="b">
        <v>1</v>
      </c>
    </row>
    <row r="176">
      <c r="A176" s="12" t="s">
        <v>1487</v>
      </c>
      <c r="B176" s="12" t="s">
        <v>54</v>
      </c>
      <c r="C176" s="15">
        <v>45943.0</v>
      </c>
      <c r="D176" s="12" t="s">
        <v>220</v>
      </c>
      <c r="E176" s="12" t="s">
        <v>1489</v>
      </c>
      <c r="G176" s="12" t="s">
        <v>1491</v>
      </c>
      <c r="H176" s="12" t="s">
        <v>1493</v>
      </c>
      <c r="I176" s="12" t="b">
        <v>1</v>
      </c>
      <c r="J176" s="12" t="s">
        <v>69</v>
      </c>
      <c r="P176" s="12">
        <v>1744019.0</v>
      </c>
      <c r="Q176" s="12" t="b">
        <v>1</v>
      </c>
    </row>
    <row r="177">
      <c r="A177" s="12" t="s">
        <v>1496</v>
      </c>
      <c r="B177" s="12" t="s">
        <v>54</v>
      </c>
      <c r="C177" s="15">
        <v>45944.0</v>
      </c>
      <c r="D177" s="12" t="s">
        <v>156</v>
      </c>
      <c r="E177" s="12" t="s">
        <v>1497</v>
      </c>
      <c r="G177" s="12" t="s">
        <v>1499</v>
      </c>
      <c r="H177" s="12" t="s">
        <v>293</v>
      </c>
      <c r="I177" s="12" t="b">
        <v>0</v>
      </c>
      <c r="J177" s="12" t="s">
        <v>69</v>
      </c>
      <c r="L177" s="12" t="s">
        <v>1501</v>
      </c>
      <c r="Q177" s="12" t="b">
        <v>1</v>
      </c>
    </row>
    <row r="178">
      <c r="A178" s="12" t="s">
        <v>1504</v>
      </c>
      <c r="B178" s="12" t="s">
        <v>54</v>
      </c>
      <c r="C178" s="15">
        <v>45945.0</v>
      </c>
      <c r="D178" s="12" t="s">
        <v>156</v>
      </c>
      <c r="E178" s="12" t="s">
        <v>1506</v>
      </c>
      <c r="G178" s="12" t="s">
        <v>1508</v>
      </c>
      <c r="H178" s="12" t="s">
        <v>254</v>
      </c>
      <c r="I178" s="12" t="b">
        <v>0</v>
      </c>
      <c r="J178" s="12" t="s">
        <v>69</v>
      </c>
      <c r="Q178" s="12" t="b">
        <v>1</v>
      </c>
    </row>
    <row r="179">
      <c r="A179" s="12" t="s">
        <v>1514</v>
      </c>
      <c r="B179" s="12" t="s">
        <v>54</v>
      </c>
      <c r="C179" s="14">
        <v>45933.0</v>
      </c>
      <c r="D179" s="12" t="s">
        <v>1043</v>
      </c>
      <c r="E179" s="12" t="s">
        <v>1515</v>
      </c>
      <c r="G179" s="12" t="s">
        <v>1517</v>
      </c>
      <c r="H179" s="12" t="s">
        <v>687</v>
      </c>
      <c r="I179" s="12" t="b">
        <v>1</v>
      </c>
      <c r="J179" s="12" t="s">
        <v>69</v>
      </c>
      <c r="P179" s="12">
        <v>1716619.0</v>
      </c>
      <c r="Q179" s="12" t="b">
        <v>1</v>
      </c>
    </row>
    <row r="180">
      <c r="A180" s="12" t="s">
        <v>1522</v>
      </c>
      <c r="B180" s="12" t="s">
        <v>54</v>
      </c>
      <c r="C180" s="15">
        <v>45949.0</v>
      </c>
      <c r="D180" s="12" t="s">
        <v>182</v>
      </c>
      <c r="E180" s="12" t="s">
        <v>1526</v>
      </c>
      <c r="G180" s="12" t="s">
        <v>1527</v>
      </c>
      <c r="H180" s="12" t="s">
        <v>1529</v>
      </c>
      <c r="I180" s="12" t="b">
        <v>1</v>
      </c>
      <c r="J180" s="12" t="s">
        <v>69</v>
      </c>
      <c r="P180" s="12">
        <v>1749371.0</v>
      </c>
      <c r="Q180" s="12" t="b">
        <v>1</v>
      </c>
    </row>
    <row r="181">
      <c r="A181" s="12" t="s">
        <v>1532</v>
      </c>
      <c r="B181" s="12" t="s">
        <v>54</v>
      </c>
      <c r="C181" s="15">
        <v>45948.0</v>
      </c>
      <c r="D181" s="12" t="s">
        <v>182</v>
      </c>
      <c r="E181" s="12" t="s">
        <v>1535</v>
      </c>
      <c r="G181" s="12" t="s">
        <v>1540</v>
      </c>
      <c r="H181" s="12" t="s">
        <v>1544</v>
      </c>
      <c r="I181" s="12" t="b">
        <v>1</v>
      </c>
      <c r="J181" s="12" t="s">
        <v>69</v>
      </c>
      <c r="P181" s="12">
        <v>1749358.0</v>
      </c>
      <c r="Q181" s="12" t="b">
        <v>1</v>
      </c>
    </row>
    <row r="182">
      <c r="A182" s="12" t="s">
        <v>1549</v>
      </c>
      <c r="B182" s="12" t="s">
        <v>54</v>
      </c>
      <c r="C182" s="15">
        <v>45947.0</v>
      </c>
      <c r="D182" s="12" t="s">
        <v>220</v>
      </c>
      <c r="E182" s="12" t="s">
        <v>1552</v>
      </c>
      <c r="G182" s="12" t="s">
        <v>1553</v>
      </c>
      <c r="H182" s="12">
        <v>1749382.0</v>
      </c>
      <c r="I182" s="12" t="b">
        <v>1</v>
      </c>
      <c r="J182" s="12" t="s">
        <v>69</v>
      </c>
      <c r="P182" s="12">
        <v>1749382.0</v>
      </c>
      <c r="Q182" s="12" t="b">
        <v>1</v>
      </c>
    </row>
    <row r="183">
      <c r="A183" s="12" t="s">
        <v>1558</v>
      </c>
      <c r="B183" s="12" t="s">
        <v>54</v>
      </c>
      <c r="C183" s="15">
        <v>45945.0</v>
      </c>
      <c r="D183" s="12" t="s">
        <v>156</v>
      </c>
      <c r="E183" s="12" t="s">
        <v>1506</v>
      </c>
      <c r="G183" s="12" t="s">
        <v>1560</v>
      </c>
      <c r="H183" s="12" t="s">
        <v>254</v>
      </c>
      <c r="I183" s="12" t="b">
        <v>0</v>
      </c>
      <c r="J183" s="12" t="s">
        <v>69</v>
      </c>
      <c r="Q183" s="12" t="b">
        <v>1</v>
      </c>
    </row>
    <row r="184">
      <c r="A184" s="12" t="s">
        <v>1563</v>
      </c>
      <c r="B184" s="12" t="s">
        <v>54</v>
      </c>
      <c r="C184" s="15">
        <v>45946.0</v>
      </c>
      <c r="D184" s="12" t="s">
        <v>590</v>
      </c>
      <c r="E184" s="12" t="s">
        <v>1565</v>
      </c>
      <c r="G184" s="12" t="s">
        <v>1566</v>
      </c>
      <c r="H184" s="12" t="s">
        <v>1568</v>
      </c>
      <c r="I184" s="12" t="b">
        <v>1</v>
      </c>
      <c r="J184" s="12" t="s">
        <v>69</v>
      </c>
      <c r="P184" s="12">
        <v>1751756.0</v>
      </c>
      <c r="Q184" s="12" t="b">
        <v>1</v>
      </c>
    </row>
    <row r="185">
      <c r="A185" s="12" t="s">
        <v>1570</v>
      </c>
      <c r="B185" s="12" t="s">
        <v>54</v>
      </c>
      <c r="C185" s="15">
        <v>45950.0</v>
      </c>
      <c r="D185" s="12" t="s">
        <v>1573</v>
      </c>
      <c r="E185" s="12" t="s">
        <v>1574</v>
      </c>
      <c r="G185" s="12" t="s">
        <v>1575</v>
      </c>
      <c r="H185" s="12" t="s">
        <v>1577</v>
      </c>
      <c r="I185" s="12" t="b">
        <v>1</v>
      </c>
      <c r="J185" s="12" t="s">
        <v>69</v>
      </c>
      <c r="P185" s="12">
        <v>1751740.0</v>
      </c>
      <c r="Q185" s="12" t="b">
        <v>1</v>
      </c>
    </row>
    <row r="186">
      <c r="A186" s="12" t="s">
        <v>1578</v>
      </c>
      <c r="B186" s="12" t="s">
        <v>54</v>
      </c>
      <c r="C186" s="15">
        <v>45952.0</v>
      </c>
      <c r="D186" s="12" t="s">
        <v>345</v>
      </c>
      <c r="E186" s="12" t="s">
        <v>1581</v>
      </c>
      <c r="G186" s="12" t="s">
        <v>1582</v>
      </c>
      <c r="H186" s="12" t="s">
        <v>1583</v>
      </c>
      <c r="I186" s="12" t="b">
        <v>1</v>
      </c>
      <c r="J186" s="12" t="s">
        <v>69</v>
      </c>
      <c r="P186" s="12">
        <v>1753400.0</v>
      </c>
      <c r="Q186" s="12" t="b">
        <v>1</v>
      </c>
    </row>
    <row r="187">
      <c r="A187" s="12" t="s">
        <v>1587</v>
      </c>
      <c r="B187" s="12" t="s">
        <v>54</v>
      </c>
      <c r="C187" s="14">
        <v>45916.0</v>
      </c>
      <c r="D187" s="12" t="s">
        <v>784</v>
      </c>
      <c r="E187" s="12" t="s">
        <v>1064</v>
      </c>
      <c r="G187" s="12" t="s">
        <v>1589</v>
      </c>
      <c r="H187" s="12" t="s">
        <v>715</v>
      </c>
      <c r="I187" s="12" t="b">
        <v>0</v>
      </c>
      <c r="J187" s="12" t="s">
        <v>69</v>
      </c>
      <c r="Q187" s="12" t="b">
        <v>1</v>
      </c>
    </row>
    <row r="188">
      <c r="A188" s="12" t="s">
        <v>1592</v>
      </c>
      <c r="B188" s="12" t="s">
        <v>54</v>
      </c>
      <c r="C188" s="15">
        <v>45953.0</v>
      </c>
      <c r="D188" s="12" t="s">
        <v>1103</v>
      </c>
      <c r="E188" s="12" t="s">
        <v>1593</v>
      </c>
      <c r="G188" s="12" t="s">
        <v>1594</v>
      </c>
      <c r="H188" s="12" t="s">
        <v>1595</v>
      </c>
      <c r="I188" s="12" t="b">
        <v>1</v>
      </c>
      <c r="J188" s="12" t="s">
        <v>69</v>
      </c>
      <c r="P188" s="12">
        <v>1754975.0</v>
      </c>
      <c r="Q188" s="12" t="b">
        <v>1</v>
      </c>
    </row>
    <row r="189">
      <c r="A189" s="12" t="s">
        <v>1597</v>
      </c>
      <c r="B189" s="12" t="s">
        <v>54</v>
      </c>
      <c r="C189" s="15">
        <v>45953.0</v>
      </c>
      <c r="D189" s="12" t="s">
        <v>220</v>
      </c>
      <c r="E189" s="12" t="s">
        <v>1599</v>
      </c>
      <c r="G189" s="12" t="s">
        <v>1601</v>
      </c>
      <c r="H189" s="12" t="s">
        <v>1602</v>
      </c>
      <c r="I189" s="12" t="b">
        <v>1</v>
      </c>
      <c r="J189" s="12" t="s">
        <v>69</v>
      </c>
      <c r="P189" s="12">
        <v>1754970.0</v>
      </c>
      <c r="Q189" s="12" t="b">
        <v>1</v>
      </c>
    </row>
    <row r="190">
      <c r="A190" s="12" t="s">
        <v>1604</v>
      </c>
      <c r="B190" s="12" t="s">
        <v>54</v>
      </c>
      <c r="C190" s="15">
        <v>45951.0</v>
      </c>
      <c r="D190" s="12" t="s">
        <v>556</v>
      </c>
      <c r="E190" s="12" t="s">
        <v>1607</v>
      </c>
      <c r="G190" s="12" t="s">
        <v>1608</v>
      </c>
      <c r="H190" s="12" t="s">
        <v>1609</v>
      </c>
      <c r="I190" s="12" t="b">
        <v>1</v>
      </c>
      <c r="J190" s="12" t="s">
        <v>69</v>
      </c>
      <c r="P190" s="12">
        <v>1756911.0</v>
      </c>
      <c r="Q190" s="12" t="b">
        <v>1</v>
      </c>
    </row>
    <row r="191">
      <c r="A191" s="12" t="s">
        <v>1612</v>
      </c>
      <c r="B191" s="12" t="s">
        <v>54</v>
      </c>
      <c r="C191" s="15">
        <v>45954.0</v>
      </c>
      <c r="D191" s="12" t="s">
        <v>556</v>
      </c>
      <c r="E191" s="12" t="s">
        <v>1615</v>
      </c>
      <c r="G191" s="12" t="s">
        <v>1616</v>
      </c>
      <c r="H191" s="12" t="s">
        <v>1037</v>
      </c>
      <c r="I191" s="12" t="b">
        <v>1</v>
      </c>
      <c r="J191" s="12" t="s">
        <v>69</v>
      </c>
      <c r="P191" s="12">
        <v>1756970.0</v>
      </c>
      <c r="Q191" s="12" t="b">
        <v>1</v>
      </c>
    </row>
    <row r="192">
      <c r="A192" s="12" t="s">
        <v>1618</v>
      </c>
      <c r="B192" s="12" t="s">
        <v>54</v>
      </c>
      <c r="C192" s="15">
        <v>45954.0</v>
      </c>
      <c r="D192" s="12" t="s">
        <v>324</v>
      </c>
      <c r="E192" s="12" t="s">
        <v>1621</v>
      </c>
      <c r="G192" s="12" t="s">
        <v>1622</v>
      </c>
      <c r="H192" s="12" t="s">
        <v>1623</v>
      </c>
      <c r="I192" s="12" t="b">
        <v>1</v>
      </c>
      <c r="J192" s="12" t="s">
        <v>69</v>
      </c>
      <c r="P192" s="12">
        <v>1756912.0</v>
      </c>
      <c r="Q192" s="12" t="b">
        <v>1</v>
      </c>
    </row>
    <row r="193">
      <c r="A193" s="12" t="s">
        <v>1624</v>
      </c>
      <c r="B193" s="12" t="s">
        <v>54</v>
      </c>
      <c r="C193" s="15">
        <v>45971.0</v>
      </c>
      <c r="D193" s="12" t="s">
        <v>897</v>
      </c>
      <c r="E193" s="12" t="s">
        <v>1625</v>
      </c>
      <c r="G193" s="12" t="s">
        <v>1627</v>
      </c>
      <c r="H193" s="12" t="s">
        <v>1628</v>
      </c>
      <c r="I193" s="12" t="b">
        <v>0</v>
      </c>
      <c r="J193" s="12" t="s">
        <v>69</v>
      </c>
      <c r="Q193" s="12" t="b">
        <v>1</v>
      </c>
    </row>
    <row r="194">
      <c r="A194" s="12" t="s">
        <v>1629</v>
      </c>
      <c r="B194" s="12" t="s">
        <v>54</v>
      </c>
      <c r="C194" s="15">
        <v>45956.0</v>
      </c>
      <c r="D194" s="12" t="s">
        <v>220</v>
      </c>
      <c r="E194" s="12" t="s">
        <v>1631</v>
      </c>
      <c r="G194" s="12" t="s">
        <v>1632</v>
      </c>
      <c r="H194" s="12" t="s">
        <v>1633</v>
      </c>
      <c r="I194" s="12" t="b">
        <v>1</v>
      </c>
      <c r="J194" s="12" t="s">
        <v>69</v>
      </c>
      <c r="P194" s="12">
        <v>1764855.0</v>
      </c>
      <c r="Q194" s="12" t="b">
        <v>1</v>
      </c>
    </row>
    <row r="195">
      <c r="A195" s="12" t="s">
        <v>1634</v>
      </c>
      <c r="B195" s="12" t="s">
        <v>54</v>
      </c>
      <c r="C195" s="15">
        <v>45957.0</v>
      </c>
      <c r="D195" s="12" t="s">
        <v>441</v>
      </c>
      <c r="E195" s="12" t="s">
        <v>1636</v>
      </c>
      <c r="G195" s="12" t="s">
        <v>1638</v>
      </c>
      <c r="H195" s="12" t="s">
        <v>1639</v>
      </c>
      <c r="I195" s="12" t="b">
        <v>1</v>
      </c>
      <c r="J195" s="12" t="s">
        <v>69</v>
      </c>
      <c r="P195" s="12">
        <v>1764224.0</v>
      </c>
      <c r="Q195" s="12" t="b">
        <v>1</v>
      </c>
    </row>
    <row r="196">
      <c r="A196" s="12" t="s">
        <v>1640</v>
      </c>
      <c r="B196" s="12" t="s">
        <v>54</v>
      </c>
      <c r="C196" s="14">
        <v>45937.0</v>
      </c>
      <c r="D196" s="12" t="s">
        <v>818</v>
      </c>
      <c r="H196" s="12" t="s">
        <v>819</v>
      </c>
      <c r="J196" s="12" t="s">
        <v>621</v>
      </c>
      <c r="O196" s="12">
        <v>0.0</v>
      </c>
      <c r="Q196" s="12" t="b">
        <v>1</v>
      </c>
    </row>
    <row r="197">
      <c r="A197" s="12" t="s">
        <v>1642</v>
      </c>
      <c r="B197" s="12" t="s">
        <v>54</v>
      </c>
      <c r="C197" s="14">
        <v>45934.0</v>
      </c>
      <c r="H197" s="12" t="s">
        <v>1644</v>
      </c>
      <c r="J197" s="12" t="s">
        <v>191</v>
      </c>
      <c r="K197" s="12" t="s">
        <v>727</v>
      </c>
      <c r="O197" s="12">
        <v>3500.0</v>
      </c>
      <c r="Q197" s="12" t="b">
        <v>1</v>
      </c>
    </row>
    <row r="198">
      <c r="A198" s="12" t="s">
        <v>1645</v>
      </c>
      <c r="B198" s="12" t="s">
        <v>54</v>
      </c>
      <c r="C198" s="14">
        <v>45934.0</v>
      </c>
      <c r="H198" s="12" t="s">
        <v>1646</v>
      </c>
      <c r="J198" s="12" t="s">
        <v>191</v>
      </c>
      <c r="K198" s="12" t="s">
        <v>727</v>
      </c>
      <c r="O198" s="12">
        <v>3721.04</v>
      </c>
      <c r="Q198" s="12" t="b">
        <v>1</v>
      </c>
    </row>
    <row r="199">
      <c r="A199" s="12" t="s">
        <v>1648</v>
      </c>
      <c r="B199" s="12" t="s">
        <v>54</v>
      </c>
      <c r="C199" s="14">
        <v>45934.0</v>
      </c>
      <c r="H199" s="12" t="s">
        <v>1649</v>
      </c>
      <c r="J199" s="12" t="s">
        <v>191</v>
      </c>
      <c r="K199" s="12" t="s">
        <v>62</v>
      </c>
      <c r="O199" s="12">
        <v>1955.22</v>
      </c>
      <c r="Q199" s="12" t="b">
        <v>1</v>
      </c>
    </row>
    <row r="200">
      <c r="A200" s="12" t="s">
        <v>1650</v>
      </c>
      <c r="B200" s="12" t="s">
        <v>54</v>
      </c>
      <c r="C200" s="14">
        <v>45934.0</v>
      </c>
      <c r="H200" s="12" t="s">
        <v>1649</v>
      </c>
      <c r="J200" s="12" t="s">
        <v>191</v>
      </c>
      <c r="K200" s="12" t="s">
        <v>78</v>
      </c>
      <c r="O200" s="12">
        <v>2136.9</v>
      </c>
      <c r="Q200" s="12" t="b">
        <v>1</v>
      </c>
    </row>
    <row r="201">
      <c r="A201" s="12" t="s">
        <v>1651</v>
      </c>
      <c r="B201" s="12" t="s">
        <v>54</v>
      </c>
      <c r="C201" s="14">
        <v>45934.0</v>
      </c>
      <c r="H201" s="12" t="s">
        <v>1649</v>
      </c>
      <c r="J201" s="12" t="s">
        <v>191</v>
      </c>
      <c r="K201" s="12" t="s">
        <v>1183</v>
      </c>
      <c r="O201" s="12">
        <v>1415.4</v>
      </c>
      <c r="Q201" s="12" t="b">
        <v>1</v>
      </c>
    </row>
    <row r="202">
      <c r="A202" s="12" t="s">
        <v>1654</v>
      </c>
      <c r="B202" s="12" t="s">
        <v>54</v>
      </c>
      <c r="C202" s="14">
        <v>45937.0</v>
      </c>
      <c r="D202" s="12" t="s">
        <v>848</v>
      </c>
      <c r="H202" s="12" t="s">
        <v>1226</v>
      </c>
      <c r="J202" s="12" t="s">
        <v>621</v>
      </c>
      <c r="O202" s="12">
        <v>4000.0</v>
      </c>
      <c r="Q202" s="12" t="b">
        <v>1</v>
      </c>
    </row>
    <row r="203">
      <c r="A203" s="12" t="s">
        <v>1658</v>
      </c>
      <c r="B203" s="12" t="s">
        <v>54</v>
      </c>
      <c r="C203" s="14">
        <v>45937.0</v>
      </c>
      <c r="D203" s="12" t="s">
        <v>1245</v>
      </c>
      <c r="H203" s="12" t="s">
        <v>1659</v>
      </c>
      <c r="J203" s="12" t="s">
        <v>621</v>
      </c>
      <c r="O203" s="12">
        <v>600.0</v>
      </c>
      <c r="Q203" s="12" t="b">
        <v>1</v>
      </c>
    </row>
    <row r="204">
      <c r="A204" s="12" t="s">
        <v>1661</v>
      </c>
      <c r="B204" s="12" t="s">
        <v>54</v>
      </c>
      <c r="C204" s="14">
        <v>45939.0</v>
      </c>
      <c r="D204" s="12" t="s">
        <v>1316</v>
      </c>
      <c r="H204" s="12" t="s">
        <v>1662</v>
      </c>
      <c r="J204" s="12" t="s">
        <v>621</v>
      </c>
      <c r="O204" s="12">
        <v>914.16</v>
      </c>
      <c r="Q204" s="12" t="b">
        <v>1</v>
      </c>
    </row>
    <row r="205">
      <c r="A205" s="12" t="s">
        <v>1665</v>
      </c>
      <c r="B205" s="12" t="s">
        <v>54</v>
      </c>
      <c r="C205" s="14">
        <v>45931.0</v>
      </c>
      <c r="D205" s="12" t="s">
        <v>831</v>
      </c>
      <c r="H205" s="12" t="s">
        <v>834</v>
      </c>
      <c r="J205" s="12" t="s">
        <v>621</v>
      </c>
      <c r="O205" s="12">
        <v>2031.41</v>
      </c>
      <c r="Q205" s="12" t="b">
        <v>1</v>
      </c>
    </row>
    <row r="206">
      <c r="A206" s="12" t="s">
        <v>1667</v>
      </c>
      <c r="B206" s="12" t="s">
        <v>54</v>
      </c>
      <c r="C206" s="14">
        <v>45939.0</v>
      </c>
      <c r="D206" s="12" t="s">
        <v>1668</v>
      </c>
      <c r="H206" s="12" t="s">
        <v>1671</v>
      </c>
      <c r="J206" s="12" t="s">
        <v>621</v>
      </c>
      <c r="O206" s="12">
        <v>125.0</v>
      </c>
      <c r="Q206" s="12" t="b">
        <v>1</v>
      </c>
    </row>
    <row r="207">
      <c r="A207" s="12" t="s">
        <v>1674</v>
      </c>
      <c r="B207" s="12" t="s">
        <v>54</v>
      </c>
      <c r="C207" s="14">
        <v>45939.0</v>
      </c>
      <c r="D207" s="12" t="s">
        <v>933</v>
      </c>
      <c r="H207" s="12" t="s">
        <v>1346</v>
      </c>
      <c r="J207" s="12" t="s">
        <v>621</v>
      </c>
      <c r="O207" s="12">
        <v>500.0</v>
      </c>
      <c r="Q207" s="12" t="b">
        <v>1</v>
      </c>
    </row>
    <row r="208">
      <c r="A208" s="12" t="s">
        <v>1676</v>
      </c>
      <c r="B208" s="12" t="s">
        <v>54</v>
      </c>
      <c r="C208" s="14">
        <v>45939.0</v>
      </c>
      <c r="D208" s="12" t="s">
        <v>897</v>
      </c>
      <c r="H208" s="12" t="s">
        <v>909</v>
      </c>
      <c r="J208" s="12" t="s">
        <v>621</v>
      </c>
      <c r="O208" s="12">
        <v>0.0</v>
      </c>
      <c r="Q208" s="12" t="b">
        <v>1</v>
      </c>
    </row>
    <row r="209">
      <c r="A209" s="12" t="s">
        <v>1679</v>
      </c>
      <c r="B209" s="12" t="s">
        <v>54</v>
      </c>
      <c r="C209" s="15">
        <v>45944.0</v>
      </c>
      <c r="D209" s="12">
        <v>9.6759515E7</v>
      </c>
      <c r="H209" s="12" t="s">
        <v>1681</v>
      </c>
      <c r="J209" s="12" t="s">
        <v>621</v>
      </c>
      <c r="O209" s="12">
        <v>3000.0</v>
      </c>
      <c r="Q209" s="12" t="b">
        <v>1</v>
      </c>
    </row>
    <row r="210">
      <c r="A210" s="12" t="s">
        <v>1682</v>
      </c>
      <c r="B210" s="12" t="s">
        <v>54</v>
      </c>
      <c r="C210" s="15">
        <v>45944.0</v>
      </c>
      <c r="D210" s="12" t="s">
        <v>912</v>
      </c>
      <c r="H210" s="12" t="s">
        <v>1685</v>
      </c>
      <c r="J210" s="12" t="s">
        <v>621</v>
      </c>
      <c r="O210" s="12">
        <v>2062.0</v>
      </c>
      <c r="Q210" s="12" t="b">
        <v>1</v>
      </c>
    </row>
    <row r="211">
      <c r="A211" s="12" t="s">
        <v>1686</v>
      </c>
      <c r="B211" s="12" t="s">
        <v>54</v>
      </c>
      <c r="C211" s="15">
        <v>45944.0</v>
      </c>
      <c r="H211" s="12" t="s">
        <v>1687</v>
      </c>
      <c r="J211" s="12" t="s">
        <v>621</v>
      </c>
      <c r="K211" s="12" t="s">
        <v>1183</v>
      </c>
      <c r="O211" s="12">
        <v>500.0</v>
      </c>
      <c r="Q211" s="12" t="b">
        <v>1</v>
      </c>
    </row>
    <row r="212">
      <c r="A212" s="12" t="s">
        <v>1689</v>
      </c>
      <c r="B212" s="12" t="s">
        <v>54</v>
      </c>
      <c r="C212" s="15">
        <v>45944.0</v>
      </c>
      <c r="D212" s="12" t="s">
        <v>689</v>
      </c>
      <c r="H212" s="12" t="s">
        <v>959</v>
      </c>
      <c r="J212" s="12" t="s">
        <v>621</v>
      </c>
      <c r="O212" s="12">
        <v>5000.0</v>
      </c>
      <c r="Q212" s="12" t="b">
        <v>1</v>
      </c>
    </row>
    <row r="213">
      <c r="A213" s="12" t="s">
        <v>1691</v>
      </c>
      <c r="B213" s="12" t="s">
        <v>54</v>
      </c>
      <c r="C213" s="15">
        <v>45944.0</v>
      </c>
      <c r="D213" s="12" t="s">
        <v>156</v>
      </c>
      <c r="H213" s="12" t="s">
        <v>1693</v>
      </c>
      <c r="J213" s="12" t="s">
        <v>621</v>
      </c>
      <c r="O213" s="12">
        <v>758.81</v>
      </c>
      <c r="Q213" s="12" t="b">
        <v>1</v>
      </c>
    </row>
    <row r="214">
      <c r="A214" s="12" t="s">
        <v>956</v>
      </c>
      <c r="B214" s="12" t="s">
        <v>612</v>
      </c>
      <c r="D214" s="12" t="s">
        <v>689</v>
      </c>
      <c r="H214" s="12" t="s">
        <v>959</v>
      </c>
      <c r="J214" s="12" t="s">
        <v>621</v>
      </c>
      <c r="O214" s="12">
        <v>5000.0</v>
      </c>
      <c r="Q214" s="12" t="b">
        <v>1</v>
      </c>
    </row>
    <row r="215">
      <c r="A215" s="12" t="s">
        <v>1695</v>
      </c>
      <c r="B215" s="12" t="s">
        <v>54</v>
      </c>
      <c r="C215" s="15">
        <v>45951.0</v>
      </c>
      <c r="D215" s="12" t="s">
        <v>156</v>
      </c>
      <c r="H215" s="12" t="s">
        <v>1697</v>
      </c>
      <c r="J215" s="12" t="s">
        <v>621</v>
      </c>
      <c r="O215" s="12">
        <v>3930.17</v>
      </c>
      <c r="Q215" s="12" t="b">
        <v>1</v>
      </c>
    </row>
    <row r="216">
      <c r="A216" s="12">
        <v>1140.0</v>
      </c>
      <c r="B216" s="12" t="s">
        <v>54</v>
      </c>
      <c r="C216" s="15">
        <v>45947.0</v>
      </c>
      <c r="D216" s="12" t="s">
        <v>933</v>
      </c>
      <c r="H216" s="12" t="s">
        <v>1494</v>
      </c>
      <c r="J216" s="12" t="s">
        <v>621</v>
      </c>
      <c r="O216" s="12">
        <v>8086.0</v>
      </c>
      <c r="Q216" s="12" t="b">
        <v>1</v>
      </c>
    </row>
    <row r="217">
      <c r="A217" s="12">
        <v>1141.0</v>
      </c>
      <c r="B217" s="12" t="s">
        <v>54</v>
      </c>
      <c r="C217" s="15">
        <v>45946.0</v>
      </c>
      <c r="D217" s="12" t="s">
        <v>734</v>
      </c>
      <c r="H217" s="12" t="s">
        <v>1466</v>
      </c>
      <c r="J217" s="12" t="s">
        <v>621</v>
      </c>
      <c r="O217" s="12">
        <v>1445.21</v>
      </c>
      <c r="Q217" s="12" t="b">
        <v>1</v>
      </c>
    </row>
    <row r="218">
      <c r="A218" s="12">
        <v>1142.0</v>
      </c>
      <c r="B218" s="12" t="s">
        <v>54</v>
      </c>
      <c r="C218" s="15">
        <v>45946.0</v>
      </c>
      <c r="D218" s="12" t="s">
        <v>1067</v>
      </c>
      <c r="H218" s="12" t="s">
        <v>1068</v>
      </c>
      <c r="J218" s="12" t="s">
        <v>621</v>
      </c>
      <c r="O218" s="12">
        <v>807.71</v>
      </c>
      <c r="Q218" s="12" t="b">
        <v>1</v>
      </c>
    </row>
    <row r="219">
      <c r="A219" s="12">
        <v>1143.0</v>
      </c>
      <c r="B219" s="12" t="s">
        <v>54</v>
      </c>
      <c r="C219" s="15">
        <v>45946.0</v>
      </c>
      <c r="D219" s="12" t="s">
        <v>1484</v>
      </c>
      <c r="H219" s="12" t="s">
        <v>1485</v>
      </c>
      <c r="J219" s="12" t="s">
        <v>621</v>
      </c>
      <c r="O219" s="12">
        <v>0.0</v>
      </c>
      <c r="Q219" s="12" t="b">
        <v>1</v>
      </c>
    </row>
    <row r="220">
      <c r="A220" s="12" t="s">
        <v>1703</v>
      </c>
      <c r="B220" s="12" t="s">
        <v>54</v>
      </c>
      <c r="C220" s="14">
        <v>45939.0</v>
      </c>
      <c r="D220" s="12" t="s">
        <v>1414</v>
      </c>
      <c r="H220" s="12" t="s">
        <v>1705</v>
      </c>
      <c r="J220" s="12" t="s">
        <v>621</v>
      </c>
      <c r="O220" s="12">
        <v>2020.0</v>
      </c>
      <c r="Q220" s="12" t="b">
        <v>1</v>
      </c>
    </row>
    <row r="221">
      <c r="A221" s="12" t="s">
        <v>1707</v>
      </c>
      <c r="B221" s="12" t="s">
        <v>54</v>
      </c>
      <c r="C221" s="15">
        <v>45950.0</v>
      </c>
      <c r="H221" s="12" t="s">
        <v>1709</v>
      </c>
      <c r="J221" s="12" t="s">
        <v>621</v>
      </c>
      <c r="K221" s="12" t="s">
        <v>62</v>
      </c>
      <c r="O221" s="12">
        <v>100.0</v>
      </c>
      <c r="Q221" s="12" t="b">
        <v>1</v>
      </c>
    </row>
    <row r="222">
      <c r="A222" s="12">
        <v>1144.0</v>
      </c>
      <c r="B222" s="12" t="s">
        <v>54</v>
      </c>
      <c r="C222" s="15">
        <v>45946.0</v>
      </c>
      <c r="D222" s="12" t="s">
        <v>818</v>
      </c>
      <c r="H222" s="12" t="s">
        <v>819</v>
      </c>
      <c r="J222" s="12" t="s">
        <v>621</v>
      </c>
      <c r="O222" s="12">
        <v>0.0</v>
      </c>
      <c r="Q222" s="12" t="b">
        <v>1</v>
      </c>
    </row>
    <row r="223">
      <c r="A223" s="12" t="s">
        <v>1711</v>
      </c>
      <c r="B223" s="12" t="s">
        <v>54</v>
      </c>
      <c r="C223" s="15">
        <v>45951.0</v>
      </c>
      <c r="D223" s="12" t="s">
        <v>1712</v>
      </c>
      <c r="H223" s="12" t="s">
        <v>1713</v>
      </c>
      <c r="J223" s="12" t="s">
        <v>621</v>
      </c>
      <c r="O223" s="12">
        <v>394.85</v>
      </c>
      <c r="Q223" s="12" t="b">
        <v>1</v>
      </c>
    </row>
    <row r="224">
      <c r="A224" s="12" t="s">
        <v>1714</v>
      </c>
      <c r="B224" s="12" t="s">
        <v>54</v>
      </c>
      <c r="C224" s="15">
        <v>45951.0</v>
      </c>
      <c r="D224" s="12" t="s">
        <v>1715</v>
      </c>
      <c r="H224" s="12" t="s">
        <v>1713</v>
      </c>
      <c r="J224" s="12" t="s">
        <v>621</v>
      </c>
      <c r="O224" s="12">
        <v>462.29</v>
      </c>
      <c r="Q224" s="12" t="b">
        <v>1</v>
      </c>
    </row>
    <row r="225">
      <c r="A225" s="12" t="s">
        <v>1717</v>
      </c>
      <c r="B225" s="12" t="s">
        <v>54</v>
      </c>
      <c r="C225" s="15">
        <v>45955.0</v>
      </c>
      <c r="D225" s="12" t="s">
        <v>1718</v>
      </c>
      <c r="H225" s="12" t="s">
        <v>1719</v>
      </c>
      <c r="J225" s="12" t="s">
        <v>621</v>
      </c>
      <c r="O225" s="12">
        <v>224.96</v>
      </c>
      <c r="Q225" s="12" t="b">
        <v>1</v>
      </c>
    </row>
    <row r="226">
      <c r="A226" s="12">
        <v>1147.0</v>
      </c>
      <c r="B226" s="12" t="s">
        <v>54</v>
      </c>
      <c r="C226" s="15">
        <v>45951.0</v>
      </c>
      <c r="D226" s="12" t="s">
        <v>1712</v>
      </c>
      <c r="H226" s="14">
        <v>45931.0</v>
      </c>
      <c r="J226" s="12" t="s">
        <v>621</v>
      </c>
      <c r="O226" s="12">
        <v>236.83</v>
      </c>
      <c r="Q226" s="12" t="b">
        <v>1</v>
      </c>
    </row>
    <row r="227">
      <c r="A227" s="12">
        <v>1148.0</v>
      </c>
      <c r="B227" s="12" t="s">
        <v>54</v>
      </c>
      <c r="C227" s="15">
        <v>45951.0</v>
      </c>
      <c r="D227" s="12" t="s">
        <v>1715</v>
      </c>
      <c r="H227" s="14">
        <v>45717.0</v>
      </c>
      <c r="J227" s="12" t="s">
        <v>621</v>
      </c>
      <c r="O227" s="12">
        <v>65.15</v>
      </c>
      <c r="Q227" s="12" t="b">
        <v>1</v>
      </c>
    </row>
    <row r="228">
      <c r="A228" s="12" t="s">
        <v>1721</v>
      </c>
      <c r="B228" s="12" t="s">
        <v>54</v>
      </c>
      <c r="C228" s="15">
        <v>45957.0</v>
      </c>
      <c r="D228" s="12" t="s">
        <v>156</v>
      </c>
      <c r="H228" s="12" t="s">
        <v>1722</v>
      </c>
      <c r="J228" s="12" t="s">
        <v>621</v>
      </c>
      <c r="O228" s="12">
        <v>2676.92</v>
      </c>
      <c r="Q228" s="12" t="b">
        <v>1</v>
      </c>
    </row>
    <row r="229">
      <c r="A229" s="12" t="s">
        <v>1724</v>
      </c>
      <c r="B229" s="12" t="s">
        <v>54</v>
      </c>
      <c r="C229" s="15">
        <v>45958.0</v>
      </c>
      <c r="H229" s="12" t="s">
        <v>1112</v>
      </c>
      <c r="J229" s="12" t="s">
        <v>621</v>
      </c>
      <c r="K229" s="12" t="s">
        <v>78</v>
      </c>
      <c r="O229" s="12">
        <v>80.0</v>
      </c>
      <c r="Q229" s="12" t="b">
        <v>1</v>
      </c>
    </row>
    <row r="230">
      <c r="A230" s="12" t="s">
        <v>1729</v>
      </c>
      <c r="B230" s="12" t="s">
        <v>54</v>
      </c>
      <c r="C230" s="15">
        <v>45958.0</v>
      </c>
      <c r="D230" s="12" t="s">
        <v>1730</v>
      </c>
      <c r="H230" s="12" t="s">
        <v>1719</v>
      </c>
      <c r="J230" s="12" t="s">
        <v>621</v>
      </c>
      <c r="O230" s="12">
        <v>205.91</v>
      </c>
      <c r="Q230" s="12" t="b">
        <v>1</v>
      </c>
    </row>
    <row r="231">
      <c r="A231" s="12" t="s">
        <v>1733</v>
      </c>
      <c r="B231" s="12" t="s">
        <v>54</v>
      </c>
      <c r="C231" s="15">
        <v>45957.0</v>
      </c>
      <c r="D231" s="12" t="s">
        <v>156</v>
      </c>
      <c r="H231" s="12" t="s">
        <v>1734</v>
      </c>
      <c r="J231" s="12" t="s">
        <v>621</v>
      </c>
      <c r="O231" s="12">
        <v>226.8</v>
      </c>
      <c r="Q231" s="12" t="b">
        <v>1</v>
      </c>
    </row>
    <row r="232">
      <c r="A232" s="12" t="s">
        <v>1736</v>
      </c>
      <c r="B232" s="12" t="s">
        <v>54</v>
      </c>
      <c r="C232" s="15">
        <v>45957.0</v>
      </c>
      <c r="D232" s="12" t="s">
        <v>156</v>
      </c>
      <c r="H232" s="12" t="s">
        <v>1737</v>
      </c>
      <c r="J232" s="12" t="s">
        <v>621</v>
      </c>
      <c r="O232" s="12">
        <v>281.25</v>
      </c>
      <c r="Q232" s="12" t="b">
        <v>1</v>
      </c>
    </row>
    <row r="233">
      <c r="A233" s="12">
        <v>1154.0</v>
      </c>
      <c r="B233" s="12" t="s">
        <v>612</v>
      </c>
      <c r="D233" s="12" t="s">
        <v>848</v>
      </c>
      <c r="H233" s="12" t="s">
        <v>1226</v>
      </c>
      <c r="J233" s="12" t="s">
        <v>621</v>
      </c>
      <c r="O233" s="12">
        <v>4000.0</v>
      </c>
      <c r="Q233" s="12" t="b">
        <v>1</v>
      </c>
    </row>
    <row r="234">
      <c r="A234" s="12" t="s">
        <v>1740</v>
      </c>
      <c r="B234" s="12" t="s">
        <v>54</v>
      </c>
      <c r="C234" s="15">
        <v>45958.0</v>
      </c>
      <c r="D234" s="12" t="s">
        <v>1414</v>
      </c>
      <c r="H234" s="12" t="s">
        <v>1743</v>
      </c>
      <c r="J234" s="12" t="s">
        <v>621</v>
      </c>
      <c r="O234" s="12">
        <v>2144.0</v>
      </c>
      <c r="Q234" s="12" t="b">
        <v>1</v>
      </c>
    </row>
    <row r="235">
      <c r="A235" s="12" t="s">
        <v>1745</v>
      </c>
      <c r="B235" s="12" t="s">
        <v>612</v>
      </c>
      <c r="D235" s="12">
        <v>9.6759515E7</v>
      </c>
      <c r="H235" s="12" t="s">
        <v>1746</v>
      </c>
      <c r="J235" s="12" t="s">
        <v>621</v>
      </c>
      <c r="O235" s="12">
        <v>3000.0</v>
      </c>
      <c r="Q235" s="12" t="b">
        <v>1</v>
      </c>
    </row>
    <row r="236">
      <c r="A236" s="12" t="s">
        <v>1749</v>
      </c>
      <c r="B236" s="12" t="s">
        <v>54</v>
      </c>
      <c r="D236" s="12" t="s">
        <v>1414</v>
      </c>
      <c r="H236" s="12" t="s">
        <v>1705</v>
      </c>
      <c r="J236" s="12" t="s">
        <v>621</v>
      </c>
      <c r="O236" s="12">
        <v>1555.0</v>
      </c>
      <c r="Q236" s="12" t="b">
        <v>1</v>
      </c>
    </row>
    <row r="237">
      <c r="A237" s="12">
        <v>8.5183076E7</v>
      </c>
      <c r="B237" s="12" t="s">
        <v>54</v>
      </c>
      <c r="C237" s="15">
        <v>45959.0</v>
      </c>
      <c r="D237" s="12" t="s">
        <v>190</v>
      </c>
      <c r="E237" s="12" t="s">
        <v>1751</v>
      </c>
      <c r="G237" s="12" t="s">
        <v>1752</v>
      </c>
      <c r="H237" s="12" t="s">
        <v>1754</v>
      </c>
      <c r="I237" s="12" t="b">
        <v>1</v>
      </c>
      <c r="J237" s="12" t="s">
        <v>69</v>
      </c>
      <c r="P237" s="12">
        <v>1766349.0</v>
      </c>
      <c r="Q237" s="12" t="b">
        <v>1</v>
      </c>
    </row>
    <row r="238">
      <c r="A238" s="12" t="s">
        <v>1757</v>
      </c>
      <c r="B238" s="12" t="s">
        <v>54</v>
      </c>
      <c r="C238" s="15">
        <v>45957.0</v>
      </c>
      <c r="D238" s="12" t="s">
        <v>220</v>
      </c>
      <c r="E238" s="12" t="s">
        <v>1759</v>
      </c>
      <c r="G238" s="12" t="s">
        <v>1760</v>
      </c>
      <c r="H238" s="12" t="s">
        <v>1761</v>
      </c>
      <c r="I238" s="12" t="b">
        <v>1</v>
      </c>
      <c r="J238" s="12" t="s">
        <v>69</v>
      </c>
      <c r="P238" s="12">
        <v>1766356.0</v>
      </c>
      <c r="Q238" s="12" t="b">
        <v>1</v>
      </c>
    </row>
    <row r="239">
      <c r="A239" s="12" t="s">
        <v>1762</v>
      </c>
      <c r="B239" s="12" t="s">
        <v>54</v>
      </c>
      <c r="C239" s="15">
        <v>45959.0</v>
      </c>
      <c r="D239" s="12" t="s">
        <v>728</v>
      </c>
      <c r="E239" s="12" t="s">
        <v>1765</v>
      </c>
      <c r="G239" s="12" t="s">
        <v>1766</v>
      </c>
      <c r="H239" s="12" t="s">
        <v>733</v>
      </c>
      <c r="I239" s="12" t="b">
        <v>1</v>
      </c>
      <c r="J239" s="12" t="s">
        <v>69</v>
      </c>
      <c r="P239" s="12">
        <v>1766351.0</v>
      </c>
      <c r="Q239" s="12" t="b">
        <v>1</v>
      </c>
    </row>
    <row r="240">
      <c r="A240" s="12" t="s">
        <v>1768</v>
      </c>
      <c r="B240" s="12" t="s">
        <v>54</v>
      </c>
      <c r="C240" s="15">
        <v>45960.0</v>
      </c>
      <c r="D240" s="12" t="s">
        <v>1769</v>
      </c>
      <c r="E240" s="12" t="s">
        <v>1771</v>
      </c>
      <c r="G240" s="12" t="s">
        <v>1773</v>
      </c>
      <c r="H240" s="12" t="s">
        <v>1774</v>
      </c>
      <c r="I240" s="12" t="b">
        <v>1</v>
      </c>
      <c r="J240" s="12" t="s">
        <v>69</v>
      </c>
      <c r="P240" s="12">
        <v>1767833.0</v>
      </c>
      <c r="Q240" s="12" t="b">
        <v>1</v>
      </c>
    </row>
    <row r="241">
      <c r="A241" s="12">
        <v>4.2433421E7</v>
      </c>
      <c r="B241" s="12" t="s">
        <v>54</v>
      </c>
      <c r="C241" s="15">
        <v>45960.0</v>
      </c>
      <c r="D241" s="12" t="s">
        <v>375</v>
      </c>
      <c r="E241" s="12" t="s">
        <v>1776</v>
      </c>
      <c r="G241" s="12" t="s">
        <v>1777</v>
      </c>
      <c r="H241" s="12" t="s">
        <v>1778</v>
      </c>
      <c r="I241" s="12" t="b">
        <v>1</v>
      </c>
      <c r="J241" s="12" t="s">
        <v>69</v>
      </c>
      <c r="P241" s="12">
        <v>1767837.0</v>
      </c>
      <c r="Q241" s="12" t="b">
        <v>1</v>
      </c>
    </row>
    <row r="242">
      <c r="A242" s="12">
        <v>1161.0</v>
      </c>
      <c r="B242" s="12" t="s">
        <v>54</v>
      </c>
      <c r="D242" s="12" t="s">
        <v>1668</v>
      </c>
      <c r="H242" s="12" t="s">
        <v>1671</v>
      </c>
      <c r="J242" s="12" t="s">
        <v>621</v>
      </c>
      <c r="O242" s="12">
        <v>125.0</v>
      </c>
      <c r="Q242" s="12" t="b">
        <v>1</v>
      </c>
    </row>
    <row r="243">
      <c r="A243" s="12" t="s">
        <v>1781</v>
      </c>
      <c r="B243" s="12" t="s">
        <v>54</v>
      </c>
      <c r="D243" s="12" t="s">
        <v>156</v>
      </c>
      <c r="H243" s="12" t="s">
        <v>1783</v>
      </c>
      <c r="J243" s="12" t="s">
        <v>1784</v>
      </c>
      <c r="O243" s="12">
        <v>10.0</v>
      </c>
      <c r="Q243" s="12" t="b">
        <v>1</v>
      </c>
    </row>
    <row r="244">
      <c r="A244" s="12" t="s">
        <v>1785</v>
      </c>
      <c r="B244" s="12" t="s">
        <v>54</v>
      </c>
      <c r="D244" s="12" t="s">
        <v>156</v>
      </c>
      <c r="H244" s="12" t="s">
        <v>1787</v>
      </c>
      <c r="J244" s="12" t="s">
        <v>1784</v>
      </c>
      <c r="O244" s="12">
        <v>2151.98</v>
      </c>
      <c r="Q244" s="12" t="b">
        <v>1</v>
      </c>
    </row>
    <row r="245">
      <c r="A245" s="12" t="s">
        <v>1788</v>
      </c>
      <c r="B245" s="12" t="s">
        <v>54</v>
      </c>
      <c r="D245" s="12" t="s">
        <v>156</v>
      </c>
      <c r="H245" s="12" t="s">
        <v>1790</v>
      </c>
      <c r="J245" s="12" t="s">
        <v>1784</v>
      </c>
      <c r="O245" s="12">
        <v>733.49</v>
      </c>
      <c r="Q245" s="12" t="b">
        <v>1</v>
      </c>
    </row>
    <row r="246">
      <c r="A246" s="12" t="s">
        <v>1793</v>
      </c>
      <c r="B246" s="12" t="s">
        <v>54</v>
      </c>
      <c r="C246" s="15">
        <v>45958.0</v>
      </c>
      <c r="D246" s="12" t="s">
        <v>156</v>
      </c>
      <c r="E246" s="12" t="s">
        <v>1794</v>
      </c>
      <c r="G246" s="12" t="s">
        <v>1796</v>
      </c>
      <c r="H246" s="12" t="s">
        <v>293</v>
      </c>
      <c r="I246" s="12" t="b">
        <v>0</v>
      </c>
      <c r="J246" s="12" t="s">
        <v>69</v>
      </c>
      <c r="L246" s="12" t="s">
        <v>1797</v>
      </c>
      <c r="Q246" s="12" t="b">
        <v>1</v>
      </c>
    </row>
    <row r="247">
      <c r="A247" s="12" t="s">
        <v>1800</v>
      </c>
      <c r="B247" s="12" t="s">
        <v>54</v>
      </c>
      <c r="C247" s="15">
        <v>45958.0</v>
      </c>
      <c r="D247" s="12" t="s">
        <v>156</v>
      </c>
      <c r="E247" s="12" t="s">
        <v>1801</v>
      </c>
      <c r="G247" s="12" t="s">
        <v>1803</v>
      </c>
      <c r="H247" s="12" t="s">
        <v>1804</v>
      </c>
      <c r="I247" s="12" t="b">
        <v>0</v>
      </c>
      <c r="J247" s="12" t="s">
        <v>69</v>
      </c>
      <c r="Q247" s="12" t="b">
        <v>1</v>
      </c>
    </row>
    <row r="248">
      <c r="A248" s="12" t="s">
        <v>1805</v>
      </c>
      <c r="B248" s="12" t="s">
        <v>54</v>
      </c>
      <c r="C248" s="15">
        <v>45959.0</v>
      </c>
      <c r="D248" s="12" t="s">
        <v>156</v>
      </c>
      <c r="E248" s="12" t="s">
        <v>1808</v>
      </c>
      <c r="G248" s="12" t="s">
        <v>1809</v>
      </c>
      <c r="H248" s="12" t="s">
        <v>586</v>
      </c>
      <c r="I248" s="12" t="b">
        <v>0</v>
      </c>
      <c r="J248" s="12" t="s">
        <v>1784</v>
      </c>
      <c r="L248" s="12" t="s">
        <v>1811</v>
      </c>
      <c r="Q248" s="12" t="b">
        <v>1</v>
      </c>
    </row>
    <row r="249">
      <c r="A249" s="12" t="s">
        <v>1812</v>
      </c>
      <c r="B249" s="12" t="s">
        <v>54</v>
      </c>
      <c r="H249" s="12" t="s">
        <v>1814</v>
      </c>
      <c r="J249" s="12" t="s">
        <v>191</v>
      </c>
      <c r="K249" s="12" t="s">
        <v>259</v>
      </c>
      <c r="O249" s="12">
        <v>585.0</v>
      </c>
      <c r="Q249" s="12" t="b">
        <v>1</v>
      </c>
    </row>
    <row r="250">
      <c r="A250" s="12">
        <v>1166.0</v>
      </c>
      <c r="B250" s="12" t="s">
        <v>612</v>
      </c>
      <c r="D250" s="12" t="s">
        <v>897</v>
      </c>
      <c r="H250" s="12" t="s">
        <v>909</v>
      </c>
      <c r="J250" s="12" t="s">
        <v>621</v>
      </c>
      <c r="O250" s="12">
        <v>0.0</v>
      </c>
      <c r="Q250" s="12" t="b">
        <v>1</v>
      </c>
    </row>
    <row r="251">
      <c r="A251" s="12">
        <v>1167.0</v>
      </c>
      <c r="B251" s="12" t="s">
        <v>612</v>
      </c>
      <c r="D251" s="12" t="s">
        <v>933</v>
      </c>
      <c r="H251" s="12" t="s">
        <v>1346</v>
      </c>
      <c r="J251" s="12" t="s">
        <v>621</v>
      </c>
      <c r="O251" s="12">
        <v>500.0</v>
      </c>
      <c r="Q251" s="12" t="b">
        <v>1</v>
      </c>
    </row>
    <row r="252">
      <c r="A252" s="12" t="s">
        <v>1821</v>
      </c>
      <c r="B252" s="12" t="s">
        <v>54</v>
      </c>
      <c r="C252" s="14">
        <v>45962.0</v>
      </c>
      <c r="D252" s="12" t="s">
        <v>182</v>
      </c>
      <c r="E252" s="12" t="s">
        <v>1824</v>
      </c>
      <c r="G252" s="12" t="s">
        <v>1825</v>
      </c>
      <c r="H252" s="12" t="s">
        <v>1529</v>
      </c>
      <c r="I252" s="12" t="b">
        <v>1</v>
      </c>
      <c r="J252" s="12" t="s">
        <v>69</v>
      </c>
      <c r="P252" s="12">
        <v>1774259.0</v>
      </c>
      <c r="Q252" s="12" t="b">
        <v>1</v>
      </c>
    </row>
    <row r="253">
      <c r="A253" s="12" t="s">
        <v>1827</v>
      </c>
      <c r="B253" s="12" t="s">
        <v>54</v>
      </c>
      <c r="C253" s="15">
        <v>45961.0</v>
      </c>
      <c r="D253" s="12" t="s">
        <v>220</v>
      </c>
      <c r="E253" s="12" t="s">
        <v>1830</v>
      </c>
      <c r="G253" s="12" t="s">
        <v>1831</v>
      </c>
      <c r="H253" s="12" t="s">
        <v>1832</v>
      </c>
      <c r="I253" s="12" t="b">
        <v>1</v>
      </c>
      <c r="J253" s="12" t="s">
        <v>69</v>
      </c>
      <c r="P253" s="12">
        <v>1774233.0</v>
      </c>
      <c r="Q253" s="12" t="b">
        <v>1</v>
      </c>
    </row>
    <row r="254">
      <c r="A254" s="12" t="s">
        <v>1834</v>
      </c>
      <c r="B254" s="12" t="s">
        <v>54</v>
      </c>
      <c r="C254" s="14">
        <v>45963.0</v>
      </c>
      <c r="D254" s="12" t="s">
        <v>182</v>
      </c>
      <c r="E254" s="12" t="s">
        <v>1837</v>
      </c>
      <c r="G254" s="12" t="s">
        <v>1838</v>
      </c>
      <c r="H254" s="12" t="s">
        <v>1839</v>
      </c>
      <c r="I254" s="12" t="b">
        <v>1</v>
      </c>
      <c r="J254" s="12" t="s">
        <v>69</v>
      </c>
      <c r="P254" s="12">
        <v>1774060.0</v>
      </c>
      <c r="Q254" s="12" t="b">
        <v>1</v>
      </c>
    </row>
    <row r="255">
      <c r="A255" s="12" t="s">
        <v>1841</v>
      </c>
      <c r="B255" s="12" t="s">
        <v>54</v>
      </c>
      <c r="C255" s="15">
        <v>45959.0</v>
      </c>
      <c r="D255" s="12" t="s">
        <v>220</v>
      </c>
      <c r="E255" s="12" t="s">
        <v>1843</v>
      </c>
      <c r="G255" s="12" t="s">
        <v>1844</v>
      </c>
      <c r="H255" s="12" t="s">
        <v>1846</v>
      </c>
      <c r="I255" s="12" t="b">
        <v>1</v>
      </c>
      <c r="J255" s="12" t="s">
        <v>69</v>
      </c>
      <c r="P255" s="12">
        <v>1774250.0</v>
      </c>
      <c r="Q255" s="12" t="b">
        <v>1</v>
      </c>
    </row>
    <row r="256">
      <c r="A256" s="12" t="s">
        <v>1848</v>
      </c>
      <c r="B256" s="12" t="s">
        <v>54</v>
      </c>
      <c r="C256" s="15">
        <v>45955.0</v>
      </c>
      <c r="D256" s="12" t="s">
        <v>182</v>
      </c>
      <c r="E256" s="12" t="s">
        <v>1850</v>
      </c>
      <c r="G256" s="12" t="s">
        <v>1851</v>
      </c>
      <c r="H256" s="12" t="s">
        <v>1852</v>
      </c>
      <c r="I256" s="12" t="b">
        <v>1</v>
      </c>
      <c r="J256" s="12" t="s">
        <v>69</v>
      </c>
      <c r="P256" s="12">
        <v>1774257.0</v>
      </c>
      <c r="Q256" s="12" t="b">
        <v>1</v>
      </c>
    </row>
    <row r="257">
      <c r="A257" s="12" t="s">
        <v>1855</v>
      </c>
      <c r="B257" s="12" t="s">
        <v>54</v>
      </c>
      <c r="C257" s="14">
        <v>45963.0</v>
      </c>
      <c r="D257" s="12" t="s">
        <v>182</v>
      </c>
      <c r="E257" s="12" t="s">
        <v>1857</v>
      </c>
      <c r="G257" s="12" t="s">
        <v>1858</v>
      </c>
      <c r="H257" s="12" t="s">
        <v>1852</v>
      </c>
      <c r="I257" s="12" t="b">
        <v>1</v>
      </c>
      <c r="J257" s="12" t="s">
        <v>1784</v>
      </c>
      <c r="P257" s="12">
        <v>1774234.0</v>
      </c>
      <c r="Q257" s="12" t="b">
        <v>1</v>
      </c>
    </row>
    <row r="258">
      <c r="A258" s="12" t="s">
        <v>1860</v>
      </c>
      <c r="B258" s="12" t="s">
        <v>54</v>
      </c>
      <c r="C258" s="14">
        <v>45964.0</v>
      </c>
      <c r="D258" s="12" t="s">
        <v>1043</v>
      </c>
      <c r="E258" s="12" t="s">
        <v>1863</v>
      </c>
      <c r="G258" s="12" t="s">
        <v>1864</v>
      </c>
      <c r="H258" s="12" t="s">
        <v>1865</v>
      </c>
      <c r="I258" s="12" t="b">
        <v>1</v>
      </c>
      <c r="J258" s="12" t="s">
        <v>69</v>
      </c>
      <c r="P258" s="12">
        <v>1776048.0</v>
      </c>
      <c r="Q258" s="12" t="b">
        <v>1</v>
      </c>
    </row>
    <row r="259">
      <c r="A259" s="12" t="s">
        <v>1867</v>
      </c>
      <c r="B259" s="12" t="s">
        <v>54</v>
      </c>
      <c r="C259" s="14">
        <v>45964.0</v>
      </c>
      <c r="D259" s="12" t="s">
        <v>1870</v>
      </c>
      <c r="E259" s="12" t="s">
        <v>1871</v>
      </c>
      <c r="G259" s="12" t="s">
        <v>1872</v>
      </c>
      <c r="H259" s="12" t="s">
        <v>65</v>
      </c>
      <c r="I259" s="12" t="b">
        <v>1</v>
      </c>
      <c r="J259" s="12" t="s">
        <v>69</v>
      </c>
      <c r="P259" s="12">
        <v>1775961.0</v>
      </c>
      <c r="Q259" s="12" t="b">
        <v>1</v>
      </c>
    </row>
    <row r="260">
      <c r="A260" s="12" t="s">
        <v>1874</v>
      </c>
      <c r="B260" s="12" t="s">
        <v>54</v>
      </c>
      <c r="C260" s="14">
        <v>45964.0</v>
      </c>
      <c r="H260" s="12" t="s">
        <v>1112</v>
      </c>
      <c r="J260" s="12" t="s">
        <v>621</v>
      </c>
      <c r="K260" s="12" t="s">
        <v>78</v>
      </c>
      <c r="O260" s="12">
        <v>100.0</v>
      </c>
      <c r="Q260" s="12" t="b">
        <v>1</v>
      </c>
    </row>
    <row r="261">
      <c r="A261" s="12" t="s">
        <v>1878</v>
      </c>
      <c r="B261" s="12" t="s">
        <v>54</v>
      </c>
      <c r="C261" s="14">
        <v>45964.0</v>
      </c>
      <c r="D261" s="12" t="s">
        <v>1245</v>
      </c>
      <c r="H261" s="12" t="s">
        <v>1879</v>
      </c>
      <c r="J261" s="12" t="s">
        <v>621</v>
      </c>
      <c r="O261" s="12">
        <v>600.0</v>
      </c>
      <c r="Q261" s="12" t="b">
        <v>1</v>
      </c>
    </row>
    <row r="262">
      <c r="A262" s="12" t="s">
        <v>1882</v>
      </c>
      <c r="B262" s="12" t="s">
        <v>54</v>
      </c>
      <c r="C262" s="14">
        <v>45965.0</v>
      </c>
      <c r="H262" s="12" t="s">
        <v>1884</v>
      </c>
      <c r="J262" s="12" t="s">
        <v>191</v>
      </c>
      <c r="K262" s="12" t="s">
        <v>1183</v>
      </c>
      <c r="O262" s="12">
        <v>1469.15</v>
      </c>
      <c r="Q262" s="12" t="b">
        <v>1</v>
      </c>
    </row>
    <row r="263">
      <c r="A263" s="12" t="s">
        <v>1886</v>
      </c>
      <c r="B263" s="12" t="s">
        <v>54</v>
      </c>
      <c r="C263" s="14">
        <v>45965.0</v>
      </c>
      <c r="H263" s="12" t="s">
        <v>1644</v>
      </c>
      <c r="J263" s="12" t="s">
        <v>191</v>
      </c>
      <c r="K263" s="12" t="s">
        <v>727</v>
      </c>
      <c r="O263" s="12">
        <v>3500.0</v>
      </c>
      <c r="Q263" s="12" t="b">
        <v>1</v>
      </c>
    </row>
    <row r="264">
      <c r="A264" s="12" t="s">
        <v>1889</v>
      </c>
      <c r="B264" s="12" t="s">
        <v>54</v>
      </c>
      <c r="C264" s="14">
        <v>45965.0</v>
      </c>
      <c r="H264" s="12" t="s">
        <v>1884</v>
      </c>
      <c r="J264" s="12" t="s">
        <v>191</v>
      </c>
      <c r="K264" s="12" t="s">
        <v>727</v>
      </c>
      <c r="O264" s="12">
        <v>3684.76</v>
      </c>
      <c r="Q264" s="12" t="b">
        <v>1</v>
      </c>
    </row>
    <row r="265">
      <c r="A265" s="12" t="s">
        <v>1892</v>
      </c>
      <c r="B265" s="12" t="s">
        <v>54</v>
      </c>
      <c r="C265" s="14">
        <v>45965.0</v>
      </c>
      <c r="H265" s="12" t="s">
        <v>1884</v>
      </c>
      <c r="J265" s="12" t="s">
        <v>191</v>
      </c>
      <c r="K265" s="12" t="s">
        <v>62</v>
      </c>
      <c r="O265" s="12">
        <v>1950.82</v>
      </c>
      <c r="Q265" s="12" t="b">
        <v>1</v>
      </c>
    </row>
    <row r="266">
      <c r="A266" s="12" t="s">
        <v>1895</v>
      </c>
      <c r="B266" s="12" t="s">
        <v>54</v>
      </c>
      <c r="C266" s="14">
        <v>45965.0</v>
      </c>
      <c r="H266" s="12" t="s">
        <v>1884</v>
      </c>
      <c r="J266" s="12" t="s">
        <v>191</v>
      </c>
      <c r="K266" s="12" t="s">
        <v>78</v>
      </c>
      <c r="O266" s="12">
        <v>2224.16</v>
      </c>
      <c r="Q266" s="12" t="b">
        <v>1</v>
      </c>
    </row>
    <row r="267">
      <c r="A267" s="12" t="s">
        <v>1897</v>
      </c>
      <c r="B267" s="12" t="s">
        <v>54</v>
      </c>
      <c r="C267" s="14">
        <v>45965.0</v>
      </c>
      <c r="H267" s="12" t="s">
        <v>1884</v>
      </c>
      <c r="J267" s="12" t="s">
        <v>191</v>
      </c>
      <c r="K267" s="12" t="s">
        <v>1900</v>
      </c>
      <c r="O267" s="12">
        <v>2257.26</v>
      </c>
      <c r="Q267" s="12" t="b">
        <v>1</v>
      </c>
    </row>
    <row r="268">
      <c r="A268" s="12">
        <v>1176.0</v>
      </c>
      <c r="B268" s="12" t="s">
        <v>612</v>
      </c>
      <c r="D268" s="12" t="s">
        <v>689</v>
      </c>
      <c r="H268" s="12" t="s">
        <v>959</v>
      </c>
      <c r="J268" s="12" t="s">
        <v>621</v>
      </c>
      <c r="O268" s="12">
        <v>5000.0</v>
      </c>
      <c r="Q268" s="12" t="b">
        <v>1</v>
      </c>
    </row>
    <row r="269">
      <c r="A269" s="12">
        <v>1177.0</v>
      </c>
      <c r="B269" s="12" t="s">
        <v>54</v>
      </c>
      <c r="D269" s="12" t="s">
        <v>156</v>
      </c>
      <c r="H269" s="12" t="s">
        <v>1905</v>
      </c>
      <c r="J269" s="12" t="s">
        <v>621</v>
      </c>
      <c r="O269" s="12">
        <v>625.0</v>
      </c>
      <c r="Q269" s="12" t="b">
        <v>1</v>
      </c>
    </row>
    <row r="270">
      <c r="A270" s="12">
        <v>1178.0</v>
      </c>
      <c r="B270" s="12" t="s">
        <v>54</v>
      </c>
      <c r="D270" s="12" t="s">
        <v>156</v>
      </c>
      <c r="H270" s="12" t="s">
        <v>1909</v>
      </c>
      <c r="J270" s="12" t="s">
        <v>621</v>
      </c>
      <c r="O270" s="12">
        <v>375.0</v>
      </c>
      <c r="Q270" s="12" t="b">
        <v>1</v>
      </c>
    </row>
    <row r="271">
      <c r="A271" s="12">
        <v>1179.0</v>
      </c>
      <c r="B271" s="12" t="s">
        <v>54</v>
      </c>
      <c r="D271" s="12" t="s">
        <v>1914</v>
      </c>
      <c r="H271" s="12" t="s">
        <v>1916</v>
      </c>
      <c r="J271" s="12" t="s">
        <v>621</v>
      </c>
      <c r="O271" s="12">
        <v>1110.0</v>
      </c>
      <c r="Q271" s="12" t="b">
        <v>1</v>
      </c>
    </row>
    <row r="272">
      <c r="A272" s="12" t="s">
        <v>1918</v>
      </c>
      <c r="B272" s="12" t="s">
        <v>54</v>
      </c>
      <c r="C272" s="14">
        <v>45966.0</v>
      </c>
      <c r="D272" s="12" t="s">
        <v>1921</v>
      </c>
      <c r="E272" s="12" t="s">
        <v>1922</v>
      </c>
      <c r="G272" s="12" t="s">
        <v>1923</v>
      </c>
      <c r="H272" s="12" t="s">
        <v>1926</v>
      </c>
      <c r="I272" s="12" t="b">
        <v>1</v>
      </c>
      <c r="J272" s="12" t="s">
        <v>69</v>
      </c>
      <c r="P272" s="12">
        <v>1778665.0</v>
      </c>
      <c r="Q272" s="12" t="b">
        <v>1</v>
      </c>
    </row>
    <row r="273">
      <c r="A273" s="12" t="s">
        <v>1928</v>
      </c>
      <c r="B273" s="12" t="s">
        <v>54</v>
      </c>
      <c r="C273" s="14">
        <v>45966.0</v>
      </c>
      <c r="D273" s="12" t="s">
        <v>345</v>
      </c>
      <c r="E273" s="12" t="s">
        <v>1931</v>
      </c>
      <c r="G273" s="12" t="s">
        <v>1932</v>
      </c>
      <c r="H273" s="12" t="s">
        <v>1934</v>
      </c>
      <c r="I273" s="12" t="b">
        <v>1</v>
      </c>
      <c r="J273" s="12" t="s">
        <v>1784</v>
      </c>
      <c r="P273" s="12">
        <v>1778662.0</v>
      </c>
      <c r="Q273" s="12" t="b">
        <v>1</v>
      </c>
    </row>
    <row r="274">
      <c r="A274" s="12" t="s">
        <v>1937</v>
      </c>
      <c r="B274" s="12" t="s">
        <v>54</v>
      </c>
      <c r="C274" s="14">
        <v>45965.0</v>
      </c>
      <c r="D274" s="12" t="s">
        <v>375</v>
      </c>
      <c r="E274" s="12" t="s">
        <v>1939</v>
      </c>
      <c r="G274" s="12" t="s">
        <v>1940</v>
      </c>
      <c r="H274" s="12" t="s">
        <v>1778</v>
      </c>
      <c r="I274" s="12" t="b">
        <v>1</v>
      </c>
      <c r="J274" s="12" t="s">
        <v>69</v>
      </c>
      <c r="P274" s="12">
        <v>1778282.0</v>
      </c>
      <c r="Q274" s="12" t="b">
        <v>1</v>
      </c>
    </row>
    <row r="275">
      <c r="A275" s="12">
        <v>1.6497346E7</v>
      </c>
      <c r="B275" s="12" t="s">
        <v>54</v>
      </c>
      <c r="C275" s="15">
        <v>45961.0</v>
      </c>
      <c r="D275" s="12" t="s">
        <v>683</v>
      </c>
      <c r="E275" s="12" t="s">
        <v>1943</v>
      </c>
      <c r="G275" s="12" t="s">
        <v>1944</v>
      </c>
      <c r="H275" s="12" t="s">
        <v>1037</v>
      </c>
      <c r="I275" s="12" t="b">
        <v>1</v>
      </c>
      <c r="J275" s="12" t="s">
        <v>69</v>
      </c>
      <c r="P275" s="12">
        <v>1768713.0</v>
      </c>
      <c r="Q275" s="12" t="b">
        <v>1</v>
      </c>
    </row>
    <row r="276">
      <c r="A276" s="12" t="s">
        <v>1949</v>
      </c>
      <c r="B276" s="12" t="s">
        <v>54</v>
      </c>
      <c r="C276" s="14">
        <v>45965.0</v>
      </c>
      <c r="D276" s="12" t="s">
        <v>556</v>
      </c>
      <c r="E276" s="12" t="s">
        <v>1952</v>
      </c>
      <c r="G276" s="12" t="s">
        <v>1953</v>
      </c>
      <c r="H276" s="12" t="s">
        <v>859</v>
      </c>
      <c r="I276" s="12" t="b">
        <v>1</v>
      </c>
      <c r="J276" s="12" t="s">
        <v>69</v>
      </c>
      <c r="P276" s="12">
        <v>1776829.0</v>
      </c>
      <c r="Q276" s="12" t="b">
        <v>1</v>
      </c>
    </row>
    <row r="277">
      <c r="A277" s="12" t="s">
        <v>1911</v>
      </c>
      <c r="B277" s="12" t="s">
        <v>54</v>
      </c>
      <c r="C277" s="14">
        <v>45964.0</v>
      </c>
      <c r="D277" s="12" t="s">
        <v>590</v>
      </c>
      <c r="H277" s="12" t="s">
        <v>1959</v>
      </c>
      <c r="J277" s="12" t="s">
        <v>621</v>
      </c>
      <c r="O277" s="12">
        <v>1299.9</v>
      </c>
      <c r="Q277" s="12" t="b">
        <v>1</v>
      </c>
    </row>
    <row r="278">
      <c r="A278" s="12" t="s">
        <v>1917</v>
      </c>
      <c r="B278" s="12" t="s">
        <v>54</v>
      </c>
      <c r="C278" s="14">
        <v>45966.0</v>
      </c>
      <c r="D278" s="12" t="s">
        <v>1963</v>
      </c>
      <c r="H278" s="12" t="s">
        <v>1965</v>
      </c>
      <c r="J278" s="12" t="s">
        <v>621</v>
      </c>
      <c r="O278" s="12">
        <v>700.0</v>
      </c>
      <c r="Q278" s="12" t="b">
        <v>1</v>
      </c>
    </row>
    <row r="279">
      <c r="A279" s="12" t="s">
        <v>1920</v>
      </c>
      <c r="B279" s="12" t="s">
        <v>54</v>
      </c>
      <c r="C279" s="14">
        <v>45966.0</v>
      </c>
      <c r="D279" s="12" t="s">
        <v>1969</v>
      </c>
      <c r="H279" s="12" t="s">
        <v>1970</v>
      </c>
      <c r="J279" s="12" t="s">
        <v>621</v>
      </c>
      <c r="O279" s="12">
        <v>2161.6</v>
      </c>
      <c r="Q279" s="12" t="b">
        <v>1</v>
      </c>
    </row>
    <row r="280">
      <c r="A280" s="12" t="s">
        <v>1974</v>
      </c>
      <c r="B280" s="12" t="s">
        <v>54</v>
      </c>
      <c r="C280" s="14">
        <v>45966.0</v>
      </c>
      <c r="D280" s="12" t="s">
        <v>441</v>
      </c>
      <c r="E280" s="12" t="s">
        <v>1977</v>
      </c>
      <c r="G280" s="12" t="s">
        <v>1978</v>
      </c>
      <c r="H280" s="12" t="s">
        <v>1979</v>
      </c>
      <c r="I280" s="12" t="b">
        <v>1</v>
      </c>
      <c r="J280" s="12" t="s">
        <v>69</v>
      </c>
      <c r="P280" s="12">
        <v>1779187.0</v>
      </c>
      <c r="Q280" s="12" t="b">
        <v>1</v>
      </c>
    </row>
    <row r="281">
      <c r="A281" s="12" t="s">
        <v>1982</v>
      </c>
      <c r="B281" s="12" t="s">
        <v>54</v>
      </c>
      <c r="C281" s="14">
        <v>45967.0</v>
      </c>
      <c r="D281" s="12" t="s">
        <v>355</v>
      </c>
      <c r="E281" s="12" t="s">
        <v>1985</v>
      </c>
      <c r="G281" s="12" t="s">
        <v>1987</v>
      </c>
      <c r="H281" s="12" t="s">
        <v>1988</v>
      </c>
      <c r="I281" s="12" t="b">
        <v>1</v>
      </c>
      <c r="J281" s="12" t="s">
        <v>69</v>
      </c>
      <c r="P281" s="12">
        <v>1780576.0</v>
      </c>
      <c r="Q281" s="12" t="b">
        <v>1</v>
      </c>
    </row>
    <row r="282">
      <c r="A282" s="12" t="s">
        <v>1927</v>
      </c>
      <c r="B282" s="12" t="s">
        <v>54</v>
      </c>
      <c r="C282" s="14">
        <v>45967.0</v>
      </c>
      <c r="H282" s="12" t="s">
        <v>1991</v>
      </c>
      <c r="J282" s="12" t="s">
        <v>621</v>
      </c>
      <c r="K282" s="12" t="s">
        <v>78</v>
      </c>
      <c r="O282" s="12">
        <v>200.0</v>
      </c>
      <c r="Q282" s="12" t="b">
        <v>1</v>
      </c>
    </row>
    <row r="283">
      <c r="A283" s="12" t="s">
        <v>1930</v>
      </c>
      <c r="B283" s="12" t="s">
        <v>54</v>
      </c>
      <c r="C283" s="14">
        <v>45967.0</v>
      </c>
      <c r="H283" s="12" t="s">
        <v>1991</v>
      </c>
      <c r="J283" s="12" t="s">
        <v>621</v>
      </c>
      <c r="K283" s="12" t="s">
        <v>1900</v>
      </c>
      <c r="O283" s="12">
        <v>500.0</v>
      </c>
      <c r="Q283" s="12" t="b">
        <v>1</v>
      </c>
    </row>
    <row r="284">
      <c r="A284" s="12" t="s">
        <v>1935</v>
      </c>
      <c r="B284" s="12" t="s">
        <v>54</v>
      </c>
      <c r="D284" s="12" t="s">
        <v>1715</v>
      </c>
      <c r="H284" s="12" t="s">
        <v>45</v>
      </c>
      <c r="J284" s="12" t="s">
        <v>1784</v>
      </c>
      <c r="O284" s="12">
        <v>621.53</v>
      </c>
      <c r="Q284" s="12" t="b">
        <v>1</v>
      </c>
    </row>
    <row r="285">
      <c r="A285" s="12" t="s">
        <v>2001</v>
      </c>
      <c r="B285" s="12" t="s">
        <v>54</v>
      </c>
      <c r="C285" s="14">
        <v>45968.0</v>
      </c>
      <c r="D285" s="12" t="s">
        <v>556</v>
      </c>
      <c r="E285" s="12" t="s">
        <v>2003</v>
      </c>
      <c r="G285" s="12" t="s">
        <v>2006</v>
      </c>
      <c r="H285" s="12" t="s">
        <v>687</v>
      </c>
      <c r="I285" s="12" t="b">
        <v>1</v>
      </c>
      <c r="J285" s="12" t="s">
        <v>69</v>
      </c>
      <c r="P285" s="12">
        <v>1782949.0</v>
      </c>
      <c r="Q285" s="12" t="b">
        <v>1</v>
      </c>
    </row>
    <row r="286">
      <c r="A286" s="12" t="s">
        <v>2011</v>
      </c>
      <c r="B286" s="12" t="s">
        <v>54</v>
      </c>
      <c r="C286" s="14">
        <v>45968.0</v>
      </c>
      <c r="D286" s="12" t="s">
        <v>2012</v>
      </c>
      <c r="E286" s="12" t="s">
        <v>2014</v>
      </c>
      <c r="G286" s="12" t="s">
        <v>2016</v>
      </c>
      <c r="H286" s="12" t="s">
        <v>2017</v>
      </c>
      <c r="I286" s="12" t="b">
        <v>1</v>
      </c>
      <c r="J286" s="12" t="s">
        <v>69</v>
      </c>
      <c r="P286" s="12">
        <v>1783266.0</v>
      </c>
      <c r="Q286" s="12" t="b">
        <v>1</v>
      </c>
    </row>
    <row r="287">
      <c r="A287" s="12" t="s">
        <v>2021</v>
      </c>
      <c r="B287" s="12" t="s">
        <v>54</v>
      </c>
      <c r="C287" s="14">
        <v>45964.0</v>
      </c>
      <c r="D287" s="12" t="s">
        <v>190</v>
      </c>
      <c r="E287" s="12" t="s">
        <v>2023</v>
      </c>
      <c r="G287" s="12" t="s">
        <v>2025</v>
      </c>
      <c r="H287" s="12" t="s">
        <v>1754</v>
      </c>
      <c r="I287" s="12" t="b">
        <v>1</v>
      </c>
      <c r="J287" s="12" t="s">
        <v>69</v>
      </c>
      <c r="P287" s="12">
        <v>1784714.0</v>
      </c>
      <c r="Q287" s="12" t="b">
        <v>1</v>
      </c>
    </row>
    <row r="288">
      <c r="A288" s="12" t="s">
        <v>2028</v>
      </c>
      <c r="B288" s="12" t="s">
        <v>54</v>
      </c>
      <c r="C288" s="14">
        <v>45967.0</v>
      </c>
      <c r="D288" s="12" t="s">
        <v>220</v>
      </c>
      <c r="E288" s="12" t="s">
        <v>2030</v>
      </c>
      <c r="G288" s="12" t="s">
        <v>2032</v>
      </c>
      <c r="H288" s="12" t="s">
        <v>2033</v>
      </c>
      <c r="I288" s="12" t="b">
        <v>1</v>
      </c>
      <c r="J288" s="12" t="s">
        <v>69</v>
      </c>
      <c r="P288" s="12">
        <v>1784728.0</v>
      </c>
      <c r="Q288" s="12" t="b">
        <v>1</v>
      </c>
    </row>
    <row r="289">
      <c r="A289" s="12" t="s">
        <v>2036</v>
      </c>
      <c r="B289" s="12" t="s">
        <v>54</v>
      </c>
      <c r="C289" s="14">
        <v>45964.0</v>
      </c>
      <c r="D289" s="12" t="s">
        <v>220</v>
      </c>
      <c r="E289" s="12" t="s">
        <v>2038</v>
      </c>
      <c r="G289" s="12" t="s">
        <v>2040</v>
      </c>
      <c r="H289" s="12" t="s">
        <v>2033</v>
      </c>
      <c r="I289" s="12" t="b">
        <v>1</v>
      </c>
      <c r="J289" s="12" t="s">
        <v>69</v>
      </c>
      <c r="P289" s="12">
        <v>1784721.0</v>
      </c>
      <c r="Q289" s="12" t="b">
        <v>1</v>
      </c>
    </row>
    <row r="290">
      <c r="A290" s="12" t="s">
        <v>2043</v>
      </c>
      <c r="B290" s="12" t="s">
        <v>54</v>
      </c>
      <c r="C290" s="14">
        <v>45965.0</v>
      </c>
      <c r="D290" s="12" t="s">
        <v>175</v>
      </c>
      <c r="E290" s="12" t="s">
        <v>2045</v>
      </c>
      <c r="G290" s="12" t="s">
        <v>2048</v>
      </c>
      <c r="H290" s="12" t="s">
        <v>2050</v>
      </c>
      <c r="I290" s="12" t="b">
        <v>1</v>
      </c>
      <c r="J290" s="12" t="s">
        <v>69</v>
      </c>
      <c r="P290" s="12">
        <v>1784734.0</v>
      </c>
      <c r="Q290" s="12" t="b">
        <v>1</v>
      </c>
    </row>
    <row r="291">
      <c r="A291" s="12" t="s">
        <v>2052</v>
      </c>
      <c r="B291" s="12" t="s">
        <v>54</v>
      </c>
      <c r="C291" s="14">
        <v>45969.0</v>
      </c>
      <c r="D291" s="12" t="s">
        <v>182</v>
      </c>
      <c r="E291" s="12" t="s">
        <v>2054</v>
      </c>
      <c r="G291" s="12" t="s">
        <v>2055</v>
      </c>
      <c r="H291" s="12" t="s">
        <v>1544</v>
      </c>
      <c r="I291" s="12" t="b">
        <v>1</v>
      </c>
      <c r="J291" s="12" t="s">
        <v>69</v>
      </c>
      <c r="P291" s="12">
        <v>1784706.0</v>
      </c>
      <c r="Q291" s="12" t="b">
        <v>1</v>
      </c>
    </row>
    <row r="292">
      <c r="A292" s="12" t="s">
        <v>2059</v>
      </c>
      <c r="B292" s="12" t="s">
        <v>54</v>
      </c>
      <c r="C292" s="14">
        <v>45967.0</v>
      </c>
      <c r="D292" s="12" t="s">
        <v>220</v>
      </c>
      <c r="E292" s="12" t="s">
        <v>2062</v>
      </c>
      <c r="G292" s="12" t="s">
        <v>2063</v>
      </c>
      <c r="H292" s="12" t="s">
        <v>2065</v>
      </c>
      <c r="I292" s="12" t="b">
        <v>1</v>
      </c>
      <c r="J292" s="12" t="s">
        <v>69</v>
      </c>
      <c r="P292" s="12">
        <v>1784696.0</v>
      </c>
      <c r="Q292" s="12" t="b">
        <v>1</v>
      </c>
    </row>
    <row r="293">
      <c r="A293" s="12" t="s">
        <v>2068</v>
      </c>
      <c r="B293" s="12" t="s">
        <v>54</v>
      </c>
      <c r="C293" s="14">
        <v>45970.0</v>
      </c>
      <c r="D293" s="12" t="s">
        <v>182</v>
      </c>
      <c r="E293" s="12" t="s">
        <v>2070</v>
      </c>
      <c r="G293" s="12" t="s">
        <v>2071</v>
      </c>
      <c r="H293" s="12" t="s">
        <v>1852</v>
      </c>
      <c r="I293" s="12" t="b">
        <v>1</v>
      </c>
      <c r="J293" s="12" t="s">
        <v>69</v>
      </c>
      <c r="P293" s="12">
        <v>1786224.0</v>
      </c>
      <c r="Q293" s="12" t="b">
        <v>1</v>
      </c>
    </row>
    <row r="294">
      <c r="A294" s="12">
        <v>1186.0</v>
      </c>
      <c r="B294" s="12" t="s">
        <v>612</v>
      </c>
      <c r="D294" s="12" t="s">
        <v>933</v>
      </c>
      <c r="H294" s="12" t="s">
        <v>1494</v>
      </c>
      <c r="J294" s="12" t="s">
        <v>621</v>
      </c>
      <c r="O294" s="12">
        <v>0.0</v>
      </c>
      <c r="Q294" s="12" t="b">
        <v>1</v>
      </c>
    </row>
    <row r="295">
      <c r="A295" s="12">
        <v>1187.0</v>
      </c>
      <c r="B295" s="12" t="s">
        <v>612</v>
      </c>
      <c r="D295" s="12" t="s">
        <v>734</v>
      </c>
      <c r="H295" s="12" t="s">
        <v>1466</v>
      </c>
      <c r="J295" s="12" t="s">
        <v>621</v>
      </c>
      <c r="O295" s="12">
        <v>0.0</v>
      </c>
      <c r="Q295" s="12" t="b">
        <v>1</v>
      </c>
    </row>
    <row r="296">
      <c r="A296" s="12">
        <v>1188.0</v>
      </c>
      <c r="B296" s="12" t="s">
        <v>612</v>
      </c>
      <c r="D296" s="12" t="s">
        <v>1067</v>
      </c>
      <c r="H296" s="12" t="s">
        <v>1068</v>
      </c>
      <c r="J296" s="12" t="s">
        <v>621</v>
      </c>
      <c r="O296" s="12">
        <v>0.0</v>
      </c>
      <c r="Q296" s="12" t="b">
        <v>1</v>
      </c>
    </row>
    <row r="297">
      <c r="A297" s="12">
        <v>1189.0</v>
      </c>
      <c r="B297" s="12" t="s">
        <v>612</v>
      </c>
      <c r="D297" s="12" t="s">
        <v>1484</v>
      </c>
      <c r="H297" s="12" t="s">
        <v>1485</v>
      </c>
      <c r="J297" s="12" t="s">
        <v>621</v>
      </c>
      <c r="O297" s="12">
        <v>0.0</v>
      </c>
      <c r="Q297" s="12" t="b">
        <v>1</v>
      </c>
    </row>
    <row r="298">
      <c r="A298" s="12" t="s">
        <v>1947</v>
      </c>
      <c r="B298" s="12" t="s">
        <v>54</v>
      </c>
      <c r="C298" s="15">
        <v>45971.0</v>
      </c>
      <c r="D298" s="12" t="s">
        <v>1316</v>
      </c>
      <c r="H298" s="12" t="s">
        <v>2089</v>
      </c>
      <c r="J298" s="12" t="s">
        <v>621</v>
      </c>
      <c r="O298" s="12">
        <v>534.69</v>
      </c>
      <c r="Q298" s="12" t="b">
        <v>1</v>
      </c>
    </row>
    <row r="299">
      <c r="A299" s="12" t="s">
        <v>2093</v>
      </c>
      <c r="B299" s="12" t="s">
        <v>54</v>
      </c>
      <c r="C299" s="15">
        <v>45972.0</v>
      </c>
      <c r="D299" s="12" t="s">
        <v>418</v>
      </c>
      <c r="E299" s="12" t="s">
        <v>2096</v>
      </c>
      <c r="G299" s="12" t="s">
        <v>2097</v>
      </c>
      <c r="H299" s="12" t="s">
        <v>423</v>
      </c>
      <c r="I299" s="12" t="b">
        <v>0</v>
      </c>
      <c r="J299" s="12" t="s">
        <v>69</v>
      </c>
      <c r="Q299" s="12" t="b">
        <v>1</v>
      </c>
    </row>
    <row r="300">
      <c r="A300" s="12" t="s">
        <v>2099</v>
      </c>
      <c r="B300" s="12" t="s">
        <v>54</v>
      </c>
      <c r="C300" s="15">
        <v>45973.0</v>
      </c>
      <c r="D300" s="12" t="s">
        <v>375</v>
      </c>
      <c r="E300" s="12" t="s">
        <v>2101</v>
      </c>
      <c r="G300" s="12" t="s">
        <v>2102</v>
      </c>
      <c r="H300" s="12" t="s">
        <v>1778</v>
      </c>
      <c r="I300" s="12" t="b">
        <v>1</v>
      </c>
      <c r="J300" s="12" t="s">
        <v>69</v>
      </c>
      <c r="L300" s="12" t="s">
        <v>2105</v>
      </c>
      <c r="P300" s="12">
        <v>1792857.0</v>
      </c>
      <c r="Q300" s="12" t="b">
        <v>1</v>
      </c>
    </row>
    <row r="301">
      <c r="A301" s="12" t="s">
        <v>2107</v>
      </c>
      <c r="B301" s="12" t="s">
        <v>54</v>
      </c>
      <c r="C301" s="15">
        <v>45971.0</v>
      </c>
      <c r="D301" s="12" t="s">
        <v>784</v>
      </c>
      <c r="E301" s="12" t="s">
        <v>2109</v>
      </c>
      <c r="G301" s="12" t="s">
        <v>2111</v>
      </c>
      <c r="H301" s="12" t="s">
        <v>715</v>
      </c>
      <c r="I301" s="12" t="b">
        <v>0</v>
      </c>
      <c r="J301" s="12" t="s">
        <v>69</v>
      </c>
      <c r="Q301" s="12" t="b">
        <v>1</v>
      </c>
    </row>
    <row r="302">
      <c r="A302" s="12" t="s">
        <v>1951</v>
      </c>
      <c r="B302" s="12" t="s">
        <v>54</v>
      </c>
      <c r="D302" s="12" t="s">
        <v>912</v>
      </c>
      <c r="H302" s="12" t="s">
        <v>2115</v>
      </c>
      <c r="J302" s="12" t="s">
        <v>1784</v>
      </c>
      <c r="O302" s="12">
        <v>111.0</v>
      </c>
      <c r="Q302" s="12" t="b">
        <v>1</v>
      </c>
    </row>
    <row r="303">
      <c r="A303" s="12" t="s">
        <v>1955</v>
      </c>
      <c r="B303" s="12" t="s">
        <v>54</v>
      </c>
      <c r="D303" s="12" t="s">
        <v>156</v>
      </c>
      <c r="H303" s="12" t="s">
        <v>2118</v>
      </c>
      <c r="J303" s="12" t="s">
        <v>1784</v>
      </c>
      <c r="O303" s="12">
        <v>4296.0</v>
      </c>
      <c r="Q303" s="12" t="b">
        <v>1</v>
      </c>
    </row>
    <row r="304">
      <c r="A304" s="12" t="s">
        <v>1958</v>
      </c>
      <c r="B304" s="12" t="s">
        <v>54</v>
      </c>
      <c r="C304" s="15">
        <v>45974.0</v>
      </c>
      <c r="D304" s="12" t="s">
        <v>2122</v>
      </c>
      <c r="H304" s="12" t="s">
        <v>1430</v>
      </c>
      <c r="J304" s="12" t="s">
        <v>621</v>
      </c>
      <c r="O304" s="12">
        <v>272.06</v>
      </c>
      <c r="Q304" s="12" t="b">
        <v>1</v>
      </c>
    </row>
    <row r="305">
      <c r="A305" s="12" t="s">
        <v>1961</v>
      </c>
      <c r="B305" s="12" t="s">
        <v>54</v>
      </c>
      <c r="C305" s="15">
        <v>45974.0</v>
      </c>
      <c r="D305" s="12" t="s">
        <v>2125</v>
      </c>
      <c r="H305" s="12" t="s">
        <v>2127</v>
      </c>
      <c r="J305" s="12" t="s">
        <v>621</v>
      </c>
      <c r="O305" s="12">
        <v>50.0</v>
      </c>
      <c r="Q305" s="12" t="b">
        <v>1</v>
      </c>
    </row>
    <row r="306">
      <c r="A306" s="12">
        <v>1.83758287E8</v>
      </c>
      <c r="B306" s="12" t="s">
        <v>54</v>
      </c>
      <c r="C306" s="15">
        <v>45975.0</v>
      </c>
      <c r="H306" s="12" t="s">
        <v>1112</v>
      </c>
      <c r="J306" s="12" t="s">
        <v>621</v>
      </c>
      <c r="K306" s="12" t="s">
        <v>1183</v>
      </c>
      <c r="O306" s="12">
        <v>500.0</v>
      </c>
      <c r="Q306" s="12" t="b">
        <v>1</v>
      </c>
    </row>
    <row r="307">
      <c r="A307" s="12" t="s">
        <v>1967</v>
      </c>
      <c r="B307" s="12" t="s">
        <v>54</v>
      </c>
      <c r="C307" s="15">
        <v>45975.0</v>
      </c>
      <c r="D307" s="12" t="s">
        <v>175</v>
      </c>
      <c r="H307" s="12" t="s">
        <v>2133</v>
      </c>
      <c r="J307" s="12" t="s">
        <v>621</v>
      </c>
      <c r="O307" s="12">
        <v>34.9</v>
      </c>
      <c r="Q307" s="12" t="b">
        <v>1</v>
      </c>
    </row>
    <row r="308">
      <c r="A308" s="12" t="s">
        <v>1972</v>
      </c>
      <c r="B308" s="12" t="s">
        <v>54</v>
      </c>
      <c r="C308" s="15">
        <v>45975.0</v>
      </c>
      <c r="D308" s="12" t="s">
        <v>2136</v>
      </c>
      <c r="H308" s="12" t="s">
        <v>2137</v>
      </c>
      <c r="J308" s="12" t="s">
        <v>621</v>
      </c>
      <c r="O308" s="12">
        <v>389.97</v>
      </c>
      <c r="Q308" s="12" t="b">
        <v>1</v>
      </c>
    </row>
    <row r="309">
      <c r="A309" s="12" t="s">
        <v>1976</v>
      </c>
      <c r="B309" s="12" t="s">
        <v>54</v>
      </c>
      <c r="C309" s="15">
        <v>45975.0</v>
      </c>
      <c r="D309" s="12" t="s">
        <v>1730</v>
      </c>
      <c r="H309" s="12" t="s">
        <v>1719</v>
      </c>
      <c r="J309" s="12" t="s">
        <v>621</v>
      </c>
      <c r="O309" s="12">
        <v>486.77</v>
      </c>
      <c r="Q309" s="12" t="b">
        <v>1</v>
      </c>
    </row>
    <row r="310">
      <c r="A310" s="12">
        <v>1204.0</v>
      </c>
      <c r="B310" s="12" t="s">
        <v>612</v>
      </c>
      <c r="D310" s="12" t="s">
        <v>818</v>
      </c>
      <c r="H310" s="12" t="s">
        <v>819</v>
      </c>
      <c r="J310" s="12" t="s">
        <v>621</v>
      </c>
      <c r="O310" s="12">
        <v>0.0</v>
      </c>
      <c r="Q310" s="12" t="b">
        <v>1</v>
      </c>
    </row>
    <row r="311">
      <c r="A311" s="12" t="s">
        <v>2145</v>
      </c>
      <c r="B311" s="12" t="s">
        <v>54</v>
      </c>
      <c r="C311" s="15">
        <v>45972.0</v>
      </c>
      <c r="D311" s="12" t="s">
        <v>556</v>
      </c>
      <c r="E311" s="12" t="s">
        <v>2148</v>
      </c>
      <c r="G311" s="12" t="s">
        <v>2149</v>
      </c>
      <c r="H311" s="12" t="s">
        <v>687</v>
      </c>
      <c r="I311" s="12" t="b">
        <v>1</v>
      </c>
      <c r="J311" s="12" t="s">
        <v>1784</v>
      </c>
      <c r="P311" s="12">
        <v>1791604.0</v>
      </c>
      <c r="Q311" s="12" t="b">
        <v>1</v>
      </c>
    </row>
    <row r="312">
      <c r="A312" s="12" t="s">
        <v>2152</v>
      </c>
      <c r="B312" s="12" t="s">
        <v>54</v>
      </c>
      <c r="C312" s="15">
        <v>45975.0</v>
      </c>
      <c r="D312" s="12" t="s">
        <v>556</v>
      </c>
      <c r="E312" s="12" t="s">
        <v>2155</v>
      </c>
      <c r="G312" s="12" t="s">
        <v>2156</v>
      </c>
      <c r="H312" s="12" t="s">
        <v>687</v>
      </c>
      <c r="I312" s="12" t="b">
        <v>1</v>
      </c>
      <c r="J312" s="12" t="s">
        <v>69</v>
      </c>
      <c r="P312" s="12">
        <v>1797338.0</v>
      </c>
      <c r="Q312" s="12" t="b">
        <v>1</v>
      </c>
    </row>
    <row r="313">
      <c r="A313" s="12" t="s">
        <v>2161</v>
      </c>
      <c r="B313" s="12" t="s">
        <v>54</v>
      </c>
      <c r="C313" s="15">
        <v>45976.0</v>
      </c>
      <c r="D313" s="12" t="s">
        <v>2163</v>
      </c>
      <c r="E313" s="12" t="s">
        <v>2164</v>
      </c>
      <c r="G313" s="12" t="s">
        <v>2166</v>
      </c>
      <c r="H313" s="12" t="s">
        <v>2168</v>
      </c>
      <c r="I313" s="12" t="b">
        <v>1</v>
      </c>
      <c r="J313" s="12" t="s">
        <v>69</v>
      </c>
      <c r="P313" s="12">
        <v>1798068.0</v>
      </c>
      <c r="Q313" s="12" t="b">
        <v>1</v>
      </c>
    </row>
    <row r="314">
      <c r="A314" s="12" t="s">
        <v>1984</v>
      </c>
      <c r="B314" s="12" t="s">
        <v>54</v>
      </c>
      <c r="C314" s="15">
        <v>45976.0</v>
      </c>
      <c r="D314" s="12" t="s">
        <v>2171</v>
      </c>
      <c r="H314" s="12" t="s">
        <v>2172</v>
      </c>
      <c r="J314" s="12" t="s">
        <v>621</v>
      </c>
      <c r="O314" s="12">
        <v>782.75</v>
      </c>
      <c r="Q314" s="12" t="b">
        <v>1</v>
      </c>
    </row>
    <row r="315">
      <c r="A315" s="12">
        <v>1206.0</v>
      </c>
      <c r="B315" s="12" t="s">
        <v>54</v>
      </c>
      <c r="D315" s="12" t="s">
        <v>1712</v>
      </c>
      <c r="H315" s="14">
        <v>45931.0</v>
      </c>
      <c r="J315" s="12" t="s">
        <v>1784</v>
      </c>
      <c r="O315" s="12">
        <v>236.83</v>
      </c>
      <c r="Q315" s="12" t="b">
        <v>1</v>
      </c>
    </row>
    <row r="316">
      <c r="A316" s="12">
        <v>1207.0</v>
      </c>
      <c r="B316" s="12" t="s">
        <v>54</v>
      </c>
      <c r="D316" s="12" t="s">
        <v>1715</v>
      </c>
      <c r="H316" s="14">
        <v>45717.0</v>
      </c>
      <c r="J316" s="12" t="s">
        <v>1784</v>
      </c>
      <c r="O316" s="12">
        <v>65.15</v>
      </c>
      <c r="Q316" s="12" t="b">
        <v>1</v>
      </c>
    </row>
    <row r="317">
      <c r="A317" s="12" t="s">
        <v>1993</v>
      </c>
      <c r="B317" s="12" t="s">
        <v>54</v>
      </c>
      <c r="D317" s="12" t="s">
        <v>156</v>
      </c>
      <c r="H317" s="12" t="s">
        <v>2178</v>
      </c>
      <c r="J317" s="12" t="s">
        <v>1784</v>
      </c>
      <c r="O317" s="12">
        <v>1586.28</v>
      </c>
      <c r="Q317" s="12" t="b">
        <v>1</v>
      </c>
    </row>
    <row r="318">
      <c r="A318" s="12" t="s">
        <v>1995</v>
      </c>
      <c r="B318" s="12" t="s">
        <v>54</v>
      </c>
      <c r="C318" s="14">
        <v>45962.0</v>
      </c>
      <c r="H318" s="12" t="s">
        <v>1991</v>
      </c>
      <c r="J318" s="12" t="s">
        <v>621</v>
      </c>
      <c r="K318" s="12" t="s">
        <v>62</v>
      </c>
      <c r="O318" s="12">
        <v>100.0</v>
      </c>
      <c r="Q318" s="12" t="b">
        <v>1</v>
      </c>
    </row>
    <row r="319">
      <c r="A319" s="12" t="s">
        <v>1997</v>
      </c>
      <c r="B319" s="12" t="s">
        <v>54</v>
      </c>
      <c r="C319" s="15">
        <v>45978.0</v>
      </c>
      <c r="H319" s="12" t="s">
        <v>2182</v>
      </c>
      <c r="J319" s="12" t="s">
        <v>180</v>
      </c>
      <c r="K319" s="12" t="s">
        <v>78</v>
      </c>
      <c r="O319" s="12">
        <v>1.0</v>
      </c>
      <c r="Q319" s="12" t="b">
        <v>1</v>
      </c>
    </row>
    <row r="320">
      <c r="A320" s="12" t="s">
        <v>2184</v>
      </c>
      <c r="B320" s="12" t="s">
        <v>54</v>
      </c>
      <c r="C320" s="15">
        <v>45975.0</v>
      </c>
      <c r="D320" s="12" t="s">
        <v>912</v>
      </c>
      <c r="E320" s="12" t="s">
        <v>2187</v>
      </c>
      <c r="G320" s="12" t="s">
        <v>2188</v>
      </c>
      <c r="H320" s="12" t="s">
        <v>586</v>
      </c>
      <c r="I320" s="12" t="b">
        <v>0</v>
      </c>
      <c r="J320" s="12" t="s">
        <v>69</v>
      </c>
      <c r="L320" s="12" t="s">
        <v>2191</v>
      </c>
      <c r="Q320" s="12" t="b">
        <v>1</v>
      </c>
    </row>
    <row r="321">
      <c r="A321" s="12" t="s">
        <v>2192</v>
      </c>
      <c r="B321" s="12" t="s">
        <v>54</v>
      </c>
      <c r="C321" s="15">
        <v>45979.0</v>
      </c>
      <c r="D321" s="12" t="s">
        <v>109</v>
      </c>
      <c r="E321" s="12" t="s">
        <v>2195</v>
      </c>
      <c r="G321" s="12" t="s">
        <v>2196</v>
      </c>
      <c r="H321" s="12" t="s">
        <v>687</v>
      </c>
      <c r="I321" s="12" t="b">
        <v>1</v>
      </c>
      <c r="J321" s="12" t="s">
        <v>69</v>
      </c>
      <c r="P321" s="12">
        <v>1805101.0</v>
      </c>
      <c r="Q321" s="12" t="b">
        <v>1</v>
      </c>
    </row>
    <row r="322">
      <c r="A322" s="12" t="s">
        <v>2198</v>
      </c>
      <c r="B322" s="12" t="s">
        <v>54</v>
      </c>
      <c r="C322" s="15">
        <v>45978.0</v>
      </c>
      <c r="D322" s="12" t="s">
        <v>2201</v>
      </c>
      <c r="E322" s="12" t="s">
        <v>2202</v>
      </c>
      <c r="G322" s="12" t="s">
        <v>2203</v>
      </c>
      <c r="H322" s="12" t="s">
        <v>2205</v>
      </c>
      <c r="I322" s="12" t="b">
        <v>1</v>
      </c>
      <c r="J322" s="12" t="s">
        <v>69</v>
      </c>
      <c r="P322" s="12">
        <v>1803636.0</v>
      </c>
      <c r="Q322" s="12" t="b">
        <v>1</v>
      </c>
    </row>
    <row r="323">
      <c r="A323" s="12" t="s">
        <v>2210</v>
      </c>
      <c r="B323" s="12" t="s">
        <v>54</v>
      </c>
      <c r="C323" s="15">
        <v>45978.0</v>
      </c>
      <c r="D323" s="12" t="s">
        <v>77</v>
      </c>
      <c r="E323" s="12" t="s">
        <v>2212</v>
      </c>
      <c r="G323" s="12" t="s">
        <v>2213</v>
      </c>
      <c r="H323" s="12" t="s">
        <v>2215</v>
      </c>
      <c r="I323" s="12" t="b">
        <v>1</v>
      </c>
      <c r="J323" s="12" t="s">
        <v>69</v>
      </c>
      <c r="P323" s="12">
        <v>1803637.0</v>
      </c>
      <c r="Q323" s="12" t="b">
        <v>1</v>
      </c>
    </row>
    <row r="324">
      <c r="A324" s="12" t="s">
        <v>2219</v>
      </c>
      <c r="B324" s="12" t="s">
        <v>54</v>
      </c>
      <c r="C324" s="15">
        <v>45978.0</v>
      </c>
      <c r="D324" s="12" t="s">
        <v>1103</v>
      </c>
      <c r="E324" s="12" t="s">
        <v>2222</v>
      </c>
      <c r="G324" s="12" t="s">
        <v>2223</v>
      </c>
      <c r="H324" s="12" t="s">
        <v>2224</v>
      </c>
      <c r="I324" s="12" t="b">
        <v>1</v>
      </c>
      <c r="J324" s="12" t="s">
        <v>69</v>
      </c>
      <c r="P324" s="12">
        <v>1804741.0</v>
      </c>
      <c r="Q324" s="12" t="b">
        <v>1</v>
      </c>
    </row>
    <row r="325">
      <c r="A325" s="12" t="s">
        <v>2226</v>
      </c>
      <c r="B325" s="12" t="s">
        <v>54</v>
      </c>
      <c r="C325" s="15">
        <v>45979.0</v>
      </c>
      <c r="D325" s="12" t="s">
        <v>1769</v>
      </c>
      <c r="E325" s="12" t="s">
        <v>2228</v>
      </c>
      <c r="G325" s="12" t="s">
        <v>2229</v>
      </c>
      <c r="H325" s="12" t="s">
        <v>2231</v>
      </c>
      <c r="I325" s="12" t="b">
        <v>1</v>
      </c>
      <c r="J325" s="12" t="s">
        <v>69</v>
      </c>
      <c r="P325" s="12">
        <v>1804819.0</v>
      </c>
      <c r="Q325" s="12" t="b">
        <v>1</v>
      </c>
    </row>
    <row r="326">
      <c r="A326" s="12" t="s">
        <v>2233</v>
      </c>
      <c r="B326" s="12" t="s">
        <v>54</v>
      </c>
      <c r="C326" s="15">
        <v>45972.0</v>
      </c>
      <c r="D326" s="12" t="s">
        <v>784</v>
      </c>
      <c r="E326" s="12" t="s">
        <v>2237</v>
      </c>
      <c r="G326" s="12" t="s">
        <v>2238</v>
      </c>
      <c r="H326" s="12" t="s">
        <v>2240</v>
      </c>
      <c r="I326" s="12" t="b">
        <v>0</v>
      </c>
      <c r="J326" s="12" t="s">
        <v>69</v>
      </c>
      <c r="Q326" s="12" t="b">
        <v>1</v>
      </c>
    </row>
    <row r="327">
      <c r="A327" s="12" t="s">
        <v>2000</v>
      </c>
      <c r="B327" s="12" t="s">
        <v>54</v>
      </c>
      <c r="C327" s="15">
        <v>45979.0</v>
      </c>
      <c r="H327" s="12" t="s">
        <v>1112</v>
      </c>
      <c r="J327" s="12" t="s">
        <v>621</v>
      </c>
      <c r="K327" s="12" t="s">
        <v>62</v>
      </c>
      <c r="O327" s="12">
        <v>50.0</v>
      </c>
      <c r="Q327" s="12" t="b">
        <v>1</v>
      </c>
    </row>
    <row r="328">
      <c r="A328" s="12" t="s">
        <v>2004</v>
      </c>
      <c r="B328" s="12" t="s">
        <v>54</v>
      </c>
      <c r="D328" s="12" t="s">
        <v>1712</v>
      </c>
      <c r="H328" s="12" t="s">
        <v>2245</v>
      </c>
      <c r="J328" s="12" t="s">
        <v>180</v>
      </c>
      <c r="O328" s="12">
        <v>134.0</v>
      </c>
      <c r="Q328" s="12" t="b">
        <v>1</v>
      </c>
    </row>
    <row r="329">
      <c r="A329" s="12" t="s">
        <v>2247</v>
      </c>
      <c r="B329" s="12" t="s">
        <v>54</v>
      </c>
      <c r="C329" s="15">
        <v>45973.0</v>
      </c>
      <c r="D329" s="12" t="s">
        <v>156</v>
      </c>
      <c r="E329" s="12" t="s">
        <v>2249</v>
      </c>
      <c r="G329" s="12" t="s">
        <v>2250</v>
      </c>
      <c r="H329" s="12" t="s">
        <v>586</v>
      </c>
      <c r="I329" s="12" t="b">
        <v>0</v>
      </c>
      <c r="J329" s="12" t="s">
        <v>69</v>
      </c>
      <c r="L329" s="12" t="s">
        <v>2252</v>
      </c>
      <c r="Q329" s="12" t="b">
        <v>1</v>
      </c>
    </row>
    <row r="330">
      <c r="A330" s="12" t="s">
        <v>2253</v>
      </c>
      <c r="B330" s="12" t="s">
        <v>54</v>
      </c>
      <c r="C330" s="15">
        <v>45972.0</v>
      </c>
      <c r="D330" s="12" t="s">
        <v>156</v>
      </c>
      <c r="E330" s="12" t="s">
        <v>2255</v>
      </c>
      <c r="G330" s="12" t="s">
        <v>2256</v>
      </c>
      <c r="H330" s="12" t="s">
        <v>2257</v>
      </c>
      <c r="I330" s="12" t="b">
        <v>0</v>
      </c>
      <c r="J330" s="12" t="s">
        <v>1784</v>
      </c>
      <c r="Q330" s="12" t="b">
        <v>1</v>
      </c>
    </row>
    <row r="331">
      <c r="A331" s="12" t="s">
        <v>2259</v>
      </c>
      <c r="B331" s="12" t="s">
        <v>54</v>
      </c>
      <c r="C331" s="15">
        <v>45972.0</v>
      </c>
      <c r="D331" s="12" t="s">
        <v>156</v>
      </c>
      <c r="E331" s="12" t="s">
        <v>2255</v>
      </c>
      <c r="G331" s="12" t="s">
        <v>2262</v>
      </c>
      <c r="H331" s="12" t="s">
        <v>2257</v>
      </c>
      <c r="I331" s="12" t="b">
        <v>0</v>
      </c>
      <c r="J331" s="12" t="s">
        <v>69</v>
      </c>
      <c r="Q331" s="12" t="b">
        <v>1</v>
      </c>
    </row>
    <row r="332">
      <c r="A332" s="12" t="s">
        <v>2009</v>
      </c>
      <c r="B332" s="12" t="s">
        <v>54</v>
      </c>
      <c r="D332" s="12" t="s">
        <v>1712</v>
      </c>
      <c r="H332" s="12" t="s">
        <v>2265</v>
      </c>
      <c r="J332" s="12" t="s">
        <v>180</v>
      </c>
      <c r="O332" s="12">
        <v>198.0</v>
      </c>
      <c r="Q332" s="12" t="b">
        <v>1</v>
      </c>
    </row>
    <row r="333">
      <c r="A333" s="12" t="s">
        <v>2015</v>
      </c>
      <c r="B333" s="12" t="s">
        <v>54</v>
      </c>
      <c r="C333" s="15">
        <v>45980.0</v>
      </c>
      <c r="H333" s="12" t="s">
        <v>2268</v>
      </c>
      <c r="J333" s="12" t="s">
        <v>621</v>
      </c>
      <c r="K333" s="12" t="s">
        <v>727</v>
      </c>
      <c r="O333" s="12">
        <v>620.0</v>
      </c>
      <c r="Q333" s="12" t="b">
        <v>1</v>
      </c>
    </row>
    <row r="334">
      <c r="A334" s="12" t="s">
        <v>2019</v>
      </c>
      <c r="B334" s="12" t="s">
        <v>54</v>
      </c>
      <c r="H334" s="12" t="s">
        <v>2272</v>
      </c>
      <c r="J334" s="12" t="s">
        <v>1784</v>
      </c>
      <c r="K334" s="12" t="s">
        <v>1183</v>
      </c>
      <c r="O334" s="12">
        <v>0.01</v>
      </c>
      <c r="Q334" s="12" t="b">
        <v>1</v>
      </c>
    </row>
    <row r="335">
      <c r="A335" s="12" t="s">
        <v>2024</v>
      </c>
      <c r="B335" s="12" t="s">
        <v>54</v>
      </c>
      <c r="H335" s="12" t="s">
        <v>2275</v>
      </c>
      <c r="J335" s="12" t="s">
        <v>1784</v>
      </c>
      <c r="K335" s="12" t="s">
        <v>1183</v>
      </c>
      <c r="O335" s="12">
        <v>0.01</v>
      </c>
      <c r="Q335" s="12" t="b">
        <v>1</v>
      </c>
    </row>
    <row r="336">
      <c r="A336" s="12" t="s">
        <v>2027</v>
      </c>
      <c r="B336" s="12" t="s">
        <v>54</v>
      </c>
      <c r="H336" s="12" t="s">
        <v>2272</v>
      </c>
      <c r="J336" s="12" t="s">
        <v>1784</v>
      </c>
      <c r="K336" s="12" t="s">
        <v>62</v>
      </c>
      <c r="O336" s="12">
        <v>0.01</v>
      </c>
      <c r="Q336" s="12" t="b">
        <v>1</v>
      </c>
    </row>
    <row r="337">
      <c r="A337" s="12" t="s">
        <v>2031</v>
      </c>
      <c r="B337" s="12" t="s">
        <v>54</v>
      </c>
      <c r="H337" s="12" t="s">
        <v>2275</v>
      </c>
      <c r="J337" s="12" t="s">
        <v>1784</v>
      </c>
      <c r="K337" s="12" t="s">
        <v>62</v>
      </c>
      <c r="O337" s="12">
        <v>0.01</v>
      </c>
      <c r="Q337" s="12" t="b">
        <v>1</v>
      </c>
    </row>
    <row r="338">
      <c r="A338" s="12" t="s">
        <v>2035</v>
      </c>
      <c r="B338" s="12" t="s">
        <v>54</v>
      </c>
      <c r="H338" s="12" t="s">
        <v>2272</v>
      </c>
      <c r="J338" s="12" t="s">
        <v>1784</v>
      </c>
      <c r="K338" s="12" t="s">
        <v>78</v>
      </c>
      <c r="O338" s="12">
        <v>0.01</v>
      </c>
      <c r="Q338" s="12" t="b">
        <v>1</v>
      </c>
    </row>
    <row r="339">
      <c r="A339" s="12" t="s">
        <v>2041</v>
      </c>
      <c r="B339" s="12" t="s">
        <v>54</v>
      </c>
      <c r="H339" s="12" t="s">
        <v>2275</v>
      </c>
      <c r="J339" s="12" t="s">
        <v>1784</v>
      </c>
      <c r="K339" s="12" t="s">
        <v>78</v>
      </c>
      <c r="O339" s="12">
        <v>0.01</v>
      </c>
      <c r="Q339" s="12" t="b">
        <v>1</v>
      </c>
    </row>
    <row r="340">
      <c r="A340" s="12" t="s">
        <v>2044</v>
      </c>
      <c r="B340" s="12" t="s">
        <v>54</v>
      </c>
      <c r="H340" s="12" t="s">
        <v>2272</v>
      </c>
      <c r="J340" s="12" t="s">
        <v>1784</v>
      </c>
      <c r="K340" s="12" t="s">
        <v>1900</v>
      </c>
      <c r="O340" s="12">
        <v>0.01</v>
      </c>
      <c r="Q340" s="12" t="b">
        <v>1</v>
      </c>
    </row>
    <row r="341">
      <c r="A341" s="12" t="s">
        <v>2049</v>
      </c>
      <c r="B341" s="12" t="s">
        <v>54</v>
      </c>
      <c r="H341" s="12" t="s">
        <v>2275</v>
      </c>
      <c r="J341" s="12" t="s">
        <v>1784</v>
      </c>
      <c r="K341" s="12" t="s">
        <v>1900</v>
      </c>
      <c r="O341" s="12">
        <v>0.01</v>
      </c>
      <c r="Q341" s="12" t="b">
        <v>1</v>
      </c>
    </row>
    <row r="342">
      <c r="A342" s="12" t="s">
        <v>2053</v>
      </c>
      <c r="B342" s="12" t="s">
        <v>54</v>
      </c>
      <c r="H342" s="12" t="s">
        <v>2272</v>
      </c>
      <c r="J342" s="12" t="s">
        <v>1784</v>
      </c>
      <c r="K342" s="12" t="s">
        <v>727</v>
      </c>
      <c r="O342" s="12">
        <v>0.01</v>
      </c>
      <c r="Q342" s="12" t="b">
        <v>1</v>
      </c>
    </row>
    <row r="343">
      <c r="A343" s="12" t="s">
        <v>2057</v>
      </c>
      <c r="B343" s="12" t="s">
        <v>54</v>
      </c>
      <c r="H343" s="12" t="s">
        <v>2275</v>
      </c>
      <c r="J343" s="12" t="s">
        <v>1784</v>
      </c>
      <c r="K343" s="12" t="s">
        <v>727</v>
      </c>
      <c r="O343" s="12">
        <v>0.01</v>
      </c>
      <c r="Q343" s="12" t="b">
        <v>1</v>
      </c>
    </row>
    <row r="344">
      <c r="A344" s="12" t="s">
        <v>2061</v>
      </c>
      <c r="B344" s="12" t="s">
        <v>54</v>
      </c>
      <c r="H344" s="12" t="s">
        <v>2272</v>
      </c>
      <c r="J344" s="12" t="s">
        <v>1784</v>
      </c>
      <c r="K344" s="12" t="s">
        <v>259</v>
      </c>
      <c r="O344" s="12">
        <v>292.5</v>
      </c>
      <c r="Q344" s="12" t="b">
        <v>1</v>
      </c>
    </row>
    <row r="345">
      <c r="A345" s="12" t="s">
        <v>2066</v>
      </c>
      <c r="B345" s="12" t="s">
        <v>54</v>
      </c>
      <c r="H345" s="12" t="s">
        <v>2275</v>
      </c>
      <c r="J345" s="12" t="s">
        <v>1784</v>
      </c>
      <c r="K345" s="12" t="s">
        <v>259</v>
      </c>
      <c r="O345" s="12">
        <v>292.5</v>
      </c>
      <c r="Q345" s="12" t="b">
        <v>1</v>
      </c>
    </row>
    <row r="346">
      <c r="A346" s="12" t="s">
        <v>2293</v>
      </c>
      <c r="B346" s="12" t="s">
        <v>54</v>
      </c>
      <c r="C346" s="15">
        <v>45980.0</v>
      </c>
      <c r="D346" s="12" t="s">
        <v>182</v>
      </c>
      <c r="E346" s="12" t="s">
        <v>2295</v>
      </c>
      <c r="G346" s="12" t="s">
        <v>2296</v>
      </c>
      <c r="H346" s="12" t="s">
        <v>2297</v>
      </c>
      <c r="I346" s="12" t="b">
        <v>1</v>
      </c>
      <c r="J346" s="12" t="s">
        <v>69</v>
      </c>
      <c r="P346" s="12">
        <v>1808024.0</v>
      </c>
      <c r="Q346" s="12" t="b">
        <v>1</v>
      </c>
    </row>
    <row r="347">
      <c r="A347" s="12" t="s">
        <v>2300</v>
      </c>
      <c r="B347" s="12" t="s">
        <v>54</v>
      </c>
      <c r="C347" s="15">
        <v>45981.0</v>
      </c>
      <c r="D347" s="12" t="s">
        <v>182</v>
      </c>
      <c r="E347" s="12" t="s">
        <v>2304</v>
      </c>
      <c r="G347" s="12" t="s">
        <v>2305</v>
      </c>
      <c r="H347" s="12" t="s">
        <v>1852</v>
      </c>
      <c r="I347" s="12" t="b">
        <v>1</v>
      </c>
      <c r="J347" s="12" t="s">
        <v>69</v>
      </c>
      <c r="P347" s="12">
        <v>1808031.0</v>
      </c>
      <c r="Q347" s="12" t="b">
        <v>1</v>
      </c>
    </row>
    <row r="348">
      <c r="A348" s="12" t="s">
        <v>2308</v>
      </c>
      <c r="B348" s="12" t="s">
        <v>54</v>
      </c>
      <c r="C348" s="15">
        <v>45980.0</v>
      </c>
      <c r="D348" s="12" t="s">
        <v>77</v>
      </c>
      <c r="E348" s="12" t="s">
        <v>2311</v>
      </c>
      <c r="G348" s="12" t="s">
        <v>2312</v>
      </c>
      <c r="H348" s="12" t="s">
        <v>950</v>
      </c>
      <c r="I348" s="12" t="b">
        <v>1</v>
      </c>
      <c r="J348" s="12" t="s">
        <v>69</v>
      </c>
      <c r="P348" s="12">
        <v>1806708.0</v>
      </c>
      <c r="Q348" s="12" t="b">
        <v>1</v>
      </c>
    </row>
    <row r="349">
      <c r="A349" s="12">
        <v>1230.0</v>
      </c>
      <c r="B349" s="12" t="s">
        <v>54</v>
      </c>
      <c r="H349" s="12" t="s">
        <v>1644</v>
      </c>
      <c r="J349" s="12" t="s">
        <v>191</v>
      </c>
      <c r="K349" s="12" t="s">
        <v>727</v>
      </c>
      <c r="O349" s="12">
        <v>3500.0</v>
      </c>
      <c r="Q349" s="12" t="b">
        <v>1</v>
      </c>
    </row>
    <row r="350">
      <c r="A350" s="12">
        <v>1231.0</v>
      </c>
      <c r="B350" s="12" t="s">
        <v>54</v>
      </c>
      <c r="H350" s="12" t="s">
        <v>1884</v>
      </c>
      <c r="J350" s="12" t="s">
        <v>191</v>
      </c>
      <c r="K350" s="12" t="s">
        <v>727</v>
      </c>
      <c r="O350" s="12">
        <v>1.0</v>
      </c>
      <c r="Q350" s="12" t="b">
        <v>1</v>
      </c>
    </row>
    <row r="351">
      <c r="A351" s="12">
        <v>1232.0</v>
      </c>
      <c r="B351" s="12" t="s">
        <v>54</v>
      </c>
      <c r="H351" s="12" t="s">
        <v>1884</v>
      </c>
      <c r="J351" s="12" t="s">
        <v>191</v>
      </c>
      <c r="K351" s="12" t="s">
        <v>1183</v>
      </c>
      <c r="O351" s="12">
        <v>1.0</v>
      </c>
      <c r="Q351" s="12" t="b">
        <v>1</v>
      </c>
    </row>
    <row r="352">
      <c r="A352" s="12">
        <v>1233.0</v>
      </c>
      <c r="B352" s="12" t="s">
        <v>54</v>
      </c>
      <c r="H352" s="12" t="s">
        <v>1884</v>
      </c>
      <c r="J352" s="12" t="s">
        <v>191</v>
      </c>
      <c r="K352" s="12" t="s">
        <v>62</v>
      </c>
      <c r="O352" s="12">
        <v>1.0</v>
      </c>
      <c r="Q352" s="12" t="b">
        <v>1</v>
      </c>
    </row>
    <row r="353">
      <c r="A353" s="12">
        <v>1234.0</v>
      </c>
      <c r="B353" s="12" t="s">
        <v>54</v>
      </c>
      <c r="H353" s="12" t="s">
        <v>1884</v>
      </c>
      <c r="J353" s="12" t="s">
        <v>191</v>
      </c>
      <c r="K353" s="12" t="s">
        <v>78</v>
      </c>
      <c r="O353" s="12">
        <v>1.0</v>
      </c>
      <c r="Q353" s="12" t="b">
        <v>1</v>
      </c>
    </row>
    <row r="354">
      <c r="A354" s="12">
        <v>1235.0</v>
      </c>
      <c r="B354" s="12" t="s">
        <v>54</v>
      </c>
      <c r="H354" s="12" t="s">
        <v>1884</v>
      </c>
      <c r="J354" s="12" t="s">
        <v>191</v>
      </c>
      <c r="K354" s="12" t="s">
        <v>1900</v>
      </c>
      <c r="O354" s="12">
        <v>1.0</v>
      </c>
      <c r="Q354" s="12" t="b">
        <v>1</v>
      </c>
    </row>
    <row r="355">
      <c r="A355" s="12" t="s">
        <v>2079</v>
      </c>
      <c r="B355" s="12" t="s">
        <v>54</v>
      </c>
      <c r="D355" s="12" t="s">
        <v>156</v>
      </c>
      <c r="H355" s="12" t="s">
        <v>2327</v>
      </c>
      <c r="J355" s="12" t="s">
        <v>1784</v>
      </c>
      <c r="O355" s="12">
        <v>111.0</v>
      </c>
      <c r="Q355" s="12" t="b">
        <v>1</v>
      </c>
    </row>
    <row r="356">
      <c r="A356" s="12" t="s">
        <v>2081</v>
      </c>
      <c r="B356" s="12" t="s">
        <v>54</v>
      </c>
      <c r="D356" s="12" t="s">
        <v>156</v>
      </c>
      <c r="H356" s="12" t="s">
        <v>2118</v>
      </c>
      <c r="J356" s="12" t="s">
        <v>1784</v>
      </c>
      <c r="O356" s="12">
        <v>4296.0</v>
      </c>
      <c r="Q356" s="12" t="b">
        <v>1</v>
      </c>
    </row>
    <row r="357">
      <c r="A357" s="12" t="s">
        <v>2331</v>
      </c>
      <c r="B357" s="12" t="s">
        <v>54</v>
      </c>
      <c r="C357" s="15">
        <v>45974.0</v>
      </c>
      <c r="D357" s="12" t="s">
        <v>182</v>
      </c>
      <c r="E357" s="12" t="s">
        <v>2333</v>
      </c>
      <c r="G357" s="12" t="s">
        <v>2334</v>
      </c>
      <c r="H357" s="12" t="s">
        <v>2297</v>
      </c>
      <c r="I357" s="12" t="b">
        <v>1</v>
      </c>
      <c r="J357" s="12" t="s">
        <v>69</v>
      </c>
      <c r="P357" s="12">
        <v>1812523.0</v>
      </c>
      <c r="Q357" s="12" t="b">
        <v>1</v>
      </c>
    </row>
    <row r="358">
      <c r="A358" s="12" t="s">
        <v>2336</v>
      </c>
      <c r="B358" s="12" t="s">
        <v>54</v>
      </c>
      <c r="C358" s="15">
        <v>45980.0</v>
      </c>
      <c r="D358" s="12" t="s">
        <v>220</v>
      </c>
      <c r="E358" s="12" t="s">
        <v>2338</v>
      </c>
      <c r="G358" s="12" t="s">
        <v>2339</v>
      </c>
      <c r="H358" s="12" t="s">
        <v>2340</v>
      </c>
      <c r="I358" s="12" t="b">
        <v>1</v>
      </c>
      <c r="J358" s="12" t="s">
        <v>69</v>
      </c>
      <c r="P358" s="12">
        <v>1812536.0</v>
      </c>
      <c r="Q358" s="12" t="b">
        <v>1</v>
      </c>
    </row>
    <row r="359">
      <c r="A359" s="12" t="s">
        <v>2345</v>
      </c>
      <c r="B359" s="12" t="s">
        <v>54</v>
      </c>
      <c r="C359" s="15">
        <v>45975.0</v>
      </c>
      <c r="D359" s="12" t="s">
        <v>220</v>
      </c>
      <c r="E359" s="12" t="s">
        <v>2346</v>
      </c>
      <c r="G359" s="12" t="s">
        <v>2347</v>
      </c>
      <c r="H359" s="12" t="s">
        <v>2340</v>
      </c>
      <c r="I359" s="12" t="b">
        <v>1</v>
      </c>
      <c r="J359" s="12" t="s">
        <v>69</v>
      </c>
      <c r="P359" s="12">
        <v>1812548.0</v>
      </c>
      <c r="Q359" s="12" t="b">
        <v>1</v>
      </c>
    </row>
    <row r="360">
      <c r="A360" s="12" t="s">
        <v>2349</v>
      </c>
      <c r="B360" s="12" t="s">
        <v>54</v>
      </c>
      <c r="C360" s="15">
        <v>45971.0</v>
      </c>
      <c r="D360" s="12" t="s">
        <v>220</v>
      </c>
      <c r="E360" s="12" t="s">
        <v>2351</v>
      </c>
      <c r="G360" s="12" t="s">
        <v>2352</v>
      </c>
      <c r="H360" s="12" t="s">
        <v>2340</v>
      </c>
      <c r="I360" s="12" t="b">
        <v>1</v>
      </c>
      <c r="J360" s="12" t="s">
        <v>69</v>
      </c>
      <c r="P360" s="12">
        <v>1812530.0</v>
      </c>
      <c r="Q360" s="12" t="b">
        <v>1</v>
      </c>
    </row>
    <row r="361">
      <c r="A361" s="12" t="s">
        <v>2354</v>
      </c>
      <c r="B361" s="12" t="s">
        <v>54</v>
      </c>
      <c r="C361" s="15">
        <v>45982.0</v>
      </c>
      <c r="D361" s="12" t="s">
        <v>220</v>
      </c>
      <c r="E361" s="12" t="s">
        <v>2357</v>
      </c>
      <c r="G361" s="12" t="s">
        <v>2358</v>
      </c>
      <c r="H361" s="12" t="s">
        <v>2360</v>
      </c>
      <c r="I361" s="12" t="b">
        <v>1</v>
      </c>
      <c r="J361" s="12" t="s">
        <v>69</v>
      </c>
      <c r="P361" s="12">
        <v>1814661.0</v>
      </c>
      <c r="Q361" s="12" t="b">
        <v>1</v>
      </c>
    </row>
    <row r="362">
      <c r="A362" s="12" t="s">
        <v>2363</v>
      </c>
      <c r="B362" s="12" t="s">
        <v>54</v>
      </c>
      <c r="C362" s="15">
        <v>45984.0</v>
      </c>
      <c r="D362" s="12" t="s">
        <v>77</v>
      </c>
      <c r="E362" s="12" t="s">
        <v>2365</v>
      </c>
      <c r="G362" s="12" t="s">
        <v>2367</v>
      </c>
      <c r="H362" s="12" t="s">
        <v>2368</v>
      </c>
      <c r="I362" s="12" t="b">
        <v>1</v>
      </c>
      <c r="J362" s="12" t="s">
        <v>69</v>
      </c>
      <c r="P362" s="12">
        <v>1817112.0</v>
      </c>
      <c r="Q362" s="12" t="b">
        <v>1</v>
      </c>
    </row>
    <row r="363">
      <c r="A363" s="12" t="s">
        <v>2084</v>
      </c>
      <c r="B363" s="12" t="s">
        <v>54</v>
      </c>
      <c r="H363" s="12" t="s">
        <v>1884</v>
      </c>
      <c r="J363" s="12" t="s">
        <v>191</v>
      </c>
      <c r="K363" s="12" t="s">
        <v>259</v>
      </c>
      <c r="O363" s="12">
        <v>585.0</v>
      </c>
      <c r="Q363" s="12" t="b">
        <v>1</v>
      </c>
    </row>
    <row r="364">
      <c r="A364" s="12" t="s">
        <v>2086</v>
      </c>
      <c r="B364" s="12" t="s">
        <v>54</v>
      </c>
      <c r="D364" s="12" t="s">
        <v>156</v>
      </c>
      <c r="H364" s="12" t="s">
        <v>2372</v>
      </c>
      <c r="J364" s="12" t="s">
        <v>1784</v>
      </c>
      <c r="O364" s="12">
        <v>83.75</v>
      </c>
      <c r="Q364" s="12" t="b">
        <v>1</v>
      </c>
    </row>
    <row r="365">
      <c r="A365" s="12" t="s">
        <v>2376</v>
      </c>
      <c r="B365" s="12" t="s">
        <v>54</v>
      </c>
      <c r="C365" s="15">
        <v>45985.0</v>
      </c>
      <c r="D365" s="12" t="s">
        <v>355</v>
      </c>
      <c r="E365" s="12" t="s">
        <v>2379</v>
      </c>
      <c r="G365" s="12" t="s">
        <v>2380</v>
      </c>
      <c r="H365" s="12" t="s">
        <v>2382</v>
      </c>
      <c r="I365" s="12" t="b">
        <v>1</v>
      </c>
      <c r="J365" s="12" t="s">
        <v>69</v>
      </c>
      <c r="P365" s="12">
        <v>1818125.0</v>
      </c>
      <c r="Q365" s="12" t="b">
        <v>1</v>
      </c>
    </row>
    <row r="366">
      <c r="A366" s="12" t="s">
        <v>2384</v>
      </c>
      <c r="B366" s="12" t="s">
        <v>54</v>
      </c>
      <c r="C366" s="15">
        <v>45985.0</v>
      </c>
      <c r="D366" s="12" t="s">
        <v>441</v>
      </c>
      <c r="E366" s="12" t="s">
        <v>2386</v>
      </c>
      <c r="G366" s="12" t="s">
        <v>2387</v>
      </c>
      <c r="H366" s="12" t="s">
        <v>2389</v>
      </c>
      <c r="I366" s="12" t="b">
        <v>1</v>
      </c>
      <c r="J366" s="12" t="s">
        <v>69</v>
      </c>
      <c r="P366" s="12">
        <v>1818163.0</v>
      </c>
      <c r="Q366" s="12" t="b">
        <v>1</v>
      </c>
    </row>
    <row r="367">
      <c r="A367" s="12" t="s">
        <v>2390</v>
      </c>
      <c r="B367" s="12" t="s">
        <v>54</v>
      </c>
      <c r="C367" s="15">
        <v>45985.0</v>
      </c>
      <c r="D367" s="12" t="s">
        <v>1103</v>
      </c>
      <c r="E367" s="12" t="s">
        <v>2392</v>
      </c>
      <c r="G367" s="12" t="s">
        <v>2393</v>
      </c>
      <c r="H367" s="12" t="s">
        <v>853</v>
      </c>
      <c r="I367" s="12" t="b">
        <v>1</v>
      </c>
      <c r="J367" s="12" t="s">
        <v>69</v>
      </c>
      <c r="P367" s="12">
        <v>1818207.0</v>
      </c>
      <c r="Q367" s="12" t="b">
        <v>1</v>
      </c>
    </row>
    <row r="368">
      <c r="A368" s="12" t="s">
        <v>2397</v>
      </c>
      <c r="B368" s="12" t="s">
        <v>54</v>
      </c>
      <c r="C368" s="15">
        <v>45985.0</v>
      </c>
      <c r="D368" s="12" t="s">
        <v>532</v>
      </c>
      <c r="E368" s="12" t="s">
        <v>2400</v>
      </c>
      <c r="G368" s="12" t="s">
        <v>2401</v>
      </c>
      <c r="H368" s="12" t="s">
        <v>2402</v>
      </c>
      <c r="I368" s="12" t="b">
        <v>1</v>
      </c>
      <c r="J368" s="12" t="s">
        <v>69</v>
      </c>
      <c r="P368" s="12">
        <v>1818350.0</v>
      </c>
      <c r="Q368" s="12" t="b">
        <v>1</v>
      </c>
    </row>
    <row r="369">
      <c r="A369" s="12" t="s">
        <v>2406</v>
      </c>
      <c r="B369" s="12" t="s">
        <v>54</v>
      </c>
      <c r="C369" s="15">
        <v>45985.0</v>
      </c>
      <c r="D369" s="12" t="s">
        <v>324</v>
      </c>
      <c r="E369" s="12" t="s">
        <v>2407</v>
      </c>
      <c r="G369" s="12" t="s">
        <v>2409</v>
      </c>
      <c r="H369" s="12" t="s">
        <v>2411</v>
      </c>
      <c r="I369" s="12" t="b">
        <v>1</v>
      </c>
      <c r="J369" s="12" t="s">
        <v>69</v>
      </c>
      <c r="P369" s="12">
        <v>1818352.0</v>
      </c>
      <c r="Q369" s="12" t="b">
        <v>1</v>
      </c>
    </row>
    <row r="370">
      <c r="A370" s="12" t="s">
        <v>2091</v>
      </c>
      <c r="B370" s="12" t="s">
        <v>54</v>
      </c>
      <c r="C370" s="15">
        <v>45985.0</v>
      </c>
      <c r="D370" s="12" t="s">
        <v>2414</v>
      </c>
      <c r="H370" s="12" t="s">
        <v>2415</v>
      </c>
      <c r="J370" s="12" t="s">
        <v>621</v>
      </c>
      <c r="O370" s="12">
        <v>1932.0</v>
      </c>
      <c r="Q370" s="12" t="b">
        <v>1</v>
      </c>
    </row>
    <row r="371">
      <c r="A371" s="12" t="s">
        <v>2418</v>
      </c>
      <c r="B371" s="12" t="s">
        <v>54</v>
      </c>
      <c r="C371" s="15">
        <v>45986.0</v>
      </c>
      <c r="D371" s="12" t="s">
        <v>2419</v>
      </c>
      <c r="E371" s="12" t="s">
        <v>2421</v>
      </c>
      <c r="G371" s="12" t="s">
        <v>2423</v>
      </c>
      <c r="H371" s="12" t="s">
        <v>2424</v>
      </c>
      <c r="I371" s="12" t="b">
        <v>1</v>
      </c>
      <c r="J371" s="12" t="s">
        <v>69</v>
      </c>
      <c r="P371" s="12">
        <v>1820360.0</v>
      </c>
      <c r="Q371" s="12" t="b">
        <v>1</v>
      </c>
    </row>
    <row r="372">
      <c r="A372" s="12" t="s">
        <v>2426</v>
      </c>
      <c r="B372" s="12" t="s">
        <v>54</v>
      </c>
      <c r="C372" s="15">
        <v>45986.0</v>
      </c>
      <c r="D372" s="12" t="s">
        <v>556</v>
      </c>
      <c r="E372" s="12" t="s">
        <v>2428</v>
      </c>
      <c r="G372" s="12" t="s">
        <v>2429</v>
      </c>
      <c r="H372" s="12" t="s">
        <v>687</v>
      </c>
      <c r="I372" s="12" t="b">
        <v>1</v>
      </c>
      <c r="J372" s="12" t="s">
        <v>69</v>
      </c>
      <c r="P372" s="12">
        <v>1819875.0</v>
      </c>
      <c r="Q372" s="12" t="b">
        <v>1</v>
      </c>
    </row>
    <row r="373">
      <c r="A373" s="12" t="s">
        <v>2432</v>
      </c>
      <c r="B373" s="12" t="s">
        <v>54</v>
      </c>
      <c r="C373" s="15">
        <v>45985.0</v>
      </c>
      <c r="D373" s="12" t="s">
        <v>156</v>
      </c>
      <c r="E373" s="12" t="s">
        <v>2433</v>
      </c>
      <c r="G373" s="12" t="s">
        <v>2434</v>
      </c>
      <c r="H373" s="12" t="s">
        <v>254</v>
      </c>
      <c r="I373" s="12" t="b">
        <v>0</v>
      </c>
      <c r="J373" s="12" t="s">
        <v>69</v>
      </c>
      <c r="Q373" s="12" t="b">
        <v>1</v>
      </c>
    </row>
    <row r="374">
      <c r="A374" s="12" t="s">
        <v>2437</v>
      </c>
      <c r="B374" s="12" t="s">
        <v>54</v>
      </c>
      <c r="C374" s="15">
        <v>45982.0</v>
      </c>
      <c r="D374" s="12" t="s">
        <v>156</v>
      </c>
      <c r="E374" s="12" t="s">
        <v>2439</v>
      </c>
      <c r="G374" s="12" t="s">
        <v>2441</v>
      </c>
      <c r="H374" s="12" t="s">
        <v>254</v>
      </c>
      <c r="I374" s="12" t="b">
        <v>0</v>
      </c>
      <c r="J374" s="12" t="s">
        <v>69</v>
      </c>
      <c r="Q374" s="12" t="b">
        <v>1</v>
      </c>
    </row>
    <row r="375">
      <c r="A375" s="12" t="s">
        <v>2442</v>
      </c>
      <c r="B375" s="12" t="s">
        <v>54</v>
      </c>
      <c r="C375" s="15">
        <v>45987.0</v>
      </c>
      <c r="D375" s="12" t="s">
        <v>77</v>
      </c>
      <c r="E375" s="12" t="s">
        <v>2445</v>
      </c>
      <c r="G375" s="12" t="s">
        <v>2446</v>
      </c>
      <c r="H375" s="12" t="s">
        <v>82</v>
      </c>
      <c r="I375" s="12" t="b">
        <v>1</v>
      </c>
      <c r="J375" s="12" t="s">
        <v>69</v>
      </c>
      <c r="P375" s="12">
        <v>1822602.0</v>
      </c>
      <c r="Q375" s="12" t="b">
        <v>1</v>
      </c>
    </row>
    <row r="376">
      <c r="A376" s="12" t="s">
        <v>2095</v>
      </c>
      <c r="B376" s="12" t="s">
        <v>54</v>
      </c>
      <c r="C376" s="15">
        <v>45987.0</v>
      </c>
      <c r="H376" s="12" t="s">
        <v>1112</v>
      </c>
      <c r="J376" s="12" t="s">
        <v>621</v>
      </c>
      <c r="K376" s="12" t="s">
        <v>62</v>
      </c>
      <c r="O376" s="12">
        <v>150.0</v>
      </c>
      <c r="Q376" s="12" t="b">
        <v>1</v>
      </c>
    </row>
    <row r="377">
      <c r="A377" s="12" t="s">
        <v>2100</v>
      </c>
      <c r="B377" s="12" t="s">
        <v>54</v>
      </c>
      <c r="C377" s="15">
        <v>45988.0</v>
      </c>
      <c r="H377" s="12" t="s">
        <v>2451</v>
      </c>
      <c r="J377" s="12" t="s">
        <v>621</v>
      </c>
      <c r="K377" s="12" t="s">
        <v>1183</v>
      </c>
      <c r="O377" s="12">
        <v>500.0</v>
      </c>
      <c r="Q377" s="12" t="b">
        <v>1</v>
      </c>
    </row>
    <row r="378">
      <c r="A378" s="12" t="s">
        <v>2104</v>
      </c>
      <c r="B378" s="12" t="s">
        <v>54</v>
      </c>
      <c r="C378" s="15">
        <v>45988.0</v>
      </c>
      <c r="H378" s="12" t="s">
        <v>2451</v>
      </c>
      <c r="J378" s="12" t="s">
        <v>621</v>
      </c>
      <c r="K378" s="12" t="s">
        <v>78</v>
      </c>
      <c r="O378" s="12">
        <v>150.0</v>
      </c>
      <c r="Q378" s="12" t="b">
        <v>1</v>
      </c>
    </row>
    <row r="379">
      <c r="A379" s="12" t="s">
        <v>2108</v>
      </c>
      <c r="B379" s="12" t="s">
        <v>54</v>
      </c>
      <c r="C379" s="15">
        <v>45988.0</v>
      </c>
      <c r="H379" s="12" t="s">
        <v>1112</v>
      </c>
      <c r="J379" s="12" t="s">
        <v>191</v>
      </c>
      <c r="K379" s="12" t="s">
        <v>1900</v>
      </c>
      <c r="O379" s="12">
        <v>300.0</v>
      </c>
      <c r="Q379" s="12" t="b">
        <v>1</v>
      </c>
    </row>
    <row r="380">
      <c r="A380" s="12" t="s">
        <v>2456</v>
      </c>
      <c r="B380" s="12" t="s">
        <v>54</v>
      </c>
      <c r="C380" s="15">
        <v>45986.0</v>
      </c>
      <c r="D380" s="12" t="s">
        <v>2458</v>
      </c>
      <c r="E380" s="12" t="s">
        <v>2460</v>
      </c>
      <c r="G380" s="12" t="s">
        <v>2461</v>
      </c>
      <c r="H380" s="12" t="s">
        <v>2462</v>
      </c>
      <c r="I380" s="12" t="b">
        <v>1</v>
      </c>
      <c r="J380" s="12" t="s">
        <v>69</v>
      </c>
      <c r="P380" s="12">
        <v>1822600.0</v>
      </c>
      <c r="Q380" s="12" t="b">
        <v>1</v>
      </c>
    </row>
    <row r="381">
      <c r="A381" s="12" t="s">
        <v>2466</v>
      </c>
      <c r="B381" s="12" t="s">
        <v>54</v>
      </c>
      <c r="C381" s="15">
        <v>45986.0</v>
      </c>
      <c r="D381" s="12" t="s">
        <v>156</v>
      </c>
      <c r="E381" s="12" t="s">
        <v>2467</v>
      </c>
      <c r="G381" s="12" t="s">
        <v>2469</v>
      </c>
      <c r="H381" s="12" t="s">
        <v>293</v>
      </c>
      <c r="I381" s="12" t="b">
        <v>0</v>
      </c>
      <c r="J381" s="12" t="s">
        <v>69</v>
      </c>
      <c r="L381" s="12" t="s">
        <v>2470</v>
      </c>
      <c r="Q381" s="12" t="b">
        <v>1</v>
      </c>
    </row>
    <row r="382">
      <c r="A382" s="12" t="s">
        <v>2472</v>
      </c>
      <c r="B382" s="12" t="s">
        <v>54</v>
      </c>
      <c r="C382" s="15">
        <v>45986.0</v>
      </c>
      <c r="D382" s="12" t="s">
        <v>2474</v>
      </c>
      <c r="E382" s="12" t="s">
        <v>2475</v>
      </c>
      <c r="G382" s="12" t="s">
        <v>2476</v>
      </c>
      <c r="H382" s="12" t="s">
        <v>2477</v>
      </c>
      <c r="I382" s="12" t="b">
        <v>1</v>
      </c>
      <c r="J382" s="12" t="s">
        <v>69</v>
      </c>
      <c r="P382" s="12">
        <v>1822600.0</v>
      </c>
      <c r="Q382" s="12" t="b">
        <v>1</v>
      </c>
    </row>
    <row r="383">
      <c r="A383" s="12" t="s">
        <v>2480</v>
      </c>
      <c r="B383" s="12" t="s">
        <v>54</v>
      </c>
      <c r="C383" s="15">
        <v>45986.0</v>
      </c>
      <c r="D383" s="12" t="s">
        <v>220</v>
      </c>
      <c r="E383" s="12" t="s">
        <v>2483</v>
      </c>
      <c r="G383" s="12" t="s">
        <v>2485</v>
      </c>
      <c r="H383" s="12" t="s">
        <v>2487</v>
      </c>
      <c r="I383" s="12" t="b">
        <v>1</v>
      </c>
      <c r="J383" s="12" t="s">
        <v>69</v>
      </c>
      <c r="P383" s="12">
        <v>1826377.0</v>
      </c>
      <c r="Q383" s="12" t="b">
        <v>1</v>
      </c>
    </row>
    <row r="384">
      <c r="A384" s="12" t="s">
        <v>2489</v>
      </c>
      <c r="B384" s="12" t="s">
        <v>54</v>
      </c>
      <c r="C384" s="15">
        <v>45989.0</v>
      </c>
      <c r="D384" s="12" t="s">
        <v>220</v>
      </c>
      <c r="E384" s="12" t="s">
        <v>2491</v>
      </c>
      <c r="G384" s="12" t="s">
        <v>2492</v>
      </c>
      <c r="H384" s="12" t="s">
        <v>2487</v>
      </c>
      <c r="I384" s="12" t="b">
        <v>1</v>
      </c>
      <c r="J384" s="12" t="s">
        <v>69</v>
      </c>
      <c r="P384" s="12">
        <v>1826370.0</v>
      </c>
      <c r="Q384" s="12" t="b">
        <v>1</v>
      </c>
    </row>
    <row r="385">
      <c r="A385" s="12" t="s">
        <v>2112</v>
      </c>
      <c r="B385" s="12" t="s">
        <v>54</v>
      </c>
      <c r="C385" s="15">
        <v>45989.0</v>
      </c>
      <c r="D385" s="12" t="s">
        <v>2495</v>
      </c>
      <c r="H385" s="12" t="s">
        <v>1719</v>
      </c>
      <c r="J385" s="12" t="s">
        <v>621</v>
      </c>
      <c r="O385" s="12">
        <v>291.0</v>
      </c>
      <c r="Q385" s="12" t="b">
        <v>1</v>
      </c>
    </row>
    <row r="386">
      <c r="A386" s="12" t="s">
        <v>2498</v>
      </c>
      <c r="B386" s="12" t="s">
        <v>54</v>
      </c>
      <c r="C386" s="15">
        <v>45990.0</v>
      </c>
      <c r="D386" s="12" t="s">
        <v>2500</v>
      </c>
      <c r="E386" s="12" t="s">
        <v>2501</v>
      </c>
      <c r="G386" s="12" t="s">
        <v>2502</v>
      </c>
      <c r="H386" s="12" t="s">
        <v>2505</v>
      </c>
      <c r="I386" s="12" t="b">
        <v>1</v>
      </c>
      <c r="J386" s="12" t="s">
        <v>69</v>
      </c>
      <c r="P386" s="12">
        <v>1828511.0</v>
      </c>
      <c r="Q386" s="12" t="b">
        <v>1</v>
      </c>
    </row>
    <row r="387">
      <c r="A387" s="12" t="s">
        <v>2509</v>
      </c>
      <c r="B387" s="12" t="s">
        <v>54</v>
      </c>
      <c r="C387" s="15">
        <v>45990.0</v>
      </c>
      <c r="D387" s="12" t="s">
        <v>2511</v>
      </c>
      <c r="E387" s="12" t="s">
        <v>2513</v>
      </c>
      <c r="G387" s="12" t="s">
        <v>2514</v>
      </c>
      <c r="H387" s="12" t="s">
        <v>2515</v>
      </c>
      <c r="I387" s="12" t="b">
        <v>1</v>
      </c>
      <c r="J387" s="12" t="s">
        <v>69</v>
      </c>
      <c r="P387" s="12">
        <v>1828510.0</v>
      </c>
      <c r="Q387" s="12" t="b">
        <v>1</v>
      </c>
    </row>
    <row r="388">
      <c r="A388" s="12" t="s">
        <v>2519</v>
      </c>
      <c r="B388" s="12" t="s">
        <v>54</v>
      </c>
      <c r="C388" s="15">
        <v>45986.0</v>
      </c>
      <c r="D388" s="12" t="s">
        <v>220</v>
      </c>
      <c r="E388" s="12" t="s">
        <v>2522</v>
      </c>
      <c r="G388" s="12" t="s">
        <v>2523</v>
      </c>
      <c r="H388" s="12" t="s">
        <v>599</v>
      </c>
      <c r="I388" s="12" t="b">
        <v>1</v>
      </c>
      <c r="J388" s="12" t="s">
        <v>69</v>
      </c>
      <c r="P388" s="12">
        <v>1828508.0</v>
      </c>
      <c r="Q388" s="12" t="b">
        <v>1</v>
      </c>
    </row>
    <row r="389">
      <c r="A389" s="12" t="s">
        <v>2526</v>
      </c>
      <c r="B389" s="12" t="s">
        <v>54</v>
      </c>
      <c r="C389" s="15">
        <v>45986.0</v>
      </c>
      <c r="D389" s="12" t="s">
        <v>220</v>
      </c>
      <c r="E389" s="12" t="s">
        <v>2530</v>
      </c>
      <c r="G389" s="12" t="s">
        <v>2532</v>
      </c>
      <c r="H389" s="12" t="s">
        <v>2534</v>
      </c>
      <c r="I389" s="12" t="b">
        <v>1</v>
      </c>
      <c r="J389" s="12" t="s">
        <v>69</v>
      </c>
      <c r="P389" s="12">
        <v>1828492.0</v>
      </c>
      <c r="Q389" s="12" t="b">
        <v>1</v>
      </c>
    </row>
    <row r="390">
      <c r="A390" s="12" t="s">
        <v>2536</v>
      </c>
      <c r="B390" s="12" t="s">
        <v>54</v>
      </c>
      <c r="C390" s="15">
        <v>45989.0</v>
      </c>
      <c r="D390" s="12" t="s">
        <v>220</v>
      </c>
      <c r="E390" s="12" t="s">
        <v>2537</v>
      </c>
      <c r="G390" s="12" t="s">
        <v>2538</v>
      </c>
      <c r="H390" s="12" t="s">
        <v>2540</v>
      </c>
      <c r="I390" s="12" t="b">
        <v>1</v>
      </c>
      <c r="J390" s="12" t="s">
        <v>69</v>
      </c>
      <c r="P390" s="12">
        <v>1828491.0</v>
      </c>
      <c r="Q390" s="12" t="b">
        <v>1</v>
      </c>
    </row>
    <row r="391">
      <c r="A391" s="12" t="s">
        <v>2556</v>
      </c>
      <c r="B391" s="12" t="s">
        <v>54</v>
      </c>
      <c r="C391" s="15">
        <v>45990.0</v>
      </c>
      <c r="D391" s="12" t="s">
        <v>220</v>
      </c>
      <c r="E391" s="12" t="s">
        <v>2558</v>
      </c>
      <c r="G391" s="12" t="s">
        <v>2560</v>
      </c>
      <c r="H391" s="12" t="s">
        <v>2487</v>
      </c>
      <c r="I391" s="12" t="b">
        <v>1</v>
      </c>
      <c r="J391" s="12" t="s">
        <v>69</v>
      </c>
      <c r="P391" s="12">
        <v>1828486.0</v>
      </c>
      <c r="Q391" s="12" t="b">
        <v>1</v>
      </c>
    </row>
    <row r="392">
      <c r="A392" s="12" t="s">
        <v>2564</v>
      </c>
      <c r="B392" s="12" t="s">
        <v>54</v>
      </c>
      <c r="C392" s="15">
        <v>45991.0</v>
      </c>
      <c r="D392" s="12" t="s">
        <v>182</v>
      </c>
      <c r="E392" s="12" t="s">
        <v>2566</v>
      </c>
      <c r="G392" s="12" t="s">
        <v>2568</v>
      </c>
      <c r="H392" s="12" t="s">
        <v>457</v>
      </c>
      <c r="I392" s="12" t="b">
        <v>1</v>
      </c>
      <c r="J392" s="12" t="s">
        <v>69</v>
      </c>
      <c r="P392" s="12">
        <v>1831607.0</v>
      </c>
      <c r="Q392" s="12" t="b">
        <v>1</v>
      </c>
    </row>
    <row r="393">
      <c r="A393" s="12" t="s">
        <v>2114</v>
      </c>
      <c r="B393" s="12" t="s">
        <v>54</v>
      </c>
      <c r="C393" s="15">
        <v>45991.0</v>
      </c>
      <c r="H393" s="12" t="s">
        <v>1112</v>
      </c>
      <c r="J393" s="12" t="s">
        <v>191</v>
      </c>
      <c r="K393" s="12" t="s">
        <v>78</v>
      </c>
      <c r="O393" s="12">
        <v>100.0</v>
      </c>
      <c r="Q393" s="12" t="b">
        <v>1</v>
      </c>
    </row>
    <row r="394">
      <c r="A394" s="12" t="s">
        <v>2573</v>
      </c>
      <c r="B394" s="12" t="s">
        <v>54</v>
      </c>
      <c r="C394" s="14">
        <v>45970.0</v>
      </c>
      <c r="D394" s="12" t="s">
        <v>478</v>
      </c>
      <c r="E394" s="12" t="s">
        <v>2575</v>
      </c>
      <c r="G394" s="12" t="s">
        <v>2576</v>
      </c>
      <c r="H394" s="12" t="s">
        <v>2578</v>
      </c>
      <c r="I394" s="12" t="b">
        <v>1</v>
      </c>
      <c r="J394" s="12" t="s">
        <v>69</v>
      </c>
      <c r="L394" s="12" t="s">
        <v>2579</v>
      </c>
      <c r="P394" s="12">
        <v>1832842.0</v>
      </c>
      <c r="Q394" s="12" t="b">
        <v>1</v>
      </c>
    </row>
    <row r="395">
      <c r="A395" s="12" t="s">
        <v>2581</v>
      </c>
      <c r="B395" s="12" t="s">
        <v>54</v>
      </c>
      <c r="C395" s="14">
        <v>45992.0</v>
      </c>
      <c r="D395" s="12" t="s">
        <v>182</v>
      </c>
      <c r="E395" s="12" t="s">
        <v>2583</v>
      </c>
      <c r="G395" s="12" t="s">
        <v>2584</v>
      </c>
      <c r="H395" s="12" t="s">
        <v>2586</v>
      </c>
      <c r="I395" s="12" t="b">
        <v>1</v>
      </c>
      <c r="J395" s="12" t="s">
        <v>69</v>
      </c>
      <c r="P395" s="12">
        <v>1832854.0</v>
      </c>
      <c r="Q395" s="12" t="b">
        <v>1</v>
      </c>
    </row>
    <row r="396">
      <c r="A396" s="12" t="s">
        <v>2587</v>
      </c>
      <c r="B396" s="12" t="s">
        <v>54</v>
      </c>
      <c r="C396" s="15">
        <v>45982.0</v>
      </c>
      <c r="D396" s="12" t="s">
        <v>912</v>
      </c>
      <c r="E396" s="12" t="s">
        <v>2589</v>
      </c>
      <c r="G396" s="12" t="s">
        <v>2591</v>
      </c>
      <c r="H396" s="12" t="s">
        <v>2592</v>
      </c>
      <c r="I396" s="12" t="b">
        <v>0</v>
      </c>
      <c r="J396" s="12" t="s">
        <v>69</v>
      </c>
      <c r="Q396" s="12" t="b">
        <v>1</v>
      </c>
    </row>
    <row r="397">
      <c r="A397" s="12" t="s">
        <v>2594</v>
      </c>
      <c r="B397" s="12" t="s">
        <v>54</v>
      </c>
      <c r="C397" s="15">
        <v>45989.0</v>
      </c>
      <c r="D397" s="12" t="s">
        <v>912</v>
      </c>
      <c r="E397" s="12" t="s">
        <v>2596</v>
      </c>
      <c r="G397" s="12" t="s">
        <v>2597</v>
      </c>
      <c r="H397" s="12" t="s">
        <v>368</v>
      </c>
      <c r="I397" s="12" t="b">
        <v>0</v>
      </c>
      <c r="J397" s="12" t="s">
        <v>69</v>
      </c>
      <c r="L397" s="12" t="s">
        <v>2600</v>
      </c>
      <c r="Q397" s="12" t="b">
        <v>1</v>
      </c>
    </row>
    <row r="398">
      <c r="A398" s="12" t="s">
        <v>2602</v>
      </c>
      <c r="B398" s="12" t="s">
        <v>54</v>
      </c>
      <c r="C398" s="14">
        <v>45992.0</v>
      </c>
      <c r="D398" s="12" t="s">
        <v>58</v>
      </c>
      <c r="E398" s="12" t="s">
        <v>2605</v>
      </c>
      <c r="G398" s="12" t="s">
        <v>2606</v>
      </c>
      <c r="H398" s="12" t="s">
        <v>2608</v>
      </c>
      <c r="I398" s="12" t="b">
        <v>1</v>
      </c>
      <c r="J398" s="12" t="s">
        <v>69</v>
      </c>
      <c r="P398" s="12">
        <v>1833526.0</v>
      </c>
      <c r="Q398" s="12" t="b">
        <v>1</v>
      </c>
    </row>
    <row r="399">
      <c r="A399" s="12" t="s">
        <v>2611</v>
      </c>
      <c r="B399" s="12" t="s">
        <v>54</v>
      </c>
      <c r="C399" s="14">
        <v>45992.0</v>
      </c>
      <c r="D399" s="12" t="s">
        <v>175</v>
      </c>
      <c r="E399" s="12" t="s">
        <v>2614</v>
      </c>
      <c r="G399" s="12" t="s">
        <v>2615</v>
      </c>
      <c r="H399" s="12" t="s">
        <v>2617</v>
      </c>
      <c r="I399" s="12" t="b">
        <v>1</v>
      </c>
      <c r="J399" s="12" t="s">
        <v>69</v>
      </c>
      <c r="P399" s="12">
        <v>1833561.0</v>
      </c>
      <c r="Q399" s="12" t="b">
        <v>1</v>
      </c>
    </row>
    <row r="400">
      <c r="A400" s="12" t="s">
        <v>2619</v>
      </c>
      <c r="B400" s="12" t="s">
        <v>54</v>
      </c>
      <c r="C400" s="15">
        <v>45986.0</v>
      </c>
      <c r="D400" s="12" t="s">
        <v>912</v>
      </c>
      <c r="E400" s="12" t="s">
        <v>2621</v>
      </c>
      <c r="G400" s="12" t="s">
        <v>2622</v>
      </c>
      <c r="H400" s="12" t="s">
        <v>2624</v>
      </c>
      <c r="I400" s="12" t="b">
        <v>0</v>
      </c>
      <c r="J400" s="12" t="s">
        <v>69</v>
      </c>
      <c r="Q400" s="12" t="b">
        <v>1</v>
      </c>
    </row>
    <row r="401">
      <c r="A401" s="12" t="s">
        <v>2625</v>
      </c>
      <c r="B401" s="12" t="s">
        <v>54</v>
      </c>
      <c r="C401" s="15">
        <v>45950.0</v>
      </c>
      <c r="D401" s="12" t="s">
        <v>2627</v>
      </c>
      <c r="E401" s="12" t="s">
        <v>2628</v>
      </c>
      <c r="G401" s="12" t="s">
        <v>2629</v>
      </c>
      <c r="H401" s="12" t="s">
        <v>2630</v>
      </c>
      <c r="I401" s="12" t="b">
        <v>0</v>
      </c>
      <c r="J401" s="12" t="s">
        <v>69</v>
      </c>
      <c r="Q401" s="12" t="b">
        <v>1</v>
      </c>
    </row>
    <row r="402">
      <c r="A402" s="12" t="s">
        <v>2632</v>
      </c>
      <c r="B402" s="12" t="s">
        <v>54</v>
      </c>
      <c r="C402" s="15">
        <v>45988.0</v>
      </c>
      <c r="D402" s="12" t="s">
        <v>156</v>
      </c>
      <c r="E402" s="12" t="s">
        <v>2635</v>
      </c>
      <c r="G402" s="12" t="s">
        <v>2636</v>
      </c>
      <c r="H402" s="12" t="s">
        <v>2637</v>
      </c>
      <c r="I402" s="12" t="b">
        <v>0</v>
      </c>
      <c r="J402" s="12" t="s">
        <v>69</v>
      </c>
      <c r="Q402" s="12" t="b">
        <v>1</v>
      </c>
    </row>
    <row r="403">
      <c r="A403" s="12" t="s">
        <v>2639</v>
      </c>
      <c r="B403" s="12" t="s">
        <v>54</v>
      </c>
      <c r="C403" s="14">
        <v>45992.0</v>
      </c>
      <c r="D403" s="12" t="s">
        <v>556</v>
      </c>
      <c r="E403" s="12" t="s">
        <v>2641</v>
      </c>
      <c r="G403" s="12" t="s">
        <v>2642</v>
      </c>
      <c r="H403" s="12" t="s">
        <v>859</v>
      </c>
      <c r="I403" s="12" t="b">
        <v>1</v>
      </c>
      <c r="J403" s="12" t="s">
        <v>69</v>
      </c>
      <c r="P403" s="12">
        <v>1832961.0</v>
      </c>
      <c r="Q403" s="12" t="b">
        <v>1</v>
      </c>
    </row>
    <row r="404">
      <c r="A404" s="12" t="s">
        <v>2644</v>
      </c>
      <c r="B404" s="12" t="s">
        <v>54</v>
      </c>
      <c r="C404" s="14">
        <v>45993.0</v>
      </c>
      <c r="D404" s="12" t="s">
        <v>1103</v>
      </c>
      <c r="E404" s="12" t="s">
        <v>2647</v>
      </c>
      <c r="G404" s="12" t="s">
        <v>2648</v>
      </c>
      <c r="H404" s="12" t="s">
        <v>153</v>
      </c>
      <c r="I404" s="12" t="b">
        <v>1</v>
      </c>
      <c r="J404" s="12" t="s">
        <v>69</v>
      </c>
      <c r="P404" s="12">
        <v>1835120.0</v>
      </c>
      <c r="Q404" s="12" t="b">
        <v>1</v>
      </c>
    </row>
    <row r="405">
      <c r="A405" s="12" t="s">
        <v>2651</v>
      </c>
      <c r="B405" s="12" t="s">
        <v>54</v>
      </c>
      <c r="C405" s="15">
        <v>45989.0</v>
      </c>
      <c r="D405" s="12" t="s">
        <v>156</v>
      </c>
      <c r="E405" s="12" t="s">
        <v>2654</v>
      </c>
      <c r="G405" s="12" t="s">
        <v>2655</v>
      </c>
      <c r="H405" s="12" t="s">
        <v>254</v>
      </c>
      <c r="I405" s="12" t="b">
        <v>0</v>
      </c>
      <c r="J405" s="12" t="s">
        <v>69</v>
      </c>
      <c r="Q405" s="12" t="b">
        <v>1</v>
      </c>
    </row>
    <row r="406">
      <c r="A406" s="12">
        <v>1241.0</v>
      </c>
      <c r="B406" s="12" t="s">
        <v>54</v>
      </c>
      <c r="C406" s="14">
        <v>45993.0</v>
      </c>
      <c r="D406" s="12" t="s">
        <v>848</v>
      </c>
      <c r="H406" s="12" t="s">
        <v>1226</v>
      </c>
      <c r="J406" s="12" t="s">
        <v>621</v>
      </c>
      <c r="O406" s="12">
        <v>4000.0</v>
      </c>
      <c r="Q406" s="12" t="b">
        <v>1</v>
      </c>
    </row>
    <row r="407">
      <c r="A407" s="12" t="s">
        <v>2660</v>
      </c>
      <c r="B407" s="12" t="s">
        <v>54</v>
      </c>
      <c r="C407" s="14">
        <v>45994.0</v>
      </c>
      <c r="D407" s="12" t="s">
        <v>461</v>
      </c>
      <c r="E407" s="12" t="s">
        <v>2662</v>
      </c>
      <c r="G407" s="12" t="s">
        <v>2664</v>
      </c>
      <c r="H407" s="12" t="s">
        <v>1143</v>
      </c>
      <c r="I407" s="12" t="b">
        <v>1</v>
      </c>
      <c r="J407" s="12" t="s">
        <v>69</v>
      </c>
      <c r="P407" s="12">
        <v>1836736.0</v>
      </c>
      <c r="Q407" s="12" t="b">
        <v>1</v>
      </c>
    </row>
    <row r="408">
      <c r="A408" s="12" t="s">
        <v>2666</v>
      </c>
      <c r="B408" s="12" t="s">
        <v>54</v>
      </c>
      <c r="C408" s="14">
        <v>45994.0</v>
      </c>
      <c r="D408" s="12" t="s">
        <v>375</v>
      </c>
      <c r="E408" s="12" t="s">
        <v>2668</v>
      </c>
      <c r="G408" s="12" t="s">
        <v>2669</v>
      </c>
      <c r="H408" s="12" t="s">
        <v>153</v>
      </c>
      <c r="I408" s="12" t="b">
        <v>1</v>
      </c>
      <c r="J408" s="12" t="s">
        <v>69</v>
      </c>
      <c r="P408" s="12">
        <v>1836977.0</v>
      </c>
      <c r="Q408" s="12" t="b">
        <v>1</v>
      </c>
    </row>
    <row r="409">
      <c r="A409" s="12" t="s">
        <v>2672</v>
      </c>
      <c r="B409" s="12" t="s">
        <v>54</v>
      </c>
      <c r="C409" s="14">
        <v>45994.0</v>
      </c>
      <c r="D409" s="12" t="s">
        <v>375</v>
      </c>
      <c r="E409" s="12" t="s">
        <v>2674</v>
      </c>
      <c r="G409" s="12" t="s">
        <v>2675</v>
      </c>
      <c r="H409" s="12" t="s">
        <v>1778</v>
      </c>
      <c r="I409" s="12" t="b">
        <v>1</v>
      </c>
      <c r="J409" s="12" t="s">
        <v>69</v>
      </c>
      <c r="P409" s="12">
        <v>1836987.0</v>
      </c>
      <c r="Q409" s="12" t="b">
        <v>1</v>
      </c>
    </row>
    <row r="410">
      <c r="A410" s="12" t="s">
        <v>2678</v>
      </c>
      <c r="B410" s="12" t="s">
        <v>54</v>
      </c>
      <c r="C410" s="14">
        <v>45994.0</v>
      </c>
      <c r="D410" s="12" t="s">
        <v>182</v>
      </c>
      <c r="E410" s="12" t="s">
        <v>2680</v>
      </c>
      <c r="G410" s="12" t="s">
        <v>2681</v>
      </c>
      <c r="H410" s="12" t="s">
        <v>312</v>
      </c>
      <c r="I410" s="12" t="b">
        <v>1</v>
      </c>
      <c r="J410" s="12" t="s">
        <v>69</v>
      </c>
      <c r="P410" s="12">
        <v>1837478.0</v>
      </c>
      <c r="Q410" s="12" t="b">
        <v>1</v>
      </c>
    </row>
    <row r="411">
      <c r="A411" s="12" t="s">
        <v>2683</v>
      </c>
      <c r="B411" s="12" t="s">
        <v>54</v>
      </c>
      <c r="C411" s="14">
        <v>45994.0</v>
      </c>
      <c r="D411" s="12" t="s">
        <v>784</v>
      </c>
      <c r="E411" s="12" t="s">
        <v>2686</v>
      </c>
      <c r="G411" s="12" t="s">
        <v>2687</v>
      </c>
      <c r="H411" s="12" t="s">
        <v>715</v>
      </c>
      <c r="I411" s="12" t="b">
        <v>0</v>
      </c>
      <c r="J411" s="12" t="s">
        <v>69</v>
      </c>
      <c r="L411" s="12" t="s">
        <v>2689</v>
      </c>
      <c r="Q411" s="12" t="b">
        <v>1</v>
      </c>
    </row>
    <row r="412">
      <c r="A412" s="12" t="s">
        <v>2690</v>
      </c>
      <c r="B412" s="12" t="s">
        <v>54</v>
      </c>
      <c r="C412" s="14">
        <v>45994.0</v>
      </c>
      <c r="D412" s="12" t="s">
        <v>2692</v>
      </c>
      <c r="E412" s="12" t="s">
        <v>2693</v>
      </c>
      <c r="G412" s="12" t="s">
        <v>2695</v>
      </c>
      <c r="H412" s="12" t="s">
        <v>2696</v>
      </c>
      <c r="I412" s="12" t="b">
        <v>0</v>
      </c>
      <c r="J412" s="12" t="s">
        <v>69</v>
      </c>
      <c r="L412" s="12" t="s">
        <v>2699</v>
      </c>
      <c r="Q412" s="12" t="b">
        <v>1</v>
      </c>
    </row>
    <row r="413">
      <c r="A413" s="12" t="s">
        <v>2701</v>
      </c>
      <c r="B413" s="12" t="s">
        <v>54</v>
      </c>
      <c r="C413" s="14">
        <v>45995.0</v>
      </c>
      <c r="D413" s="12" t="s">
        <v>220</v>
      </c>
      <c r="E413" s="12" t="s">
        <v>2702</v>
      </c>
      <c r="G413" s="12" t="s">
        <v>2705</v>
      </c>
      <c r="H413" s="12" t="s">
        <v>2340</v>
      </c>
      <c r="I413" s="12" t="b">
        <v>1</v>
      </c>
      <c r="J413" s="12" t="s">
        <v>69</v>
      </c>
      <c r="P413" s="12">
        <v>1838933.0</v>
      </c>
      <c r="Q413" s="12" t="b">
        <v>1</v>
      </c>
    </row>
    <row r="414">
      <c r="A414" s="12" t="s">
        <v>2707</v>
      </c>
      <c r="B414" s="12" t="s">
        <v>54</v>
      </c>
      <c r="C414" s="14">
        <v>45995.0</v>
      </c>
      <c r="D414" s="12" t="s">
        <v>2708</v>
      </c>
      <c r="E414" s="12" t="s">
        <v>2710</v>
      </c>
      <c r="G414" s="12" t="s">
        <v>2711</v>
      </c>
      <c r="H414" s="12" t="s">
        <v>2712</v>
      </c>
      <c r="I414" s="12" t="b">
        <v>1</v>
      </c>
      <c r="J414" s="12" t="s">
        <v>69</v>
      </c>
      <c r="P414" s="12">
        <v>1838929.0</v>
      </c>
      <c r="Q414" s="12" t="b">
        <v>1</v>
      </c>
    </row>
    <row r="415">
      <c r="A415" s="12" t="s">
        <v>2715</v>
      </c>
      <c r="B415" s="12" t="s">
        <v>54</v>
      </c>
      <c r="C415" s="14">
        <v>45995.0</v>
      </c>
      <c r="D415" s="12" t="s">
        <v>190</v>
      </c>
      <c r="E415" s="12" t="s">
        <v>2717</v>
      </c>
      <c r="G415" s="12" t="s">
        <v>2719</v>
      </c>
      <c r="H415" s="12" t="s">
        <v>328</v>
      </c>
      <c r="I415" s="12" t="b">
        <v>1</v>
      </c>
      <c r="J415" s="12" t="s">
        <v>69</v>
      </c>
      <c r="P415" s="12">
        <v>1839905.0</v>
      </c>
      <c r="Q415" s="12" t="b">
        <v>1</v>
      </c>
    </row>
    <row r="416">
      <c r="A416" s="12" t="s">
        <v>2722</v>
      </c>
      <c r="B416" s="12" t="s">
        <v>54</v>
      </c>
      <c r="C416" s="14">
        <v>45995.0</v>
      </c>
      <c r="D416" s="12" t="s">
        <v>2723</v>
      </c>
      <c r="E416" s="12" t="s">
        <v>2724</v>
      </c>
      <c r="G416" s="12" t="s">
        <v>2726</v>
      </c>
      <c r="H416" s="12" t="s">
        <v>2728</v>
      </c>
      <c r="I416" s="12" t="b">
        <v>1</v>
      </c>
      <c r="J416" s="12" t="s">
        <v>69</v>
      </c>
      <c r="P416" s="12">
        <v>1839902.0</v>
      </c>
      <c r="Q416" s="12" t="b">
        <v>1</v>
      </c>
    </row>
    <row r="417">
      <c r="A417" s="12" t="s">
        <v>2729</v>
      </c>
      <c r="B417" s="12" t="s">
        <v>54</v>
      </c>
      <c r="C417" s="14">
        <v>45995.0</v>
      </c>
      <c r="D417" s="12" t="s">
        <v>175</v>
      </c>
      <c r="E417" s="12" t="s">
        <v>2732</v>
      </c>
      <c r="G417" s="12" t="s">
        <v>2733</v>
      </c>
      <c r="H417" s="12" t="s">
        <v>1222</v>
      </c>
      <c r="I417" s="12" t="b">
        <v>1</v>
      </c>
      <c r="J417" s="12" t="s">
        <v>69</v>
      </c>
      <c r="P417" s="12">
        <v>1839898.0</v>
      </c>
      <c r="Q417" s="12" t="b">
        <v>1</v>
      </c>
    </row>
    <row r="418">
      <c r="A418" s="12" t="s">
        <v>2119</v>
      </c>
      <c r="B418" s="12" t="s">
        <v>54</v>
      </c>
      <c r="C418" s="14">
        <v>45995.0</v>
      </c>
      <c r="H418" s="12" t="s">
        <v>2738</v>
      </c>
      <c r="J418" s="12" t="s">
        <v>621</v>
      </c>
      <c r="K418" s="12" t="s">
        <v>2739</v>
      </c>
      <c r="O418" s="12">
        <v>5000.0</v>
      </c>
      <c r="Q418" s="12" t="b">
        <v>1</v>
      </c>
    </row>
    <row r="419">
      <c r="A419" s="12">
        <v>2.6659946E7</v>
      </c>
      <c r="B419" s="12" t="s">
        <v>54</v>
      </c>
      <c r="C419" s="14">
        <v>45995.0</v>
      </c>
      <c r="D419" s="12" t="s">
        <v>220</v>
      </c>
      <c r="E419" s="12" t="s">
        <v>2742</v>
      </c>
      <c r="G419" s="12" t="s">
        <v>2745</v>
      </c>
      <c r="H419" s="12" t="s">
        <v>2487</v>
      </c>
      <c r="I419" s="12" t="b">
        <v>1</v>
      </c>
      <c r="J419" s="12" t="s">
        <v>69</v>
      </c>
      <c r="P419" s="12">
        <v>1841768.0</v>
      </c>
      <c r="Q419" s="12" t="b">
        <v>1</v>
      </c>
    </row>
    <row r="420">
      <c r="A420" s="12" t="s">
        <v>2748</v>
      </c>
      <c r="B420" s="12" t="s">
        <v>54</v>
      </c>
      <c r="C420" s="14">
        <v>45997.0</v>
      </c>
      <c r="D420" s="12" t="s">
        <v>182</v>
      </c>
      <c r="E420" s="12" t="s">
        <v>2749</v>
      </c>
      <c r="G420" s="12" t="s">
        <v>2751</v>
      </c>
      <c r="H420" s="12" t="s">
        <v>457</v>
      </c>
      <c r="I420" s="12" t="b">
        <v>1</v>
      </c>
      <c r="J420" s="12" t="s">
        <v>69</v>
      </c>
      <c r="P420" s="12">
        <v>1844579.0</v>
      </c>
      <c r="Q420" s="12" t="b">
        <v>1</v>
      </c>
    </row>
    <row r="421">
      <c r="A421" s="12" t="s">
        <v>2754</v>
      </c>
      <c r="B421" s="12" t="s">
        <v>54</v>
      </c>
      <c r="C421" s="14">
        <v>45996.0</v>
      </c>
      <c r="D421" s="12" t="s">
        <v>220</v>
      </c>
      <c r="E421" s="12" t="s">
        <v>2755</v>
      </c>
      <c r="G421" s="12" t="s">
        <v>2757</v>
      </c>
      <c r="H421" s="12" t="s">
        <v>1529</v>
      </c>
      <c r="I421" s="12" t="b">
        <v>1</v>
      </c>
      <c r="J421" s="12" t="s">
        <v>69</v>
      </c>
      <c r="P421" s="12">
        <v>1844568.0</v>
      </c>
      <c r="Q421" s="12" t="b">
        <v>1</v>
      </c>
    </row>
    <row r="422">
      <c r="A422" s="12" t="s">
        <v>2121</v>
      </c>
      <c r="B422" s="12" t="s">
        <v>54</v>
      </c>
      <c r="C422" s="14">
        <v>45997.0</v>
      </c>
      <c r="H422" s="12" t="s">
        <v>1112</v>
      </c>
      <c r="J422" s="12" t="s">
        <v>191</v>
      </c>
      <c r="K422" s="12" t="s">
        <v>1900</v>
      </c>
      <c r="O422" s="12">
        <v>200.0</v>
      </c>
      <c r="Q422" s="12" t="b">
        <v>1</v>
      </c>
    </row>
    <row r="423">
      <c r="A423" s="12">
        <v>8.8614977E7</v>
      </c>
      <c r="B423" s="12" t="s">
        <v>54</v>
      </c>
      <c r="C423" s="14">
        <v>45999.0</v>
      </c>
      <c r="D423" s="12" t="s">
        <v>375</v>
      </c>
      <c r="E423" s="12" t="s">
        <v>2761</v>
      </c>
      <c r="G423" s="12" t="s">
        <v>2762</v>
      </c>
      <c r="H423" s="12" t="s">
        <v>153</v>
      </c>
      <c r="I423" s="12" t="b">
        <v>1</v>
      </c>
      <c r="J423" s="12" t="s">
        <v>69</v>
      </c>
      <c r="P423" s="12">
        <v>1849282.0</v>
      </c>
      <c r="Q423" s="12" t="b">
        <v>1</v>
      </c>
    </row>
    <row r="424">
      <c r="A424" s="12" t="s">
        <v>2764</v>
      </c>
      <c r="B424" s="12" t="s">
        <v>54</v>
      </c>
      <c r="C424" s="14">
        <v>45999.0</v>
      </c>
      <c r="D424" s="12" t="s">
        <v>418</v>
      </c>
      <c r="E424" s="12" t="s">
        <v>2767</v>
      </c>
      <c r="G424" s="12" t="s">
        <v>2768</v>
      </c>
      <c r="H424" s="12" t="s">
        <v>423</v>
      </c>
      <c r="I424" s="12" t="b">
        <v>0</v>
      </c>
      <c r="J424" s="12" t="s">
        <v>69</v>
      </c>
      <c r="Q424" s="12" t="b">
        <v>1</v>
      </c>
    </row>
    <row r="425">
      <c r="A425" s="12" t="s">
        <v>2124</v>
      </c>
      <c r="B425" s="12" t="s">
        <v>54</v>
      </c>
      <c r="C425" s="14">
        <v>46000.0</v>
      </c>
      <c r="D425" s="12" t="s">
        <v>912</v>
      </c>
      <c r="H425" s="12" t="s">
        <v>2772</v>
      </c>
      <c r="J425" s="12" t="s">
        <v>621</v>
      </c>
      <c r="O425" s="12">
        <v>2636.0</v>
      </c>
      <c r="Q425" s="12" t="b">
        <v>1</v>
      </c>
    </row>
    <row r="426">
      <c r="A426" s="12" t="s">
        <v>2128</v>
      </c>
      <c r="B426" s="12" t="s">
        <v>54</v>
      </c>
      <c r="C426" s="14">
        <v>46000.0</v>
      </c>
      <c r="D426" s="12" t="s">
        <v>156</v>
      </c>
      <c r="H426" s="12" t="s">
        <v>2776</v>
      </c>
      <c r="J426" s="12" t="s">
        <v>1784</v>
      </c>
      <c r="O426" s="12">
        <v>193.8</v>
      </c>
      <c r="Q426" s="12" t="b">
        <v>1</v>
      </c>
    </row>
    <row r="427">
      <c r="A427" s="12">
        <v>1251.0</v>
      </c>
      <c r="B427" s="12" t="s">
        <v>54</v>
      </c>
      <c r="C427" s="14">
        <v>46000.0</v>
      </c>
      <c r="D427" s="12" t="s">
        <v>1668</v>
      </c>
      <c r="H427" s="12" t="s">
        <v>1671</v>
      </c>
      <c r="J427" s="12" t="s">
        <v>621</v>
      </c>
      <c r="O427" s="12">
        <v>125.0</v>
      </c>
      <c r="Q427" s="12" t="b">
        <v>1</v>
      </c>
    </row>
    <row r="428">
      <c r="A428" s="12">
        <v>1253.0</v>
      </c>
      <c r="B428" s="12" t="s">
        <v>54</v>
      </c>
      <c r="C428" s="14">
        <v>46000.0</v>
      </c>
      <c r="D428" s="12" t="s">
        <v>897</v>
      </c>
      <c r="H428" s="12" t="s">
        <v>909</v>
      </c>
      <c r="J428" s="12" t="s">
        <v>621</v>
      </c>
      <c r="O428" s="12">
        <v>0.0</v>
      </c>
      <c r="Q428" s="12" t="b">
        <v>1</v>
      </c>
    </row>
    <row r="429">
      <c r="A429" s="12">
        <v>1254.0</v>
      </c>
      <c r="B429" s="12" t="s">
        <v>54</v>
      </c>
      <c r="C429" s="14">
        <v>46000.0</v>
      </c>
      <c r="D429" s="12" t="s">
        <v>933</v>
      </c>
      <c r="H429" s="12" t="s">
        <v>2785</v>
      </c>
      <c r="J429" s="12" t="s">
        <v>621</v>
      </c>
      <c r="O429" s="12">
        <v>1000.0</v>
      </c>
      <c r="Q429" s="12" t="b">
        <v>1</v>
      </c>
    </row>
    <row r="430">
      <c r="A430" s="12" t="s">
        <v>2135</v>
      </c>
      <c r="B430" s="12" t="s">
        <v>54</v>
      </c>
      <c r="C430" s="14">
        <v>46000.0</v>
      </c>
      <c r="D430" s="12" t="s">
        <v>156</v>
      </c>
      <c r="H430" s="12" t="s">
        <v>2789</v>
      </c>
      <c r="J430" s="12" t="s">
        <v>621</v>
      </c>
      <c r="O430" s="12">
        <v>159.94</v>
      </c>
      <c r="Q430" s="12" t="b">
        <v>1</v>
      </c>
    </row>
    <row r="431">
      <c r="A431" s="12" t="s">
        <v>2139</v>
      </c>
      <c r="B431" s="12" t="s">
        <v>54</v>
      </c>
      <c r="C431" s="14">
        <v>46000.0</v>
      </c>
      <c r="D431" s="12" t="s">
        <v>156</v>
      </c>
      <c r="H431" s="12" t="s">
        <v>2792</v>
      </c>
      <c r="J431" s="12" t="s">
        <v>621</v>
      </c>
      <c r="O431" s="12">
        <v>1401.11</v>
      </c>
      <c r="Q431" s="12" t="b">
        <v>1</v>
      </c>
    </row>
    <row r="432">
      <c r="A432" s="12" t="s">
        <v>2141</v>
      </c>
      <c r="B432" s="12" t="s">
        <v>54</v>
      </c>
      <c r="C432" s="14">
        <v>46000.0</v>
      </c>
      <c r="D432" s="12" t="s">
        <v>156</v>
      </c>
      <c r="H432" s="12" t="s">
        <v>2795</v>
      </c>
      <c r="J432" s="12" t="s">
        <v>1784</v>
      </c>
      <c r="O432" s="12">
        <v>901.61</v>
      </c>
      <c r="Q432" s="12" t="b">
        <v>1</v>
      </c>
    </row>
    <row r="433">
      <c r="A433" s="12" t="s">
        <v>2143</v>
      </c>
      <c r="B433" s="12" t="s">
        <v>54</v>
      </c>
      <c r="C433" s="14">
        <v>46000.0</v>
      </c>
      <c r="D433" s="12" t="s">
        <v>933</v>
      </c>
      <c r="H433" s="12" t="s">
        <v>2799</v>
      </c>
      <c r="J433" s="12" t="s">
        <v>621</v>
      </c>
      <c r="O433" s="12">
        <v>950.0</v>
      </c>
      <c r="Q433" s="12" t="b">
        <v>1</v>
      </c>
    </row>
    <row r="434">
      <c r="A434" s="12" t="s">
        <v>2147</v>
      </c>
      <c r="B434" s="12" t="s">
        <v>54</v>
      </c>
      <c r="C434" s="14">
        <v>46000.0</v>
      </c>
      <c r="D434" s="12" t="s">
        <v>2802</v>
      </c>
      <c r="H434" s="12" t="s">
        <v>2803</v>
      </c>
      <c r="J434" s="12" t="s">
        <v>621</v>
      </c>
      <c r="O434" s="12">
        <v>612.8</v>
      </c>
      <c r="Q434" s="12" t="b">
        <v>1</v>
      </c>
    </row>
    <row r="435">
      <c r="A435" s="12" t="s">
        <v>2151</v>
      </c>
      <c r="B435" s="12" t="s">
        <v>54</v>
      </c>
      <c r="C435" s="14">
        <v>46000.0</v>
      </c>
      <c r="H435" s="12" t="s">
        <v>1991</v>
      </c>
      <c r="J435" s="12" t="s">
        <v>621</v>
      </c>
      <c r="K435" s="12" t="s">
        <v>78</v>
      </c>
      <c r="O435" s="12">
        <v>200.0</v>
      </c>
      <c r="Q435" s="12" t="b">
        <v>1</v>
      </c>
    </row>
    <row r="436">
      <c r="A436" s="12">
        <v>7.799413E7</v>
      </c>
      <c r="B436" s="12" t="s">
        <v>54</v>
      </c>
      <c r="C436" s="14">
        <v>46000.0</v>
      </c>
      <c r="D436" s="12" t="s">
        <v>220</v>
      </c>
      <c r="E436" s="12" t="s">
        <v>2811</v>
      </c>
      <c r="G436" s="12" t="s">
        <v>2812</v>
      </c>
      <c r="H436" s="12" t="s">
        <v>2814</v>
      </c>
      <c r="I436" s="12" t="b">
        <v>1</v>
      </c>
      <c r="J436" s="12" t="s">
        <v>69</v>
      </c>
      <c r="P436" s="12">
        <v>1852315.0</v>
      </c>
      <c r="Q436" s="12" t="b">
        <v>1</v>
      </c>
    </row>
    <row r="437">
      <c r="A437" s="12" t="s">
        <v>2816</v>
      </c>
      <c r="B437" s="12" t="s">
        <v>54</v>
      </c>
      <c r="C437" s="14">
        <v>46000.0</v>
      </c>
      <c r="D437" s="12" t="s">
        <v>156</v>
      </c>
      <c r="E437" s="12" t="s">
        <v>2819</v>
      </c>
      <c r="G437" s="12" t="s">
        <v>2820</v>
      </c>
      <c r="H437" s="12" t="s">
        <v>2821</v>
      </c>
      <c r="I437" s="12" t="b">
        <v>0</v>
      </c>
      <c r="J437" s="12" t="s">
        <v>69</v>
      </c>
      <c r="L437" s="12" t="s">
        <v>2823</v>
      </c>
      <c r="Q437" s="12" t="b">
        <v>1</v>
      </c>
    </row>
    <row r="438">
      <c r="A438" s="12" t="s">
        <v>2825</v>
      </c>
      <c r="B438" s="12" t="s">
        <v>54</v>
      </c>
      <c r="C438" s="14">
        <v>45999.0</v>
      </c>
      <c r="D438" s="12" t="s">
        <v>220</v>
      </c>
      <c r="E438" s="12" t="s">
        <v>2828</v>
      </c>
      <c r="G438" s="12" t="s">
        <v>2829</v>
      </c>
      <c r="H438" s="12" t="s">
        <v>268</v>
      </c>
      <c r="I438" s="12" t="b">
        <v>1</v>
      </c>
      <c r="J438" s="12" t="s">
        <v>69</v>
      </c>
      <c r="P438" s="12">
        <v>1855072.0</v>
      </c>
      <c r="Q438" s="12" t="b">
        <v>1</v>
      </c>
    </row>
    <row r="439">
      <c r="A439" s="12" t="s">
        <v>2833</v>
      </c>
      <c r="B439" s="12" t="s">
        <v>54</v>
      </c>
      <c r="C439" s="14">
        <v>45999.0</v>
      </c>
      <c r="D439" s="12" t="s">
        <v>182</v>
      </c>
      <c r="E439" s="12" t="s">
        <v>2836</v>
      </c>
      <c r="G439" s="12" t="s">
        <v>2837</v>
      </c>
      <c r="H439" s="12" t="s">
        <v>2838</v>
      </c>
      <c r="I439" s="12" t="b">
        <v>1</v>
      </c>
      <c r="J439" s="12" t="s">
        <v>69</v>
      </c>
      <c r="P439" s="12">
        <v>1855071.0</v>
      </c>
      <c r="Q439" s="12" t="b">
        <v>1</v>
      </c>
    </row>
    <row r="440">
      <c r="A440" s="12" t="s">
        <v>2841</v>
      </c>
      <c r="B440" s="12" t="s">
        <v>54</v>
      </c>
      <c r="C440" s="14">
        <v>45999.0</v>
      </c>
      <c r="D440" s="12" t="s">
        <v>77</v>
      </c>
      <c r="E440" s="12" t="s">
        <v>2843</v>
      </c>
      <c r="G440" s="12" t="s">
        <v>2844</v>
      </c>
      <c r="H440" s="12" t="s">
        <v>2845</v>
      </c>
      <c r="I440" s="12" t="b">
        <v>1</v>
      </c>
      <c r="J440" s="12" t="s">
        <v>69</v>
      </c>
      <c r="P440" s="12">
        <v>1855070.0</v>
      </c>
      <c r="Q440" s="12" t="b">
        <v>1</v>
      </c>
    </row>
    <row r="441">
      <c r="A441" s="12" t="s">
        <v>2847</v>
      </c>
      <c r="B441" s="12" t="s">
        <v>54</v>
      </c>
      <c r="C441" s="14">
        <v>45998.0</v>
      </c>
      <c r="D441" s="12" t="s">
        <v>77</v>
      </c>
      <c r="E441" s="12" t="s">
        <v>2849</v>
      </c>
      <c r="G441" s="12" t="s">
        <v>2850</v>
      </c>
      <c r="H441" s="12" t="s">
        <v>950</v>
      </c>
      <c r="I441" s="12" t="b">
        <v>1</v>
      </c>
      <c r="J441" s="12" t="s">
        <v>69</v>
      </c>
      <c r="P441" s="12">
        <v>1855058.0</v>
      </c>
      <c r="Q441" s="12" t="b">
        <v>1</v>
      </c>
    </row>
    <row r="442">
      <c r="A442" s="12" t="s">
        <v>2154</v>
      </c>
      <c r="B442" s="12" t="s">
        <v>54</v>
      </c>
      <c r="C442" s="15">
        <v>46002.0</v>
      </c>
      <c r="D442" s="12" t="s">
        <v>2854</v>
      </c>
      <c r="H442" s="12" t="s">
        <v>2856</v>
      </c>
      <c r="J442" s="12" t="s">
        <v>621</v>
      </c>
      <c r="O442" s="12">
        <v>386.33</v>
      </c>
      <c r="Q442" s="12" t="b">
        <v>1</v>
      </c>
    </row>
    <row r="443">
      <c r="A443" s="12" t="s">
        <v>2158</v>
      </c>
      <c r="B443" s="12" t="s">
        <v>54</v>
      </c>
      <c r="C443" s="15">
        <v>46002.0</v>
      </c>
      <c r="D443" s="12" t="s">
        <v>2859</v>
      </c>
      <c r="H443" s="12" t="s">
        <v>2861</v>
      </c>
      <c r="J443" s="12" t="s">
        <v>621</v>
      </c>
      <c r="O443" s="12">
        <v>650.0</v>
      </c>
      <c r="Q443" s="12" t="b">
        <v>1</v>
      </c>
    </row>
    <row r="444">
      <c r="A444" s="12" t="s">
        <v>2162</v>
      </c>
      <c r="B444" s="12" t="s">
        <v>54</v>
      </c>
      <c r="C444" s="15">
        <v>46002.0</v>
      </c>
      <c r="D444" s="12" t="s">
        <v>2864</v>
      </c>
      <c r="H444" s="12" t="s">
        <v>2865</v>
      </c>
      <c r="J444" s="12" t="s">
        <v>621</v>
      </c>
      <c r="O444" s="12">
        <v>724.0</v>
      </c>
      <c r="Q444" s="12" t="b">
        <v>1</v>
      </c>
    </row>
    <row r="445">
      <c r="A445" s="12" t="s">
        <v>2167</v>
      </c>
      <c r="B445" s="12" t="s">
        <v>54</v>
      </c>
      <c r="C445" s="15">
        <v>46002.0</v>
      </c>
      <c r="D445" s="12" t="s">
        <v>2867</v>
      </c>
      <c r="H445" s="12" t="s">
        <v>2869</v>
      </c>
      <c r="J445" s="12" t="s">
        <v>621</v>
      </c>
      <c r="O445" s="12">
        <v>851.61</v>
      </c>
      <c r="Q445" s="12" t="b">
        <v>1</v>
      </c>
    </row>
    <row r="446">
      <c r="A446" s="12" t="s">
        <v>2871</v>
      </c>
      <c r="B446" s="12" t="s">
        <v>54</v>
      </c>
      <c r="C446" s="14">
        <v>46000.0</v>
      </c>
      <c r="D446" s="12" t="s">
        <v>556</v>
      </c>
      <c r="E446" s="12" t="s">
        <v>2873</v>
      </c>
      <c r="G446" s="12" t="s">
        <v>2874</v>
      </c>
      <c r="H446" s="12" t="s">
        <v>2875</v>
      </c>
      <c r="I446" s="12" t="b">
        <v>1</v>
      </c>
      <c r="J446" s="12" t="s">
        <v>69</v>
      </c>
      <c r="P446" s="12">
        <v>1851747.0</v>
      </c>
      <c r="Q446" s="12" t="b">
        <v>1</v>
      </c>
    </row>
    <row r="447">
      <c r="A447" s="12" t="s">
        <v>2879</v>
      </c>
      <c r="B447" s="12" t="s">
        <v>54</v>
      </c>
      <c r="C447" s="14">
        <v>45996.0</v>
      </c>
      <c r="D447" s="12" t="s">
        <v>556</v>
      </c>
      <c r="E447" s="12" t="s">
        <v>2881</v>
      </c>
      <c r="G447" s="12" t="s">
        <v>2883</v>
      </c>
      <c r="H447" s="12" t="s">
        <v>2884</v>
      </c>
      <c r="I447" s="12" t="b">
        <v>1</v>
      </c>
      <c r="J447" s="12" t="s">
        <v>69</v>
      </c>
      <c r="P447" s="12">
        <v>1842296.0</v>
      </c>
      <c r="Q447" s="12" t="b">
        <v>1</v>
      </c>
    </row>
    <row r="448">
      <c r="A448" s="12" t="s">
        <v>2170</v>
      </c>
      <c r="B448" s="12" t="s">
        <v>54</v>
      </c>
      <c r="C448" s="15">
        <v>46003.0</v>
      </c>
      <c r="D448" s="12" t="s">
        <v>912</v>
      </c>
      <c r="H448" s="12" t="s">
        <v>2889</v>
      </c>
      <c r="J448" s="12" t="s">
        <v>621</v>
      </c>
      <c r="O448" s="12">
        <v>60.31</v>
      </c>
      <c r="Q448" s="12" t="b">
        <v>1</v>
      </c>
    </row>
    <row r="449">
      <c r="A449" s="12" t="s">
        <v>2892</v>
      </c>
      <c r="B449" s="12" t="s">
        <v>54</v>
      </c>
      <c r="C449" s="15">
        <v>46003.0</v>
      </c>
      <c r="D449" s="12" t="s">
        <v>220</v>
      </c>
      <c r="E449" s="12" t="s">
        <v>2896</v>
      </c>
      <c r="G449" s="12" t="s">
        <v>2897</v>
      </c>
      <c r="H449" s="12" t="s">
        <v>2899</v>
      </c>
      <c r="I449" s="12" t="b">
        <v>1</v>
      </c>
      <c r="J449" s="12" t="s">
        <v>69</v>
      </c>
      <c r="P449" s="12">
        <v>1862211.0</v>
      </c>
      <c r="Q449" s="12" t="b">
        <v>1</v>
      </c>
    </row>
    <row r="450">
      <c r="A450" s="12">
        <v>1267.0</v>
      </c>
      <c r="B450" s="12" t="s">
        <v>54</v>
      </c>
      <c r="C450" s="15">
        <v>46005.0</v>
      </c>
      <c r="D450" s="12" t="s">
        <v>689</v>
      </c>
      <c r="H450" s="12" t="s">
        <v>959</v>
      </c>
      <c r="J450" s="12" t="s">
        <v>621</v>
      </c>
      <c r="O450" s="12">
        <v>5000.0</v>
      </c>
      <c r="Q450" s="12" t="b">
        <v>1</v>
      </c>
    </row>
    <row r="451">
      <c r="A451" s="12">
        <v>1269.0</v>
      </c>
      <c r="B451" s="12" t="s">
        <v>54</v>
      </c>
      <c r="C451" s="15">
        <v>46005.0</v>
      </c>
      <c r="D451" s="12" t="s">
        <v>156</v>
      </c>
      <c r="H451" s="12" t="s">
        <v>1909</v>
      </c>
      <c r="J451" s="12" t="s">
        <v>621</v>
      </c>
      <c r="O451" s="12">
        <v>375.0</v>
      </c>
      <c r="Q451" s="12" t="b">
        <v>1</v>
      </c>
    </row>
    <row r="452">
      <c r="A452" s="12">
        <v>1270.0</v>
      </c>
      <c r="B452" s="12" t="s">
        <v>54</v>
      </c>
      <c r="C452" s="15">
        <v>46005.0</v>
      </c>
      <c r="D452" s="12" t="s">
        <v>1914</v>
      </c>
      <c r="H452" s="12" t="s">
        <v>1916</v>
      </c>
      <c r="J452" s="12" t="s">
        <v>621</v>
      </c>
      <c r="O452" s="12">
        <v>1110.0</v>
      </c>
      <c r="Q452" s="12" t="b">
        <v>1</v>
      </c>
    </row>
    <row r="453">
      <c r="A453" s="12" t="s">
        <v>2913</v>
      </c>
      <c r="B453" s="12" t="s">
        <v>54</v>
      </c>
      <c r="C453" s="15">
        <v>46006.0</v>
      </c>
      <c r="D453" s="12" t="s">
        <v>58</v>
      </c>
      <c r="E453" s="12" t="s">
        <v>2917</v>
      </c>
      <c r="G453" s="12" t="s">
        <v>2918</v>
      </c>
      <c r="H453" s="12" t="s">
        <v>2920</v>
      </c>
      <c r="I453" s="12" t="b">
        <v>1</v>
      </c>
      <c r="J453" s="12" t="s">
        <v>69</v>
      </c>
      <c r="P453" s="12">
        <v>1863809.0</v>
      </c>
      <c r="Q453" s="12" t="b">
        <v>1</v>
      </c>
    </row>
    <row r="454">
      <c r="A454" s="12" t="s">
        <v>2921</v>
      </c>
      <c r="B454" s="12" t="s">
        <v>54</v>
      </c>
      <c r="C454" s="15">
        <v>46006.0</v>
      </c>
      <c r="D454" s="12" t="s">
        <v>1103</v>
      </c>
      <c r="E454" s="12" t="s">
        <v>2923</v>
      </c>
      <c r="G454" s="12" t="s">
        <v>2924</v>
      </c>
      <c r="H454" s="12" t="s">
        <v>153</v>
      </c>
      <c r="I454" s="12" t="b">
        <v>1</v>
      </c>
      <c r="J454" s="12" t="s">
        <v>69</v>
      </c>
      <c r="P454" s="12">
        <v>1863809.0</v>
      </c>
      <c r="Q454" s="12" t="b">
        <v>1</v>
      </c>
    </row>
    <row r="455">
      <c r="A455" s="12" t="s">
        <v>2927</v>
      </c>
      <c r="B455" s="12" t="s">
        <v>54</v>
      </c>
      <c r="C455" s="15">
        <v>46006.0</v>
      </c>
      <c r="D455" s="12" t="s">
        <v>470</v>
      </c>
      <c r="E455" s="12" t="s">
        <v>2930</v>
      </c>
      <c r="G455" s="12" t="s">
        <v>2931</v>
      </c>
      <c r="H455" s="12" t="s">
        <v>2932</v>
      </c>
      <c r="I455" s="12" t="b">
        <v>1</v>
      </c>
      <c r="J455" s="12" t="s">
        <v>69</v>
      </c>
      <c r="P455" s="12">
        <v>1863835.0</v>
      </c>
      <c r="Q455" s="12" t="b">
        <v>1</v>
      </c>
    </row>
    <row r="456">
      <c r="A456" s="12" t="s">
        <v>2935</v>
      </c>
      <c r="B456" s="12" t="s">
        <v>54</v>
      </c>
      <c r="C456" s="15">
        <v>46006.0</v>
      </c>
      <c r="D456" s="12" t="s">
        <v>77</v>
      </c>
      <c r="E456" s="12" t="s">
        <v>2937</v>
      </c>
      <c r="G456" s="12" t="s">
        <v>2939</v>
      </c>
      <c r="H456" s="12" t="s">
        <v>2340</v>
      </c>
      <c r="I456" s="12" t="b">
        <v>1</v>
      </c>
      <c r="J456" s="12" t="s">
        <v>69</v>
      </c>
      <c r="P456" s="12">
        <v>1863874.0</v>
      </c>
      <c r="Q456" s="12" t="b">
        <v>1</v>
      </c>
    </row>
    <row r="457">
      <c r="A457" s="12" t="s">
        <v>2942</v>
      </c>
      <c r="B457" s="12" t="s">
        <v>54</v>
      </c>
      <c r="C457" s="15">
        <v>46003.0</v>
      </c>
      <c r="D457" s="12" t="s">
        <v>556</v>
      </c>
      <c r="E457" s="12" t="s">
        <v>2945</v>
      </c>
      <c r="G457" s="12" t="s">
        <v>2946</v>
      </c>
      <c r="H457" s="12" t="s">
        <v>859</v>
      </c>
      <c r="I457" s="12" t="b">
        <v>1</v>
      </c>
      <c r="J457" s="12" t="s">
        <v>69</v>
      </c>
      <c r="P457" s="12">
        <v>1856225.0</v>
      </c>
      <c r="Q457" s="12" t="b">
        <v>1</v>
      </c>
    </row>
    <row r="458">
      <c r="A458" s="12" t="s">
        <v>2948</v>
      </c>
      <c r="B458" s="12" t="s">
        <v>54</v>
      </c>
      <c r="C458" s="15">
        <v>46006.0</v>
      </c>
      <c r="D458" s="12" t="s">
        <v>375</v>
      </c>
      <c r="E458" s="12" t="s">
        <v>2951</v>
      </c>
      <c r="G458" s="12" t="s">
        <v>2952</v>
      </c>
      <c r="H458" s="12" t="s">
        <v>153</v>
      </c>
      <c r="I458" s="12" t="b">
        <v>1</v>
      </c>
      <c r="J458" s="12" t="s">
        <v>69</v>
      </c>
      <c r="P458" s="12">
        <v>1863656.0</v>
      </c>
      <c r="Q458" s="12" t="b">
        <v>1</v>
      </c>
    </row>
    <row r="459">
      <c r="A459" s="12" t="s">
        <v>2954</v>
      </c>
      <c r="B459" s="12" t="s">
        <v>54</v>
      </c>
      <c r="C459" s="15">
        <v>45989.0</v>
      </c>
      <c r="D459" s="12" t="s">
        <v>556</v>
      </c>
      <c r="E459" s="12" t="s">
        <v>2956</v>
      </c>
      <c r="G459" s="12" t="s">
        <v>2959</v>
      </c>
      <c r="H459" s="12" t="s">
        <v>859</v>
      </c>
      <c r="I459" s="12" t="b">
        <v>1</v>
      </c>
      <c r="J459" s="12" t="s">
        <v>69</v>
      </c>
      <c r="P459" s="12">
        <v>1826122.0</v>
      </c>
      <c r="Q459" s="12" t="b">
        <v>1</v>
      </c>
    </row>
    <row r="460">
      <c r="A460" s="12">
        <v>3.6262462E7</v>
      </c>
      <c r="B460" s="12" t="s">
        <v>54</v>
      </c>
      <c r="C460" s="15">
        <v>46007.0</v>
      </c>
      <c r="D460" s="12" t="s">
        <v>556</v>
      </c>
      <c r="E460" s="12" t="s">
        <v>2963</v>
      </c>
      <c r="G460" s="12" t="s">
        <v>2964</v>
      </c>
      <c r="H460" s="12" t="s">
        <v>859</v>
      </c>
      <c r="I460" s="12" t="b">
        <v>1</v>
      </c>
      <c r="J460" s="12" t="s">
        <v>69</v>
      </c>
      <c r="P460" s="12">
        <v>1865377.0</v>
      </c>
      <c r="Q460" s="12" t="b">
        <v>1</v>
      </c>
    </row>
    <row r="461">
      <c r="A461" s="12" t="s">
        <v>2968</v>
      </c>
      <c r="B461" s="12" t="s">
        <v>54</v>
      </c>
      <c r="C461" s="15">
        <v>46008.0</v>
      </c>
      <c r="D461" s="12" t="s">
        <v>182</v>
      </c>
      <c r="E461" s="12" t="s">
        <v>2972</v>
      </c>
      <c r="G461" s="12" t="s">
        <v>2973</v>
      </c>
      <c r="H461" s="12" t="s">
        <v>2814</v>
      </c>
      <c r="I461" s="12" t="b">
        <v>1</v>
      </c>
      <c r="J461" s="12" t="s">
        <v>69</v>
      </c>
      <c r="P461" s="12">
        <v>1867238.0</v>
      </c>
      <c r="Q461" s="12" t="b">
        <v>1</v>
      </c>
    </row>
    <row r="462">
      <c r="A462" s="12" t="s">
        <v>2974</v>
      </c>
      <c r="B462" s="12" t="s">
        <v>54</v>
      </c>
      <c r="C462" s="15">
        <v>46004.0</v>
      </c>
      <c r="D462" s="12" t="s">
        <v>156</v>
      </c>
      <c r="E462" s="12" t="s">
        <v>2976</v>
      </c>
      <c r="G462" s="12" t="s">
        <v>2977</v>
      </c>
      <c r="H462" s="12" t="s">
        <v>254</v>
      </c>
      <c r="I462" s="12" t="b">
        <v>0</v>
      </c>
      <c r="J462" s="12" t="s">
        <v>69</v>
      </c>
      <c r="L462" s="12" t="s">
        <v>2979</v>
      </c>
      <c r="Q462" s="12" t="b">
        <v>1</v>
      </c>
    </row>
    <row r="463">
      <c r="A463" s="12" t="s">
        <v>2981</v>
      </c>
      <c r="B463" s="12" t="s">
        <v>54</v>
      </c>
      <c r="C463" s="15">
        <v>46008.0</v>
      </c>
      <c r="D463" s="12" t="s">
        <v>182</v>
      </c>
      <c r="E463" s="12" t="s">
        <v>2972</v>
      </c>
      <c r="G463" s="12" t="s">
        <v>2984</v>
      </c>
      <c r="H463" s="12" t="s">
        <v>2814</v>
      </c>
      <c r="I463" s="12" t="b">
        <v>1</v>
      </c>
      <c r="J463" s="12" t="s">
        <v>69</v>
      </c>
      <c r="P463" s="12">
        <v>1867238.0</v>
      </c>
      <c r="Q463" s="12" t="b">
        <v>1</v>
      </c>
    </row>
    <row r="464">
      <c r="A464" s="12" t="s">
        <v>2987</v>
      </c>
      <c r="B464" s="12" t="s">
        <v>54</v>
      </c>
      <c r="C464" s="15">
        <v>46009.0</v>
      </c>
      <c r="D464" s="12" t="s">
        <v>441</v>
      </c>
      <c r="E464" s="12" t="s">
        <v>2990</v>
      </c>
      <c r="G464" s="12" t="s">
        <v>2992</v>
      </c>
      <c r="H464" s="12" t="s">
        <v>2993</v>
      </c>
      <c r="I464" s="12" t="b">
        <v>1</v>
      </c>
      <c r="J464" s="12" t="s">
        <v>69</v>
      </c>
      <c r="P464" s="12">
        <v>1869207.0</v>
      </c>
      <c r="Q464" s="12" t="b">
        <v>1</v>
      </c>
    </row>
    <row r="465">
      <c r="A465" s="12" t="s">
        <v>2994</v>
      </c>
      <c r="B465" s="12" t="s">
        <v>54</v>
      </c>
      <c r="C465" s="15">
        <v>46009.0</v>
      </c>
      <c r="D465" s="12" t="s">
        <v>220</v>
      </c>
      <c r="E465" s="12" t="s">
        <v>2996</v>
      </c>
      <c r="G465" s="12" t="s">
        <v>2997</v>
      </c>
      <c r="H465" s="12" t="s">
        <v>2999</v>
      </c>
      <c r="I465" s="12" t="b">
        <v>1</v>
      </c>
      <c r="J465" s="12" t="s">
        <v>69</v>
      </c>
      <c r="P465" s="12">
        <v>1870314.0</v>
      </c>
      <c r="Q465" s="12" t="b">
        <v>1</v>
      </c>
    </row>
    <row r="466">
      <c r="A466" s="12">
        <v>1277.0</v>
      </c>
      <c r="B466" s="12" t="s">
        <v>54</v>
      </c>
      <c r="C466" s="15">
        <v>46009.0</v>
      </c>
      <c r="D466" s="12" t="s">
        <v>933</v>
      </c>
      <c r="H466" s="12" t="s">
        <v>1494</v>
      </c>
      <c r="J466" s="12" t="s">
        <v>621</v>
      </c>
      <c r="O466" s="12">
        <v>11150.48</v>
      </c>
      <c r="Q466" s="12" t="b">
        <v>1</v>
      </c>
    </row>
    <row r="467">
      <c r="A467" s="12">
        <v>1278.0</v>
      </c>
      <c r="B467" s="12" t="s">
        <v>54</v>
      </c>
      <c r="C467" s="15">
        <v>46009.0</v>
      </c>
      <c r="D467" s="12" t="s">
        <v>734</v>
      </c>
      <c r="H467" s="12" t="s">
        <v>1466</v>
      </c>
      <c r="J467" s="12" t="s">
        <v>621</v>
      </c>
      <c r="O467" s="12">
        <v>0.0</v>
      </c>
      <c r="Q467" s="12" t="b">
        <v>1</v>
      </c>
    </row>
    <row r="468">
      <c r="A468" s="12">
        <v>1279.0</v>
      </c>
      <c r="B468" s="12" t="s">
        <v>54</v>
      </c>
      <c r="C468" s="15">
        <v>46009.0</v>
      </c>
      <c r="D468" s="12" t="s">
        <v>1067</v>
      </c>
      <c r="H468" s="12" t="s">
        <v>1068</v>
      </c>
      <c r="J468" s="12" t="s">
        <v>621</v>
      </c>
      <c r="O468" s="12">
        <v>0.0</v>
      </c>
      <c r="Q468" s="12" t="b">
        <v>1</v>
      </c>
    </row>
    <row r="469">
      <c r="A469" s="12">
        <v>1280.0</v>
      </c>
      <c r="B469" s="12" t="s">
        <v>54</v>
      </c>
      <c r="C469" s="15">
        <v>46009.0</v>
      </c>
      <c r="D469" s="12" t="s">
        <v>1484</v>
      </c>
      <c r="H469" s="12" t="s">
        <v>1485</v>
      </c>
      <c r="J469" s="12" t="s">
        <v>621</v>
      </c>
      <c r="O469" s="12">
        <v>20.0</v>
      </c>
      <c r="Q469" s="12" t="b">
        <v>1</v>
      </c>
    </row>
    <row r="470">
      <c r="A470" s="12" t="s">
        <v>2183</v>
      </c>
      <c r="B470" s="12" t="s">
        <v>54</v>
      </c>
      <c r="C470" s="15">
        <v>46009.0</v>
      </c>
      <c r="D470" s="12" t="s">
        <v>2854</v>
      </c>
      <c r="H470" s="12" t="s">
        <v>3018</v>
      </c>
      <c r="J470" s="12" t="s">
        <v>621</v>
      </c>
      <c r="O470" s="12">
        <v>396.99</v>
      </c>
      <c r="Q470" s="12" t="b">
        <v>1</v>
      </c>
    </row>
    <row r="471">
      <c r="A471" s="12" t="s">
        <v>2186</v>
      </c>
      <c r="B471" s="12" t="s">
        <v>54</v>
      </c>
      <c r="C471" s="15">
        <v>46009.0</v>
      </c>
      <c r="D471" s="12" t="s">
        <v>1067</v>
      </c>
      <c r="H471" s="12" t="s">
        <v>736</v>
      </c>
      <c r="J471" s="12" t="s">
        <v>621</v>
      </c>
      <c r="O471" s="12">
        <v>1222.47</v>
      </c>
      <c r="Q471" s="12" t="b">
        <v>1</v>
      </c>
    </row>
    <row r="472">
      <c r="A472" s="12" t="s">
        <v>2190</v>
      </c>
      <c r="B472" s="12" t="s">
        <v>54</v>
      </c>
      <c r="C472" s="15">
        <v>46009.0</v>
      </c>
      <c r="D472" s="12" t="s">
        <v>734</v>
      </c>
      <c r="H472" s="12" t="s">
        <v>3024</v>
      </c>
      <c r="J472" s="12" t="s">
        <v>621</v>
      </c>
      <c r="O472" s="12">
        <v>1536.96</v>
      </c>
      <c r="Q472" s="12" t="b">
        <v>1</v>
      </c>
    </row>
    <row r="473">
      <c r="A473" s="12" t="s">
        <v>2194</v>
      </c>
      <c r="B473" s="12" t="s">
        <v>54</v>
      </c>
      <c r="C473" s="15">
        <v>46009.0</v>
      </c>
      <c r="D473" s="12" t="s">
        <v>156</v>
      </c>
      <c r="H473" s="12" t="s">
        <v>3028</v>
      </c>
      <c r="J473" s="12" t="s">
        <v>621</v>
      </c>
      <c r="O473" s="12">
        <v>3845.6</v>
      </c>
      <c r="Q473" s="12" t="b">
        <v>1</v>
      </c>
    </row>
    <row r="474">
      <c r="A474" s="12">
        <v>1293.0</v>
      </c>
      <c r="B474" s="12" t="s">
        <v>54</v>
      </c>
      <c r="C474" s="15">
        <v>46009.0</v>
      </c>
      <c r="D474" s="12" t="s">
        <v>818</v>
      </c>
      <c r="H474" s="12" t="s">
        <v>3032</v>
      </c>
      <c r="J474" s="12" t="s">
        <v>621</v>
      </c>
      <c r="O474" s="12">
        <v>185.0</v>
      </c>
      <c r="Q474" s="12" t="b">
        <v>1</v>
      </c>
    </row>
    <row r="475">
      <c r="A475" s="12" t="s">
        <v>2200</v>
      </c>
      <c r="B475" s="12" t="s">
        <v>54</v>
      </c>
      <c r="C475" s="15">
        <v>46009.0</v>
      </c>
      <c r="D475" s="12" t="s">
        <v>1715</v>
      </c>
      <c r="H475" s="12" t="s">
        <v>3036</v>
      </c>
      <c r="J475" s="12" t="s">
        <v>621</v>
      </c>
      <c r="O475" s="12">
        <v>832.09</v>
      </c>
      <c r="Q475" s="12" t="b">
        <v>1</v>
      </c>
    </row>
    <row r="476">
      <c r="A476" s="12" t="s">
        <v>2206</v>
      </c>
      <c r="B476" s="12" t="s">
        <v>54</v>
      </c>
      <c r="C476" s="15">
        <v>46009.0</v>
      </c>
      <c r="D476" s="12" t="s">
        <v>156</v>
      </c>
      <c r="H476" s="12" t="s">
        <v>3041</v>
      </c>
      <c r="J476" s="12" t="s">
        <v>621</v>
      </c>
      <c r="O476" s="12">
        <v>3740.06</v>
      </c>
      <c r="Q476" s="12" t="b">
        <v>1</v>
      </c>
    </row>
    <row r="477">
      <c r="A477" s="12" t="s">
        <v>2208</v>
      </c>
      <c r="B477" s="12" t="s">
        <v>54</v>
      </c>
      <c r="C477" s="15">
        <v>46009.0</v>
      </c>
      <c r="D477" s="12" t="s">
        <v>2171</v>
      </c>
      <c r="H477" s="12" t="s">
        <v>3045</v>
      </c>
      <c r="J477" s="12" t="s">
        <v>621</v>
      </c>
      <c r="O477" s="12">
        <v>1406.16</v>
      </c>
      <c r="Q477" s="12" t="b">
        <v>1</v>
      </c>
    </row>
    <row r="478">
      <c r="A478" s="12">
        <v>1297.0</v>
      </c>
      <c r="B478" s="12" t="s">
        <v>54</v>
      </c>
      <c r="C478" s="15">
        <v>46009.0</v>
      </c>
      <c r="D478" s="12" t="s">
        <v>1712</v>
      </c>
      <c r="H478" s="14">
        <v>45931.0</v>
      </c>
      <c r="J478" s="12" t="s">
        <v>621</v>
      </c>
      <c r="O478" s="12">
        <v>236.83</v>
      </c>
      <c r="Q478" s="12" t="b">
        <v>1</v>
      </c>
    </row>
    <row r="479">
      <c r="A479" s="12">
        <v>1298.0</v>
      </c>
      <c r="B479" s="12" t="s">
        <v>54</v>
      </c>
      <c r="C479" s="15">
        <v>46009.0</v>
      </c>
      <c r="D479" s="12" t="s">
        <v>1715</v>
      </c>
      <c r="H479" s="14">
        <v>45717.0</v>
      </c>
      <c r="J479" s="12" t="s">
        <v>621</v>
      </c>
      <c r="O479" s="12">
        <v>65.15</v>
      </c>
      <c r="Q479" s="12" t="b">
        <v>1</v>
      </c>
    </row>
    <row r="480">
      <c r="A480" s="12" t="s">
        <v>2216</v>
      </c>
      <c r="B480" s="12" t="s">
        <v>54</v>
      </c>
      <c r="C480" s="15">
        <v>46009.0</v>
      </c>
      <c r="H480" s="12" t="s">
        <v>1991</v>
      </c>
      <c r="J480" s="12" t="s">
        <v>621</v>
      </c>
      <c r="K480" s="12" t="s">
        <v>727</v>
      </c>
      <c r="O480" s="12">
        <v>2000.0</v>
      </c>
      <c r="Q480" s="12" t="b">
        <v>1</v>
      </c>
    </row>
    <row r="481">
      <c r="A481" s="12" t="s">
        <v>3057</v>
      </c>
      <c r="B481" s="12" t="s">
        <v>54</v>
      </c>
      <c r="C481" s="15">
        <v>46010.0</v>
      </c>
      <c r="D481" s="12" t="s">
        <v>109</v>
      </c>
      <c r="E481" s="12" t="s">
        <v>3060</v>
      </c>
      <c r="G481" s="12" t="s">
        <v>3063</v>
      </c>
      <c r="H481" s="12" t="s">
        <v>3065</v>
      </c>
      <c r="I481" s="12" t="b">
        <v>1</v>
      </c>
      <c r="J481" s="12" t="s">
        <v>69</v>
      </c>
      <c r="P481" s="12">
        <v>1870898.0</v>
      </c>
      <c r="Q481" s="12" t="b">
        <v>1</v>
      </c>
    </row>
    <row r="482">
      <c r="A482" s="12" t="s">
        <v>3068</v>
      </c>
      <c r="B482" s="12" t="s">
        <v>54</v>
      </c>
      <c r="C482" s="15">
        <v>46010.0</v>
      </c>
      <c r="D482" s="12" t="s">
        <v>375</v>
      </c>
      <c r="E482" s="12" t="s">
        <v>3069</v>
      </c>
      <c r="G482" s="12" t="s">
        <v>3070</v>
      </c>
      <c r="H482" s="12" t="s">
        <v>153</v>
      </c>
      <c r="I482" s="12" t="b">
        <v>1</v>
      </c>
      <c r="J482" s="12" t="s">
        <v>69</v>
      </c>
      <c r="P482" s="12">
        <v>1872081.0</v>
      </c>
      <c r="Q482" s="12" t="b">
        <v>1</v>
      </c>
    </row>
    <row r="483">
      <c r="A483" s="12" t="s">
        <v>2218</v>
      </c>
      <c r="B483" s="12" t="s">
        <v>54</v>
      </c>
      <c r="C483" s="15">
        <v>46010.0</v>
      </c>
      <c r="H483" s="12" t="s">
        <v>1112</v>
      </c>
      <c r="J483" s="12" t="s">
        <v>191</v>
      </c>
      <c r="K483" s="12" t="s">
        <v>1183</v>
      </c>
      <c r="O483" s="12">
        <v>500.0</v>
      </c>
      <c r="Q483" s="12" t="b">
        <v>1</v>
      </c>
    </row>
    <row r="484">
      <c r="A484" s="12" t="s">
        <v>2221</v>
      </c>
      <c r="B484" s="12" t="s">
        <v>54</v>
      </c>
      <c r="C484" s="15">
        <v>46010.0</v>
      </c>
      <c r="H484" s="12" t="s">
        <v>1112</v>
      </c>
      <c r="J484" s="12" t="s">
        <v>191</v>
      </c>
      <c r="K484" s="12" t="s">
        <v>78</v>
      </c>
      <c r="O484" s="12">
        <v>100.0</v>
      </c>
      <c r="Q484" s="12" t="b">
        <v>1</v>
      </c>
    </row>
    <row r="485">
      <c r="A485" s="12" t="s">
        <v>3083</v>
      </c>
      <c r="B485" s="12" t="s">
        <v>54</v>
      </c>
      <c r="C485" s="15">
        <v>46001.0</v>
      </c>
      <c r="D485" s="12" t="s">
        <v>775</v>
      </c>
      <c r="E485" s="12" t="s">
        <v>3085</v>
      </c>
      <c r="G485" s="12" t="s">
        <v>3086</v>
      </c>
      <c r="H485" s="12" t="s">
        <v>3088</v>
      </c>
      <c r="I485" s="12" t="b">
        <v>0</v>
      </c>
      <c r="J485" s="12" t="s">
        <v>69</v>
      </c>
      <c r="Q485" s="12" t="b">
        <v>1</v>
      </c>
    </row>
    <row r="486">
      <c r="A486" s="12" t="s">
        <v>3089</v>
      </c>
      <c r="B486" s="12" t="s">
        <v>54</v>
      </c>
      <c r="C486" s="15">
        <v>46013.0</v>
      </c>
      <c r="D486" s="12" t="s">
        <v>375</v>
      </c>
      <c r="E486" s="12" t="s">
        <v>3091</v>
      </c>
      <c r="G486" s="12" t="s">
        <v>3092</v>
      </c>
      <c r="H486" s="12" t="s">
        <v>3093</v>
      </c>
      <c r="I486" s="12" t="b">
        <v>1</v>
      </c>
      <c r="J486" s="12" t="s">
        <v>69</v>
      </c>
      <c r="P486" s="12">
        <v>1879896.0</v>
      </c>
      <c r="Q486" s="12" t="b">
        <v>1</v>
      </c>
    </row>
    <row r="487">
      <c r="A487" s="12" t="s">
        <v>3095</v>
      </c>
      <c r="B487" s="12" t="s">
        <v>54</v>
      </c>
      <c r="C487" s="15">
        <v>46013.0</v>
      </c>
      <c r="D487" s="12" t="s">
        <v>220</v>
      </c>
      <c r="E487" s="12" t="s">
        <v>3097</v>
      </c>
      <c r="G487" s="12" t="s">
        <v>3099</v>
      </c>
      <c r="H487" s="12" t="s">
        <v>2487</v>
      </c>
      <c r="I487" s="12" t="b">
        <v>1</v>
      </c>
      <c r="J487" s="12" t="s">
        <v>69</v>
      </c>
      <c r="P487" s="12">
        <v>1880015.0</v>
      </c>
      <c r="Q487" s="12" t="b">
        <v>1</v>
      </c>
    </row>
    <row r="488">
      <c r="A488" s="12">
        <v>1268.0</v>
      </c>
      <c r="B488" s="12" t="s">
        <v>54</v>
      </c>
      <c r="C488" s="15">
        <v>46014.0</v>
      </c>
      <c r="D488" s="12" t="s">
        <v>156</v>
      </c>
      <c r="H488" s="12" t="s">
        <v>1905</v>
      </c>
      <c r="J488" s="12" t="s">
        <v>621</v>
      </c>
      <c r="O488" s="12">
        <v>625.0</v>
      </c>
      <c r="Q488" s="12" t="b">
        <v>1</v>
      </c>
    </row>
    <row r="489">
      <c r="A489" s="12">
        <v>1309.0</v>
      </c>
      <c r="B489" s="12" t="s">
        <v>54</v>
      </c>
      <c r="C489" s="15">
        <v>46014.0</v>
      </c>
      <c r="H489" s="12" t="s">
        <v>3108</v>
      </c>
      <c r="J489" s="12" t="s">
        <v>621</v>
      </c>
      <c r="K489" s="12" t="s">
        <v>259</v>
      </c>
      <c r="O489" s="12">
        <v>585.0</v>
      </c>
      <c r="Q489" s="12" t="b">
        <v>1</v>
      </c>
    </row>
    <row r="490">
      <c r="A490" s="12" t="s">
        <v>2232</v>
      </c>
      <c r="B490" s="12" t="s">
        <v>54</v>
      </c>
      <c r="C490" s="15">
        <v>46014.0</v>
      </c>
      <c r="D490" s="12" t="s">
        <v>1316</v>
      </c>
      <c r="H490" s="12" t="s">
        <v>3112</v>
      </c>
      <c r="J490" s="12" t="s">
        <v>621</v>
      </c>
      <c r="O490" s="12">
        <v>932.04</v>
      </c>
      <c r="Q490" s="12" t="b">
        <v>1</v>
      </c>
    </row>
    <row r="491">
      <c r="A491" s="12" t="s">
        <v>3115</v>
      </c>
      <c r="B491" s="12" t="s">
        <v>54</v>
      </c>
      <c r="C491" s="15">
        <v>46017.0</v>
      </c>
      <c r="D491" s="12" t="s">
        <v>220</v>
      </c>
      <c r="E491" s="12" t="s">
        <v>3117</v>
      </c>
      <c r="G491" s="12" t="s">
        <v>3119</v>
      </c>
      <c r="H491" s="12" t="s">
        <v>2814</v>
      </c>
      <c r="I491" s="12" t="b">
        <v>1</v>
      </c>
      <c r="J491" s="12" t="s">
        <v>69</v>
      </c>
      <c r="P491" s="12">
        <v>1886462.0</v>
      </c>
      <c r="Q491" s="12" t="b">
        <v>1</v>
      </c>
    </row>
    <row r="492">
      <c r="A492" s="12" t="s">
        <v>3121</v>
      </c>
      <c r="B492" s="12" t="s">
        <v>54</v>
      </c>
      <c r="C492" s="15">
        <v>46017.0</v>
      </c>
      <c r="D492" s="12" t="s">
        <v>220</v>
      </c>
      <c r="E492" s="12" t="s">
        <v>3117</v>
      </c>
      <c r="G492" s="12" t="s">
        <v>3124</v>
      </c>
      <c r="H492" s="12" t="s">
        <v>2814</v>
      </c>
      <c r="I492" s="12" t="b">
        <v>1</v>
      </c>
      <c r="J492" s="12" t="s">
        <v>69</v>
      </c>
      <c r="P492" s="12">
        <v>1886469.0</v>
      </c>
      <c r="Q492" s="12" t="b">
        <v>1</v>
      </c>
    </row>
    <row r="493">
      <c r="A493" s="12" t="s">
        <v>2235</v>
      </c>
      <c r="B493" s="12" t="s">
        <v>54</v>
      </c>
      <c r="C493" s="15">
        <v>46017.0</v>
      </c>
      <c r="H493" s="12" t="s">
        <v>3128</v>
      </c>
      <c r="J493" s="12" t="s">
        <v>621</v>
      </c>
      <c r="K493" s="12" t="s">
        <v>2739</v>
      </c>
      <c r="O493" s="12">
        <v>7500.0</v>
      </c>
      <c r="Q493" s="12" t="b">
        <v>1</v>
      </c>
    </row>
    <row r="494">
      <c r="A494" s="12" t="s">
        <v>2241</v>
      </c>
      <c r="B494" s="12" t="s">
        <v>54</v>
      </c>
      <c r="C494" s="15">
        <v>46017.0</v>
      </c>
      <c r="H494" s="12" t="s">
        <v>1112</v>
      </c>
      <c r="J494" s="12" t="s">
        <v>191</v>
      </c>
      <c r="K494" s="12" t="s">
        <v>62</v>
      </c>
      <c r="O494" s="12">
        <v>350.0</v>
      </c>
      <c r="Q494" s="12" t="b">
        <v>1</v>
      </c>
    </row>
    <row r="495">
      <c r="A495" s="12" t="s">
        <v>3135</v>
      </c>
      <c r="B495" s="12" t="s">
        <v>54</v>
      </c>
      <c r="C495" s="15">
        <v>46018.0</v>
      </c>
      <c r="D495" s="12" t="s">
        <v>182</v>
      </c>
      <c r="E495" s="12" t="s">
        <v>3138</v>
      </c>
      <c r="G495" s="12" t="s">
        <v>3139</v>
      </c>
      <c r="H495" s="12" t="s">
        <v>2340</v>
      </c>
      <c r="I495" s="12" t="b">
        <v>1</v>
      </c>
      <c r="J495" s="12" t="s">
        <v>69</v>
      </c>
      <c r="P495" s="12">
        <v>1891138.0</v>
      </c>
      <c r="Q495" s="12" t="b">
        <v>1</v>
      </c>
    </row>
    <row r="496">
      <c r="A496" s="12" t="s">
        <v>2243</v>
      </c>
      <c r="B496" s="12" t="s">
        <v>54</v>
      </c>
      <c r="C496" s="15">
        <v>46018.0</v>
      </c>
      <c r="H496" s="12" t="s">
        <v>1112</v>
      </c>
      <c r="J496" s="12" t="s">
        <v>191</v>
      </c>
      <c r="K496" s="12" t="s">
        <v>78</v>
      </c>
      <c r="O496" s="12">
        <v>150.0</v>
      </c>
      <c r="Q496" s="12" t="b">
        <v>1</v>
      </c>
    </row>
    <row r="497">
      <c r="A497" s="12" t="s">
        <v>3143</v>
      </c>
      <c r="B497" s="12" t="s">
        <v>54</v>
      </c>
      <c r="C497" s="15">
        <v>46013.0</v>
      </c>
      <c r="D497" s="12" t="s">
        <v>912</v>
      </c>
      <c r="E497" s="12" t="s">
        <v>3144</v>
      </c>
      <c r="G497" s="12" t="s">
        <v>3146</v>
      </c>
      <c r="H497" s="12" t="s">
        <v>2257</v>
      </c>
      <c r="I497" s="12" t="b">
        <v>0</v>
      </c>
      <c r="J497" s="12" t="s">
        <v>69</v>
      </c>
      <c r="Q497" s="12" t="b">
        <v>1</v>
      </c>
    </row>
    <row r="498">
      <c r="A498" s="12" t="s">
        <v>3148</v>
      </c>
      <c r="B498" s="12" t="s">
        <v>54</v>
      </c>
      <c r="C498" s="15">
        <v>46013.0</v>
      </c>
      <c r="D498" s="12" t="s">
        <v>912</v>
      </c>
      <c r="E498" s="12" t="s">
        <v>3150</v>
      </c>
      <c r="G498" s="12" t="s">
        <v>3152</v>
      </c>
      <c r="H498" s="12" t="s">
        <v>488</v>
      </c>
      <c r="I498" s="12" t="b">
        <v>0</v>
      </c>
      <c r="J498" s="12" t="s">
        <v>69</v>
      </c>
      <c r="L498" s="12" t="s">
        <v>3153</v>
      </c>
      <c r="M498" s="12" t="s">
        <v>3154</v>
      </c>
      <c r="Q498" s="12" t="b">
        <v>1</v>
      </c>
    </row>
    <row r="499">
      <c r="A499" s="12" t="s">
        <v>3156</v>
      </c>
      <c r="B499" s="12" t="s">
        <v>54</v>
      </c>
      <c r="C499" s="15">
        <v>46020.0</v>
      </c>
      <c r="D499" s="12" t="s">
        <v>375</v>
      </c>
      <c r="E499" s="12" t="s">
        <v>3158</v>
      </c>
      <c r="G499" s="12" t="s">
        <v>3159</v>
      </c>
      <c r="H499" s="12" t="s">
        <v>153</v>
      </c>
      <c r="I499" s="12" t="b">
        <v>1</v>
      </c>
      <c r="J499" s="12" t="s">
        <v>69</v>
      </c>
      <c r="P499" s="12">
        <v>1895109.0</v>
      </c>
      <c r="Q499" s="12" t="b">
        <v>1</v>
      </c>
    </row>
    <row r="500">
      <c r="A500" s="12" t="s">
        <v>3162</v>
      </c>
      <c r="B500" s="12" t="s">
        <v>54</v>
      </c>
      <c r="C500" s="15">
        <v>46014.0</v>
      </c>
      <c r="D500" s="12" t="s">
        <v>324</v>
      </c>
      <c r="E500" s="12" t="s">
        <v>3164</v>
      </c>
      <c r="G500" s="12" t="s">
        <v>3165</v>
      </c>
      <c r="H500" s="12" t="s">
        <v>3166</v>
      </c>
      <c r="I500" s="12" t="b">
        <v>1</v>
      </c>
      <c r="J500" s="12" t="s">
        <v>69</v>
      </c>
      <c r="P500" s="12">
        <v>1895893.0</v>
      </c>
      <c r="Q500" s="12" t="b">
        <v>1</v>
      </c>
    </row>
    <row r="501">
      <c r="A501" s="12">
        <v>1303.0</v>
      </c>
      <c r="B501" s="12" t="s">
        <v>54</v>
      </c>
      <c r="C501" s="15">
        <v>46021.0</v>
      </c>
      <c r="H501" s="12" t="s">
        <v>1644</v>
      </c>
      <c r="J501" s="12" t="s">
        <v>191</v>
      </c>
      <c r="K501" s="12" t="s">
        <v>727</v>
      </c>
      <c r="O501" s="12">
        <v>3500.0</v>
      </c>
      <c r="Q501" s="12" t="b">
        <v>1</v>
      </c>
    </row>
    <row r="502">
      <c r="A502" s="12">
        <v>1304.0</v>
      </c>
      <c r="B502" s="12" t="s">
        <v>54</v>
      </c>
      <c r="C502" s="15">
        <v>46021.0</v>
      </c>
      <c r="H502" s="12" t="s">
        <v>1884</v>
      </c>
      <c r="J502" s="12" t="s">
        <v>191</v>
      </c>
      <c r="K502" s="12" t="s">
        <v>727</v>
      </c>
      <c r="O502" s="12">
        <v>4272.55</v>
      </c>
      <c r="Q502" s="12" t="b">
        <v>1</v>
      </c>
    </row>
    <row r="503">
      <c r="A503" s="12">
        <v>1305.0</v>
      </c>
      <c r="B503" s="12" t="s">
        <v>54</v>
      </c>
      <c r="C503" s="15">
        <v>46021.0</v>
      </c>
      <c r="H503" s="12" t="s">
        <v>1884</v>
      </c>
      <c r="J503" s="12" t="s">
        <v>191</v>
      </c>
      <c r="K503" s="12" t="s">
        <v>1183</v>
      </c>
      <c r="O503" s="12">
        <v>1805.05</v>
      </c>
      <c r="Q503" s="12" t="b">
        <v>1</v>
      </c>
    </row>
    <row r="504">
      <c r="A504" s="12">
        <v>1306.0</v>
      </c>
      <c r="B504" s="12" t="s">
        <v>54</v>
      </c>
      <c r="C504" s="15">
        <v>46021.0</v>
      </c>
      <c r="H504" s="12" t="s">
        <v>1884</v>
      </c>
      <c r="J504" s="12" t="s">
        <v>191</v>
      </c>
      <c r="K504" s="12" t="s">
        <v>62</v>
      </c>
      <c r="O504" s="12">
        <v>2140.44</v>
      </c>
      <c r="Q504" s="12" t="b">
        <v>1</v>
      </c>
    </row>
    <row r="505">
      <c r="A505" s="12">
        <v>1307.0</v>
      </c>
      <c r="B505" s="12" t="s">
        <v>54</v>
      </c>
      <c r="C505" s="15">
        <v>46021.0</v>
      </c>
      <c r="H505" s="12" t="s">
        <v>1884</v>
      </c>
      <c r="J505" s="12" t="s">
        <v>191</v>
      </c>
      <c r="K505" s="12" t="s">
        <v>78</v>
      </c>
      <c r="O505" s="12">
        <v>1755.94</v>
      </c>
      <c r="Q505" s="12" t="b">
        <v>1</v>
      </c>
    </row>
    <row r="506">
      <c r="A506" s="12">
        <v>1308.0</v>
      </c>
      <c r="B506" s="12" t="s">
        <v>54</v>
      </c>
      <c r="C506" s="15">
        <v>46021.0</v>
      </c>
      <c r="H506" s="12" t="s">
        <v>1884</v>
      </c>
      <c r="J506" s="12" t="s">
        <v>191</v>
      </c>
      <c r="K506" s="12" t="s">
        <v>1900</v>
      </c>
      <c r="O506" s="12">
        <v>1616.58</v>
      </c>
      <c r="Q506" s="12" t="b">
        <v>1</v>
      </c>
    </row>
    <row r="507">
      <c r="A507" s="12" t="s">
        <v>2261</v>
      </c>
      <c r="B507" s="12" t="s">
        <v>54</v>
      </c>
      <c r="C507" s="15">
        <v>46021.0</v>
      </c>
      <c r="H507" s="12" t="s">
        <v>1112</v>
      </c>
      <c r="J507" s="12" t="s">
        <v>191</v>
      </c>
      <c r="K507" s="12" t="s">
        <v>78</v>
      </c>
      <c r="O507" s="12">
        <v>350.0</v>
      </c>
      <c r="Q507" s="12" t="b">
        <v>1</v>
      </c>
    </row>
    <row r="508">
      <c r="A508" s="12" t="s">
        <v>3182</v>
      </c>
      <c r="B508" s="12" t="s">
        <v>54</v>
      </c>
      <c r="C508" s="15">
        <v>46021.0</v>
      </c>
      <c r="D508" s="12" t="s">
        <v>220</v>
      </c>
      <c r="E508" s="12" t="s">
        <v>3183</v>
      </c>
      <c r="G508" s="12" t="s">
        <v>3185</v>
      </c>
      <c r="H508" s="12" t="s">
        <v>2814</v>
      </c>
      <c r="I508" s="12" t="b">
        <v>1</v>
      </c>
      <c r="J508" s="12" t="s">
        <v>69</v>
      </c>
      <c r="P508" s="12">
        <v>1899448.0</v>
      </c>
      <c r="Q508" s="12" t="b">
        <v>1</v>
      </c>
    </row>
    <row r="509">
      <c r="A509" s="12" t="s">
        <v>3186</v>
      </c>
      <c r="B509" s="12" t="s">
        <v>54</v>
      </c>
      <c r="C509" s="15">
        <v>46021.0</v>
      </c>
      <c r="D509" s="12" t="s">
        <v>220</v>
      </c>
      <c r="E509" s="12" t="s">
        <v>3189</v>
      </c>
      <c r="G509" s="12" t="s">
        <v>3190</v>
      </c>
      <c r="H509" s="12" t="s">
        <v>2340</v>
      </c>
      <c r="I509" s="12" t="b">
        <v>1</v>
      </c>
      <c r="J509" s="12" t="s">
        <v>69</v>
      </c>
      <c r="P509" s="12">
        <v>1899447.0</v>
      </c>
      <c r="Q509" s="12" t="b">
        <v>1</v>
      </c>
    </row>
    <row r="510">
      <c r="A510" s="12" t="s">
        <v>2912</v>
      </c>
      <c r="B510" s="12" t="s">
        <v>54</v>
      </c>
      <c r="C510" s="14">
        <v>46024.0</v>
      </c>
      <c r="D510" s="12" t="s">
        <v>1043</v>
      </c>
      <c r="E510" s="12" t="s">
        <v>3192</v>
      </c>
      <c r="G510" s="12" t="s">
        <v>3193</v>
      </c>
      <c r="H510" s="12" t="s">
        <v>859</v>
      </c>
      <c r="I510" s="12" t="b">
        <v>1</v>
      </c>
      <c r="J510" s="12" t="s">
        <v>1784</v>
      </c>
      <c r="O510" s="12">
        <v>300.0</v>
      </c>
      <c r="P510" s="12">
        <v>1901900.0</v>
      </c>
      <c r="Q510" s="12" t="b">
        <v>1</v>
      </c>
    </row>
    <row r="511">
      <c r="A511" s="12" t="s">
        <v>2915</v>
      </c>
      <c r="B511" s="12" t="s">
        <v>54</v>
      </c>
      <c r="C511" s="14">
        <v>46024.0</v>
      </c>
      <c r="D511" s="12" t="s">
        <v>627</v>
      </c>
      <c r="E511" s="12" t="s">
        <v>3198</v>
      </c>
      <c r="G511" s="12" t="s">
        <v>3199</v>
      </c>
      <c r="H511" s="12" t="s">
        <v>3200</v>
      </c>
      <c r="I511" s="12" t="b">
        <v>1</v>
      </c>
      <c r="J511" s="12" t="s">
        <v>1784</v>
      </c>
      <c r="O511" s="12">
        <v>264.79</v>
      </c>
      <c r="P511" s="12">
        <v>1908938.0</v>
      </c>
      <c r="Q511" s="12" t="b">
        <v>1</v>
      </c>
    </row>
    <row r="512">
      <c r="A512" s="12" t="s">
        <v>2934</v>
      </c>
      <c r="B512" s="12" t="s">
        <v>54</v>
      </c>
      <c r="C512" s="14">
        <v>46025.0</v>
      </c>
      <c r="D512" s="12" t="s">
        <v>627</v>
      </c>
      <c r="E512" s="12" t="s">
        <v>3204</v>
      </c>
      <c r="G512" s="12" t="s">
        <v>3206</v>
      </c>
      <c r="H512" s="12" t="s">
        <v>3207</v>
      </c>
      <c r="I512" s="12" t="b">
        <v>1</v>
      </c>
      <c r="J512" s="12" t="s">
        <v>1784</v>
      </c>
      <c r="O512" s="12">
        <v>38.76</v>
      </c>
      <c r="P512" s="12">
        <v>1908934.0</v>
      </c>
      <c r="Q512" s="12" t="b">
        <v>1</v>
      </c>
    </row>
    <row r="513">
      <c r="A513" s="12" t="s">
        <v>2944</v>
      </c>
      <c r="B513" s="12" t="s">
        <v>54</v>
      </c>
      <c r="C513" s="14">
        <v>46026.0</v>
      </c>
      <c r="D513" s="12" t="s">
        <v>627</v>
      </c>
      <c r="E513" s="12" t="s">
        <v>3211</v>
      </c>
      <c r="G513" s="12" t="s">
        <v>3212</v>
      </c>
      <c r="H513" s="12" t="s">
        <v>3213</v>
      </c>
      <c r="I513" s="12" t="b">
        <v>1</v>
      </c>
      <c r="J513" s="12" t="s">
        <v>1784</v>
      </c>
      <c r="O513" s="12">
        <v>125.64</v>
      </c>
      <c r="P513" s="12">
        <v>1908931.0</v>
      </c>
      <c r="Q513" s="12" t="b">
        <v>1</v>
      </c>
    </row>
    <row r="514">
      <c r="A514" s="12" t="s">
        <v>3215</v>
      </c>
      <c r="B514" s="12" t="s">
        <v>54</v>
      </c>
      <c r="C514" s="15">
        <v>46020.0</v>
      </c>
      <c r="D514" s="12" t="s">
        <v>156</v>
      </c>
      <c r="E514" s="12" t="s">
        <v>3218</v>
      </c>
      <c r="G514" s="12" t="s">
        <v>3220</v>
      </c>
      <c r="H514" s="12" t="s">
        <v>368</v>
      </c>
      <c r="I514" s="12" t="b">
        <v>0</v>
      </c>
      <c r="J514" s="12" t="s">
        <v>69</v>
      </c>
      <c r="L514" s="12" t="s">
        <v>3222</v>
      </c>
      <c r="Q514" s="12" t="b">
        <v>1</v>
      </c>
    </row>
    <row r="515">
      <c r="A515" s="12" t="s">
        <v>3224</v>
      </c>
      <c r="B515" s="12" t="s">
        <v>54</v>
      </c>
      <c r="C515" s="15">
        <v>46021.0</v>
      </c>
      <c r="D515" s="12" t="s">
        <v>784</v>
      </c>
      <c r="E515" s="12" t="s">
        <v>3226</v>
      </c>
      <c r="G515" s="12" t="s">
        <v>3228</v>
      </c>
      <c r="H515" s="12" t="s">
        <v>715</v>
      </c>
      <c r="I515" s="12" t="b">
        <v>0</v>
      </c>
      <c r="J515" s="12" t="s">
        <v>69</v>
      </c>
      <c r="Q515" s="12" t="b">
        <v>1</v>
      </c>
    </row>
    <row r="516">
      <c r="A516" s="12" t="s">
        <v>2264</v>
      </c>
      <c r="B516" s="12" t="s">
        <v>54</v>
      </c>
      <c r="C516" s="14">
        <v>46027.0</v>
      </c>
      <c r="D516" s="12" t="s">
        <v>912</v>
      </c>
      <c r="H516" s="12" t="s">
        <v>3232</v>
      </c>
      <c r="J516" s="12" t="s">
        <v>621</v>
      </c>
      <c r="O516" s="12">
        <v>3316.87</v>
      </c>
      <c r="Q516" s="12" t="b">
        <v>1</v>
      </c>
    </row>
    <row r="517">
      <c r="A517" s="12">
        <v>1316.0</v>
      </c>
      <c r="B517" s="12" t="s">
        <v>54</v>
      </c>
      <c r="C517" s="14">
        <v>46027.0</v>
      </c>
      <c r="D517" s="12" t="s">
        <v>848</v>
      </c>
      <c r="H517" s="12" t="s">
        <v>1226</v>
      </c>
      <c r="J517" s="12" t="s">
        <v>621</v>
      </c>
      <c r="O517" s="12">
        <v>4000.0</v>
      </c>
      <c r="Q517" s="12" t="b">
        <v>1</v>
      </c>
    </row>
    <row r="518">
      <c r="A518" s="12" t="s">
        <v>2269</v>
      </c>
      <c r="B518" s="12" t="s">
        <v>54</v>
      </c>
      <c r="C518" s="14">
        <v>46027.0</v>
      </c>
      <c r="D518" s="12" t="s">
        <v>156</v>
      </c>
      <c r="H518" s="12" t="s">
        <v>3237</v>
      </c>
      <c r="J518" s="12" t="s">
        <v>621</v>
      </c>
      <c r="O518" s="12">
        <v>1558.79</v>
      </c>
      <c r="Q518" s="12" t="b">
        <v>1</v>
      </c>
    </row>
    <row r="519">
      <c r="A519" s="12" t="s">
        <v>2271</v>
      </c>
      <c r="B519" s="12" t="s">
        <v>54</v>
      </c>
      <c r="C519" s="14">
        <v>46027.0</v>
      </c>
      <c r="H519" s="12" t="s">
        <v>1112</v>
      </c>
      <c r="J519" s="12" t="s">
        <v>191</v>
      </c>
      <c r="K519" s="12" t="s">
        <v>62</v>
      </c>
      <c r="O519" s="12">
        <v>50.0</v>
      </c>
      <c r="Q519" s="12" t="b">
        <v>1</v>
      </c>
    </row>
    <row r="520">
      <c r="A520" s="12" t="s">
        <v>2904</v>
      </c>
      <c r="B520" s="12" t="s">
        <v>54</v>
      </c>
      <c r="C520" s="15">
        <v>46019.0</v>
      </c>
      <c r="D520" s="12" t="s">
        <v>182</v>
      </c>
      <c r="E520" s="12" t="s">
        <v>3241</v>
      </c>
      <c r="G520" s="12" t="s">
        <v>3242</v>
      </c>
      <c r="H520" s="12" t="s">
        <v>3243</v>
      </c>
      <c r="I520" s="12" t="b">
        <v>1</v>
      </c>
      <c r="J520" s="12" t="s">
        <v>1784</v>
      </c>
      <c r="O520" s="12">
        <v>27.74</v>
      </c>
      <c r="P520" s="12">
        <v>1893210.0</v>
      </c>
      <c r="Q520" s="12" t="b">
        <v>1</v>
      </c>
    </row>
    <row r="521">
      <c r="A521" s="12" t="s">
        <v>2909</v>
      </c>
      <c r="B521" s="12" t="s">
        <v>54</v>
      </c>
      <c r="C521" s="15">
        <v>46021.0</v>
      </c>
      <c r="D521" s="12" t="s">
        <v>556</v>
      </c>
      <c r="E521" s="12" t="s">
        <v>3246</v>
      </c>
      <c r="G521" s="12" t="s">
        <v>3247</v>
      </c>
      <c r="H521" s="12" t="s">
        <v>859</v>
      </c>
      <c r="I521" s="12" t="b">
        <v>1</v>
      </c>
      <c r="J521" s="12" t="s">
        <v>1784</v>
      </c>
      <c r="O521" s="12">
        <v>330.0</v>
      </c>
      <c r="P521" s="12">
        <v>1899880.0</v>
      </c>
      <c r="Q521" s="12" t="b">
        <v>1</v>
      </c>
    </row>
    <row r="522">
      <c r="A522" s="12" t="s">
        <v>2957</v>
      </c>
      <c r="B522" s="12" t="s">
        <v>54</v>
      </c>
      <c r="C522" s="14">
        <v>46028.0</v>
      </c>
      <c r="D522" s="12" t="s">
        <v>3251</v>
      </c>
      <c r="E522" s="12" t="s">
        <v>3252</v>
      </c>
      <c r="G522" s="12" t="s">
        <v>3253</v>
      </c>
      <c r="H522" s="12" t="s">
        <v>1988</v>
      </c>
      <c r="I522" s="12" t="b">
        <v>1</v>
      </c>
      <c r="J522" s="12" t="s">
        <v>1784</v>
      </c>
      <c r="O522" s="12">
        <v>991.0</v>
      </c>
      <c r="P522" s="12">
        <v>1912392.0</v>
      </c>
      <c r="Q522" s="12" t="b">
        <v>1</v>
      </c>
    </row>
    <row r="523">
      <c r="A523" s="12" t="s">
        <v>2967</v>
      </c>
      <c r="B523" s="12" t="s">
        <v>54</v>
      </c>
      <c r="C523" s="14">
        <v>46028.0</v>
      </c>
      <c r="D523" s="12" t="s">
        <v>3251</v>
      </c>
      <c r="E523" s="12" t="s">
        <v>3255</v>
      </c>
      <c r="G523" s="12" t="s">
        <v>3257</v>
      </c>
      <c r="H523" s="12" t="s">
        <v>3259</v>
      </c>
      <c r="I523" s="12" t="b">
        <v>1</v>
      </c>
      <c r="J523" s="12" t="s">
        <v>1784</v>
      </c>
      <c r="O523" s="12">
        <v>19.0</v>
      </c>
      <c r="P523" s="12">
        <v>1912399.0</v>
      </c>
      <c r="Q523" s="12" t="b">
        <v>1</v>
      </c>
    </row>
    <row r="524">
      <c r="A524" s="12" t="s">
        <v>3001</v>
      </c>
      <c r="B524" s="12" t="s">
        <v>54</v>
      </c>
      <c r="C524" s="14">
        <v>46029.0</v>
      </c>
      <c r="D524" s="12" t="s">
        <v>1103</v>
      </c>
      <c r="E524" s="12" t="s">
        <v>3264</v>
      </c>
      <c r="G524" s="12" t="s">
        <v>3266</v>
      </c>
      <c r="H524" s="12" t="s">
        <v>3268</v>
      </c>
      <c r="I524" s="12" t="b">
        <v>1</v>
      </c>
      <c r="J524" s="12" t="s">
        <v>1784</v>
      </c>
      <c r="O524" s="12">
        <v>272.22</v>
      </c>
      <c r="P524" s="12">
        <v>1914490.0</v>
      </c>
      <c r="Q524" s="12" t="b">
        <v>1</v>
      </c>
    </row>
    <row r="525">
      <c r="A525" s="12" t="s">
        <v>3012</v>
      </c>
      <c r="B525" s="12" t="s">
        <v>54</v>
      </c>
      <c r="C525" s="14">
        <v>46029.0</v>
      </c>
      <c r="D525" s="12" t="s">
        <v>220</v>
      </c>
      <c r="E525" s="12" t="s">
        <v>3270</v>
      </c>
      <c r="G525" s="12" t="s">
        <v>3271</v>
      </c>
      <c r="H525" s="12" t="s">
        <v>2999</v>
      </c>
      <c r="I525" s="12" t="b">
        <v>1</v>
      </c>
      <c r="J525" s="12" t="s">
        <v>1784</v>
      </c>
      <c r="O525" s="12">
        <v>296.57</v>
      </c>
      <c r="P525" s="12">
        <v>1915967.0</v>
      </c>
      <c r="Q525" s="12" t="b">
        <v>1</v>
      </c>
    </row>
    <row r="526">
      <c r="A526" s="12" t="s">
        <v>3038</v>
      </c>
      <c r="B526" s="12" t="s">
        <v>54</v>
      </c>
      <c r="C526" s="14">
        <v>46029.0</v>
      </c>
      <c r="D526" s="12" t="s">
        <v>182</v>
      </c>
      <c r="E526" s="12" t="s">
        <v>3273</v>
      </c>
      <c r="G526" s="12" t="s">
        <v>3275</v>
      </c>
      <c r="H526" s="12" t="s">
        <v>3276</v>
      </c>
      <c r="I526" s="12" t="b">
        <v>1</v>
      </c>
      <c r="J526" s="12" t="s">
        <v>1784</v>
      </c>
      <c r="O526" s="12">
        <v>36.82</v>
      </c>
      <c r="P526" s="12">
        <v>1915962.0</v>
      </c>
      <c r="Q526" s="12" t="b">
        <v>1</v>
      </c>
    </row>
    <row r="527">
      <c r="A527" s="12" t="s">
        <v>2971</v>
      </c>
      <c r="B527" s="12" t="s">
        <v>54</v>
      </c>
      <c r="C527" s="14">
        <v>46028.0</v>
      </c>
      <c r="D527" s="12" t="s">
        <v>156</v>
      </c>
      <c r="E527" s="12" t="s">
        <v>3278</v>
      </c>
      <c r="G527" s="12" t="s">
        <v>3279</v>
      </c>
      <c r="H527" s="12" t="s">
        <v>3280</v>
      </c>
      <c r="I527" s="12" t="b">
        <v>0</v>
      </c>
      <c r="J527" s="12" t="s">
        <v>1784</v>
      </c>
      <c r="L527" s="12" t="s">
        <v>3283</v>
      </c>
      <c r="M527" s="12" t="s">
        <v>3285</v>
      </c>
      <c r="O527" s="12">
        <v>19593.49</v>
      </c>
      <c r="Q527" s="12" t="b">
        <v>1</v>
      </c>
    </row>
    <row r="528">
      <c r="A528" s="12">
        <v>1.8554656E7</v>
      </c>
      <c r="B528" s="12" t="s">
        <v>54</v>
      </c>
      <c r="C528" s="14">
        <v>46028.0</v>
      </c>
      <c r="D528" s="12" t="s">
        <v>556</v>
      </c>
      <c r="E528" s="12" t="s">
        <v>3287</v>
      </c>
      <c r="G528" s="12" t="s">
        <v>3288</v>
      </c>
      <c r="H528" s="12" t="s">
        <v>859</v>
      </c>
      <c r="I528" s="12" t="b">
        <v>1</v>
      </c>
      <c r="J528" s="12" t="s">
        <v>1784</v>
      </c>
      <c r="O528" s="12">
        <v>264.0</v>
      </c>
      <c r="P528" s="12">
        <v>1912255.0</v>
      </c>
      <c r="Q528" s="12" t="b">
        <v>1</v>
      </c>
    </row>
    <row r="529">
      <c r="A529" s="12" t="s">
        <v>3052</v>
      </c>
      <c r="B529" s="12" t="s">
        <v>54</v>
      </c>
      <c r="C529" s="14">
        <v>46030.0</v>
      </c>
      <c r="D529" s="12" t="s">
        <v>418</v>
      </c>
      <c r="E529" s="12" t="s">
        <v>3293</v>
      </c>
      <c r="G529" s="12" t="s">
        <v>3294</v>
      </c>
      <c r="H529" s="12" t="s">
        <v>3296</v>
      </c>
      <c r="I529" s="12" t="b">
        <v>0</v>
      </c>
      <c r="J529" s="12" t="s">
        <v>1784</v>
      </c>
      <c r="O529" s="12">
        <v>2599.84</v>
      </c>
      <c r="Q529" s="12" t="b">
        <v>1</v>
      </c>
    </row>
    <row r="530">
      <c r="A530" s="12" t="s">
        <v>3299</v>
      </c>
      <c r="B530" s="12" t="s">
        <v>54</v>
      </c>
      <c r="C530" s="14">
        <v>46057.0</v>
      </c>
      <c r="D530" s="12" t="s">
        <v>784</v>
      </c>
      <c r="E530" s="12" t="s">
        <v>3301</v>
      </c>
      <c r="G530" s="12" t="s">
        <v>3304</v>
      </c>
      <c r="H530" s="12" t="s">
        <v>715</v>
      </c>
      <c r="I530" s="12" t="b">
        <v>0</v>
      </c>
      <c r="J530" s="12" t="s">
        <v>1784</v>
      </c>
      <c r="O530" s="12">
        <v>2716.31</v>
      </c>
      <c r="Q530" s="12" t="b">
        <v>1</v>
      </c>
    </row>
    <row r="531">
      <c r="A531" s="12" t="s">
        <v>3306</v>
      </c>
      <c r="B531" s="12" t="s">
        <v>54</v>
      </c>
      <c r="C531" s="14">
        <v>46071.0</v>
      </c>
      <c r="D531" s="12" t="s">
        <v>784</v>
      </c>
      <c r="E531" s="12" t="s">
        <v>3308</v>
      </c>
      <c r="G531" s="12" t="s">
        <v>3309</v>
      </c>
      <c r="H531" s="12" t="s">
        <v>715</v>
      </c>
      <c r="I531" s="12" t="b">
        <v>0</v>
      </c>
      <c r="J531" s="12" t="s">
        <v>1784</v>
      </c>
      <c r="O531" s="12">
        <v>2716.31</v>
      </c>
      <c r="Q531" s="12" t="b">
        <v>1</v>
      </c>
    </row>
    <row r="532">
      <c r="A532" s="12" t="s">
        <v>3054</v>
      </c>
      <c r="B532" s="12" t="s">
        <v>54</v>
      </c>
      <c r="C532" s="14">
        <v>46030.0</v>
      </c>
      <c r="D532" s="12" t="s">
        <v>3314</v>
      </c>
      <c r="E532" s="12" t="s">
        <v>3315</v>
      </c>
      <c r="G532" s="12" t="s">
        <v>3316</v>
      </c>
      <c r="H532" s="12" t="s">
        <v>3317</v>
      </c>
      <c r="I532" s="12" t="b">
        <v>1</v>
      </c>
      <c r="J532" s="12" t="s">
        <v>1784</v>
      </c>
      <c r="O532" s="12">
        <v>40.0</v>
      </c>
      <c r="P532" s="12">
        <v>1917376.0</v>
      </c>
      <c r="Q532" s="12" t="b">
        <v>1</v>
      </c>
    </row>
    <row r="533">
      <c r="A533" s="12" t="s">
        <v>3059</v>
      </c>
      <c r="B533" s="12" t="s">
        <v>54</v>
      </c>
      <c r="C533" s="14">
        <v>46030.0</v>
      </c>
      <c r="D533" s="12" t="s">
        <v>220</v>
      </c>
      <c r="E533" s="12" t="s">
        <v>3323</v>
      </c>
      <c r="G533" s="12" t="s">
        <v>3324</v>
      </c>
      <c r="H533" s="12" t="s">
        <v>3325</v>
      </c>
      <c r="I533" s="12" t="b">
        <v>1</v>
      </c>
      <c r="J533" s="12" t="s">
        <v>1784</v>
      </c>
      <c r="O533" s="12">
        <v>19.56</v>
      </c>
      <c r="P533" s="12">
        <v>1917377.0</v>
      </c>
      <c r="Q533" s="12" t="b">
        <v>1</v>
      </c>
    </row>
    <row r="534">
      <c r="A534" s="12" t="s">
        <v>3062</v>
      </c>
      <c r="B534" s="12" t="s">
        <v>54</v>
      </c>
      <c r="C534" s="14">
        <v>46030.0</v>
      </c>
      <c r="D534" s="12" t="s">
        <v>220</v>
      </c>
      <c r="E534" s="12" t="s">
        <v>3330</v>
      </c>
      <c r="G534" s="12" t="s">
        <v>3331</v>
      </c>
      <c r="H534" s="12" t="s">
        <v>2487</v>
      </c>
      <c r="I534" s="12" t="b">
        <v>1</v>
      </c>
      <c r="J534" s="12" t="s">
        <v>1784</v>
      </c>
      <c r="O534" s="12">
        <v>195.79</v>
      </c>
      <c r="P534" s="12">
        <v>1917381.0</v>
      </c>
      <c r="Q534" s="12" t="b">
        <v>1</v>
      </c>
    </row>
    <row r="535">
      <c r="A535" s="12" t="s">
        <v>2989</v>
      </c>
      <c r="B535" s="12" t="s">
        <v>54</v>
      </c>
      <c r="C535" s="14">
        <v>46030.0</v>
      </c>
      <c r="D535" s="12" t="s">
        <v>1043</v>
      </c>
      <c r="E535" s="12" t="s">
        <v>3335</v>
      </c>
      <c r="G535" s="12" t="s">
        <v>3336</v>
      </c>
      <c r="H535" s="12" t="s">
        <v>687</v>
      </c>
      <c r="I535" s="12" t="b">
        <v>1</v>
      </c>
      <c r="J535" s="12" t="s">
        <v>1784</v>
      </c>
      <c r="O535" s="12">
        <v>300.0</v>
      </c>
      <c r="P535" s="12">
        <v>1917881.0</v>
      </c>
      <c r="Q535" s="12" t="b">
        <v>1</v>
      </c>
    </row>
    <row r="536">
      <c r="A536" s="12" t="s">
        <v>3098</v>
      </c>
      <c r="B536" s="12" t="s">
        <v>54</v>
      </c>
      <c r="C536" s="14">
        <v>46030.0</v>
      </c>
      <c r="D536" s="12" t="s">
        <v>190</v>
      </c>
      <c r="E536" s="12" t="s">
        <v>3339</v>
      </c>
      <c r="G536" s="12" t="s">
        <v>3340</v>
      </c>
      <c r="H536" s="12" t="s">
        <v>328</v>
      </c>
      <c r="I536" s="12" t="b">
        <v>1</v>
      </c>
      <c r="J536" s="12" t="s">
        <v>1784</v>
      </c>
      <c r="O536" s="12">
        <v>35.0</v>
      </c>
      <c r="P536" s="12">
        <v>1919209.0</v>
      </c>
      <c r="Q536" s="12" t="b">
        <v>1</v>
      </c>
    </row>
    <row r="537">
      <c r="A537" s="12" t="s">
        <v>3102</v>
      </c>
      <c r="B537" s="12" t="s">
        <v>54</v>
      </c>
      <c r="C537" s="14">
        <v>46030.0</v>
      </c>
      <c r="D537" s="12" t="s">
        <v>728</v>
      </c>
      <c r="E537" s="12" t="s">
        <v>3344</v>
      </c>
      <c r="G537" s="12" t="s">
        <v>3346</v>
      </c>
      <c r="H537" s="12" t="s">
        <v>1365</v>
      </c>
      <c r="I537" s="12" t="b">
        <v>1</v>
      </c>
      <c r="J537" s="12" t="s">
        <v>1784</v>
      </c>
      <c r="O537" s="12">
        <v>35.0</v>
      </c>
      <c r="P537" s="12">
        <v>1919213.0</v>
      </c>
      <c r="Q537" s="12" t="b">
        <v>1</v>
      </c>
    </row>
    <row r="538">
      <c r="A538" s="12" t="s">
        <v>3110</v>
      </c>
      <c r="B538" s="12" t="s">
        <v>54</v>
      </c>
      <c r="C538" s="14">
        <v>46031.0</v>
      </c>
      <c r="D538" s="12" t="s">
        <v>375</v>
      </c>
      <c r="E538" s="12" t="s">
        <v>3350</v>
      </c>
      <c r="G538" s="12" t="s">
        <v>3351</v>
      </c>
      <c r="H538" s="12" t="s">
        <v>153</v>
      </c>
      <c r="I538" s="12" t="b">
        <v>1</v>
      </c>
      <c r="J538" s="12" t="s">
        <v>1784</v>
      </c>
      <c r="O538" s="12">
        <v>267.6</v>
      </c>
      <c r="P538" s="12">
        <v>1919136.0</v>
      </c>
      <c r="Q538" s="12" t="b">
        <v>1</v>
      </c>
    </row>
    <row r="539">
      <c r="A539" s="12">
        <v>2.0094545E7</v>
      </c>
      <c r="B539" s="12" t="s">
        <v>54</v>
      </c>
      <c r="C539" s="14">
        <v>46031.0</v>
      </c>
      <c r="D539" s="12" t="s">
        <v>3355</v>
      </c>
      <c r="E539" s="12" t="s">
        <v>3356</v>
      </c>
      <c r="G539" s="12" t="s">
        <v>3357</v>
      </c>
      <c r="H539" s="12" t="s">
        <v>1761</v>
      </c>
      <c r="I539" s="12" t="b">
        <v>1</v>
      </c>
      <c r="J539" s="12" t="s">
        <v>1784</v>
      </c>
      <c r="O539" s="12">
        <v>77.8</v>
      </c>
      <c r="P539" s="12">
        <v>1919437.0</v>
      </c>
      <c r="Q539" s="12" t="b">
        <v>1</v>
      </c>
    </row>
    <row r="540">
      <c r="A540" s="12" t="s">
        <v>3129</v>
      </c>
      <c r="B540" s="12" t="s">
        <v>54</v>
      </c>
      <c r="C540" s="14">
        <v>46031.0</v>
      </c>
      <c r="D540" s="12" t="s">
        <v>3361</v>
      </c>
      <c r="E540" s="12" t="s">
        <v>3362</v>
      </c>
      <c r="G540" s="12" t="s">
        <v>3363</v>
      </c>
      <c r="H540" s="12" t="s">
        <v>880</v>
      </c>
      <c r="I540" s="12" t="b">
        <v>1</v>
      </c>
      <c r="J540" s="12" t="s">
        <v>1784</v>
      </c>
      <c r="O540" s="12">
        <v>21.9</v>
      </c>
      <c r="P540" s="12">
        <v>1919439.0</v>
      </c>
      <c r="Q540" s="12" t="b">
        <v>1</v>
      </c>
    </row>
    <row r="541">
      <c r="A541" s="12" t="s">
        <v>2274</v>
      </c>
      <c r="B541" s="12" t="s">
        <v>54</v>
      </c>
      <c r="C541" s="14">
        <v>46029.0</v>
      </c>
      <c r="D541" s="12" t="s">
        <v>2854</v>
      </c>
      <c r="H541" s="12" t="s">
        <v>3018</v>
      </c>
      <c r="J541" s="12" t="s">
        <v>621</v>
      </c>
      <c r="O541" s="12">
        <v>256.73</v>
      </c>
      <c r="Q541" s="12" t="b">
        <v>1</v>
      </c>
    </row>
    <row r="542">
      <c r="A542" s="12" t="s">
        <v>2277</v>
      </c>
      <c r="B542" s="12" t="s">
        <v>54</v>
      </c>
      <c r="C542" s="14">
        <v>46031.0</v>
      </c>
      <c r="D542" s="12" t="s">
        <v>1067</v>
      </c>
      <c r="H542" s="12" t="s">
        <v>3369</v>
      </c>
      <c r="J542" s="12" t="s">
        <v>621</v>
      </c>
      <c r="O542" s="12">
        <v>256.73</v>
      </c>
      <c r="Q542" s="12" t="b">
        <v>1</v>
      </c>
    </row>
    <row r="543">
      <c r="A543" s="12">
        <v>1321.0</v>
      </c>
      <c r="B543" s="12" t="s">
        <v>54</v>
      </c>
      <c r="C543" s="14">
        <v>46029.0</v>
      </c>
      <c r="D543" s="12" t="s">
        <v>1668</v>
      </c>
      <c r="H543" s="12" t="s">
        <v>1671</v>
      </c>
      <c r="J543" s="12" t="s">
        <v>621</v>
      </c>
      <c r="O543" s="12">
        <v>125.0</v>
      </c>
      <c r="Q543" s="12" t="b">
        <v>1</v>
      </c>
    </row>
    <row r="544">
      <c r="A544" s="12">
        <v>1322.0</v>
      </c>
      <c r="B544" s="12" t="s">
        <v>54</v>
      </c>
      <c r="C544" s="14">
        <v>46031.0</v>
      </c>
      <c r="D544" s="12" t="s">
        <v>1316</v>
      </c>
      <c r="H544" s="12" t="s">
        <v>909</v>
      </c>
      <c r="J544" s="12" t="s">
        <v>621</v>
      </c>
      <c r="O544" s="12">
        <v>786.26</v>
      </c>
      <c r="Q544" s="12" t="b">
        <v>1</v>
      </c>
    </row>
    <row r="545">
      <c r="A545" s="12">
        <v>1323.0</v>
      </c>
      <c r="B545" s="12" t="s">
        <v>54</v>
      </c>
      <c r="C545" s="14">
        <v>46029.0</v>
      </c>
      <c r="D545" s="12" t="s">
        <v>933</v>
      </c>
      <c r="H545" s="12" t="s">
        <v>1346</v>
      </c>
      <c r="J545" s="12" t="s">
        <v>621</v>
      </c>
      <c r="O545" s="12">
        <v>500.0</v>
      </c>
      <c r="Q545" s="12" t="b">
        <v>1</v>
      </c>
    </row>
    <row r="546">
      <c r="A546" s="12" t="s">
        <v>3147</v>
      </c>
      <c r="B546" s="12" t="s">
        <v>54</v>
      </c>
      <c r="C546" s="14">
        <v>46033.0</v>
      </c>
      <c r="D546" s="12" t="s">
        <v>182</v>
      </c>
      <c r="E546" s="12" t="s">
        <v>3379</v>
      </c>
      <c r="G546" s="12" t="s">
        <v>3380</v>
      </c>
      <c r="H546" s="12" t="s">
        <v>312</v>
      </c>
      <c r="I546" s="12" t="b">
        <v>1</v>
      </c>
      <c r="J546" s="12" t="s">
        <v>1784</v>
      </c>
      <c r="O546" s="12">
        <v>12.31</v>
      </c>
      <c r="P546" s="12">
        <v>1923700.0</v>
      </c>
      <c r="Q546" s="12" t="b">
        <v>1</v>
      </c>
    </row>
    <row r="547">
      <c r="A547" s="12" t="s">
        <v>3105</v>
      </c>
      <c r="B547" s="12" t="s">
        <v>54</v>
      </c>
      <c r="C547" s="14">
        <v>46030.0</v>
      </c>
      <c r="D547" s="12" t="s">
        <v>156</v>
      </c>
      <c r="E547" s="12" t="s">
        <v>3385</v>
      </c>
      <c r="G547" s="12" t="s">
        <v>3386</v>
      </c>
      <c r="H547" s="12" t="s">
        <v>254</v>
      </c>
      <c r="I547" s="12" t="b">
        <v>0</v>
      </c>
      <c r="J547" s="12" t="s">
        <v>1784</v>
      </c>
      <c r="L547" s="12" t="s">
        <v>3388</v>
      </c>
      <c r="O547" s="12">
        <v>7660.71</v>
      </c>
      <c r="Q547" s="12" t="b">
        <v>1</v>
      </c>
    </row>
    <row r="548">
      <c r="A548" s="12" t="s">
        <v>3151</v>
      </c>
      <c r="B548" s="12" t="s">
        <v>54</v>
      </c>
      <c r="C548" s="14">
        <v>46034.0</v>
      </c>
      <c r="D548" s="12" t="s">
        <v>58</v>
      </c>
      <c r="E548" s="12" t="s">
        <v>3390</v>
      </c>
      <c r="G548" s="12" t="s">
        <v>3391</v>
      </c>
      <c r="H548" s="12" t="s">
        <v>3393</v>
      </c>
      <c r="I548" s="12" t="b">
        <v>1</v>
      </c>
      <c r="J548" s="12" t="s">
        <v>1784</v>
      </c>
      <c r="O548" s="12">
        <v>121.2</v>
      </c>
      <c r="P548" s="12">
        <v>1927654.0</v>
      </c>
      <c r="Q548" s="12" t="b">
        <v>1</v>
      </c>
    </row>
    <row r="549">
      <c r="A549" s="12">
        <v>9.1616249E7</v>
      </c>
      <c r="B549" s="12" t="s">
        <v>54</v>
      </c>
      <c r="C549" s="14">
        <v>46034.0</v>
      </c>
      <c r="D549" s="12" t="s">
        <v>375</v>
      </c>
      <c r="E549" s="12" t="s">
        <v>3398</v>
      </c>
      <c r="G549" s="12" t="s">
        <v>3399</v>
      </c>
      <c r="H549" s="12" t="s">
        <v>153</v>
      </c>
      <c r="I549" s="12" t="b">
        <v>1</v>
      </c>
      <c r="J549" s="12" t="s">
        <v>1784</v>
      </c>
      <c r="O549" s="12">
        <v>205.32</v>
      </c>
      <c r="P549" s="12">
        <v>1927653.0</v>
      </c>
      <c r="Q549" s="12" t="b">
        <v>1</v>
      </c>
    </row>
    <row r="550">
      <c r="A550" s="12"/>
      <c r="B550" s="12"/>
      <c r="C550" s="14"/>
      <c r="D550" s="12"/>
      <c r="E550" s="12"/>
      <c r="G550" s="12"/>
      <c r="H550" s="12"/>
      <c r="I550" s="12"/>
      <c r="J550" s="12"/>
      <c r="P550" s="12"/>
      <c r="Q550" s="12"/>
    </row>
    <row r="551">
      <c r="A551" s="12">
        <v>1324.0</v>
      </c>
      <c r="B551" s="12" t="s">
        <v>54</v>
      </c>
      <c r="C551" s="14">
        <v>46035.0</v>
      </c>
      <c r="D551" s="12" t="s">
        <v>689</v>
      </c>
      <c r="H551" s="12" t="s">
        <v>959</v>
      </c>
      <c r="J551" s="12" t="s">
        <v>621</v>
      </c>
      <c r="O551" s="12">
        <v>5000.0</v>
      </c>
      <c r="Q551" s="12" t="b">
        <v>1</v>
      </c>
    </row>
    <row r="552">
      <c r="A552" s="12" t="s">
        <v>3172</v>
      </c>
      <c r="B552" s="12" t="s">
        <v>54</v>
      </c>
      <c r="C552" s="14">
        <v>46035.0</v>
      </c>
      <c r="D552" s="12" t="s">
        <v>627</v>
      </c>
      <c r="E552" s="12" t="s">
        <v>3406</v>
      </c>
      <c r="G552" s="12" t="s">
        <v>3407</v>
      </c>
      <c r="H552" s="12" t="s">
        <v>3200</v>
      </c>
      <c r="I552" s="12" t="b">
        <v>1</v>
      </c>
      <c r="J552" s="12" t="s">
        <v>1784</v>
      </c>
      <c r="O552" s="12">
        <v>121.61</v>
      </c>
      <c r="P552" s="12">
        <v>1931651.0</v>
      </c>
      <c r="Q552" s="12" t="b">
        <v>1</v>
      </c>
    </row>
    <row r="553">
      <c r="A553" s="12" t="s">
        <v>3134</v>
      </c>
      <c r="B553" s="12" t="s">
        <v>54</v>
      </c>
      <c r="C553" s="14">
        <v>46032.0</v>
      </c>
      <c r="D553" s="12" t="s">
        <v>435</v>
      </c>
      <c r="E553" s="12" t="s">
        <v>3411</v>
      </c>
      <c r="G553" s="12" t="s">
        <v>3412</v>
      </c>
      <c r="H553" s="12" t="s">
        <v>3213</v>
      </c>
      <c r="I553" s="12" t="b">
        <v>1</v>
      </c>
      <c r="J553" s="12" t="s">
        <v>1784</v>
      </c>
      <c r="O553" s="12">
        <v>432.28</v>
      </c>
      <c r="P553" s="12">
        <v>1931650.0</v>
      </c>
      <c r="Q553" s="12" t="b">
        <v>1</v>
      </c>
    </row>
    <row r="554">
      <c r="A554" s="12" t="s">
        <v>3197</v>
      </c>
      <c r="B554" s="12" t="s">
        <v>54</v>
      </c>
      <c r="C554" s="14">
        <v>46037.0</v>
      </c>
      <c r="D554" s="12" t="s">
        <v>3415</v>
      </c>
      <c r="E554" s="12" t="s">
        <v>3416</v>
      </c>
      <c r="G554" s="12" t="s">
        <v>3417</v>
      </c>
      <c r="H554" s="12" t="s">
        <v>3419</v>
      </c>
      <c r="I554" s="12" t="b">
        <v>1</v>
      </c>
      <c r="J554" s="12" t="s">
        <v>1784</v>
      </c>
      <c r="O554" s="12">
        <v>450.0</v>
      </c>
      <c r="P554" s="12">
        <v>1933477.0</v>
      </c>
      <c r="Q554" s="12" t="b">
        <v>1</v>
      </c>
    </row>
    <row r="555">
      <c r="A555" s="12" t="s">
        <v>3202</v>
      </c>
      <c r="B555" s="12" t="s">
        <v>54</v>
      </c>
      <c r="C555" s="14">
        <v>46037.0</v>
      </c>
      <c r="D555" s="12" t="s">
        <v>175</v>
      </c>
      <c r="E555" s="12" t="s">
        <v>3421</v>
      </c>
      <c r="G555" s="12" t="s">
        <v>3422</v>
      </c>
      <c r="H555" s="12" t="s">
        <v>1365</v>
      </c>
      <c r="I555" s="12" t="b">
        <v>1</v>
      </c>
      <c r="J555" s="12" t="s">
        <v>1784</v>
      </c>
      <c r="O555" s="12">
        <v>23.0</v>
      </c>
      <c r="P555" s="12">
        <v>1933512.0</v>
      </c>
      <c r="Q555" s="12" t="b">
        <v>1</v>
      </c>
    </row>
    <row r="556">
      <c r="A556" s="12" t="s">
        <v>3209</v>
      </c>
      <c r="B556" s="12" t="s">
        <v>54</v>
      </c>
      <c r="C556" s="14">
        <v>46037.0</v>
      </c>
      <c r="D556" s="12" t="s">
        <v>3425</v>
      </c>
      <c r="E556" s="12" t="s">
        <v>3426</v>
      </c>
      <c r="G556" s="12" t="s">
        <v>3427</v>
      </c>
      <c r="H556" s="12" t="s">
        <v>2814</v>
      </c>
      <c r="I556" s="12" t="b">
        <v>1</v>
      </c>
      <c r="J556" s="12" t="s">
        <v>1784</v>
      </c>
      <c r="O556" s="12">
        <v>473.85</v>
      </c>
      <c r="P556" s="12">
        <v>1933514.0</v>
      </c>
      <c r="Q556" s="12" t="b">
        <v>1</v>
      </c>
    </row>
    <row r="557">
      <c r="A557" s="12" t="s">
        <v>3217</v>
      </c>
      <c r="B557" s="12" t="s">
        <v>54</v>
      </c>
      <c r="C557" s="14">
        <v>46037.0</v>
      </c>
      <c r="D557" s="12" t="s">
        <v>220</v>
      </c>
      <c r="E557" s="12" t="s">
        <v>3432</v>
      </c>
      <c r="G557" s="12" t="s">
        <v>3434</v>
      </c>
      <c r="H557" s="12" t="s">
        <v>1529</v>
      </c>
      <c r="I557" s="12" t="b">
        <v>1</v>
      </c>
      <c r="J557" s="12" t="s">
        <v>1784</v>
      </c>
      <c r="O557" s="12">
        <v>38.44</v>
      </c>
      <c r="P557" s="12">
        <v>1933482.0</v>
      </c>
      <c r="Q557" s="12" t="b">
        <v>1</v>
      </c>
    </row>
    <row r="558">
      <c r="A558" s="12" t="s">
        <v>3188</v>
      </c>
      <c r="B558" s="12" t="s">
        <v>54</v>
      </c>
      <c r="C558" s="14">
        <v>46035.0</v>
      </c>
      <c r="D558" s="12" t="s">
        <v>156</v>
      </c>
      <c r="E558" s="12" t="s">
        <v>3439</v>
      </c>
      <c r="G558" s="12" t="s">
        <v>3441</v>
      </c>
      <c r="H558" s="12" t="s">
        <v>488</v>
      </c>
      <c r="I558" s="12" t="b">
        <v>0</v>
      </c>
      <c r="J558" s="12" t="s">
        <v>1784</v>
      </c>
      <c r="O558" s="12">
        <v>539.84</v>
      </c>
      <c r="Q558" s="12" t="b">
        <v>1</v>
      </c>
    </row>
    <row r="559">
      <c r="A559" s="12">
        <v>1325.0</v>
      </c>
      <c r="B559" s="12" t="s">
        <v>54</v>
      </c>
      <c r="C559" s="14">
        <v>46039.0</v>
      </c>
      <c r="D559" s="12" t="s">
        <v>156</v>
      </c>
      <c r="H559" s="12" t="s">
        <v>1905</v>
      </c>
      <c r="J559" s="12" t="s">
        <v>621</v>
      </c>
      <c r="O559" s="12">
        <v>625.0</v>
      </c>
      <c r="Q559" s="12" t="b">
        <v>1</v>
      </c>
    </row>
    <row r="560">
      <c r="A560" s="12" t="s">
        <v>2284</v>
      </c>
      <c r="B560" s="12" t="s">
        <v>54</v>
      </c>
      <c r="C560" s="14">
        <v>46039.0</v>
      </c>
      <c r="D560" s="12" t="s">
        <v>1715</v>
      </c>
      <c r="H560" s="12" t="s">
        <v>3036</v>
      </c>
      <c r="J560" s="12" t="s">
        <v>621</v>
      </c>
      <c r="O560" s="12">
        <v>813.22</v>
      </c>
      <c r="Q560" s="12" t="b">
        <v>1</v>
      </c>
    </row>
    <row r="561">
      <c r="A561" s="12" t="s">
        <v>3258</v>
      </c>
      <c r="B561" s="12" t="s">
        <v>54</v>
      </c>
      <c r="C561" s="14">
        <v>46041.0</v>
      </c>
      <c r="D561" s="12" t="s">
        <v>1769</v>
      </c>
      <c r="E561" s="12" t="s">
        <v>3449</v>
      </c>
      <c r="G561" s="12" t="s">
        <v>3450</v>
      </c>
      <c r="H561" s="12" t="s">
        <v>328</v>
      </c>
      <c r="I561" s="12" t="b">
        <v>1</v>
      </c>
      <c r="J561" s="12" t="s">
        <v>1784</v>
      </c>
      <c r="O561" s="12">
        <v>27.0</v>
      </c>
      <c r="P561" s="12">
        <v>1942872.0</v>
      </c>
      <c r="Q561" s="12" t="b">
        <v>1</v>
      </c>
    </row>
    <row r="562">
      <c r="A562" s="12" t="s">
        <v>3261</v>
      </c>
      <c r="B562" s="12" t="s">
        <v>54</v>
      </c>
      <c r="C562" s="14">
        <v>46041.0</v>
      </c>
      <c r="D562" s="12" t="s">
        <v>175</v>
      </c>
      <c r="E562" s="12" t="s">
        <v>3455</v>
      </c>
      <c r="G562" s="12" t="s">
        <v>3457</v>
      </c>
      <c r="H562" s="12" t="s">
        <v>3458</v>
      </c>
      <c r="I562" s="12" t="b">
        <v>1</v>
      </c>
      <c r="J562" s="12" t="s">
        <v>1784</v>
      </c>
      <c r="O562" s="12">
        <v>37.5</v>
      </c>
      <c r="P562" s="12">
        <v>1942875.0</v>
      </c>
      <c r="Q562" s="12" t="b">
        <v>1</v>
      </c>
    </row>
    <row r="563">
      <c r="A563" s="12" t="s">
        <v>3249</v>
      </c>
      <c r="B563" s="12" t="s">
        <v>54</v>
      </c>
      <c r="C563" s="14">
        <v>46040.0</v>
      </c>
      <c r="D563" s="12" t="s">
        <v>182</v>
      </c>
      <c r="E563" s="12" t="s">
        <v>3462</v>
      </c>
      <c r="G563" s="12" t="s">
        <v>3464</v>
      </c>
      <c r="H563" s="12" t="s">
        <v>186</v>
      </c>
      <c r="I563" s="12" t="b">
        <v>1</v>
      </c>
      <c r="J563" s="12" t="s">
        <v>1784</v>
      </c>
      <c r="O563" s="12">
        <v>22.75</v>
      </c>
      <c r="P563" s="12">
        <v>1943529.0</v>
      </c>
      <c r="Q563" s="12" t="b">
        <v>1</v>
      </c>
    </row>
    <row r="564">
      <c r="A564" s="12" t="s">
        <v>3227</v>
      </c>
      <c r="B564" s="12" t="s">
        <v>54</v>
      </c>
      <c r="C564" s="14">
        <v>46039.0</v>
      </c>
      <c r="D564" s="12" t="s">
        <v>220</v>
      </c>
      <c r="E564" s="12" t="s">
        <v>3469</v>
      </c>
      <c r="G564" s="12" t="s">
        <v>3470</v>
      </c>
      <c r="H564" s="12" t="s">
        <v>186</v>
      </c>
      <c r="I564" s="12" t="b">
        <v>1</v>
      </c>
      <c r="J564" s="12" t="s">
        <v>1784</v>
      </c>
      <c r="O564" s="12">
        <v>141.54</v>
      </c>
      <c r="P564" s="12">
        <v>1943535.0</v>
      </c>
      <c r="Q564" s="12" t="b">
        <v>1</v>
      </c>
    </row>
    <row r="565">
      <c r="A565" s="12" t="s">
        <v>3265</v>
      </c>
      <c r="B565" s="12" t="s">
        <v>54</v>
      </c>
      <c r="C565" s="14">
        <v>46041.0</v>
      </c>
      <c r="D565" s="12" t="s">
        <v>220</v>
      </c>
      <c r="E565" s="12" t="s">
        <v>3475</v>
      </c>
      <c r="G565" s="12" t="s">
        <v>3476</v>
      </c>
      <c r="H565" s="12" t="s">
        <v>3477</v>
      </c>
      <c r="I565" s="12" t="b">
        <v>1</v>
      </c>
      <c r="J565" s="12" t="s">
        <v>1784</v>
      </c>
      <c r="O565" s="12">
        <v>358.07</v>
      </c>
      <c r="P565" s="12">
        <v>1943530.0</v>
      </c>
      <c r="Q565" s="12" t="b">
        <v>1</v>
      </c>
    </row>
    <row r="566">
      <c r="A566" s="12">
        <v>1338.0</v>
      </c>
      <c r="B566" s="12" t="s">
        <v>54</v>
      </c>
      <c r="C566" s="14">
        <v>46041.0</v>
      </c>
      <c r="D566" s="12" t="s">
        <v>933</v>
      </c>
      <c r="H566" s="12" t="s">
        <v>1494</v>
      </c>
      <c r="J566" s="12" t="s">
        <v>621</v>
      </c>
      <c r="O566" s="12">
        <v>11803.0</v>
      </c>
      <c r="Q566" s="12" t="b">
        <v>1</v>
      </c>
    </row>
    <row r="567">
      <c r="A567" s="12">
        <v>1339.0</v>
      </c>
      <c r="B567" s="12" t="s">
        <v>54</v>
      </c>
      <c r="C567" s="14">
        <v>46041.0</v>
      </c>
      <c r="D567" s="12" t="s">
        <v>734</v>
      </c>
      <c r="H567" s="12" t="s">
        <v>1466</v>
      </c>
      <c r="J567" s="12" t="s">
        <v>621</v>
      </c>
      <c r="O567" s="12">
        <v>1486.39</v>
      </c>
      <c r="Q567" s="12" t="b">
        <v>1</v>
      </c>
    </row>
    <row r="568">
      <c r="A568" s="12">
        <v>1340.0</v>
      </c>
      <c r="B568" s="12" t="s">
        <v>54</v>
      </c>
      <c r="C568" s="14">
        <v>46041.0</v>
      </c>
      <c r="D568" s="12" t="s">
        <v>1067</v>
      </c>
      <c r="H568" s="12" t="s">
        <v>1068</v>
      </c>
      <c r="J568" s="12" t="s">
        <v>621</v>
      </c>
      <c r="O568" s="12">
        <v>938.22</v>
      </c>
      <c r="Q568" s="12" t="b">
        <v>1</v>
      </c>
    </row>
    <row r="569">
      <c r="A569" s="12">
        <v>1341.0</v>
      </c>
      <c r="B569" s="12" t="s">
        <v>54</v>
      </c>
      <c r="C569" s="14">
        <v>46041.0</v>
      </c>
      <c r="D569" s="12" t="s">
        <v>1484</v>
      </c>
      <c r="H569" s="12" t="s">
        <v>1485</v>
      </c>
      <c r="J569" s="12" t="s">
        <v>621</v>
      </c>
      <c r="O569" s="12">
        <v>20.0</v>
      </c>
      <c r="Q569" s="12" t="b">
        <v>1</v>
      </c>
    </row>
    <row r="570">
      <c r="A570" s="12" t="s">
        <v>3282</v>
      </c>
      <c r="B570" s="12" t="s">
        <v>54</v>
      </c>
      <c r="C570" s="14">
        <v>46042.0</v>
      </c>
      <c r="D570" s="12" t="s">
        <v>532</v>
      </c>
      <c r="E570" s="12" t="s">
        <v>3489</v>
      </c>
      <c r="G570" s="12" t="s">
        <v>3491</v>
      </c>
      <c r="H570" s="12" t="s">
        <v>3492</v>
      </c>
      <c r="I570" s="12" t="b">
        <v>1</v>
      </c>
      <c r="J570" s="12" t="s">
        <v>1784</v>
      </c>
      <c r="O570" s="12">
        <v>66.91</v>
      </c>
      <c r="P570" s="12">
        <v>1944638.0</v>
      </c>
      <c r="Q570" s="12" t="b">
        <v>1</v>
      </c>
    </row>
    <row r="571">
      <c r="A571" s="12" t="s">
        <v>3298</v>
      </c>
      <c r="B571" s="12" t="s">
        <v>54</v>
      </c>
      <c r="C571" s="14">
        <v>46042.0</v>
      </c>
      <c r="D571" s="12" t="s">
        <v>3495</v>
      </c>
      <c r="E571" s="12" t="s">
        <v>3497</v>
      </c>
      <c r="G571" s="12" t="s">
        <v>3498</v>
      </c>
      <c r="H571" s="12" t="s">
        <v>3499</v>
      </c>
      <c r="I571" s="12" t="b">
        <v>1</v>
      </c>
      <c r="J571" s="12" t="s">
        <v>1784</v>
      </c>
      <c r="O571" s="12">
        <v>65.0</v>
      </c>
      <c r="P571" s="12">
        <v>1944740.0</v>
      </c>
      <c r="Q571" s="12" t="b">
        <v>1</v>
      </c>
    </row>
    <row r="572">
      <c r="A572" s="12" t="s">
        <v>2290</v>
      </c>
      <c r="B572" s="12" t="s">
        <v>54</v>
      </c>
      <c r="C572" s="14">
        <v>46042.0</v>
      </c>
      <c r="D572" s="12" t="s">
        <v>156</v>
      </c>
      <c r="H572" s="12" t="s">
        <v>3502</v>
      </c>
      <c r="J572" s="12" t="s">
        <v>621</v>
      </c>
      <c r="O572" s="12">
        <v>4145.0</v>
      </c>
      <c r="Q572" s="12" t="b">
        <v>1</v>
      </c>
    </row>
    <row r="573">
      <c r="A573" s="12" t="s">
        <v>3195</v>
      </c>
      <c r="B573" s="12" t="s">
        <v>54</v>
      </c>
      <c r="C573" s="14">
        <v>46035.0</v>
      </c>
      <c r="D573" s="12" t="s">
        <v>556</v>
      </c>
      <c r="E573" s="12" t="s">
        <v>3506</v>
      </c>
      <c r="G573" s="12" t="s">
        <v>3507</v>
      </c>
      <c r="H573" s="12" t="s">
        <v>859</v>
      </c>
      <c r="I573" s="12" t="b">
        <v>1</v>
      </c>
      <c r="J573" s="12" t="s">
        <v>1784</v>
      </c>
      <c r="O573" s="12">
        <v>330.0</v>
      </c>
      <c r="P573" s="12">
        <v>1928910.0</v>
      </c>
      <c r="Q573" s="12" t="b">
        <v>1</v>
      </c>
    </row>
    <row r="574">
      <c r="A574" s="12" t="s">
        <v>3333</v>
      </c>
      <c r="B574" s="12" t="s">
        <v>54</v>
      </c>
      <c r="C574" s="14">
        <v>46043.0</v>
      </c>
      <c r="D574" s="12" t="s">
        <v>375</v>
      </c>
      <c r="E574" s="12" t="s">
        <v>3512</v>
      </c>
      <c r="G574" s="12" t="s">
        <v>3513</v>
      </c>
      <c r="H574" s="12" t="s">
        <v>1778</v>
      </c>
      <c r="I574" s="12" t="b">
        <v>1</v>
      </c>
      <c r="J574" s="12" t="s">
        <v>1784</v>
      </c>
      <c r="O574" s="12">
        <v>326.04</v>
      </c>
      <c r="P574" s="12">
        <v>1946890.0</v>
      </c>
      <c r="Q574" s="12" t="b">
        <v>1</v>
      </c>
    </row>
    <row r="575">
      <c r="A575" s="12" t="s">
        <v>3305</v>
      </c>
      <c r="B575" s="12" t="s">
        <v>54</v>
      </c>
      <c r="C575" s="14">
        <v>46042.0</v>
      </c>
      <c r="D575" s="12" t="s">
        <v>156</v>
      </c>
      <c r="E575" s="12" t="s">
        <v>3517</v>
      </c>
      <c r="G575" s="12" t="s">
        <v>3518</v>
      </c>
      <c r="H575" s="12" t="s">
        <v>293</v>
      </c>
      <c r="I575" s="12" t="b">
        <v>0</v>
      </c>
      <c r="J575" s="12" t="s">
        <v>1784</v>
      </c>
      <c r="L575" s="12" t="s">
        <v>3519</v>
      </c>
      <c r="O575" s="12">
        <v>11295.12</v>
      </c>
      <c r="Q575" s="12" t="b">
        <v>1</v>
      </c>
    </row>
    <row r="576">
      <c r="A576" s="12" t="s">
        <v>3313</v>
      </c>
      <c r="B576" s="12" t="s">
        <v>54</v>
      </c>
      <c r="C576" s="14">
        <v>46042.0</v>
      </c>
      <c r="D576" s="12" t="s">
        <v>156</v>
      </c>
      <c r="E576" s="12" t="s">
        <v>3517</v>
      </c>
      <c r="G576" s="12" t="s">
        <v>3525</v>
      </c>
      <c r="H576" s="12" t="s">
        <v>293</v>
      </c>
      <c r="I576" s="12" t="b">
        <v>0</v>
      </c>
      <c r="J576" s="12" t="s">
        <v>1784</v>
      </c>
      <c r="O576" s="12">
        <v>539.84</v>
      </c>
      <c r="Q576" s="12" t="b">
        <v>1</v>
      </c>
    </row>
    <row r="577">
      <c r="A577" s="12" t="s">
        <v>3321</v>
      </c>
      <c r="B577" s="12" t="s">
        <v>54</v>
      </c>
      <c r="C577" s="14">
        <v>46042.0</v>
      </c>
      <c r="D577" s="12" t="s">
        <v>3528</v>
      </c>
      <c r="E577" s="12" t="s">
        <v>3530</v>
      </c>
      <c r="G577" s="12" t="s">
        <v>3532</v>
      </c>
      <c r="H577" s="12" t="s">
        <v>3534</v>
      </c>
      <c r="I577" s="12" t="b">
        <v>1</v>
      </c>
      <c r="J577" s="12" t="s">
        <v>1784</v>
      </c>
      <c r="O577" s="12">
        <v>150.0</v>
      </c>
      <c r="P577" s="12">
        <v>1947502.0</v>
      </c>
      <c r="Q577" s="12" t="b">
        <v>1</v>
      </c>
    </row>
    <row r="578">
      <c r="A578" s="12">
        <v>1.0462229E7</v>
      </c>
      <c r="B578" s="12" t="s">
        <v>54</v>
      </c>
      <c r="C578" s="14">
        <v>46042.0</v>
      </c>
      <c r="D578" s="12" t="s">
        <v>156</v>
      </c>
      <c r="E578" s="12" t="s">
        <v>3537</v>
      </c>
      <c r="G578" s="12" t="s">
        <v>3538</v>
      </c>
      <c r="H578" s="12" t="s">
        <v>3539</v>
      </c>
      <c r="I578" s="12" t="b">
        <v>0</v>
      </c>
      <c r="J578" s="12" t="s">
        <v>1784</v>
      </c>
      <c r="L578" s="12" t="s">
        <v>3540</v>
      </c>
      <c r="O578" s="12">
        <v>5105.35</v>
      </c>
      <c r="Q578" s="12" t="b">
        <v>1</v>
      </c>
    </row>
    <row r="579">
      <c r="A579" s="12"/>
      <c r="B579" s="12"/>
      <c r="C579" s="14"/>
      <c r="D579" s="12"/>
      <c r="E579" s="12"/>
      <c r="G579" s="12"/>
      <c r="H579" s="12"/>
      <c r="I579" s="12"/>
      <c r="J579" s="12"/>
      <c r="L579" s="12"/>
      <c r="Q579" s="12"/>
    </row>
    <row r="580">
      <c r="A580" s="12" t="s">
        <v>3349</v>
      </c>
      <c r="B580" s="12" t="s">
        <v>54</v>
      </c>
      <c r="C580" s="14">
        <v>46044.0</v>
      </c>
      <c r="D580" s="12" t="s">
        <v>220</v>
      </c>
      <c r="E580" s="12" t="s">
        <v>3547</v>
      </c>
      <c r="G580" s="12" t="s">
        <v>3549</v>
      </c>
      <c r="H580" s="12" t="s">
        <v>3551</v>
      </c>
      <c r="I580" s="12" t="b">
        <v>1</v>
      </c>
      <c r="J580" s="12" t="s">
        <v>1784</v>
      </c>
      <c r="O580" s="12">
        <v>441.17</v>
      </c>
      <c r="P580" s="12">
        <v>1949211.0</v>
      </c>
      <c r="Q580" s="12" t="b">
        <v>1</v>
      </c>
    </row>
    <row r="581">
      <c r="A581" s="12" t="s">
        <v>3343</v>
      </c>
      <c r="B581" s="12" t="s">
        <v>54</v>
      </c>
      <c r="C581" s="14">
        <v>46043.0</v>
      </c>
      <c r="D581" s="12" t="s">
        <v>77</v>
      </c>
      <c r="E581" s="12" t="s">
        <v>3555</v>
      </c>
      <c r="G581" s="12" t="s">
        <v>3556</v>
      </c>
      <c r="H581" s="12" t="s">
        <v>3557</v>
      </c>
      <c r="I581" s="12" t="b">
        <v>1</v>
      </c>
      <c r="J581" s="12" t="s">
        <v>1784</v>
      </c>
      <c r="O581" s="12">
        <v>9.87</v>
      </c>
      <c r="P581" s="12">
        <v>1949214.0</v>
      </c>
      <c r="Q581" s="12" t="b">
        <v>1</v>
      </c>
    </row>
    <row r="582">
      <c r="A582" s="12">
        <v>1345.0</v>
      </c>
      <c r="B582" s="12" t="s">
        <v>54</v>
      </c>
      <c r="C582" s="14">
        <v>46044.0</v>
      </c>
      <c r="D582" s="12" t="s">
        <v>1712</v>
      </c>
      <c r="H582" s="14">
        <v>46296.0</v>
      </c>
      <c r="J582" s="12" t="s">
        <v>621</v>
      </c>
      <c r="O582" s="12">
        <v>236.83</v>
      </c>
      <c r="Q582" s="12" t="b">
        <v>1</v>
      </c>
    </row>
    <row r="583">
      <c r="A583" s="12">
        <v>1346.0</v>
      </c>
      <c r="B583" s="12" t="s">
        <v>54</v>
      </c>
      <c r="C583" s="14">
        <v>46044.0</v>
      </c>
      <c r="D583" s="12" t="s">
        <v>1715</v>
      </c>
      <c r="H583" s="14">
        <v>46082.0</v>
      </c>
      <c r="J583" s="12" t="s">
        <v>621</v>
      </c>
      <c r="O583" s="12">
        <v>65.15</v>
      </c>
      <c r="Q583" s="12" t="b">
        <v>1</v>
      </c>
    </row>
    <row r="584">
      <c r="A584" s="12" t="s">
        <v>3377</v>
      </c>
      <c r="B584" s="12" t="s">
        <v>54</v>
      </c>
      <c r="C584" s="14">
        <v>46045.0</v>
      </c>
      <c r="D584" s="12" t="s">
        <v>3415</v>
      </c>
      <c r="E584" s="12" t="s">
        <v>3565</v>
      </c>
      <c r="G584" s="12" t="s">
        <v>3566</v>
      </c>
      <c r="H584" s="12" t="s">
        <v>3567</v>
      </c>
      <c r="I584" s="12" t="b">
        <v>1</v>
      </c>
      <c r="J584" s="12" t="s">
        <v>1784</v>
      </c>
      <c r="O584" s="12">
        <v>250.0</v>
      </c>
      <c r="P584" s="12">
        <v>1950061.0</v>
      </c>
      <c r="Q584" s="12" t="b">
        <v>1</v>
      </c>
    </row>
    <row r="585">
      <c r="A585" s="12" t="s">
        <v>3382</v>
      </c>
      <c r="B585" s="12" t="s">
        <v>54</v>
      </c>
      <c r="C585" s="14">
        <v>46045.0</v>
      </c>
      <c r="D585" s="12" t="s">
        <v>1043</v>
      </c>
      <c r="E585" s="12" t="s">
        <v>3572</v>
      </c>
      <c r="G585" s="12" t="s">
        <v>3574</v>
      </c>
      <c r="H585" s="12" t="s">
        <v>1037</v>
      </c>
      <c r="I585" s="12" t="b">
        <v>1</v>
      </c>
      <c r="J585" s="12" t="s">
        <v>1784</v>
      </c>
      <c r="O585" s="12">
        <v>100.0</v>
      </c>
      <c r="P585" s="12">
        <v>1950763.0</v>
      </c>
      <c r="Q585" s="12" t="b">
        <v>1</v>
      </c>
    </row>
    <row r="586">
      <c r="A586" s="12">
        <v>1343.0</v>
      </c>
      <c r="B586" s="12" t="s">
        <v>54</v>
      </c>
      <c r="C586" s="14">
        <v>46045.0</v>
      </c>
      <c r="D586" s="12" t="s">
        <v>818</v>
      </c>
      <c r="H586" s="12" t="s">
        <v>819</v>
      </c>
      <c r="J586" s="12" t="s">
        <v>621</v>
      </c>
      <c r="O586" s="12">
        <v>185.0</v>
      </c>
      <c r="Q586" s="12" t="b">
        <v>1</v>
      </c>
    </row>
    <row r="587">
      <c r="A587" s="12" t="s">
        <v>2299</v>
      </c>
      <c r="B587" s="12" t="s">
        <v>54</v>
      </c>
      <c r="C587" s="14">
        <v>46045.0</v>
      </c>
      <c r="D587" s="12" t="s">
        <v>2122</v>
      </c>
      <c r="H587" s="12" t="s">
        <v>1430</v>
      </c>
      <c r="J587" s="12" t="s">
        <v>621</v>
      </c>
      <c r="O587" s="12">
        <v>215.0</v>
      </c>
      <c r="Q587" s="12" t="b">
        <v>1</v>
      </c>
    </row>
    <row r="588">
      <c r="A588" s="12" t="s">
        <v>2302</v>
      </c>
      <c r="B588" s="12" t="s">
        <v>54</v>
      </c>
      <c r="C588" s="14">
        <v>46045.0</v>
      </c>
      <c r="D588" s="12" t="s">
        <v>3581</v>
      </c>
      <c r="H588" s="12" t="s">
        <v>3582</v>
      </c>
      <c r="J588" s="12" t="s">
        <v>621</v>
      </c>
      <c r="O588" s="12">
        <v>95.0</v>
      </c>
      <c r="Q588" s="12" t="b">
        <v>1</v>
      </c>
    </row>
    <row r="589">
      <c r="A589" s="12" t="s">
        <v>3384</v>
      </c>
      <c r="B589" s="12" t="s">
        <v>54</v>
      </c>
      <c r="C589" s="14">
        <v>46046.0</v>
      </c>
      <c r="D589" s="12" t="s">
        <v>182</v>
      </c>
      <c r="E589" s="12" t="s">
        <v>3585</v>
      </c>
      <c r="G589" s="12" t="s">
        <v>3586</v>
      </c>
      <c r="H589" s="12" t="s">
        <v>2814</v>
      </c>
      <c r="I589" s="12" t="b">
        <v>1</v>
      </c>
      <c r="J589" s="12" t="s">
        <v>1784</v>
      </c>
      <c r="O589" s="12">
        <v>47.0</v>
      </c>
      <c r="P589" s="12">
        <v>1951921.0</v>
      </c>
      <c r="Q589" s="12" t="b">
        <v>1</v>
      </c>
    </row>
    <row r="590">
      <c r="A590" s="12" t="s">
        <v>3375</v>
      </c>
      <c r="B590" s="12" t="s">
        <v>54</v>
      </c>
      <c r="C590" s="14">
        <v>46044.0</v>
      </c>
      <c r="D590" s="12" t="s">
        <v>556</v>
      </c>
      <c r="E590" s="12" t="s">
        <v>3590</v>
      </c>
      <c r="G590" s="12" t="s">
        <v>3591</v>
      </c>
      <c r="H590" s="12" t="s">
        <v>859</v>
      </c>
      <c r="I590" s="12" t="b">
        <v>1</v>
      </c>
      <c r="J590" s="12" t="s">
        <v>1784</v>
      </c>
      <c r="O590" s="12">
        <v>330.0</v>
      </c>
      <c r="P590" s="12">
        <v>1948224.0</v>
      </c>
      <c r="Q590" s="12" t="b">
        <v>1</v>
      </c>
    </row>
    <row r="591">
      <c r="A591" s="12" t="s">
        <v>3403</v>
      </c>
      <c r="B591" s="12" t="s">
        <v>54</v>
      </c>
      <c r="C591" s="14">
        <v>46048.0</v>
      </c>
      <c r="D591" s="12" t="s">
        <v>58</v>
      </c>
      <c r="E591" s="12" t="s">
        <v>3596</v>
      </c>
      <c r="G591" s="12" t="s">
        <v>3598</v>
      </c>
      <c r="H591" s="12" t="s">
        <v>3600</v>
      </c>
      <c r="I591" s="12" t="b">
        <v>1</v>
      </c>
      <c r="J591" s="12" t="s">
        <v>1784</v>
      </c>
      <c r="O591" s="12">
        <v>62.4</v>
      </c>
      <c r="P591" s="12">
        <v>1957757.0</v>
      </c>
      <c r="Q591" s="12" t="b">
        <v>1</v>
      </c>
    </row>
    <row r="592">
      <c r="A592" s="12" t="s">
        <v>2307</v>
      </c>
      <c r="B592" s="12" t="s">
        <v>54</v>
      </c>
      <c r="C592" s="14">
        <v>46048.0</v>
      </c>
      <c r="H592" s="12" t="s">
        <v>1112</v>
      </c>
      <c r="J592" s="12" t="s">
        <v>191</v>
      </c>
      <c r="K592" s="12" t="s">
        <v>1900</v>
      </c>
      <c r="O592" s="12">
        <v>500.0</v>
      </c>
      <c r="Q592" s="12" t="b">
        <v>1</v>
      </c>
    </row>
    <row r="593">
      <c r="A593" s="12" t="s">
        <v>2310</v>
      </c>
      <c r="B593" s="12" t="s">
        <v>54</v>
      </c>
      <c r="C593" s="14">
        <v>46048.0</v>
      </c>
      <c r="H593" s="12" t="s">
        <v>1112</v>
      </c>
      <c r="J593" s="12" t="s">
        <v>191</v>
      </c>
      <c r="K593" s="12" t="s">
        <v>1183</v>
      </c>
      <c r="O593" s="12">
        <v>500.0</v>
      </c>
      <c r="Q593" s="12" t="b">
        <v>1</v>
      </c>
    </row>
    <row r="594">
      <c r="A594" s="12" t="s">
        <v>2314</v>
      </c>
      <c r="B594" s="12" t="s">
        <v>54</v>
      </c>
      <c r="C594" s="14">
        <v>46048.0</v>
      </c>
      <c r="H594" s="12" t="s">
        <v>1112</v>
      </c>
      <c r="J594" s="12" t="s">
        <v>191</v>
      </c>
      <c r="K594" s="12" t="s">
        <v>62</v>
      </c>
      <c r="O594" s="12">
        <v>100.0</v>
      </c>
      <c r="Q594" s="12" t="b">
        <v>1</v>
      </c>
    </row>
    <row r="595">
      <c r="A595" s="12" t="s">
        <v>3405</v>
      </c>
      <c r="B595" s="12" t="s">
        <v>54</v>
      </c>
      <c r="C595" s="14">
        <v>46048.0</v>
      </c>
      <c r="D595" s="12" t="s">
        <v>220</v>
      </c>
      <c r="E595" s="12" t="s">
        <v>3612</v>
      </c>
      <c r="G595" s="12" t="s">
        <v>3613</v>
      </c>
      <c r="H595" s="12" t="s">
        <v>3614</v>
      </c>
      <c r="I595" s="12" t="b">
        <v>1</v>
      </c>
      <c r="J595" s="12" t="s">
        <v>1784</v>
      </c>
      <c r="O595" s="12">
        <v>391.85</v>
      </c>
      <c r="P595" s="12">
        <v>1959815.0</v>
      </c>
      <c r="Q595" s="12" t="b">
        <v>1</v>
      </c>
    </row>
    <row r="596">
      <c r="A596" s="12" t="s">
        <v>3396</v>
      </c>
      <c r="B596" s="12" t="s">
        <v>54</v>
      </c>
      <c r="C596" s="14">
        <v>46047.0</v>
      </c>
      <c r="D596" s="12" t="s">
        <v>182</v>
      </c>
      <c r="E596" s="12" t="s">
        <v>3619</v>
      </c>
      <c r="G596" s="12" t="s">
        <v>3620</v>
      </c>
      <c r="H596" s="12" t="s">
        <v>1544</v>
      </c>
      <c r="I596" s="12" t="b">
        <v>1</v>
      </c>
      <c r="J596" s="12" t="s">
        <v>1784</v>
      </c>
      <c r="O596" s="12">
        <v>34.08</v>
      </c>
      <c r="P596" s="12">
        <v>1959820.0</v>
      </c>
      <c r="Q596" s="12" t="b">
        <v>1</v>
      </c>
    </row>
    <row r="597">
      <c r="A597" s="12"/>
      <c r="B597" s="12"/>
      <c r="C597" s="14"/>
      <c r="D597" s="12"/>
      <c r="E597" s="12"/>
      <c r="G597" s="12"/>
      <c r="H597" s="12"/>
      <c r="I597" s="12"/>
      <c r="J597" s="12"/>
      <c r="P597" s="12"/>
      <c r="Q597" s="12"/>
    </row>
    <row r="598">
      <c r="A598" s="12">
        <v>1353.0</v>
      </c>
      <c r="B598" s="12" t="s">
        <v>54</v>
      </c>
      <c r="C598" s="14">
        <v>46051.0</v>
      </c>
      <c r="H598" s="12" t="s">
        <v>3108</v>
      </c>
      <c r="J598" s="12" t="s">
        <v>621</v>
      </c>
      <c r="K598" s="12" t="s">
        <v>259</v>
      </c>
      <c r="O598" s="12">
        <v>585.0</v>
      </c>
      <c r="Q598" s="12" t="b">
        <v>1</v>
      </c>
    </row>
    <row r="599">
      <c r="A599" s="12" t="s">
        <v>2317</v>
      </c>
      <c r="B599" s="12" t="s">
        <v>54</v>
      </c>
      <c r="C599" s="14">
        <v>46028.0</v>
      </c>
      <c r="H599" s="12" t="s">
        <v>1112</v>
      </c>
      <c r="J599" s="12" t="s">
        <v>191</v>
      </c>
      <c r="K599" s="12" t="s">
        <v>1900</v>
      </c>
      <c r="O599" s="12">
        <v>500.0</v>
      </c>
      <c r="Q599" s="12" t="b">
        <v>1</v>
      </c>
    </row>
    <row r="600">
      <c r="A600" s="12" t="s">
        <v>3437</v>
      </c>
      <c r="B600" s="12" t="s">
        <v>54</v>
      </c>
      <c r="C600" s="14">
        <v>46051.0</v>
      </c>
      <c r="D600" s="12" t="s">
        <v>683</v>
      </c>
      <c r="E600" s="12" t="s">
        <v>3633</v>
      </c>
      <c r="G600" s="12" t="s">
        <v>3634</v>
      </c>
      <c r="H600" s="12" t="s">
        <v>687</v>
      </c>
      <c r="I600" s="12" t="b">
        <v>1</v>
      </c>
      <c r="J600" s="12" t="s">
        <v>1784</v>
      </c>
      <c r="O600" s="12">
        <v>330.0</v>
      </c>
      <c r="P600" s="12">
        <v>1964670.0</v>
      </c>
      <c r="Q600" s="12" t="b">
        <v>1</v>
      </c>
    </row>
    <row r="601">
      <c r="A601" s="12"/>
      <c r="B601" s="12"/>
      <c r="C601" s="14"/>
      <c r="D601" s="12"/>
      <c r="E601" s="12"/>
      <c r="G601" s="12"/>
      <c r="H601" s="12"/>
      <c r="I601" s="12"/>
      <c r="J601" s="12"/>
      <c r="Q601" s="12"/>
    </row>
    <row r="602">
      <c r="A602" s="12" t="s">
        <v>3442</v>
      </c>
      <c r="B602" s="12" t="s">
        <v>54</v>
      </c>
      <c r="C602" s="14">
        <v>46053.0</v>
      </c>
      <c r="D602" s="12" t="s">
        <v>182</v>
      </c>
      <c r="E602" s="12" t="s">
        <v>3643</v>
      </c>
      <c r="G602" s="12" t="s">
        <v>3645</v>
      </c>
      <c r="H602" s="12" t="s">
        <v>2540</v>
      </c>
      <c r="I602" s="12" t="b">
        <v>1</v>
      </c>
      <c r="J602" s="12" t="s">
        <v>1784</v>
      </c>
      <c r="O602" s="12">
        <v>15.45</v>
      </c>
      <c r="P602" s="12">
        <v>1968075.0</v>
      </c>
      <c r="Q602" s="12" t="b">
        <v>1</v>
      </c>
    </row>
    <row r="603">
      <c r="A603" s="12" t="s">
        <v>3446</v>
      </c>
      <c r="B603" s="12" t="s">
        <v>54</v>
      </c>
      <c r="C603" s="14">
        <v>46054.0</v>
      </c>
      <c r="D603" s="12" t="s">
        <v>77</v>
      </c>
      <c r="E603" s="12" t="s">
        <v>3649</v>
      </c>
      <c r="G603" s="12" t="s">
        <v>3650</v>
      </c>
      <c r="H603" s="12" t="s">
        <v>186</v>
      </c>
      <c r="I603" s="12" t="b">
        <v>1</v>
      </c>
      <c r="J603" s="12" t="s">
        <v>1784</v>
      </c>
      <c r="O603" s="12">
        <v>38.0</v>
      </c>
      <c r="P603" s="12">
        <v>1970673.0</v>
      </c>
      <c r="Q603" s="12" t="b">
        <v>1</v>
      </c>
    </row>
    <row r="604">
      <c r="A604" s="12">
        <v>1347.0</v>
      </c>
      <c r="B604" s="12" t="s">
        <v>54</v>
      </c>
      <c r="C604" s="14">
        <v>46054.0</v>
      </c>
      <c r="H604" s="12" t="s">
        <v>1644</v>
      </c>
      <c r="J604" s="12" t="s">
        <v>191</v>
      </c>
      <c r="K604" s="12" t="s">
        <v>727</v>
      </c>
      <c r="O604" s="12">
        <v>3500.0</v>
      </c>
      <c r="Q604" s="12" t="b">
        <v>1</v>
      </c>
    </row>
    <row r="605">
      <c r="A605" s="12">
        <v>1348.0</v>
      </c>
      <c r="B605" s="12" t="s">
        <v>54</v>
      </c>
      <c r="C605" s="14">
        <v>46054.0</v>
      </c>
      <c r="H605" s="12" t="s">
        <v>1884</v>
      </c>
      <c r="J605" s="12" t="s">
        <v>191</v>
      </c>
      <c r="K605" s="12" t="s">
        <v>727</v>
      </c>
      <c r="O605" s="12">
        <v>3683.36</v>
      </c>
      <c r="Q605" s="12" t="b">
        <v>1</v>
      </c>
    </row>
    <row r="606">
      <c r="A606" s="12">
        <v>1349.0</v>
      </c>
      <c r="B606" s="12" t="s">
        <v>54</v>
      </c>
      <c r="C606" s="14">
        <v>46054.0</v>
      </c>
      <c r="H606" s="12" t="s">
        <v>1884</v>
      </c>
      <c r="J606" s="12" t="s">
        <v>191</v>
      </c>
      <c r="K606" s="12" t="s">
        <v>1183</v>
      </c>
      <c r="O606" s="12">
        <v>1228.6</v>
      </c>
      <c r="Q606" s="12" t="b">
        <v>1</v>
      </c>
    </row>
    <row r="607">
      <c r="A607" s="12">
        <v>1350.0</v>
      </c>
      <c r="B607" s="12" t="s">
        <v>54</v>
      </c>
      <c r="C607" s="14">
        <v>46054.0</v>
      </c>
      <c r="H607" s="12" t="s">
        <v>1884</v>
      </c>
      <c r="J607" s="12" t="s">
        <v>191</v>
      </c>
      <c r="K607" s="12" t="s">
        <v>62</v>
      </c>
      <c r="O607" s="12">
        <v>1264.63</v>
      </c>
      <c r="Q607" s="12" t="b">
        <v>1</v>
      </c>
    </row>
    <row r="608">
      <c r="A608" s="12">
        <v>1351.0</v>
      </c>
      <c r="B608" s="12" t="s">
        <v>54</v>
      </c>
      <c r="C608" s="14">
        <v>46054.0</v>
      </c>
      <c r="H608" s="12" t="s">
        <v>1884</v>
      </c>
      <c r="J608" s="12" t="s">
        <v>191</v>
      </c>
      <c r="K608" s="12" t="s">
        <v>78</v>
      </c>
      <c r="O608" s="12">
        <v>1316.27</v>
      </c>
      <c r="Q608" s="12" t="b">
        <v>1</v>
      </c>
    </row>
    <row r="609">
      <c r="A609" s="12">
        <v>1352.0</v>
      </c>
      <c r="B609" s="12" t="s">
        <v>54</v>
      </c>
      <c r="C609" s="14">
        <v>46054.0</v>
      </c>
      <c r="H609" s="12" t="s">
        <v>1884</v>
      </c>
      <c r="J609" s="12" t="s">
        <v>191</v>
      </c>
      <c r="K609" s="12" t="s">
        <v>1900</v>
      </c>
      <c r="O609" s="12">
        <v>1718.87</v>
      </c>
      <c r="Q609" s="12" t="b">
        <v>1</v>
      </c>
    </row>
    <row r="610">
      <c r="A610" s="12" t="s">
        <v>3456</v>
      </c>
      <c r="B610" s="12" t="s">
        <v>54</v>
      </c>
      <c r="C610" s="14">
        <v>46055.0</v>
      </c>
      <c r="D610" s="12" t="s">
        <v>3672</v>
      </c>
      <c r="E610" s="12" t="s">
        <v>3673</v>
      </c>
      <c r="G610" s="12" t="s">
        <v>3674</v>
      </c>
      <c r="H610" s="12" t="s">
        <v>3675</v>
      </c>
      <c r="I610" s="12" t="b">
        <v>1</v>
      </c>
      <c r="J610" s="12" t="s">
        <v>1784</v>
      </c>
      <c r="O610" s="12">
        <v>4.0</v>
      </c>
      <c r="P610" s="12">
        <v>1973775.0</v>
      </c>
      <c r="Q610" s="12" t="b">
        <v>1</v>
      </c>
    </row>
    <row r="611">
      <c r="A611" s="12" t="s">
        <v>3460</v>
      </c>
      <c r="B611" s="12" t="s">
        <v>54</v>
      </c>
      <c r="C611" s="14">
        <v>46055.0</v>
      </c>
      <c r="D611" s="12" t="s">
        <v>220</v>
      </c>
      <c r="E611" s="12" t="s">
        <v>3681</v>
      </c>
      <c r="G611" s="12" t="s">
        <v>3682</v>
      </c>
      <c r="H611" s="12" t="s">
        <v>3683</v>
      </c>
      <c r="I611" s="12" t="b">
        <v>1</v>
      </c>
      <c r="J611" s="12" t="s">
        <v>1784</v>
      </c>
      <c r="O611" s="12">
        <v>481.5</v>
      </c>
      <c r="P611" s="12">
        <v>1973795.0</v>
      </c>
      <c r="Q611" s="12" t="b">
        <v>1</v>
      </c>
    </row>
    <row r="612">
      <c r="A612" s="12" t="s">
        <v>3487</v>
      </c>
      <c r="B612" s="12" t="s">
        <v>54</v>
      </c>
      <c r="C612" s="14">
        <v>46055.0</v>
      </c>
      <c r="D612" s="12" t="s">
        <v>784</v>
      </c>
      <c r="E612" s="12" t="s">
        <v>3686</v>
      </c>
      <c r="G612" s="12" t="s">
        <v>3689</v>
      </c>
      <c r="H612" s="12" t="s">
        <v>715</v>
      </c>
      <c r="I612" s="12" t="b">
        <v>0</v>
      </c>
      <c r="J612" s="12" t="s">
        <v>1784</v>
      </c>
      <c r="O612" s="12">
        <v>2765.53</v>
      </c>
      <c r="Q612" s="12" t="b">
        <v>1</v>
      </c>
    </row>
    <row r="613">
      <c r="A613" s="12"/>
      <c r="B613" s="12"/>
      <c r="C613" s="14"/>
      <c r="D613" s="12"/>
      <c r="E613" s="12"/>
      <c r="G613" s="12"/>
      <c r="H613" s="12"/>
      <c r="I613" s="12"/>
      <c r="J613" s="12"/>
      <c r="Q613" s="12"/>
    </row>
    <row r="614">
      <c r="A614" s="12" t="s">
        <v>3504</v>
      </c>
      <c r="B614" s="12" t="s">
        <v>54</v>
      </c>
      <c r="C614" s="14">
        <v>46056.0</v>
      </c>
      <c r="D614" s="12" t="s">
        <v>375</v>
      </c>
      <c r="E614" s="12" t="s">
        <v>3694</v>
      </c>
      <c r="G614" s="12" t="s">
        <v>3695</v>
      </c>
      <c r="H614" s="12" t="s">
        <v>153</v>
      </c>
      <c r="I614" s="12" t="b">
        <v>1</v>
      </c>
      <c r="J614" s="12" t="s">
        <v>1784</v>
      </c>
      <c r="O614" s="12">
        <v>207.64</v>
      </c>
      <c r="P614" s="12">
        <v>1975528.0</v>
      </c>
      <c r="Q614" s="12" t="b">
        <v>1</v>
      </c>
    </row>
    <row r="615">
      <c r="A615" s="12" t="s">
        <v>3429</v>
      </c>
      <c r="B615" s="12" t="s">
        <v>54</v>
      </c>
      <c r="C615" s="14">
        <v>46050.0</v>
      </c>
      <c r="D615" s="12" t="s">
        <v>182</v>
      </c>
      <c r="E615" s="12" t="s">
        <v>3699</v>
      </c>
      <c r="G615" s="12" t="s">
        <v>3700</v>
      </c>
      <c r="H615" s="12" t="s">
        <v>1529</v>
      </c>
      <c r="I615" s="12" t="b">
        <v>1</v>
      </c>
      <c r="J615" s="12" t="s">
        <v>1784</v>
      </c>
      <c r="O615" s="12">
        <v>33.79</v>
      </c>
      <c r="P615" s="12">
        <v>1975704.0</v>
      </c>
      <c r="Q615" s="12" t="b">
        <v>1</v>
      </c>
    </row>
    <row r="616">
      <c r="A616" s="12" t="s">
        <v>3522</v>
      </c>
      <c r="B616" s="12" t="s">
        <v>54</v>
      </c>
      <c r="C616" s="14">
        <v>46056.0</v>
      </c>
      <c r="D616" s="12" t="s">
        <v>556</v>
      </c>
      <c r="E616" s="12" t="s">
        <v>3706</v>
      </c>
      <c r="G616" s="12" t="s">
        <v>3707</v>
      </c>
      <c r="H616" s="12" t="s">
        <v>687</v>
      </c>
      <c r="I616" s="12" t="b">
        <v>1</v>
      </c>
      <c r="J616" s="12" t="s">
        <v>1784</v>
      </c>
      <c r="O616" s="12">
        <v>220.0</v>
      </c>
      <c r="P616" s="12">
        <v>1976028.0</v>
      </c>
      <c r="Q616" s="12" t="b">
        <v>1</v>
      </c>
    </row>
    <row r="617">
      <c r="A617" s="12" t="s">
        <v>2325</v>
      </c>
      <c r="B617" s="12" t="s">
        <v>54</v>
      </c>
      <c r="C617" s="14">
        <v>46056.0</v>
      </c>
      <c r="D617" s="12" t="s">
        <v>156</v>
      </c>
      <c r="H617" s="12" t="s">
        <v>3711</v>
      </c>
      <c r="J617" s="12" t="s">
        <v>621</v>
      </c>
      <c r="O617" s="12">
        <v>16.75</v>
      </c>
      <c r="Q617" s="12" t="b">
        <v>1</v>
      </c>
    </row>
    <row r="618">
      <c r="A618" s="12" t="s">
        <v>3531</v>
      </c>
      <c r="B618" s="12" t="s">
        <v>54</v>
      </c>
      <c r="C618" s="14">
        <v>46057.0</v>
      </c>
      <c r="D618" s="12" t="s">
        <v>175</v>
      </c>
      <c r="E618" s="12" t="s">
        <v>3713</v>
      </c>
      <c r="G618" s="12" t="s">
        <v>3714</v>
      </c>
      <c r="H618" s="12" t="s">
        <v>3715</v>
      </c>
      <c r="I618" s="12" t="b">
        <v>1</v>
      </c>
      <c r="J618" s="12" t="s">
        <v>1784</v>
      </c>
      <c r="O618" s="12">
        <v>40.0</v>
      </c>
      <c r="P618" s="12">
        <v>1977158.0</v>
      </c>
      <c r="Q618" s="12" t="b">
        <v>1</v>
      </c>
    </row>
    <row r="619">
      <c r="A619" s="12" t="s">
        <v>3542</v>
      </c>
      <c r="B619" s="12" t="s">
        <v>54</v>
      </c>
      <c r="C619" s="14">
        <v>46057.0</v>
      </c>
      <c r="D619" s="12" t="s">
        <v>1371</v>
      </c>
      <c r="E619" s="12" t="s">
        <v>3719</v>
      </c>
      <c r="G619" s="12" t="s">
        <v>3721</v>
      </c>
      <c r="H619" s="12" t="s">
        <v>3715</v>
      </c>
      <c r="I619" s="12" t="b">
        <v>1</v>
      </c>
      <c r="J619" s="12" t="s">
        <v>1784</v>
      </c>
      <c r="O619" s="12">
        <v>7.9</v>
      </c>
      <c r="P619" s="12">
        <v>1977169.0</v>
      </c>
      <c r="Q619" s="12" t="b">
        <v>1</v>
      </c>
    </row>
    <row r="620">
      <c r="A620" s="12" t="s">
        <v>3494</v>
      </c>
      <c r="B620" s="12" t="s">
        <v>54</v>
      </c>
      <c r="C620" s="14">
        <v>46055.0</v>
      </c>
      <c r="D620" s="12" t="s">
        <v>156</v>
      </c>
      <c r="E620" s="12" t="s">
        <v>3726</v>
      </c>
      <c r="G620" s="12" t="s">
        <v>3727</v>
      </c>
      <c r="H620" s="12" t="s">
        <v>3280</v>
      </c>
      <c r="I620" s="12" t="b">
        <v>0</v>
      </c>
      <c r="J620" s="12" t="s">
        <v>1784</v>
      </c>
      <c r="L620" s="12" t="s">
        <v>3728</v>
      </c>
      <c r="O620" s="12">
        <v>10572.96</v>
      </c>
      <c r="Q620" s="12" t="b">
        <v>1</v>
      </c>
    </row>
    <row r="621">
      <c r="A621" s="12" t="s">
        <v>2329</v>
      </c>
      <c r="B621" s="12" t="s">
        <v>54</v>
      </c>
      <c r="C621" s="14">
        <v>46057.0</v>
      </c>
      <c r="H621" s="12" t="s">
        <v>1112</v>
      </c>
      <c r="J621" s="12" t="s">
        <v>191</v>
      </c>
      <c r="K621" s="12" t="s">
        <v>62</v>
      </c>
      <c r="O621" s="12">
        <v>50.0</v>
      </c>
      <c r="Q621" s="12" t="b">
        <v>1</v>
      </c>
    </row>
    <row r="622">
      <c r="A622" s="12"/>
      <c r="B622" s="12"/>
      <c r="C622" s="14"/>
      <c r="D622" s="12"/>
      <c r="E622" s="12"/>
      <c r="G622" s="12"/>
      <c r="H622" s="12"/>
      <c r="I622" s="12"/>
      <c r="J622" s="12"/>
      <c r="Q622" s="12"/>
    </row>
    <row r="623">
      <c r="A623" s="12" t="s">
        <v>3577</v>
      </c>
      <c r="B623" s="12" t="s">
        <v>54</v>
      </c>
      <c r="C623" s="14">
        <v>46059.0</v>
      </c>
      <c r="D623" s="12" t="s">
        <v>435</v>
      </c>
      <c r="E623" s="12" t="s">
        <v>3735</v>
      </c>
      <c r="G623" s="12" t="s">
        <v>3737</v>
      </c>
      <c r="H623" s="12" t="s">
        <v>3739</v>
      </c>
      <c r="I623" s="12" t="b">
        <v>1</v>
      </c>
      <c r="J623" s="12" t="s">
        <v>1784</v>
      </c>
      <c r="O623" s="12">
        <v>199.8</v>
      </c>
      <c r="P623" s="12">
        <v>1981760.0</v>
      </c>
      <c r="Q623" s="12" t="b">
        <v>1</v>
      </c>
    </row>
    <row r="624">
      <c r="A624" s="12" t="s">
        <v>3573</v>
      </c>
      <c r="B624" s="12" t="s">
        <v>54</v>
      </c>
      <c r="C624" s="14">
        <v>46059.0</v>
      </c>
      <c r="D624" s="12" t="s">
        <v>220</v>
      </c>
      <c r="E624" s="12" t="s">
        <v>3743</v>
      </c>
      <c r="G624" s="12" t="s">
        <v>3744</v>
      </c>
      <c r="H624" s="12" t="s">
        <v>3276</v>
      </c>
      <c r="I624" s="12" t="b">
        <v>1</v>
      </c>
      <c r="J624" s="12" t="s">
        <v>1784</v>
      </c>
      <c r="O624" s="12">
        <v>208.02</v>
      </c>
      <c r="P624" s="12">
        <v>1981763.0</v>
      </c>
      <c r="Q624" s="12" t="b">
        <v>1</v>
      </c>
    </row>
    <row r="625">
      <c r="A625" s="12" t="s">
        <v>3550</v>
      </c>
      <c r="B625" s="12" t="s">
        <v>54</v>
      </c>
      <c r="C625" s="14">
        <v>46058.0</v>
      </c>
      <c r="D625" s="12" t="s">
        <v>220</v>
      </c>
      <c r="E625" s="12" t="s">
        <v>3750</v>
      </c>
      <c r="G625" s="12" t="s">
        <v>3752</v>
      </c>
      <c r="H625" s="12" t="s">
        <v>3753</v>
      </c>
      <c r="I625" s="12" t="b">
        <v>1</v>
      </c>
      <c r="J625" s="12" t="s">
        <v>1784</v>
      </c>
      <c r="O625" s="12">
        <v>134.16</v>
      </c>
      <c r="P625" s="12">
        <v>1981768.0</v>
      </c>
      <c r="Q625" s="12" t="b">
        <v>1</v>
      </c>
    </row>
    <row r="626">
      <c r="A626" s="12" t="s">
        <v>3588</v>
      </c>
      <c r="B626" s="12" t="s">
        <v>54</v>
      </c>
      <c r="C626" s="14">
        <v>46059.0</v>
      </c>
      <c r="D626" s="12" t="s">
        <v>182</v>
      </c>
      <c r="E626" s="12" t="s">
        <v>3756</v>
      </c>
      <c r="G626" s="12" t="s">
        <v>3757</v>
      </c>
      <c r="H626" s="12" t="s">
        <v>2814</v>
      </c>
      <c r="I626" s="12" t="b">
        <v>1</v>
      </c>
      <c r="J626" s="12" t="s">
        <v>1784</v>
      </c>
      <c r="O626" s="12">
        <v>212.03</v>
      </c>
      <c r="P626" s="12">
        <v>1987781.0</v>
      </c>
      <c r="Q626" s="12" t="b">
        <v>1</v>
      </c>
    </row>
    <row r="627">
      <c r="A627" s="12" t="s">
        <v>3594</v>
      </c>
      <c r="B627" s="12" t="s">
        <v>54</v>
      </c>
      <c r="C627" s="14">
        <v>46060.0</v>
      </c>
      <c r="D627" s="12" t="s">
        <v>182</v>
      </c>
      <c r="E627" s="12" t="s">
        <v>3760</v>
      </c>
      <c r="G627" s="12" t="s">
        <v>3762</v>
      </c>
      <c r="H627" s="12" t="s">
        <v>3763</v>
      </c>
      <c r="I627" s="12" t="b">
        <v>1</v>
      </c>
      <c r="J627" s="12" t="s">
        <v>1784</v>
      </c>
      <c r="O627" s="12">
        <v>5.42</v>
      </c>
      <c r="P627" s="12">
        <v>1987772.0</v>
      </c>
      <c r="Q627" s="12" t="b">
        <v>1</v>
      </c>
    </row>
    <row r="628">
      <c r="A628" s="12">
        <v>1362.0</v>
      </c>
      <c r="B628" s="12" t="s">
        <v>54</v>
      </c>
      <c r="C628" s="14">
        <v>46061.0</v>
      </c>
      <c r="D628" s="12" t="s">
        <v>848</v>
      </c>
      <c r="H628" s="12" t="s">
        <v>1226</v>
      </c>
      <c r="J628" s="12" t="s">
        <v>621</v>
      </c>
      <c r="O628" s="12">
        <v>4000.0</v>
      </c>
      <c r="Q628" s="12" t="b">
        <v>1</v>
      </c>
    </row>
    <row r="629">
      <c r="A629" s="12">
        <v>1366.0</v>
      </c>
      <c r="B629" s="12" t="s">
        <v>54</v>
      </c>
      <c r="C629" s="14">
        <v>46061.0</v>
      </c>
      <c r="D629" s="12" t="s">
        <v>1668</v>
      </c>
      <c r="H629" s="12" t="s">
        <v>1671</v>
      </c>
      <c r="J629" s="12" t="s">
        <v>621</v>
      </c>
      <c r="O629" s="12">
        <v>125.0</v>
      </c>
      <c r="Q629" s="12" t="b">
        <v>1</v>
      </c>
    </row>
    <row r="630">
      <c r="A630" s="12">
        <v>1368.0</v>
      </c>
      <c r="B630" s="12" t="s">
        <v>54</v>
      </c>
      <c r="C630" s="14">
        <v>46061.0</v>
      </c>
      <c r="D630" s="12" t="s">
        <v>897</v>
      </c>
      <c r="H630" s="12" t="s">
        <v>909</v>
      </c>
      <c r="J630" s="12" t="s">
        <v>621</v>
      </c>
      <c r="O630" s="12">
        <v>0.0</v>
      </c>
      <c r="Q630" s="12" t="b">
        <v>1</v>
      </c>
    </row>
    <row r="631">
      <c r="A631" s="12">
        <v>1369.0</v>
      </c>
      <c r="B631" s="12" t="s">
        <v>54</v>
      </c>
      <c r="C631" s="14">
        <v>46061.0</v>
      </c>
      <c r="D631" s="12" t="s">
        <v>933</v>
      </c>
      <c r="H631" s="12" t="s">
        <v>1346</v>
      </c>
      <c r="J631" s="12" t="s">
        <v>621</v>
      </c>
      <c r="O631" s="12">
        <v>533.95</v>
      </c>
      <c r="Q631" s="12" t="b">
        <v>1</v>
      </c>
    </row>
    <row r="632">
      <c r="A632" s="12" t="s">
        <v>3597</v>
      </c>
      <c r="B632" s="12" t="s">
        <v>54</v>
      </c>
      <c r="C632" s="14">
        <v>46062.0</v>
      </c>
      <c r="D632" s="12" t="s">
        <v>58</v>
      </c>
      <c r="E632" s="12" t="s">
        <v>3776</v>
      </c>
      <c r="G632" s="12" t="s">
        <v>3777</v>
      </c>
      <c r="H632" s="12" t="s">
        <v>3778</v>
      </c>
      <c r="I632" s="12" t="b">
        <v>1</v>
      </c>
      <c r="J632" s="12" t="s">
        <v>1784</v>
      </c>
      <c r="O632" s="12">
        <v>121.2</v>
      </c>
      <c r="P632" s="12">
        <v>1988943.0</v>
      </c>
      <c r="Q632" s="12" t="b">
        <v>1</v>
      </c>
    </row>
    <row r="633">
      <c r="A633" s="12" t="s">
        <v>3604</v>
      </c>
      <c r="B633" s="12" t="s">
        <v>54</v>
      </c>
      <c r="C633" s="14">
        <v>46062.0</v>
      </c>
      <c r="D633" s="12" t="s">
        <v>375</v>
      </c>
      <c r="E633" s="12" t="s">
        <v>3781</v>
      </c>
      <c r="G633" s="12" t="s">
        <v>3782</v>
      </c>
      <c r="H633" s="12" t="s">
        <v>153</v>
      </c>
      <c r="I633" s="12" t="b">
        <v>1</v>
      </c>
      <c r="J633" s="12" t="s">
        <v>1784</v>
      </c>
      <c r="O633" s="12">
        <v>377.8</v>
      </c>
      <c r="P633" s="12">
        <v>1988930.0</v>
      </c>
      <c r="Q633" s="12" t="b">
        <v>1</v>
      </c>
    </row>
    <row r="634">
      <c r="A634" s="12" t="s">
        <v>3611</v>
      </c>
      <c r="B634" s="12" t="s">
        <v>54</v>
      </c>
      <c r="C634" s="14">
        <v>46062.0</v>
      </c>
      <c r="D634" s="12" t="s">
        <v>190</v>
      </c>
      <c r="E634" s="12" t="s">
        <v>3785</v>
      </c>
      <c r="G634" s="12" t="s">
        <v>3786</v>
      </c>
      <c r="H634" s="12" t="s">
        <v>328</v>
      </c>
      <c r="I634" s="12" t="b">
        <v>1</v>
      </c>
      <c r="J634" s="12" t="s">
        <v>1784</v>
      </c>
      <c r="O634" s="12">
        <v>81.5</v>
      </c>
      <c r="P634" s="12">
        <v>1988928.0</v>
      </c>
      <c r="Q634" s="12" t="b">
        <v>1</v>
      </c>
    </row>
    <row r="635">
      <c r="A635" s="12" t="s">
        <v>3559</v>
      </c>
      <c r="B635" s="12" t="s">
        <v>54</v>
      </c>
      <c r="C635" s="14">
        <v>46058.0</v>
      </c>
      <c r="D635" s="12" t="s">
        <v>156</v>
      </c>
      <c r="E635" s="12" t="s">
        <v>3789</v>
      </c>
      <c r="G635" s="12" t="s">
        <v>3791</v>
      </c>
      <c r="H635" s="12" t="s">
        <v>3539</v>
      </c>
      <c r="I635" s="12" t="b">
        <v>0</v>
      </c>
      <c r="J635" s="12" t="s">
        <v>1784</v>
      </c>
      <c r="O635" s="12">
        <v>3763.22</v>
      </c>
      <c r="Q635" s="12" t="b">
        <v>1</v>
      </c>
    </row>
    <row r="636">
      <c r="A636" s="12"/>
      <c r="B636" s="12"/>
      <c r="C636" s="14"/>
      <c r="D636" s="12"/>
      <c r="E636" s="12"/>
      <c r="G636" s="12"/>
      <c r="H636" s="12"/>
      <c r="I636" s="12"/>
      <c r="J636" s="12"/>
      <c r="Q636" s="12"/>
    </row>
    <row r="637">
      <c r="A637" s="12" t="s">
        <v>3546</v>
      </c>
      <c r="B637" s="12" t="s">
        <v>54</v>
      </c>
      <c r="C637" s="14">
        <v>46057.0</v>
      </c>
      <c r="D637" s="12" t="s">
        <v>556</v>
      </c>
      <c r="E637" s="12" t="s">
        <v>3799</v>
      </c>
      <c r="G637" s="12" t="s">
        <v>3800</v>
      </c>
      <c r="H637" s="12" t="s">
        <v>859</v>
      </c>
      <c r="I637" s="12" t="b">
        <v>1</v>
      </c>
      <c r="J637" s="12" t="s">
        <v>1784</v>
      </c>
      <c r="O637" s="12">
        <v>330.0</v>
      </c>
      <c r="P637" s="12">
        <v>1977783.0</v>
      </c>
      <c r="Q637" s="12" t="b">
        <v>1</v>
      </c>
    </row>
    <row r="638">
      <c r="A638" s="12" t="s">
        <v>3642</v>
      </c>
      <c r="B638" s="12" t="s">
        <v>54</v>
      </c>
      <c r="C638" s="14">
        <v>46063.0</v>
      </c>
      <c r="D638" s="12" t="s">
        <v>355</v>
      </c>
      <c r="E638" s="12" t="s">
        <v>3805</v>
      </c>
      <c r="G638" s="12" t="s">
        <v>3806</v>
      </c>
      <c r="H638" s="12" t="s">
        <v>1761</v>
      </c>
      <c r="I638" s="12" t="b">
        <v>1</v>
      </c>
      <c r="J638" s="12" t="s">
        <v>1784</v>
      </c>
      <c r="O638" s="12">
        <v>802.0</v>
      </c>
      <c r="P638" s="12">
        <v>1990488.0</v>
      </c>
      <c r="Q638" s="12" t="b">
        <v>1</v>
      </c>
      <c r="S638" s="12">
        <v>15.5</v>
      </c>
    </row>
    <row r="639">
      <c r="A639" s="12" t="s">
        <v>3655</v>
      </c>
      <c r="B639" s="12" t="s">
        <v>54</v>
      </c>
      <c r="C639" s="14">
        <v>46063.0</v>
      </c>
      <c r="D639" s="12" t="s">
        <v>220</v>
      </c>
      <c r="E639" s="12" t="s">
        <v>3813</v>
      </c>
      <c r="G639" s="12" t="s">
        <v>3814</v>
      </c>
      <c r="H639" s="12" t="s">
        <v>1529</v>
      </c>
      <c r="I639" s="12" t="b">
        <v>1</v>
      </c>
      <c r="J639" s="12" t="s">
        <v>1784</v>
      </c>
      <c r="O639" s="12">
        <v>29.7</v>
      </c>
      <c r="P639" s="12">
        <v>1990828.0</v>
      </c>
      <c r="Q639" s="12" t="b">
        <v>1</v>
      </c>
    </row>
    <row r="640">
      <c r="A640" s="12" t="s">
        <v>3616</v>
      </c>
      <c r="B640" s="12" t="s">
        <v>54</v>
      </c>
      <c r="C640" s="14">
        <v>46062.0</v>
      </c>
      <c r="D640" s="12" t="s">
        <v>220</v>
      </c>
      <c r="E640" s="12" t="s">
        <v>3821</v>
      </c>
      <c r="G640" s="12" t="s">
        <v>3823</v>
      </c>
      <c r="H640" s="12" t="s">
        <v>2999</v>
      </c>
      <c r="I640" s="12" t="b">
        <v>1</v>
      </c>
      <c r="J640" s="12" t="s">
        <v>1784</v>
      </c>
      <c r="O640" s="12">
        <v>441.42</v>
      </c>
      <c r="P640" s="12">
        <v>1990824.0</v>
      </c>
      <c r="Q640" s="12" t="b">
        <v>1</v>
      </c>
    </row>
    <row r="641">
      <c r="A641" s="12" t="s">
        <v>3660</v>
      </c>
      <c r="B641" s="12" t="s">
        <v>54</v>
      </c>
      <c r="C641" s="14">
        <v>46063.0</v>
      </c>
      <c r="D641" s="12" t="s">
        <v>175</v>
      </c>
      <c r="E641" s="12" t="s">
        <v>3828</v>
      </c>
      <c r="G641" s="12" t="s">
        <v>3829</v>
      </c>
      <c r="H641" s="12" t="s">
        <v>2999</v>
      </c>
      <c r="I641" s="12" t="b">
        <v>1</v>
      </c>
      <c r="J641" s="12" t="s">
        <v>1784</v>
      </c>
      <c r="O641" s="12">
        <v>41.0</v>
      </c>
      <c r="P641" s="12">
        <v>1990823.0</v>
      </c>
      <c r="Q641" s="12" t="b">
        <v>1</v>
      </c>
    </row>
    <row r="642">
      <c r="A642" s="12" t="s">
        <v>3563</v>
      </c>
      <c r="B642" s="12" t="s">
        <v>54</v>
      </c>
      <c r="C642" s="14">
        <v>46058.0</v>
      </c>
      <c r="D642" s="12" t="s">
        <v>156</v>
      </c>
      <c r="E642" s="12" t="s">
        <v>3833</v>
      </c>
      <c r="G642" s="12" t="s">
        <v>3834</v>
      </c>
      <c r="H642" s="12" t="s">
        <v>254</v>
      </c>
      <c r="I642" s="12" t="b">
        <v>0</v>
      </c>
      <c r="J642" s="12" t="s">
        <v>1784</v>
      </c>
      <c r="O642" s="12">
        <v>1092.99</v>
      </c>
      <c r="Q642" s="12" t="b">
        <v>1</v>
      </c>
    </row>
    <row r="643">
      <c r="A643" s="12" t="s">
        <v>3669</v>
      </c>
      <c r="B643" s="12" t="s">
        <v>54</v>
      </c>
      <c r="C643" s="14">
        <v>46064.0</v>
      </c>
      <c r="D643" s="12" t="s">
        <v>220</v>
      </c>
      <c r="E643" s="12" t="s">
        <v>3838</v>
      </c>
      <c r="G643" s="12" t="s">
        <v>3840</v>
      </c>
      <c r="H643" s="12" t="s">
        <v>3841</v>
      </c>
      <c r="I643" s="12" t="b">
        <v>1</v>
      </c>
      <c r="J643" s="12" t="s">
        <v>1784</v>
      </c>
      <c r="O643" s="12">
        <v>180.65</v>
      </c>
      <c r="P643" s="12">
        <v>1993059.0</v>
      </c>
      <c r="Q643" s="12" t="b">
        <v>1</v>
      </c>
    </row>
    <row r="644">
      <c r="A644" s="12" t="s">
        <v>2342</v>
      </c>
      <c r="B644" s="12" t="s">
        <v>54</v>
      </c>
      <c r="C644" s="14">
        <v>46064.0</v>
      </c>
      <c r="D644" s="12" t="s">
        <v>933</v>
      </c>
      <c r="H644" s="12" t="s">
        <v>3847</v>
      </c>
      <c r="J644" s="12" t="s">
        <v>621</v>
      </c>
      <c r="O644" s="12">
        <v>957.0</v>
      </c>
      <c r="Q644" s="12" t="b">
        <v>1</v>
      </c>
    </row>
    <row r="645">
      <c r="A645" s="12" t="s">
        <v>3677</v>
      </c>
      <c r="B645" s="12" t="s">
        <v>54</v>
      </c>
      <c r="C645" s="14">
        <v>46065.0</v>
      </c>
      <c r="D645" s="12" t="s">
        <v>190</v>
      </c>
      <c r="E645" s="12" t="s">
        <v>3850</v>
      </c>
      <c r="G645" s="12" t="s">
        <v>3852</v>
      </c>
      <c r="H645" s="12" t="s">
        <v>3853</v>
      </c>
      <c r="I645" s="12" t="b">
        <v>1</v>
      </c>
      <c r="J645" s="12" t="s">
        <v>1784</v>
      </c>
      <c r="O645" s="12">
        <v>37.0</v>
      </c>
      <c r="P645" s="12">
        <v>1994949.0</v>
      </c>
      <c r="Q645" s="12" t="b">
        <v>1</v>
      </c>
    </row>
    <row r="646">
      <c r="A646" s="12" t="s">
        <v>3679</v>
      </c>
      <c r="B646" s="12" t="s">
        <v>54</v>
      </c>
      <c r="C646" s="14">
        <v>46065.0</v>
      </c>
      <c r="D646" s="12" t="s">
        <v>220</v>
      </c>
      <c r="E646" s="12" t="s">
        <v>3858</v>
      </c>
      <c r="G646" s="12" t="s">
        <v>3859</v>
      </c>
      <c r="H646" s="12" t="s">
        <v>3860</v>
      </c>
      <c r="I646" s="12" t="b">
        <v>1</v>
      </c>
      <c r="J646" s="12" t="s">
        <v>1784</v>
      </c>
      <c r="O646" s="12">
        <v>282.55</v>
      </c>
      <c r="P646" s="12">
        <v>1994946.0</v>
      </c>
      <c r="Q646" s="12" t="b">
        <v>1</v>
      </c>
    </row>
    <row r="647">
      <c r="A647" s="12" t="s">
        <v>3703</v>
      </c>
      <c r="B647" s="12" t="s">
        <v>54</v>
      </c>
      <c r="C647" s="14">
        <v>46065.0</v>
      </c>
      <c r="D647" s="12" t="s">
        <v>220</v>
      </c>
      <c r="E647" s="12" t="s">
        <v>3863</v>
      </c>
      <c r="G647" s="12" t="s">
        <v>3864</v>
      </c>
      <c r="H647" s="12" t="s">
        <v>3865</v>
      </c>
      <c r="I647" s="12" t="b">
        <v>1</v>
      </c>
      <c r="J647" s="12" t="s">
        <v>1784</v>
      </c>
      <c r="O647" s="12">
        <v>202.0</v>
      </c>
      <c r="P647" s="12">
        <v>1994944.0</v>
      </c>
      <c r="Q647" s="12" t="b">
        <v>1</v>
      </c>
    </row>
    <row r="648">
      <c r="A648" s="12" t="s">
        <v>3705</v>
      </c>
      <c r="B648" s="12" t="s">
        <v>54</v>
      </c>
      <c r="C648" s="14">
        <v>46066.0</v>
      </c>
      <c r="D648" s="12" t="s">
        <v>375</v>
      </c>
      <c r="E648" s="12" t="s">
        <v>3871</v>
      </c>
      <c r="G648" s="12" t="s">
        <v>3873</v>
      </c>
      <c r="H648" s="12" t="s">
        <v>1778</v>
      </c>
      <c r="I648" s="12" t="b">
        <v>1</v>
      </c>
      <c r="J648" s="12" t="s">
        <v>1784</v>
      </c>
      <c r="O648" s="12">
        <v>124.8</v>
      </c>
      <c r="P648" s="12">
        <v>1996773.0</v>
      </c>
      <c r="Q648" s="12" t="b">
        <v>1</v>
      </c>
    </row>
    <row r="649">
      <c r="A649" s="12">
        <v>1374.0</v>
      </c>
      <c r="B649" s="12" t="s">
        <v>54</v>
      </c>
      <c r="C649" s="14">
        <v>46066.0</v>
      </c>
      <c r="D649" s="12" t="s">
        <v>689</v>
      </c>
      <c r="H649" s="12" t="s">
        <v>959</v>
      </c>
      <c r="J649" s="12" t="s">
        <v>621</v>
      </c>
      <c r="O649" s="12">
        <v>5000.0</v>
      </c>
      <c r="Q649" s="12" t="b">
        <v>1</v>
      </c>
    </row>
    <row r="650">
      <c r="A650" s="12">
        <v>1382.0</v>
      </c>
      <c r="B650" s="12" t="s">
        <v>54</v>
      </c>
      <c r="C650" s="14">
        <v>46066.0</v>
      </c>
      <c r="D650" s="12" t="s">
        <v>1067</v>
      </c>
      <c r="H650" s="12" t="s">
        <v>1068</v>
      </c>
      <c r="J650" s="12" t="s">
        <v>621</v>
      </c>
      <c r="O650" s="12">
        <v>851.18</v>
      </c>
      <c r="Q650" s="12" t="b">
        <v>1</v>
      </c>
    </row>
    <row r="651">
      <c r="A651" s="12" t="s">
        <v>3717</v>
      </c>
      <c r="B651" s="12" t="s">
        <v>54</v>
      </c>
      <c r="C651" s="14">
        <v>46069.0</v>
      </c>
      <c r="D651" s="12" t="s">
        <v>220</v>
      </c>
      <c r="E651" s="12" t="s">
        <v>3881</v>
      </c>
      <c r="G651" s="12" t="s">
        <v>3883</v>
      </c>
      <c r="H651" s="12" t="s">
        <v>2999</v>
      </c>
      <c r="I651" s="12" t="b">
        <v>1</v>
      </c>
      <c r="J651" s="12" t="s">
        <v>1784</v>
      </c>
      <c r="O651" s="12">
        <v>404.01</v>
      </c>
      <c r="P651" s="12">
        <v>2006944.0</v>
      </c>
      <c r="Q651" s="12" t="b">
        <v>1</v>
      </c>
    </row>
    <row r="652">
      <c r="A652" s="12" t="s">
        <v>3747</v>
      </c>
      <c r="B652" s="12" t="s">
        <v>54</v>
      </c>
      <c r="C652" s="14">
        <v>46070.0</v>
      </c>
      <c r="D652" s="12" t="s">
        <v>3887</v>
      </c>
      <c r="E652" s="12" t="s">
        <v>3888</v>
      </c>
      <c r="G652" s="12" t="s">
        <v>3889</v>
      </c>
      <c r="H652" s="12" t="s">
        <v>3890</v>
      </c>
      <c r="I652" s="12" t="b">
        <v>1</v>
      </c>
      <c r="J652" s="12" t="s">
        <v>1784</v>
      </c>
      <c r="O652" s="12">
        <v>59.9</v>
      </c>
      <c r="P652" s="12">
        <v>2007091.0</v>
      </c>
      <c r="Q652" s="12" t="b">
        <v>1</v>
      </c>
    </row>
    <row r="653">
      <c r="A653" s="12">
        <v>1380.0</v>
      </c>
      <c r="B653" s="12" t="s">
        <v>54</v>
      </c>
      <c r="C653" s="14">
        <v>46070.0</v>
      </c>
      <c r="D653" s="12" t="s">
        <v>933</v>
      </c>
      <c r="H653" s="12" t="s">
        <v>1494</v>
      </c>
      <c r="J653" s="12" t="s">
        <v>621</v>
      </c>
      <c r="O653" s="12">
        <v>9636.43</v>
      </c>
      <c r="Q653" s="12" t="b">
        <v>1</v>
      </c>
    </row>
    <row r="654">
      <c r="A654" s="12">
        <v>1381.0</v>
      </c>
      <c r="B654" s="12" t="s">
        <v>54</v>
      </c>
      <c r="C654" s="14">
        <v>46070.0</v>
      </c>
      <c r="D654" s="12" t="s">
        <v>734</v>
      </c>
      <c r="H654" s="12" t="s">
        <v>1466</v>
      </c>
      <c r="J654" s="12" t="s">
        <v>621</v>
      </c>
      <c r="O654" s="12">
        <v>1194.82</v>
      </c>
      <c r="Q654" s="12" t="b">
        <v>1</v>
      </c>
    </row>
    <row r="655">
      <c r="A655" s="12">
        <v>1383.0</v>
      </c>
      <c r="B655" s="12" t="s">
        <v>54</v>
      </c>
      <c r="C655" s="14">
        <v>46070.0</v>
      </c>
      <c r="D655" s="12" t="s">
        <v>1484</v>
      </c>
      <c r="H655" s="12" t="s">
        <v>1485</v>
      </c>
      <c r="J655" s="12" t="s">
        <v>621</v>
      </c>
      <c r="O655" s="12">
        <v>20.0</v>
      </c>
      <c r="Q655" s="12" t="b">
        <v>1</v>
      </c>
    </row>
    <row r="656">
      <c r="A656" s="12" t="s">
        <v>2361</v>
      </c>
      <c r="B656" s="12" t="s">
        <v>54</v>
      </c>
      <c r="C656" s="14">
        <v>46070.0</v>
      </c>
      <c r="D656" s="12" t="s">
        <v>1715</v>
      </c>
      <c r="H656" s="12" t="s">
        <v>3036</v>
      </c>
      <c r="J656" s="12" t="s">
        <v>621</v>
      </c>
      <c r="O656" s="12">
        <v>1036.58</v>
      </c>
      <c r="Q656" s="12" t="b">
        <v>1</v>
      </c>
    </row>
    <row r="657">
      <c r="A657" s="12">
        <v>1388.0</v>
      </c>
      <c r="B657" s="12" t="s">
        <v>54</v>
      </c>
      <c r="C657" s="14">
        <v>46070.0</v>
      </c>
      <c r="D657" s="12" t="s">
        <v>818</v>
      </c>
      <c r="H657" s="12" t="s">
        <v>819</v>
      </c>
      <c r="J657" s="12" t="s">
        <v>621</v>
      </c>
      <c r="O657" s="12">
        <v>185.29</v>
      </c>
      <c r="Q657" s="12" t="b">
        <v>1</v>
      </c>
    </row>
    <row r="658">
      <c r="A658" s="12"/>
      <c r="B658" s="12"/>
      <c r="C658" s="14"/>
      <c r="D658" s="12"/>
      <c r="E658" s="12"/>
      <c r="G658" s="12"/>
      <c r="H658" s="12"/>
      <c r="I658" s="12"/>
      <c r="J658" s="12"/>
      <c r="L658" s="12"/>
      <c r="Q658" s="12"/>
    </row>
    <row r="659">
      <c r="A659" s="12"/>
      <c r="B659" s="12"/>
      <c r="C659" s="14"/>
      <c r="D659" s="12"/>
      <c r="E659" s="12"/>
      <c r="G659" s="12"/>
      <c r="H659" s="12"/>
      <c r="I659" s="12"/>
      <c r="J659" s="12"/>
      <c r="Q659" s="12"/>
    </row>
    <row r="660">
      <c r="A660" s="12"/>
      <c r="B660" s="12"/>
      <c r="C660" s="14"/>
      <c r="D660" s="12"/>
      <c r="E660" s="12"/>
      <c r="G660" s="12"/>
      <c r="H660" s="12"/>
      <c r="I660" s="12"/>
      <c r="J660" s="12"/>
      <c r="Q660" s="12"/>
    </row>
    <row r="661">
      <c r="A661" s="12" t="s">
        <v>3761</v>
      </c>
      <c r="B661" s="12" t="s">
        <v>54</v>
      </c>
      <c r="C661" s="14">
        <v>46071.0</v>
      </c>
      <c r="D661" s="12" t="s">
        <v>175</v>
      </c>
      <c r="E661" s="12" t="s">
        <v>3914</v>
      </c>
      <c r="G661" s="12" t="s">
        <v>3916</v>
      </c>
      <c r="H661" s="12" t="s">
        <v>3917</v>
      </c>
      <c r="I661" s="12" t="b">
        <v>1</v>
      </c>
      <c r="J661" s="12" t="s">
        <v>1784</v>
      </c>
      <c r="O661" s="12">
        <v>17.95</v>
      </c>
      <c r="P661" s="12">
        <v>2009646.0</v>
      </c>
      <c r="Q661" s="12" t="b">
        <v>1</v>
      </c>
    </row>
    <row r="662">
      <c r="A662" s="12" t="s">
        <v>3710</v>
      </c>
      <c r="B662" s="12" t="s">
        <v>54</v>
      </c>
      <c r="C662" s="14">
        <v>46066.0</v>
      </c>
      <c r="D662" s="12" t="s">
        <v>109</v>
      </c>
      <c r="E662" s="12" t="s">
        <v>3921</v>
      </c>
      <c r="G662" s="12" t="s">
        <v>3923</v>
      </c>
      <c r="H662" s="12" t="s">
        <v>687</v>
      </c>
      <c r="I662" s="12" t="b">
        <v>1</v>
      </c>
      <c r="J662" s="12" t="s">
        <v>1784</v>
      </c>
      <c r="O662" s="12">
        <v>330.0</v>
      </c>
      <c r="P662" s="12">
        <v>1996334.0</v>
      </c>
      <c r="Q662" s="12" t="b">
        <v>1</v>
      </c>
    </row>
    <row r="663">
      <c r="A663" s="12" t="s">
        <v>3667</v>
      </c>
      <c r="B663" s="12" t="s">
        <v>54</v>
      </c>
      <c r="C663" s="14">
        <v>46063.0</v>
      </c>
      <c r="D663" s="12" t="s">
        <v>109</v>
      </c>
      <c r="E663" s="12" t="s">
        <v>3926</v>
      </c>
      <c r="G663" s="12" t="s">
        <v>3928</v>
      </c>
      <c r="H663" s="12" t="s">
        <v>687</v>
      </c>
      <c r="I663" s="12" t="b">
        <v>1</v>
      </c>
      <c r="J663" s="12" t="s">
        <v>1784</v>
      </c>
      <c r="O663" s="12">
        <v>330.0</v>
      </c>
      <c r="P663" s="12">
        <v>1990474.0</v>
      </c>
      <c r="Q663" s="12" t="b">
        <v>1</v>
      </c>
    </row>
    <row r="664">
      <c r="A664" s="12" t="s">
        <v>3765</v>
      </c>
      <c r="B664" s="12" t="s">
        <v>54</v>
      </c>
      <c r="C664" s="14">
        <v>46071.0</v>
      </c>
      <c r="D664" s="12" t="s">
        <v>109</v>
      </c>
      <c r="E664" s="12" t="s">
        <v>3933</v>
      </c>
      <c r="G664" s="12" t="s">
        <v>3935</v>
      </c>
      <c r="H664" s="12" t="s">
        <v>687</v>
      </c>
      <c r="I664" s="12" t="b">
        <v>1</v>
      </c>
      <c r="J664" s="12" t="s">
        <v>1784</v>
      </c>
      <c r="O664" s="12">
        <v>220.0</v>
      </c>
      <c r="P664" s="12">
        <v>2009513.0</v>
      </c>
      <c r="Q664" s="12" t="b">
        <v>1</v>
      </c>
    </row>
    <row r="665">
      <c r="A665" s="12" t="s">
        <v>3767</v>
      </c>
      <c r="B665" s="12" t="s">
        <v>54</v>
      </c>
      <c r="C665" s="14">
        <v>46072.0</v>
      </c>
      <c r="D665" s="12" t="s">
        <v>182</v>
      </c>
      <c r="E665" s="12" t="s">
        <v>3940</v>
      </c>
      <c r="G665" s="12" t="s">
        <v>3941</v>
      </c>
      <c r="H665" s="12" t="s">
        <v>82</v>
      </c>
      <c r="I665" s="12" t="b">
        <v>1</v>
      </c>
      <c r="J665" s="12" t="s">
        <v>1784</v>
      </c>
      <c r="O665" s="12">
        <v>7.1</v>
      </c>
      <c r="P665" s="12">
        <v>2011701.0</v>
      </c>
      <c r="Q665" s="12" t="b">
        <v>1</v>
      </c>
    </row>
    <row r="666">
      <c r="A666" s="12" t="s">
        <v>3738</v>
      </c>
      <c r="B666" s="12" t="s">
        <v>54</v>
      </c>
      <c r="C666" s="14">
        <v>46069.0</v>
      </c>
      <c r="D666" s="12" t="s">
        <v>156</v>
      </c>
      <c r="E666" s="12" t="s">
        <v>3946</v>
      </c>
      <c r="G666" s="12" t="s">
        <v>3949</v>
      </c>
      <c r="H666" s="12" t="s">
        <v>3951</v>
      </c>
      <c r="I666" s="12" t="b">
        <v>0</v>
      </c>
      <c r="J666" s="12" t="s">
        <v>1784</v>
      </c>
      <c r="L666" s="12" t="s">
        <v>3952</v>
      </c>
      <c r="O666" s="12">
        <v>11073.87</v>
      </c>
      <c r="Q666" s="12" t="b">
        <v>1</v>
      </c>
    </row>
    <row r="667">
      <c r="A667" s="12"/>
      <c r="B667" s="12"/>
      <c r="C667" s="14"/>
      <c r="D667" s="12"/>
      <c r="E667" s="12"/>
      <c r="G667" s="12"/>
      <c r="H667" s="12"/>
      <c r="I667" s="12"/>
      <c r="J667" s="12"/>
      <c r="L667" s="12"/>
      <c r="M667" s="12"/>
      <c r="Q667" s="12"/>
    </row>
    <row r="668">
      <c r="A668" s="12" t="s">
        <v>3751</v>
      </c>
      <c r="B668" s="12" t="s">
        <v>54</v>
      </c>
      <c r="C668" s="14">
        <v>46070.0</v>
      </c>
      <c r="D668" s="12" t="s">
        <v>156</v>
      </c>
      <c r="E668" s="12" t="s">
        <v>3960</v>
      </c>
      <c r="G668" s="12" t="s">
        <v>3961</v>
      </c>
      <c r="H668" s="12" t="s">
        <v>254</v>
      </c>
      <c r="I668" s="12" t="b">
        <v>0</v>
      </c>
      <c r="J668" s="12" t="s">
        <v>1784</v>
      </c>
      <c r="L668" s="12" t="s">
        <v>3963</v>
      </c>
      <c r="O668" s="12">
        <v>7850.93</v>
      </c>
      <c r="Q668" s="12" t="b">
        <v>1</v>
      </c>
    </row>
    <row r="669">
      <c r="A669" s="12"/>
      <c r="B669" s="12"/>
      <c r="C669" s="14"/>
      <c r="D669" s="12"/>
      <c r="E669" s="12"/>
      <c r="G669" s="12"/>
      <c r="H669" s="12"/>
      <c r="I669" s="12"/>
      <c r="J669" s="12"/>
      <c r="L669" s="12"/>
      <c r="Q669" s="12"/>
    </row>
    <row r="670">
      <c r="A670" s="12" t="s">
        <v>3769</v>
      </c>
      <c r="B670" s="12" t="s">
        <v>54</v>
      </c>
      <c r="C670" s="14">
        <v>46073.0</v>
      </c>
      <c r="D670" s="12" t="s">
        <v>375</v>
      </c>
      <c r="E670" s="12" t="s">
        <v>3970</v>
      </c>
      <c r="G670" s="12" t="s">
        <v>3972</v>
      </c>
      <c r="H670" s="12" t="s">
        <v>3973</v>
      </c>
      <c r="I670" s="12" t="b">
        <v>1</v>
      </c>
      <c r="J670" s="12" t="s">
        <v>1784</v>
      </c>
      <c r="O670" s="12">
        <v>261.6</v>
      </c>
      <c r="P670" s="12">
        <v>2013331.0</v>
      </c>
      <c r="Q670" s="12" t="b">
        <v>1</v>
      </c>
    </row>
    <row r="671">
      <c r="A671" s="12" t="s">
        <v>3774</v>
      </c>
      <c r="B671" s="12" t="s">
        <v>54</v>
      </c>
      <c r="C671" s="14">
        <v>46073.0</v>
      </c>
      <c r="D671" s="12" t="s">
        <v>220</v>
      </c>
      <c r="E671" s="12" t="s">
        <v>3978</v>
      </c>
      <c r="G671" s="12" t="s">
        <v>3981</v>
      </c>
      <c r="H671" s="12" t="s">
        <v>3213</v>
      </c>
      <c r="I671" s="12" t="b">
        <v>1</v>
      </c>
      <c r="J671" s="12" t="s">
        <v>1784</v>
      </c>
      <c r="O671" s="12">
        <v>408.76</v>
      </c>
      <c r="P671" s="12">
        <v>2016279.0</v>
      </c>
      <c r="Q671" s="12" t="b">
        <v>1</v>
      </c>
    </row>
    <row r="672">
      <c r="A672" s="12" t="s">
        <v>3804</v>
      </c>
      <c r="B672" s="12" t="s">
        <v>54</v>
      </c>
      <c r="C672" s="14">
        <v>46074.0</v>
      </c>
      <c r="D672" s="12" t="s">
        <v>435</v>
      </c>
      <c r="E672" s="12" t="s">
        <v>3986</v>
      </c>
      <c r="G672" s="12" t="s">
        <v>3988</v>
      </c>
      <c r="H672" s="12" t="s">
        <v>3989</v>
      </c>
      <c r="I672" s="12" t="b">
        <v>1</v>
      </c>
      <c r="J672" s="12" t="s">
        <v>1784</v>
      </c>
      <c r="O672" s="12">
        <v>5.82</v>
      </c>
      <c r="P672" s="12">
        <v>2014938.0</v>
      </c>
      <c r="Q672" s="12" t="b">
        <v>1</v>
      </c>
    </row>
    <row r="673">
      <c r="A673" s="12" t="s">
        <v>3808</v>
      </c>
      <c r="B673" s="12" t="s">
        <v>54</v>
      </c>
      <c r="C673" s="14">
        <v>46075.0</v>
      </c>
      <c r="D673" s="12" t="s">
        <v>3425</v>
      </c>
      <c r="E673" s="12" t="s">
        <v>3995</v>
      </c>
      <c r="G673" s="12" t="s">
        <v>3997</v>
      </c>
      <c r="H673" s="12" t="s">
        <v>3998</v>
      </c>
      <c r="I673" s="12" t="b">
        <v>1</v>
      </c>
      <c r="J673" s="12" t="s">
        <v>1784</v>
      </c>
      <c r="O673" s="12">
        <v>13.91</v>
      </c>
      <c r="P673" s="12">
        <v>2017372.0</v>
      </c>
      <c r="Q673" s="12" t="b">
        <v>1</v>
      </c>
    </row>
    <row r="674">
      <c r="A674" s="12" t="s">
        <v>3048</v>
      </c>
      <c r="B674" s="12" t="s">
        <v>54</v>
      </c>
      <c r="C674" s="14">
        <v>46029.0</v>
      </c>
      <c r="D674" s="12" t="s">
        <v>784</v>
      </c>
      <c r="E674" s="12" t="s">
        <v>4003</v>
      </c>
      <c r="G674" s="12" t="s">
        <v>4006</v>
      </c>
      <c r="H674" s="12" t="s">
        <v>715</v>
      </c>
      <c r="I674" s="12" t="b">
        <v>0</v>
      </c>
      <c r="J674" s="12" t="s">
        <v>1784</v>
      </c>
      <c r="O674" s="12">
        <v>2716.31</v>
      </c>
      <c r="Q674" s="12" t="b">
        <v>1</v>
      </c>
    </row>
    <row r="675">
      <c r="A675" s="12" t="s">
        <v>3811</v>
      </c>
      <c r="B675" s="12" t="s">
        <v>54</v>
      </c>
      <c r="C675" s="14">
        <v>46076.0</v>
      </c>
      <c r="D675" s="12" t="s">
        <v>4009</v>
      </c>
      <c r="E675" s="12" t="s">
        <v>4010</v>
      </c>
      <c r="G675" s="12" t="s">
        <v>4012</v>
      </c>
      <c r="H675" s="12" t="s">
        <v>4014</v>
      </c>
      <c r="I675" s="12" t="b">
        <v>1</v>
      </c>
      <c r="J675" s="12" t="s">
        <v>1784</v>
      </c>
      <c r="O675" s="12">
        <v>85.0</v>
      </c>
      <c r="P675" s="12">
        <v>2020865.0</v>
      </c>
      <c r="Q675" s="12" t="b">
        <v>1</v>
      </c>
    </row>
    <row r="676">
      <c r="A676" s="12" t="s">
        <v>3827</v>
      </c>
      <c r="B676" s="12" t="s">
        <v>54</v>
      </c>
      <c r="C676" s="14">
        <v>46077.0</v>
      </c>
      <c r="D676" s="12" t="s">
        <v>1103</v>
      </c>
      <c r="E676" s="12" t="s">
        <v>4022</v>
      </c>
      <c r="G676" s="12" t="s">
        <v>4023</v>
      </c>
      <c r="H676" s="12" t="s">
        <v>153</v>
      </c>
      <c r="I676" s="12" t="b">
        <v>1</v>
      </c>
      <c r="J676" s="12" t="s">
        <v>1784</v>
      </c>
      <c r="O676" s="12">
        <v>181.68</v>
      </c>
      <c r="P676" s="12">
        <v>2022283.0</v>
      </c>
      <c r="Q676" s="12" t="b">
        <v>1</v>
      </c>
    </row>
    <row r="677">
      <c r="A677" s="12" t="s">
        <v>3837</v>
      </c>
      <c r="B677" s="12" t="s">
        <v>54</v>
      </c>
      <c r="C677" s="14">
        <v>46077.0</v>
      </c>
      <c r="D677" s="12" t="s">
        <v>441</v>
      </c>
      <c r="E677" s="12" t="s">
        <v>4026</v>
      </c>
      <c r="G677" s="12" t="s">
        <v>4027</v>
      </c>
      <c r="H677" s="12" t="s">
        <v>4028</v>
      </c>
      <c r="I677" s="12" t="b">
        <v>1</v>
      </c>
      <c r="J677" s="12" t="s">
        <v>1784</v>
      </c>
      <c r="O677" s="12">
        <v>188.0</v>
      </c>
      <c r="P677" s="12">
        <v>2022514.0</v>
      </c>
      <c r="Q677" s="12" t="b">
        <v>1</v>
      </c>
    </row>
    <row r="678">
      <c r="A678" s="12">
        <v>1326.0</v>
      </c>
      <c r="B678" s="12" t="s">
        <v>54</v>
      </c>
      <c r="C678" s="14">
        <v>46077.0</v>
      </c>
      <c r="D678" s="12" t="s">
        <v>156</v>
      </c>
      <c r="H678" s="12" t="s">
        <v>1909</v>
      </c>
      <c r="J678" s="12" t="s">
        <v>621</v>
      </c>
      <c r="O678" s="12">
        <v>375.0</v>
      </c>
      <c r="Q678" s="12" t="b">
        <v>1</v>
      </c>
    </row>
    <row r="679">
      <c r="A679" s="12">
        <v>1327.0</v>
      </c>
      <c r="B679" s="12" t="s">
        <v>54</v>
      </c>
      <c r="C679" s="14">
        <v>46077.0</v>
      </c>
      <c r="D679" s="12" t="s">
        <v>1914</v>
      </c>
      <c r="H679" s="12" t="s">
        <v>1916</v>
      </c>
      <c r="J679" s="12" t="s">
        <v>621</v>
      </c>
      <c r="O679" s="12">
        <v>1110.0</v>
      </c>
      <c r="Q679" s="12" t="b">
        <v>1</v>
      </c>
    </row>
    <row r="680">
      <c r="A680" s="12" t="s">
        <v>2371</v>
      </c>
      <c r="B680" s="12" t="s">
        <v>54</v>
      </c>
      <c r="C680" s="14">
        <v>46077.0</v>
      </c>
      <c r="D680" s="12" t="s">
        <v>156</v>
      </c>
      <c r="H680" s="12" t="s">
        <v>4037</v>
      </c>
      <c r="J680" s="12" t="s">
        <v>621</v>
      </c>
      <c r="O680" s="12">
        <v>2246.96</v>
      </c>
      <c r="Q680" s="12" t="b">
        <v>1</v>
      </c>
    </row>
    <row r="681">
      <c r="A681" s="12" t="s">
        <v>2375</v>
      </c>
      <c r="B681" s="12" t="s">
        <v>54</v>
      </c>
      <c r="C681" s="14">
        <v>46077.0</v>
      </c>
      <c r="D681" s="12" t="s">
        <v>156</v>
      </c>
      <c r="H681" s="12" t="s">
        <v>4041</v>
      </c>
      <c r="J681" s="12" t="s">
        <v>621</v>
      </c>
      <c r="O681" s="12">
        <v>808.64</v>
      </c>
      <c r="Q681" s="12" t="b">
        <v>1</v>
      </c>
    </row>
    <row r="682">
      <c r="A682" s="12" t="s">
        <v>2378</v>
      </c>
      <c r="B682" s="12" t="s">
        <v>54</v>
      </c>
      <c r="C682" s="14">
        <v>46077.0</v>
      </c>
      <c r="D682" s="12" t="s">
        <v>156</v>
      </c>
      <c r="H682" s="12" t="s">
        <v>4043</v>
      </c>
      <c r="J682" s="12" t="s">
        <v>621</v>
      </c>
      <c r="O682" s="12">
        <v>234.86</v>
      </c>
      <c r="Q682" s="12" t="b">
        <v>1</v>
      </c>
    </row>
    <row r="683">
      <c r="A683" s="12">
        <v>1392.0</v>
      </c>
      <c r="B683" s="12" t="s">
        <v>54</v>
      </c>
      <c r="C683" s="14">
        <v>46077.0</v>
      </c>
      <c r="D683" s="12" t="s">
        <v>1712</v>
      </c>
      <c r="H683" s="14">
        <v>46296.0</v>
      </c>
      <c r="J683" s="12" t="s">
        <v>621</v>
      </c>
      <c r="O683" s="12">
        <v>236.83</v>
      </c>
      <c r="Q683" s="12" t="b">
        <v>1</v>
      </c>
    </row>
    <row r="684">
      <c r="A684" s="12">
        <v>1393.0</v>
      </c>
      <c r="B684" s="12" t="s">
        <v>54</v>
      </c>
      <c r="C684" s="14">
        <v>46077.0</v>
      </c>
      <c r="D684" s="12" t="s">
        <v>1715</v>
      </c>
      <c r="H684" s="14">
        <v>46082.0</v>
      </c>
      <c r="J684" s="12" t="s">
        <v>621</v>
      </c>
      <c r="O684" s="12">
        <v>65.15</v>
      </c>
      <c r="Q684" s="12" t="b">
        <v>1</v>
      </c>
    </row>
    <row r="685">
      <c r="A685" s="12">
        <v>1400.0</v>
      </c>
      <c r="B685" s="12" t="s">
        <v>54</v>
      </c>
      <c r="C685" s="14">
        <v>46077.0</v>
      </c>
      <c r="H685" s="12" t="s">
        <v>3108</v>
      </c>
      <c r="J685" s="12" t="s">
        <v>621</v>
      </c>
      <c r="K685" s="12" t="s">
        <v>259</v>
      </c>
      <c r="O685" s="12">
        <v>585.0</v>
      </c>
      <c r="Q685" s="12" t="b">
        <v>1</v>
      </c>
    </row>
    <row r="686">
      <c r="A686" s="12" t="s">
        <v>2395</v>
      </c>
      <c r="B686" s="12" t="s">
        <v>54</v>
      </c>
      <c r="C686" s="14">
        <v>46077.0</v>
      </c>
      <c r="D686" s="12" t="s">
        <v>156</v>
      </c>
      <c r="H686" s="12" t="s">
        <v>4058</v>
      </c>
      <c r="J686" s="12" t="s">
        <v>621</v>
      </c>
      <c r="O686" s="12">
        <v>1646.14</v>
      </c>
      <c r="Q686" s="12" t="b">
        <v>1</v>
      </c>
    </row>
    <row r="687">
      <c r="A687" s="12" t="s">
        <v>2399</v>
      </c>
      <c r="B687" s="12" t="s">
        <v>54</v>
      </c>
      <c r="C687" s="14">
        <v>46077.0</v>
      </c>
      <c r="D687" s="12" t="s">
        <v>156</v>
      </c>
      <c r="H687" s="12" t="s">
        <v>4063</v>
      </c>
      <c r="J687" s="12" t="s">
        <v>621</v>
      </c>
      <c r="O687" s="12">
        <v>116.0</v>
      </c>
      <c r="Q687" s="12" t="b">
        <v>1</v>
      </c>
    </row>
    <row r="688">
      <c r="A688" s="12" t="s">
        <v>2405</v>
      </c>
      <c r="B688" s="12" t="s">
        <v>54</v>
      </c>
      <c r="C688" s="14">
        <v>46077.0</v>
      </c>
      <c r="D688" s="12" t="s">
        <v>156</v>
      </c>
      <c r="H688" s="12" t="s">
        <v>4069</v>
      </c>
      <c r="J688" s="12" t="s">
        <v>621</v>
      </c>
      <c r="O688" s="12">
        <v>2379.0</v>
      </c>
      <c r="Q688" s="12" t="b">
        <v>1</v>
      </c>
    </row>
    <row r="689">
      <c r="A689" s="12" t="s">
        <v>2410</v>
      </c>
      <c r="B689" s="12" t="s">
        <v>54</v>
      </c>
      <c r="C689" s="14">
        <v>46077.0</v>
      </c>
      <c r="D689" s="12" t="s">
        <v>156</v>
      </c>
      <c r="H689" s="12" t="s">
        <v>4074</v>
      </c>
      <c r="J689" s="12" t="s">
        <v>621</v>
      </c>
      <c r="O689" s="12">
        <v>116.0</v>
      </c>
      <c r="Q689" s="12" t="b">
        <v>1</v>
      </c>
    </row>
    <row r="690">
      <c r="A690" s="12" t="s">
        <v>2413</v>
      </c>
      <c r="B690" s="12" t="s">
        <v>54</v>
      </c>
      <c r="C690" s="14">
        <v>46077.0</v>
      </c>
      <c r="D690" s="12" t="s">
        <v>4077</v>
      </c>
      <c r="H690" s="12" t="s">
        <v>4078</v>
      </c>
      <c r="J690" s="12" t="s">
        <v>621</v>
      </c>
      <c r="O690" s="12">
        <v>250.0</v>
      </c>
      <c r="Q690" s="12" t="b">
        <v>1</v>
      </c>
    </row>
    <row r="691">
      <c r="A691" s="12" t="s">
        <v>3845</v>
      </c>
      <c r="B691" s="12" t="s">
        <v>54</v>
      </c>
      <c r="C691" s="14">
        <v>46077.0</v>
      </c>
      <c r="D691" s="12" t="s">
        <v>220</v>
      </c>
      <c r="E691" s="12" t="s">
        <v>4081</v>
      </c>
      <c r="G691" s="12" t="s">
        <v>4082</v>
      </c>
      <c r="H691" s="12" t="s">
        <v>2402</v>
      </c>
      <c r="I691" s="12" t="b">
        <v>1</v>
      </c>
      <c r="J691" s="12" t="s">
        <v>1784</v>
      </c>
      <c r="O691" s="12">
        <v>333.95</v>
      </c>
      <c r="P691" s="12">
        <v>2024272.0</v>
      </c>
      <c r="Q691" s="12" t="b">
        <v>1</v>
      </c>
    </row>
    <row r="692">
      <c r="A692" s="12" t="s">
        <v>3820</v>
      </c>
      <c r="B692" s="12" t="s">
        <v>54</v>
      </c>
      <c r="C692" s="14">
        <v>46076.0</v>
      </c>
      <c r="D692" s="12" t="s">
        <v>182</v>
      </c>
      <c r="E692" s="12" t="s">
        <v>4087</v>
      </c>
      <c r="G692" s="12" t="s">
        <v>4088</v>
      </c>
      <c r="H692" s="12" t="s">
        <v>268</v>
      </c>
      <c r="I692" s="12" t="b">
        <v>1</v>
      </c>
      <c r="J692" s="12" t="s">
        <v>1784</v>
      </c>
      <c r="O692" s="12">
        <v>11.94</v>
      </c>
      <c r="P692" s="12">
        <v>2024273.0</v>
      </c>
      <c r="Q692" s="12" t="b">
        <v>1</v>
      </c>
    </row>
    <row r="693">
      <c r="A693" s="12" t="s">
        <v>3882</v>
      </c>
      <c r="B693" s="12" t="s">
        <v>54</v>
      </c>
      <c r="C693" s="14">
        <v>46078.0</v>
      </c>
      <c r="D693" s="12" t="s">
        <v>182</v>
      </c>
      <c r="E693" s="12" t="s">
        <v>4095</v>
      </c>
      <c r="G693" s="12" t="s">
        <v>4096</v>
      </c>
      <c r="H693" s="12" t="s">
        <v>268</v>
      </c>
      <c r="I693" s="12" t="b">
        <v>1</v>
      </c>
      <c r="J693" s="12" t="s">
        <v>1784</v>
      </c>
      <c r="O693" s="12">
        <v>35.04</v>
      </c>
      <c r="P693" s="12">
        <v>2024275.0</v>
      </c>
      <c r="Q693" s="12" t="b">
        <v>1</v>
      </c>
    </row>
    <row r="694">
      <c r="A694" s="12" t="s">
        <v>2417</v>
      </c>
      <c r="B694" s="12" t="s">
        <v>54</v>
      </c>
      <c r="C694" s="14">
        <v>46079.0</v>
      </c>
      <c r="H694" s="12" t="s">
        <v>1112</v>
      </c>
      <c r="J694" s="12" t="s">
        <v>191</v>
      </c>
      <c r="K694" s="12" t="s">
        <v>1183</v>
      </c>
      <c r="O694" s="12">
        <v>500.0</v>
      </c>
      <c r="Q694" s="12" t="b">
        <v>1</v>
      </c>
    </row>
    <row r="695">
      <c r="A695" s="12" t="s">
        <v>2422</v>
      </c>
      <c r="B695" s="12" t="s">
        <v>54</v>
      </c>
      <c r="C695" s="14">
        <v>46079.0</v>
      </c>
      <c r="H695" s="12" t="s">
        <v>1112</v>
      </c>
      <c r="J695" s="12" t="s">
        <v>191</v>
      </c>
      <c r="K695" s="12" t="s">
        <v>62</v>
      </c>
      <c r="O695" s="12">
        <v>100.0</v>
      </c>
      <c r="Q695" s="12" t="b">
        <v>1</v>
      </c>
    </row>
    <row r="696">
      <c r="A696" s="12" t="s">
        <v>2427</v>
      </c>
      <c r="B696" s="12" t="s">
        <v>54</v>
      </c>
      <c r="C696" s="14">
        <v>46052.0</v>
      </c>
      <c r="H696" s="12" t="s">
        <v>1112</v>
      </c>
      <c r="J696" s="12" t="s">
        <v>191</v>
      </c>
      <c r="K696" s="12" t="s">
        <v>62</v>
      </c>
      <c r="O696" s="12">
        <v>200.0</v>
      </c>
      <c r="Q696" s="12" t="b">
        <v>1</v>
      </c>
    </row>
    <row r="697">
      <c r="A697" s="12" t="s">
        <v>2431</v>
      </c>
      <c r="B697" s="12" t="s">
        <v>54</v>
      </c>
      <c r="C697" s="14">
        <v>46052.0</v>
      </c>
      <c r="H697" s="12" t="s">
        <v>1112</v>
      </c>
      <c r="J697" s="12" t="s">
        <v>191</v>
      </c>
      <c r="K697" s="12" t="s">
        <v>1183</v>
      </c>
      <c r="O697" s="12">
        <v>150.0</v>
      </c>
      <c r="Q697" s="12" t="b">
        <v>1</v>
      </c>
    </row>
    <row r="698">
      <c r="A698" s="12" t="s">
        <v>2436</v>
      </c>
      <c r="B698" s="12" t="s">
        <v>54</v>
      </c>
      <c r="C698" s="14">
        <v>46052.0</v>
      </c>
      <c r="H698" s="12" t="s">
        <v>1112</v>
      </c>
      <c r="J698" s="12" t="s">
        <v>191</v>
      </c>
      <c r="K698" s="12" t="s">
        <v>62</v>
      </c>
      <c r="O698" s="12">
        <v>150.0</v>
      </c>
      <c r="Q698" s="12" t="b">
        <v>1</v>
      </c>
    </row>
    <row r="699">
      <c r="A699" s="12" t="s">
        <v>3872</v>
      </c>
      <c r="B699" s="12" t="s">
        <v>54</v>
      </c>
      <c r="C699" s="14">
        <v>46077.0</v>
      </c>
      <c r="D699" s="12" t="s">
        <v>156</v>
      </c>
      <c r="E699" s="12" t="s">
        <v>4116</v>
      </c>
      <c r="G699" s="12" t="s">
        <v>4117</v>
      </c>
      <c r="H699" s="12" t="s">
        <v>4118</v>
      </c>
      <c r="I699" s="12" t="b">
        <v>0</v>
      </c>
      <c r="J699" s="12" t="s">
        <v>1784</v>
      </c>
      <c r="O699" s="12">
        <v>1306.14</v>
      </c>
      <c r="Q699" s="12" t="b">
        <v>1</v>
      </c>
    </row>
    <row r="700">
      <c r="A700" s="12" t="s">
        <v>3877</v>
      </c>
      <c r="B700" s="12" t="s">
        <v>54</v>
      </c>
      <c r="C700" s="14">
        <v>46077.0</v>
      </c>
      <c r="D700" s="12" t="s">
        <v>156</v>
      </c>
      <c r="E700" s="12" t="s">
        <v>4121</v>
      </c>
      <c r="G700" s="12" t="s">
        <v>4122</v>
      </c>
      <c r="H700" s="12" t="s">
        <v>293</v>
      </c>
      <c r="I700" s="12" t="b">
        <v>0</v>
      </c>
      <c r="J700" s="12" t="s">
        <v>1784</v>
      </c>
      <c r="L700" s="12" t="s">
        <v>4125</v>
      </c>
      <c r="M700" s="12" t="s">
        <v>4127</v>
      </c>
      <c r="O700" s="12">
        <v>5994.66</v>
      </c>
      <c r="Q700" s="12" t="b">
        <v>1</v>
      </c>
    </row>
    <row r="701">
      <c r="A701" s="12"/>
      <c r="B701" s="12"/>
      <c r="C701" s="14"/>
      <c r="D701" s="12"/>
      <c r="E701" s="12"/>
      <c r="G701" s="12"/>
      <c r="H701" s="12"/>
      <c r="I701" s="12"/>
      <c r="J701" s="12"/>
      <c r="L701" s="12"/>
      <c r="M701" s="12"/>
      <c r="N701" s="12"/>
      <c r="Q701" s="12"/>
    </row>
    <row r="702">
      <c r="A702" s="12"/>
      <c r="B702" s="12"/>
      <c r="C702" s="14"/>
      <c r="D702" s="12"/>
      <c r="E702" s="12"/>
      <c r="G702" s="12"/>
      <c r="H702" s="12"/>
      <c r="I702" s="12"/>
      <c r="J702" s="12"/>
      <c r="L702" s="12"/>
      <c r="Q702" s="12"/>
    </row>
    <row r="703">
      <c r="A703" s="12" t="s">
        <v>3892</v>
      </c>
      <c r="B703" s="12" t="s">
        <v>54</v>
      </c>
      <c r="C703" s="14">
        <v>46080.0</v>
      </c>
      <c r="D703" s="12" t="s">
        <v>220</v>
      </c>
      <c r="E703" s="12" t="s">
        <v>4137</v>
      </c>
      <c r="G703" s="12" t="s">
        <v>4138</v>
      </c>
      <c r="H703" s="12" t="s">
        <v>2487</v>
      </c>
      <c r="I703" s="12" t="b">
        <v>1</v>
      </c>
      <c r="J703" s="12" t="s">
        <v>1784</v>
      </c>
      <c r="O703" s="12">
        <v>372.16</v>
      </c>
      <c r="P703" s="12">
        <v>2027551.0</v>
      </c>
      <c r="Q703" s="12" t="b">
        <v>1</v>
      </c>
    </row>
    <row r="704">
      <c r="A704" s="12" t="s">
        <v>3913</v>
      </c>
      <c r="B704" s="12" t="s">
        <v>54</v>
      </c>
      <c r="C704" s="14">
        <v>46080.0</v>
      </c>
      <c r="D704" s="12" t="s">
        <v>77</v>
      </c>
      <c r="E704" s="12" t="s">
        <v>4140</v>
      </c>
      <c r="G704" s="12" t="s">
        <v>4142</v>
      </c>
      <c r="H704" s="12" t="s">
        <v>268</v>
      </c>
      <c r="I704" s="12" t="b">
        <v>1</v>
      </c>
      <c r="J704" s="12" t="s">
        <v>1784</v>
      </c>
      <c r="O704" s="12">
        <v>279.92</v>
      </c>
      <c r="P704" s="12">
        <v>2027545.0</v>
      </c>
      <c r="Q704" s="12" t="b">
        <v>1</v>
      </c>
    </row>
    <row r="705">
      <c r="A705" s="12" t="s">
        <v>2440</v>
      </c>
      <c r="B705" s="12" t="s">
        <v>54</v>
      </c>
      <c r="C705" s="14">
        <v>46080.0</v>
      </c>
      <c r="H705" s="12" t="s">
        <v>4145</v>
      </c>
      <c r="J705" s="12" t="s">
        <v>621</v>
      </c>
      <c r="K705" s="12" t="s">
        <v>2739</v>
      </c>
      <c r="O705" s="12">
        <v>5000.0</v>
      </c>
      <c r="Q705" s="12" t="b">
        <v>1</v>
      </c>
    </row>
    <row r="706">
      <c r="A706" s="12" t="s">
        <v>3929</v>
      </c>
      <c r="B706" s="12" t="s">
        <v>54</v>
      </c>
      <c r="C706" s="14">
        <v>46081.0</v>
      </c>
      <c r="D706" s="12" t="s">
        <v>182</v>
      </c>
      <c r="E706" s="12" t="s">
        <v>4149</v>
      </c>
      <c r="G706" s="12" t="s">
        <v>4150</v>
      </c>
      <c r="H706" s="12" t="s">
        <v>4151</v>
      </c>
      <c r="I706" s="12" t="b">
        <v>1</v>
      </c>
      <c r="J706" s="12" t="s">
        <v>1784</v>
      </c>
      <c r="O706" s="12">
        <v>7.59</v>
      </c>
      <c r="P706" s="12">
        <v>2028738.0</v>
      </c>
      <c r="Q706" s="12" t="b">
        <v>1</v>
      </c>
    </row>
    <row r="707">
      <c r="A707" s="12" t="s">
        <v>2444</v>
      </c>
      <c r="B707" s="12" t="s">
        <v>54</v>
      </c>
      <c r="C707" s="14">
        <v>46081.0</v>
      </c>
      <c r="H707" s="12" t="s">
        <v>1112</v>
      </c>
      <c r="J707" s="12" t="s">
        <v>191</v>
      </c>
      <c r="K707" s="12" t="s">
        <v>1900</v>
      </c>
      <c r="O707" s="12">
        <v>300.0</v>
      </c>
      <c r="Q707" s="12" t="b">
        <v>1</v>
      </c>
    </row>
    <row r="708">
      <c r="A708" s="12" t="s">
        <v>3932</v>
      </c>
      <c r="B708" s="12" t="s">
        <v>54</v>
      </c>
      <c r="C708" s="14">
        <v>46082.0</v>
      </c>
      <c r="D708" s="12" t="s">
        <v>77</v>
      </c>
      <c r="E708" s="12" t="s">
        <v>4160</v>
      </c>
      <c r="G708" s="12" t="s">
        <v>4162</v>
      </c>
      <c r="H708" s="12" t="s">
        <v>4164</v>
      </c>
      <c r="I708" s="12" t="b">
        <v>1</v>
      </c>
      <c r="J708" s="12" t="s">
        <v>1784</v>
      </c>
      <c r="O708" s="12">
        <v>212.37</v>
      </c>
      <c r="P708" s="12">
        <v>2032838.0</v>
      </c>
      <c r="Q708" s="12" t="b">
        <v>1</v>
      </c>
    </row>
    <row r="709">
      <c r="A709" s="12" t="s">
        <v>3943</v>
      </c>
      <c r="B709" s="12" t="s">
        <v>54</v>
      </c>
      <c r="C709" s="14">
        <v>46083.0</v>
      </c>
      <c r="D709" s="12" t="s">
        <v>182</v>
      </c>
      <c r="E709" s="12" t="s">
        <v>4167</v>
      </c>
      <c r="G709" s="12" t="s">
        <v>4169</v>
      </c>
      <c r="H709" s="12" t="s">
        <v>268</v>
      </c>
      <c r="I709" s="12" t="b">
        <v>1</v>
      </c>
      <c r="J709" s="12" t="s">
        <v>1784</v>
      </c>
      <c r="O709" s="12">
        <v>13.07</v>
      </c>
      <c r="P709" s="12">
        <v>2034450.0</v>
      </c>
      <c r="Q709" s="12" t="b">
        <v>1</v>
      </c>
    </row>
    <row r="710">
      <c r="A710" s="12" t="s">
        <v>2448</v>
      </c>
      <c r="B710" s="12" t="s">
        <v>54</v>
      </c>
      <c r="C710" s="14">
        <v>46083.0</v>
      </c>
      <c r="H710" s="12" t="s">
        <v>1112</v>
      </c>
      <c r="J710" s="12" t="s">
        <v>191</v>
      </c>
      <c r="K710" s="12" t="s">
        <v>78</v>
      </c>
      <c r="O710" s="12">
        <v>500.0</v>
      </c>
      <c r="Q710" s="12" t="b">
        <v>1</v>
      </c>
    </row>
    <row r="711">
      <c r="A711" s="12" t="s">
        <v>3969</v>
      </c>
      <c r="B711" s="12" t="s">
        <v>54</v>
      </c>
      <c r="C711" s="14">
        <v>46084.0</v>
      </c>
      <c r="D711" s="12" t="s">
        <v>182</v>
      </c>
      <c r="E711" s="12" t="s">
        <v>4174</v>
      </c>
      <c r="G711" s="12" t="s">
        <v>4175</v>
      </c>
      <c r="H711" s="12" t="s">
        <v>4177</v>
      </c>
      <c r="I711" s="12" t="b">
        <v>1</v>
      </c>
      <c r="J711" s="12" t="s">
        <v>1784</v>
      </c>
      <c r="O711" s="12">
        <v>6.63</v>
      </c>
      <c r="P711" s="12">
        <v>2036397.0</v>
      </c>
      <c r="Q711" s="12" t="b">
        <v>1</v>
      </c>
    </row>
    <row r="712">
      <c r="A712" s="12" t="s">
        <v>3948</v>
      </c>
      <c r="B712" s="12" t="s">
        <v>54</v>
      </c>
      <c r="C712" s="14">
        <v>46083.0</v>
      </c>
      <c r="D712" s="12" t="s">
        <v>4182</v>
      </c>
      <c r="E712" s="12" t="s">
        <v>4185</v>
      </c>
      <c r="G712" s="12" t="s">
        <v>4186</v>
      </c>
      <c r="H712" s="12" t="s">
        <v>4187</v>
      </c>
      <c r="I712" s="12" t="b">
        <v>1</v>
      </c>
      <c r="J712" s="12" t="s">
        <v>1784</v>
      </c>
      <c r="O712" s="12">
        <v>55.86</v>
      </c>
      <c r="P712" s="12">
        <v>2037094.0</v>
      </c>
      <c r="Q712" s="12" t="b">
        <v>1</v>
      </c>
    </row>
    <row r="713">
      <c r="A713" s="12" t="s">
        <v>3954</v>
      </c>
      <c r="B713" s="12" t="s">
        <v>54</v>
      </c>
      <c r="C713" s="14">
        <v>46083.0</v>
      </c>
      <c r="D713" s="12" t="s">
        <v>4190</v>
      </c>
      <c r="E713" s="12" t="s">
        <v>4191</v>
      </c>
      <c r="G713" s="12" t="s">
        <v>4194</v>
      </c>
      <c r="H713" s="12" t="s">
        <v>4195</v>
      </c>
      <c r="I713" s="12" t="b">
        <v>1</v>
      </c>
      <c r="J713" s="12" t="s">
        <v>1784</v>
      </c>
      <c r="O713" s="12">
        <v>58.0</v>
      </c>
      <c r="P713" s="12">
        <v>2037090.0</v>
      </c>
      <c r="Q713" s="12" t="b">
        <v>1</v>
      </c>
    </row>
    <row r="714">
      <c r="A714" s="12" t="s">
        <v>3919</v>
      </c>
      <c r="B714" s="12" t="s">
        <v>54</v>
      </c>
      <c r="C714" s="14">
        <v>46080.0</v>
      </c>
      <c r="D714" s="12" t="s">
        <v>156</v>
      </c>
      <c r="E714" s="12" t="s">
        <v>4199</v>
      </c>
      <c r="G714" s="12" t="s">
        <v>4201</v>
      </c>
      <c r="H714" s="12" t="s">
        <v>4202</v>
      </c>
      <c r="I714" s="12" t="b">
        <v>0</v>
      </c>
      <c r="J714" s="12" t="s">
        <v>1784</v>
      </c>
      <c r="O714" s="12">
        <v>287.72</v>
      </c>
      <c r="Q714" s="12" t="b">
        <v>1</v>
      </c>
    </row>
    <row r="715">
      <c r="A715" s="12"/>
      <c r="B715" s="12"/>
      <c r="C715" s="14"/>
      <c r="D715" s="12"/>
      <c r="E715" s="12"/>
      <c r="G715" s="12"/>
      <c r="H715" s="12"/>
      <c r="I715" s="12"/>
      <c r="J715" s="12"/>
      <c r="L715" s="12"/>
      <c r="Q715" s="12"/>
    </row>
    <row r="716">
      <c r="A716" s="12" t="s">
        <v>3925</v>
      </c>
      <c r="B716" s="12" t="s">
        <v>54</v>
      </c>
      <c r="C716" s="14">
        <v>46080.0</v>
      </c>
      <c r="D716" s="12" t="s">
        <v>556</v>
      </c>
      <c r="E716" s="12" t="s">
        <v>4213</v>
      </c>
      <c r="G716" s="12" t="s">
        <v>4215</v>
      </c>
      <c r="H716" s="12" t="s">
        <v>687</v>
      </c>
      <c r="I716" s="12" t="b">
        <v>1</v>
      </c>
      <c r="J716" s="12" t="s">
        <v>1784</v>
      </c>
      <c r="O716" s="12">
        <v>462.0</v>
      </c>
      <c r="P716" s="12">
        <v>2027559.0</v>
      </c>
      <c r="Q716" s="12" t="b">
        <v>1</v>
      </c>
    </row>
    <row r="717">
      <c r="A717" s="12" t="s">
        <v>3975</v>
      </c>
      <c r="B717" s="12" t="s">
        <v>54</v>
      </c>
      <c r="C717" s="14">
        <v>46084.0</v>
      </c>
      <c r="D717" s="12" t="s">
        <v>156</v>
      </c>
      <c r="E717" s="12" t="s">
        <v>4218</v>
      </c>
      <c r="G717" s="12" t="s">
        <v>4219</v>
      </c>
      <c r="H717" s="12" t="s">
        <v>488</v>
      </c>
      <c r="I717" s="12" t="b">
        <v>0</v>
      </c>
      <c r="J717" s="12" t="s">
        <v>1784</v>
      </c>
      <c r="L717" s="12" t="s">
        <v>4221</v>
      </c>
      <c r="O717" s="12">
        <v>5713.55</v>
      </c>
      <c r="Q717" s="12" t="b">
        <v>1</v>
      </c>
    </row>
    <row r="718">
      <c r="A718" s="12"/>
      <c r="B718" s="12"/>
      <c r="C718" s="14"/>
      <c r="D718" s="12"/>
      <c r="E718" s="12"/>
      <c r="G718" s="12"/>
      <c r="H718" s="12"/>
      <c r="I718" s="12"/>
      <c r="J718" s="12"/>
      <c r="L718" s="12"/>
      <c r="Q718" s="12"/>
    </row>
    <row r="719">
      <c r="A719" s="12">
        <v>1394.0</v>
      </c>
      <c r="B719" s="12" t="s">
        <v>54</v>
      </c>
      <c r="C719" s="14">
        <v>46085.0</v>
      </c>
      <c r="H719" s="12" t="s">
        <v>1644</v>
      </c>
      <c r="J719" s="12" t="s">
        <v>621</v>
      </c>
      <c r="K719" s="12" t="s">
        <v>727</v>
      </c>
      <c r="O719" s="12">
        <v>3500.0</v>
      </c>
      <c r="Q719" s="12" t="b">
        <v>1</v>
      </c>
    </row>
    <row r="720">
      <c r="A720" s="12">
        <v>1395.0</v>
      </c>
      <c r="B720" s="12" t="s">
        <v>54</v>
      </c>
      <c r="C720" s="14">
        <v>46085.0</v>
      </c>
      <c r="H720" s="12" t="s">
        <v>1884</v>
      </c>
      <c r="J720" s="12" t="s">
        <v>621</v>
      </c>
      <c r="K720" s="12" t="s">
        <v>727</v>
      </c>
      <c r="O720" s="12">
        <v>1.0</v>
      </c>
      <c r="Q720" s="12" t="b">
        <v>1</v>
      </c>
    </row>
    <row r="721">
      <c r="A721" s="12">
        <v>1396.0</v>
      </c>
      <c r="B721" s="12" t="s">
        <v>54</v>
      </c>
      <c r="C721" s="14">
        <v>46085.0</v>
      </c>
      <c r="H721" s="12" t="s">
        <v>1884</v>
      </c>
      <c r="J721" s="12" t="s">
        <v>621</v>
      </c>
      <c r="K721" s="12" t="s">
        <v>1183</v>
      </c>
      <c r="O721" s="12">
        <v>1.0</v>
      </c>
      <c r="Q721" s="12" t="b">
        <v>1</v>
      </c>
    </row>
    <row r="722">
      <c r="A722" s="12">
        <v>1397.0</v>
      </c>
      <c r="B722" s="12" t="s">
        <v>54</v>
      </c>
      <c r="C722" s="14">
        <v>46085.0</v>
      </c>
      <c r="H722" s="12" t="s">
        <v>1884</v>
      </c>
      <c r="J722" s="12" t="s">
        <v>621</v>
      </c>
      <c r="K722" s="12" t="s">
        <v>62</v>
      </c>
      <c r="O722" s="12">
        <v>1.0</v>
      </c>
      <c r="Q722" s="12" t="b">
        <v>1</v>
      </c>
    </row>
    <row r="723">
      <c r="A723" s="12">
        <v>1398.0</v>
      </c>
      <c r="B723" s="12" t="s">
        <v>54</v>
      </c>
      <c r="C723" s="14">
        <v>46085.0</v>
      </c>
      <c r="H723" s="12" t="s">
        <v>1884</v>
      </c>
      <c r="J723" s="12" t="s">
        <v>621</v>
      </c>
      <c r="K723" s="12" t="s">
        <v>78</v>
      </c>
      <c r="O723" s="12">
        <v>1.0</v>
      </c>
      <c r="Q723" s="12" t="b">
        <v>1</v>
      </c>
    </row>
    <row r="724">
      <c r="A724" s="12">
        <v>1399.0</v>
      </c>
      <c r="B724" s="12" t="s">
        <v>54</v>
      </c>
      <c r="C724" s="14">
        <v>46085.0</v>
      </c>
      <c r="H724" s="12" t="s">
        <v>1884</v>
      </c>
      <c r="J724" s="12" t="s">
        <v>621</v>
      </c>
      <c r="K724" s="12" t="s">
        <v>1900</v>
      </c>
      <c r="O724" s="12">
        <v>1.0</v>
      </c>
      <c r="Q724" s="12" t="b">
        <v>1</v>
      </c>
    </row>
    <row r="725">
      <c r="A725" s="12" t="s">
        <v>2459</v>
      </c>
      <c r="B725" s="12" t="s">
        <v>54</v>
      </c>
      <c r="C725" s="14">
        <v>46085.0</v>
      </c>
      <c r="D725" s="12" t="s">
        <v>156</v>
      </c>
      <c r="H725" s="12" t="s">
        <v>4241</v>
      </c>
      <c r="J725" s="12" t="s">
        <v>621</v>
      </c>
      <c r="O725" s="12">
        <v>2341.92</v>
      </c>
      <c r="Q725" s="12" t="b">
        <v>1</v>
      </c>
    </row>
    <row r="726">
      <c r="A726" s="12">
        <v>1406.0</v>
      </c>
      <c r="B726" s="12" t="s">
        <v>54</v>
      </c>
      <c r="C726" s="14">
        <v>46085.0</v>
      </c>
      <c r="D726" s="12" t="s">
        <v>848</v>
      </c>
      <c r="H726" s="12" t="s">
        <v>1226</v>
      </c>
      <c r="J726" s="12" t="s">
        <v>621</v>
      </c>
      <c r="O726" s="12">
        <v>4000.0</v>
      </c>
      <c r="Q726" s="12" t="b">
        <v>1</v>
      </c>
    </row>
    <row r="727">
      <c r="A727" s="12" t="s">
        <v>2465</v>
      </c>
      <c r="B727" s="12" t="s">
        <v>54</v>
      </c>
      <c r="C727" s="14">
        <v>46085.0</v>
      </c>
      <c r="H727" s="12" t="s">
        <v>4246</v>
      </c>
      <c r="J727" s="12" t="s">
        <v>191</v>
      </c>
      <c r="K727" s="12" t="s">
        <v>1183</v>
      </c>
      <c r="O727" s="12">
        <v>82.46</v>
      </c>
      <c r="Q727" s="12" t="b">
        <v>1</v>
      </c>
    </row>
    <row r="728">
      <c r="A728" s="12" t="s">
        <v>3982</v>
      </c>
      <c r="B728" s="12" t="s">
        <v>54</v>
      </c>
      <c r="C728" s="14">
        <v>46086.0</v>
      </c>
      <c r="D728" s="12" t="s">
        <v>375</v>
      </c>
      <c r="E728" s="12" t="s">
        <v>4250</v>
      </c>
      <c r="G728" s="12" t="s">
        <v>4252</v>
      </c>
      <c r="H728" s="12" t="s">
        <v>153</v>
      </c>
      <c r="I728" s="12" t="b">
        <v>1</v>
      </c>
      <c r="J728" s="12" t="s">
        <v>1784</v>
      </c>
      <c r="O728" s="12">
        <v>199.68</v>
      </c>
      <c r="P728" s="12">
        <v>2039975.0</v>
      </c>
      <c r="Q728" s="12" t="b">
        <v>1</v>
      </c>
    </row>
    <row r="729">
      <c r="A729" s="12" t="s">
        <v>3993</v>
      </c>
      <c r="B729" s="12" t="s">
        <v>54</v>
      </c>
      <c r="C729" s="14">
        <v>46086.0</v>
      </c>
      <c r="D729" s="12" t="s">
        <v>324</v>
      </c>
      <c r="E729" s="12" t="s">
        <v>4257</v>
      </c>
      <c r="G729" s="12" t="s">
        <v>4259</v>
      </c>
      <c r="H729" s="12" t="s">
        <v>4260</v>
      </c>
      <c r="I729" s="12" t="b">
        <v>1</v>
      </c>
      <c r="J729" s="12" t="s">
        <v>1784</v>
      </c>
      <c r="O729" s="12">
        <v>37.4</v>
      </c>
      <c r="P729" s="12">
        <v>2040000.0</v>
      </c>
      <c r="Q729" s="12" t="b">
        <v>1</v>
      </c>
    </row>
    <row r="730">
      <c r="A730" s="12" t="s">
        <v>4049</v>
      </c>
      <c r="B730" s="12" t="s">
        <v>54</v>
      </c>
      <c r="C730" s="14">
        <v>46087.0</v>
      </c>
      <c r="D730" s="12" t="s">
        <v>4263</v>
      </c>
      <c r="E730" s="12" t="s">
        <v>4264</v>
      </c>
      <c r="G730" s="12" t="s">
        <v>4265</v>
      </c>
      <c r="H730" s="12" t="s">
        <v>4266</v>
      </c>
      <c r="I730" s="12" t="b">
        <v>1</v>
      </c>
      <c r="J730" s="12" t="s">
        <v>1784</v>
      </c>
      <c r="O730" s="12">
        <v>16.0</v>
      </c>
      <c r="P730" s="12">
        <v>2041830.0</v>
      </c>
      <c r="Q730" s="12" t="b">
        <v>1</v>
      </c>
    </row>
    <row r="731">
      <c r="A731" s="12" t="s">
        <v>4052</v>
      </c>
      <c r="B731" s="12" t="s">
        <v>54</v>
      </c>
      <c r="C731" s="14">
        <v>46087.0</v>
      </c>
      <c r="D731" s="12" t="s">
        <v>4269</v>
      </c>
      <c r="E731" s="12" t="s">
        <v>4270</v>
      </c>
      <c r="G731" s="12" t="s">
        <v>4271</v>
      </c>
      <c r="H731" s="12" t="s">
        <v>4272</v>
      </c>
      <c r="I731" s="12" t="b">
        <v>1</v>
      </c>
      <c r="J731" s="12" t="s">
        <v>1784</v>
      </c>
      <c r="O731" s="12">
        <v>29.95</v>
      </c>
      <c r="P731" s="12">
        <v>2041829.0</v>
      </c>
      <c r="Q731" s="12" t="b">
        <v>1</v>
      </c>
    </row>
    <row r="732">
      <c r="A732" s="12" t="s">
        <v>4001</v>
      </c>
      <c r="B732" s="12" t="s">
        <v>54</v>
      </c>
      <c r="C732" s="14">
        <v>46086.0</v>
      </c>
      <c r="D732" s="12" t="s">
        <v>3425</v>
      </c>
      <c r="E732" s="12" t="s">
        <v>4275</v>
      </c>
      <c r="G732" s="12" t="s">
        <v>4277</v>
      </c>
      <c r="H732" s="12" t="s">
        <v>268</v>
      </c>
      <c r="I732" s="12" t="b">
        <v>1</v>
      </c>
      <c r="J732" s="12" t="s">
        <v>1784</v>
      </c>
      <c r="O732" s="12">
        <v>259.07</v>
      </c>
      <c r="P732" s="12">
        <v>2041940.0</v>
      </c>
      <c r="Q732" s="12" t="b">
        <v>1</v>
      </c>
    </row>
    <row r="733">
      <c r="A733" s="12" t="s">
        <v>4008</v>
      </c>
      <c r="B733" s="12" t="s">
        <v>54</v>
      </c>
      <c r="C733" s="14">
        <v>46086.0</v>
      </c>
      <c r="D733" s="12" t="s">
        <v>182</v>
      </c>
      <c r="E733" s="12" t="s">
        <v>4281</v>
      </c>
      <c r="G733" s="12" t="s">
        <v>4283</v>
      </c>
      <c r="H733" s="12" t="s">
        <v>268</v>
      </c>
      <c r="I733" s="12" t="b">
        <v>1</v>
      </c>
      <c r="J733" s="12" t="s">
        <v>1784</v>
      </c>
      <c r="O733" s="12">
        <v>229.61</v>
      </c>
      <c r="P733" s="12">
        <v>2041943.0</v>
      </c>
      <c r="Q733" s="12" t="b">
        <v>1</v>
      </c>
    </row>
    <row r="734">
      <c r="A734" s="12" t="s">
        <v>4013</v>
      </c>
      <c r="B734" s="12" t="s">
        <v>54</v>
      </c>
      <c r="C734" s="14">
        <v>46086.0</v>
      </c>
      <c r="D734" s="12" t="s">
        <v>220</v>
      </c>
      <c r="E734" s="12" t="s">
        <v>4287</v>
      </c>
      <c r="G734" s="12" t="s">
        <v>4288</v>
      </c>
      <c r="H734" s="12" t="s">
        <v>2814</v>
      </c>
      <c r="I734" s="12" t="b">
        <v>1</v>
      </c>
      <c r="J734" s="12" t="s">
        <v>1784</v>
      </c>
      <c r="O734" s="12">
        <v>262.39</v>
      </c>
      <c r="P734" s="12">
        <v>2041939.0</v>
      </c>
      <c r="Q734" s="12" t="b">
        <v>1</v>
      </c>
    </row>
    <row r="735">
      <c r="A735" s="12" t="s">
        <v>4054</v>
      </c>
      <c r="B735" s="12" t="s">
        <v>54</v>
      </c>
      <c r="C735" s="14">
        <v>46087.0</v>
      </c>
      <c r="D735" s="12" t="s">
        <v>4293</v>
      </c>
      <c r="E735" s="12" t="s">
        <v>4294</v>
      </c>
      <c r="G735" s="12" t="s">
        <v>4295</v>
      </c>
      <c r="H735" s="12" t="s">
        <v>4296</v>
      </c>
      <c r="I735" s="12" t="b">
        <v>1</v>
      </c>
      <c r="J735" s="12" t="s">
        <v>1784</v>
      </c>
      <c r="O735" s="12">
        <v>193.0</v>
      </c>
      <c r="P735" s="12">
        <v>2042962.0</v>
      </c>
      <c r="Q735" s="12" t="b">
        <v>1</v>
      </c>
    </row>
    <row r="736">
      <c r="A736" s="12" t="s">
        <v>4057</v>
      </c>
      <c r="B736" s="12" t="s">
        <v>54</v>
      </c>
      <c r="C736" s="14">
        <v>46087.0</v>
      </c>
      <c r="D736" s="12" t="s">
        <v>324</v>
      </c>
      <c r="E736" s="12" t="s">
        <v>4304</v>
      </c>
      <c r="G736" s="12" t="s">
        <v>4305</v>
      </c>
      <c r="H736" s="12" t="s">
        <v>4306</v>
      </c>
      <c r="I736" s="12" t="b">
        <v>1</v>
      </c>
      <c r="J736" s="12" t="s">
        <v>1784</v>
      </c>
      <c r="O736" s="12">
        <v>36.0</v>
      </c>
      <c r="P736" s="12">
        <v>2042967.0</v>
      </c>
      <c r="Q736" s="12" t="b">
        <v>1</v>
      </c>
    </row>
    <row r="737">
      <c r="A737" s="12" t="s">
        <v>4064</v>
      </c>
      <c r="B737" s="12" t="s">
        <v>54</v>
      </c>
      <c r="C737" s="14">
        <v>46088.0</v>
      </c>
      <c r="D737" s="12" t="s">
        <v>220</v>
      </c>
      <c r="E737" s="12" t="s">
        <v>4311</v>
      </c>
      <c r="G737" s="12" t="s">
        <v>4312</v>
      </c>
      <c r="H737" s="12" t="s">
        <v>4313</v>
      </c>
      <c r="I737" s="12" t="b">
        <v>1</v>
      </c>
      <c r="J737" s="12" t="s">
        <v>1784</v>
      </c>
      <c r="O737" s="12">
        <v>156.29</v>
      </c>
      <c r="P737" s="12">
        <v>2045604.0</v>
      </c>
      <c r="Q737" s="12" t="b">
        <v>1</v>
      </c>
    </row>
    <row r="738">
      <c r="A738" s="12" t="s">
        <v>4071</v>
      </c>
      <c r="B738" s="12" t="s">
        <v>54</v>
      </c>
      <c r="C738" s="14">
        <v>46088.0</v>
      </c>
      <c r="D738" s="12" t="s">
        <v>109</v>
      </c>
      <c r="E738" s="12" t="s">
        <v>4317</v>
      </c>
      <c r="G738" s="12" t="s">
        <v>4318</v>
      </c>
      <c r="H738" s="12" t="s">
        <v>687</v>
      </c>
      <c r="I738" s="12" t="b">
        <v>1</v>
      </c>
      <c r="J738" s="12" t="s">
        <v>1784</v>
      </c>
      <c r="O738" s="12">
        <v>330.0</v>
      </c>
      <c r="P738" s="12">
        <v>2044402.0</v>
      </c>
      <c r="Q738" s="12" t="b">
        <v>1</v>
      </c>
    </row>
    <row r="739">
      <c r="A739" s="12" t="s">
        <v>4073</v>
      </c>
      <c r="B739" s="12" t="s">
        <v>54</v>
      </c>
      <c r="C739" s="14">
        <v>46089.0</v>
      </c>
      <c r="D739" s="12" t="s">
        <v>532</v>
      </c>
      <c r="E739" s="12" t="s">
        <v>4321</v>
      </c>
      <c r="G739" s="12" t="s">
        <v>4323</v>
      </c>
      <c r="H739" s="12" t="s">
        <v>4324</v>
      </c>
      <c r="I739" s="12" t="b">
        <v>1</v>
      </c>
      <c r="J739" s="12" t="s">
        <v>1784</v>
      </c>
      <c r="O739" s="12">
        <v>500.0</v>
      </c>
      <c r="P739" s="12">
        <v>2047869.0</v>
      </c>
      <c r="Q739" s="12" t="b">
        <v>1</v>
      </c>
    </row>
    <row r="740">
      <c r="A740" s="12" t="s">
        <v>4076</v>
      </c>
      <c r="B740" s="12" t="s">
        <v>54</v>
      </c>
      <c r="C740" s="14">
        <v>46089.0</v>
      </c>
      <c r="D740" s="12" t="s">
        <v>220</v>
      </c>
      <c r="E740" s="12" t="s">
        <v>4328</v>
      </c>
      <c r="G740" s="12" t="s">
        <v>4329</v>
      </c>
      <c r="H740" s="12" t="s">
        <v>1761</v>
      </c>
      <c r="I740" s="12" t="b">
        <v>1</v>
      </c>
      <c r="J740" s="12" t="s">
        <v>1784</v>
      </c>
      <c r="O740" s="12">
        <v>70.07</v>
      </c>
      <c r="P740" s="12">
        <v>2047913.0</v>
      </c>
      <c r="Q740" s="12" t="b">
        <v>1</v>
      </c>
    </row>
    <row r="741">
      <c r="A741" s="12" t="s">
        <v>4045</v>
      </c>
      <c r="B741" s="12" t="s">
        <v>54</v>
      </c>
      <c r="C741" s="14">
        <v>46086.0</v>
      </c>
      <c r="D741" s="12" t="s">
        <v>156</v>
      </c>
      <c r="E741" s="12" t="s">
        <v>4333</v>
      </c>
      <c r="G741" s="12" t="s">
        <v>4334</v>
      </c>
      <c r="H741" s="12" t="s">
        <v>3539</v>
      </c>
      <c r="I741" s="12" t="b">
        <v>0</v>
      </c>
      <c r="J741" s="12" t="s">
        <v>1784</v>
      </c>
      <c r="L741" s="12" t="s">
        <v>4336</v>
      </c>
      <c r="O741" s="12">
        <v>4906.41</v>
      </c>
      <c r="Q741" s="12" t="b">
        <v>1</v>
      </c>
    </row>
    <row r="742">
      <c r="A742" s="12"/>
      <c r="B742" s="12"/>
      <c r="C742" s="14"/>
      <c r="D742" s="12"/>
      <c r="E742" s="12"/>
      <c r="G742" s="12"/>
      <c r="H742" s="12"/>
      <c r="I742" s="12"/>
      <c r="J742" s="12"/>
      <c r="L742" s="12"/>
      <c r="M742" s="12"/>
      <c r="Q742" s="12"/>
    </row>
    <row r="743">
      <c r="A743" s="12" t="s">
        <v>4086</v>
      </c>
      <c r="B743" s="12" t="s">
        <v>54</v>
      </c>
      <c r="C743" s="14">
        <v>46090.0</v>
      </c>
      <c r="D743" s="12" t="s">
        <v>58</v>
      </c>
      <c r="E743" s="12" t="s">
        <v>4345</v>
      </c>
      <c r="G743" s="12" t="s">
        <v>4347</v>
      </c>
      <c r="H743" s="12" t="s">
        <v>1000</v>
      </c>
      <c r="I743" s="12" t="b">
        <v>1</v>
      </c>
      <c r="J743" s="12" t="s">
        <v>1784</v>
      </c>
      <c r="O743" s="12">
        <v>66.0</v>
      </c>
      <c r="P743" s="12">
        <v>2050132.0</v>
      </c>
      <c r="Q743" s="12" t="b">
        <v>1</v>
      </c>
    </row>
    <row r="744">
      <c r="A744" s="12" t="s">
        <v>4060</v>
      </c>
      <c r="B744" s="12" t="s">
        <v>54</v>
      </c>
      <c r="C744" s="14">
        <v>46087.0</v>
      </c>
      <c r="D744" s="12" t="s">
        <v>1371</v>
      </c>
      <c r="E744" s="12" t="s">
        <v>4350</v>
      </c>
      <c r="G744" s="12" t="s">
        <v>4351</v>
      </c>
      <c r="H744" s="12" t="s">
        <v>4352</v>
      </c>
      <c r="I744" s="12" t="b">
        <v>1</v>
      </c>
      <c r="J744" s="12" t="s">
        <v>1784</v>
      </c>
      <c r="O744" s="12">
        <v>47.9</v>
      </c>
      <c r="P744" s="12">
        <v>2050135.0</v>
      </c>
      <c r="Q744" s="12" t="b">
        <v>1</v>
      </c>
    </row>
    <row r="745">
      <c r="A745" s="12" t="s">
        <v>4090</v>
      </c>
      <c r="B745" s="12" t="s">
        <v>54</v>
      </c>
      <c r="C745" s="14">
        <v>46090.0</v>
      </c>
      <c r="D745" s="12" t="s">
        <v>175</v>
      </c>
      <c r="E745" s="12" t="s">
        <v>4359</v>
      </c>
      <c r="G745" s="12" t="s">
        <v>4361</v>
      </c>
      <c r="H745" s="12" t="s">
        <v>4362</v>
      </c>
      <c r="I745" s="12" t="b">
        <v>1</v>
      </c>
      <c r="J745" s="12" t="s">
        <v>1784</v>
      </c>
      <c r="O745" s="12">
        <v>66.25</v>
      </c>
      <c r="P745" s="12">
        <v>2050138.0</v>
      </c>
      <c r="Q745" s="12" t="b">
        <v>1</v>
      </c>
    </row>
    <row r="746">
      <c r="A746" s="12" t="s">
        <v>4093</v>
      </c>
      <c r="B746" s="12" t="s">
        <v>54</v>
      </c>
      <c r="C746" s="14">
        <v>46090.0</v>
      </c>
      <c r="D746" s="12" t="s">
        <v>220</v>
      </c>
      <c r="E746" s="12" t="s">
        <v>4368</v>
      </c>
      <c r="G746" s="12" t="s">
        <v>4369</v>
      </c>
      <c r="H746" s="12" t="s">
        <v>4370</v>
      </c>
      <c r="I746" s="12" t="b">
        <v>1</v>
      </c>
      <c r="J746" s="12" t="s">
        <v>1784</v>
      </c>
      <c r="O746" s="12">
        <v>8.49</v>
      </c>
      <c r="P746" s="12">
        <v>2050425.0</v>
      </c>
      <c r="Q746" s="12" t="b">
        <v>1</v>
      </c>
    </row>
    <row r="747">
      <c r="A747" s="12">
        <v>1422.0</v>
      </c>
      <c r="B747" s="12" t="s">
        <v>54</v>
      </c>
      <c r="C747" s="14">
        <v>46090.0</v>
      </c>
      <c r="D747" s="12" t="s">
        <v>1668</v>
      </c>
      <c r="H747" s="12" t="s">
        <v>1671</v>
      </c>
      <c r="J747" s="12" t="s">
        <v>621</v>
      </c>
      <c r="O747" s="12">
        <v>125.0</v>
      </c>
      <c r="Q747" s="12" t="b">
        <v>1</v>
      </c>
    </row>
    <row r="748">
      <c r="A748" s="12" t="s">
        <v>4098</v>
      </c>
      <c r="B748" s="12" t="s">
        <v>54</v>
      </c>
      <c r="C748" s="14">
        <v>46091.0</v>
      </c>
      <c r="D748" s="12" t="s">
        <v>324</v>
      </c>
      <c r="E748" s="12" t="s">
        <v>4376</v>
      </c>
      <c r="G748" s="12" t="s">
        <v>4377</v>
      </c>
      <c r="H748" s="12" t="s">
        <v>1761</v>
      </c>
      <c r="I748" s="12" t="b">
        <v>1</v>
      </c>
      <c r="J748" s="12" t="s">
        <v>1784</v>
      </c>
      <c r="O748" s="12">
        <v>38.0</v>
      </c>
      <c r="P748" s="12">
        <v>2051257.0</v>
      </c>
      <c r="Q748" s="12" t="b">
        <v>1</v>
      </c>
    </row>
    <row r="749">
      <c r="A749" s="12" t="s">
        <v>4109</v>
      </c>
      <c r="B749" s="12" t="s">
        <v>54</v>
      </c>
      <c r="C749" s="14">
        <v>46091.0</v>
      </c>
      <c r="D749" s="12" t="s">
        <v>175</v>
      </c>
      <c r="E749" s="12" t="s">
        <v>4381</v>
      </c>
      <c r="G749" s="12" t="s">
        <v>4382</v>
      </c>
      <c r="H749" s="12" t="s">
        <v>4384</v>
      </c>
      <c r="I749" s="12" t="b">
        <v>1</v>
      </c>
      <c r="J749" s="12" t="s">
        <v>1784</v>
      </c>
      <c r="O749" s="12">
        <v>28.4</v>
      </c>
      <c r="P749" s="12">
        <v>2051255.0</v>
      </c>
      <c r="Q749" s="12" t="b">
        <v>1</v>
      </c>
    </row>
    <row r="750">
      <c r="A750" s="12"/>
      <c r="B750" s="12"/>
      <c r="C750" s="14"/>
      <c r="D750" s="12"/>
      <c r="E750" s="12"/>
      <c r="G750" s="12"/>
      <c r="H750" s="12"/>
      <c r="I750" s="12"/>
      <c r="J750" s="12"/>
      <c r="Q750" s="12"/>
    </row>
    <row r="751">
      <c r="A751" s="12" t="s">
        <v>4112</v>
      </c>
      <c r="B751" s="12" t="s">
        <v>54</v>
      </c>
      <c r="C751" s="14">
        <v>46091.0</v>
      </c>
      <c r="D751" s="12" t="s">
        <v>1103</v>
      </c>
      <c r="E751" s="12" t="s">
        <v>4391</v>
      </c>
      <c r="G751" s="12" t="s">
        <v>4392</v>
      </c>
      <c r="H751" s="12" t="s">
        <v>153</v>
      </c>
      <c r="I751" s="12" t="b">
        <v>1</v>
      </c>
      <c r="J751" s="12" t="s">
        <v>1784</v>
      </c>
      <c r="O751" s="12">
        <v>247.08</v>
      </c>
      <c r="P751" s="12">
        <v>2051678.0</v>
      </c>
      <c r="Q751" s="12" t="b">
        <v>1</v>
      </c>
    </row>
    <row r="752">
      <c r="A752" s="12">
        <v>1424.0</v>
      </c>
      <c r="B752" s="12" t="s">
        <v>54</v>
      </c>
      <c r="C752" s="14">
        <v>46091.0</v>
      </c>
      <c r="D752" s="12" t="s">
        <v>897</v>
      </c>
      <c r="H752" s="12" t="s">
        <v>909</v>
      </c>
      <c r="J752" s="12" t="s">
        <v>621</v>
      </c>
      <c r="O752" s="12">
        <v>0.0</v>
      </c>
      <c r="Q752" s="12" t="b">
        <v>1</v>
      </c>
    </row>
    <row r="753">
      <c r="A753" s="12">
        <v>1425.0</v>
      </c>
      <c r="B753" s="12" t="s">
        <v>54</v>
      </c>
      <c r="C753" s="14">
        <v>46091.0</v>
      </c>
      <c r="D753" s="12" t="s">
        <v>933</v>
      </c>
      <c r="H753" s="12" t="s">
        <v>1346</v>
      </c>
      <c r="J753" s="12" t="s">
        <v>621</v>
      </c>
      <c r="O753" s="12">
        <v>533.95</v>
      </c>
      <c r="Q753" s="12" t="b">
        <v>1</v>
      </c>
    </row>
    <row r="754">
      <c r="A754" s="12" t="s">
        <v>2479</v>
      </c>
      <c r="B754" s="12" t="s">
        <v>54</v>
      </c>
      <c r="C754" s="14">
        <v>46091.0</v>
      </c>
      <c r="D754" s="12" t="s">
        <v>1715</v>
      </c>
      <c r="H754" s="12" t="s">
        <v>3036</v>
      </c>
      <c r="J754" s="12" t="s">
        <v>621</v>
      </c>
      <c r="O754" s="12">
        <v>677.37</v>
      </c>
      <c r="Q754" s="12" t="b">
        <v>1</v>
      </c>
    </row>
    <row r="755">
      <c r="A755" s="12" t="s">
        <v>4124</v>
      </c>
      <c r="B755" s="12" t="s">
        <v>54</v>
      </c>
      <c r="C755" s="14">
        <v>46092.0</v>
      </c>
      <c r="D755" s="12" t="s">
        <v>2163</v>
      </c>
      <c r="E755" s="12" t="s">
        <v>4405</v>
      </c>
      <c r="G755" s="12" t="s">
        <v>4407</v>
      </c>
      <c r="H755" s="12" t="s">
        <v>4408</v>
      </c>
      <c r="I755" s="12" t="b">
        <v>1</v>
      </c>
      <c r="J755" s="12" t="s">
        <v>1784</v>
      </c>
      <c r="O755" s="12">
        <v>13.49</v>
      </c>
      <c r="P755" s="12">
        <v>2053516.0</v>
      </c>
      <c r="Q755" s="12" t="b">
        <v>1</v>
      </c>
    </row>
    <row r="756">
      <c r="A756" s="12" t="s">
        <v>4132</v>
      </c>
      <c r="B756" s="12" t="s">
        <v>54</v>
      </c>
      <c r="C756" s="14">
        <v>46093.0</v>
      </c>
      <c r="D756" s="12" t="s">
        <v>4411</v>
      </c>
      <c r="E756" s="12" t="s">
        <v>4412</v>
      </c>
      <c r="G756" s="12" t="s">
        <v>4414</v>
      </c>
      <c r="H756" s="12" t="s">
        <v>4416</v>
      </c>
      <c r="I756" s="12" t="b">
        <v>1</v>
      </c>
      <c r="J756" s="12" t="s">
        <v>1784</v>
      </c>
      <c r="O756" s="12">
        <v>75.0</v>
      </c>
      <c r="P756" s="12">
        <v>2054589.0</v>
      </c>
      <c r="Q756" s="12" t="b">
        <v>1</v>
      </c>
    </row>
    <row r="757">
      <c r="A757" s="12" t="s">
        <v>2482</v>
      </c>
      <c r="B757" s="12" t="s">
        <v>54</v>
      </c>
      <c r="C757" s="14">
        <v>46093.0</v>
      </c>
      <c r="D757" s="12" t="s">
        <v>4420</v>
      </c>
      <c r="H757" s="12" t="s">
        <v>4421</v>
      </c>
      <c r="J757" s="12" t="s">
        <v>621</v>
      </c>
      <c r="O757" s="12">
        <v>801.21</v>
      </c>
      <c r="Q757" s="12" t="b">
        <v>1</v>
      </c>
    </row>
    <row r="758">
      <c r="A758" s="12" t="s">
        <v>2486</v>
      </c>
      <c r="B758" s="12" t="s">
        <v>54</v>
      </c>
      <c r="C758" s="14">
        <v>46093.0</v>
      </c>
      <c r="D758" s="12" t="s">
        <v>4420</v>
      </c>
      <c r="H758" s="12" t="s">
        <v>545</v>
      </c>
      <c r="J758" s="12" t="s">
        <v>621</v>
      </c>
      <c r="O758" s="12">
        <v>1052.47</v>
      </c>
      <c r="Q758" s="12" t="b">
        <v>1</v>
      </c>
    </row>
    <row r="759">
      <c r="A759" s="12" t="s">
        <v>4156</v>
      </c>
      <c r="B759" s="12" t="s">
        <v>54</v>
      </c>
      <c r="C759" s="14">
        <v>46094.0</v>
      </c>
      <c r="D759" s="12" t="s">
        <v>1103</v>
      </c>
      <c r="E759" s="12" t="s">
        <v>4425</v>
      </c>
      <c r="G759" s="12" t="s">
        <v>4427</v>
      </c>
      <c r="H759" s="12" t="s">
        <v>4428</v>
      </c>
      <c r="I759" s="12" t="b">
        <v>1</v>
      </c>
      <c r="J759" s="12" t="s">
        <v>1784</v>
      </c>
      <c r="O759" s="12">
        <v>268.0</v>
      </c>
      <c r="P759" s="12">
        <v>2056246.0</v>
      </c>
      <c r="Q759" s="12" t="b">
        <v>1</v>
      </c>
    </row>
    <row r="760">
      <c r="A760" s="12" t="s">
        <v>4163</v>
      </c>
      <c r="B760" s="12" t="s">
        <v>54</v>
      </c>
      <c r="C760" s="14">
        <v>46094.0</v>
      </c>
      <c r="D760" s="12" t="s">
        <v>109</v>
      </c>
      <c r="E760" s="12" t="s">
        <v>4430</v>
      </c>
      <c r="G760" s="12" t="s">
        <v>4432</v>
      </c>
      <c r="H760" s="12" t="s">
        <v>4433</v>
      </c>
      <c r="I760" s="12" t="b">
        <v>1</v>
      </c>
      <c r="J760" s="12" t="s">
        <v>1784</v>
      </c>
      <c r="O760" s="12">
        <v>462.0</v>
      </c>
      <c r="P760" s="12">
        <v>2056880.0</v>
      </c>
      <c r="Q760" s="12" t="b">
        <v>1</v>
      </c>
    </row>
    <row r="761">
      <c r="A761" s="12" t="s">
        <v>4180</v>
      </c>
      <c r="B761" s="12" t="s">
        <v>54</v>
      </c>
      <c r="C761" s="14">
        <v>46096.0</v>
      </c>
      <c r="D761" s="12" t="s">
        <v>77</v>
      </c>
      <c r="E761" s="12" t="s">
        <v>4437</v>
      </c>
      <c r="G761" s="12" t="s">
        <v>4439</v>
      </c>
      <c r="H761" s="12" t="s">
        <v>4440</v>
      </c>
      <c r="I761" s="12" t="b">
        <v>1</v>
      </c>
      <c r="J761" s="12" t="s">
        <v>1784</v>
      </c>
      <c r="O761" s="12">
        <v>80.23</v>
      </c>
      <c r="P761" s="12">
        <v>2061363.0</v>
      </c>
      <c r="Q761" s="12" t="b">
        <v>1</v>
      </c>
    </row>
    <row r="762">
      <c r="A762" s="12" t="s">
        <v>4166</v>
      </c>
      <c r="B762" s="12" t="s">
        <v>54</v>
      </c>
      <c r="C762" s="14">
        <v>46094.0</v>
      </c>
      <c r="D762" s="12" t="s">
        <v>220</v>
      </c>
      <c r="E762" s="12" t="s">
        <v>4445</v>
      </c>
      <c r="G762" s="12" t="s">
        <v>4447</v>
      </c>
      <c r="H762" s="12" t="s">
        <v>2814</v>
      </c>
      <c r="I762" s="12" t="b">
        <v>1</v>
      </c>
      <c r="J762" s="12" t="s">
        <v>1784</v>
      </c>
      <c r="O762" s="12">
        <v>291.03</v>
      </c>
      <c r="P762" s="12">
        <v>2061503.0</v>
      </c>
      <c r="Q762" s="12" t="b">
        <v>1</v>
      </c>
    </row>
    <row r="763">
      <c r="A763" s="12" t="s">
        <v>4134</v>
      </c>
      <c r="B763" s="12" t="s">
        <v>54</v>
      </c>
      <c r="C763" s="14">
        <v>46093.0</v>
      </c>
      <c r="D763" s="12" t="s">
        <v>220</v>
      </c>
      <c r="E763" s="12" t="s">
        <v>4455</v>
      </c>
      <c r="G763" s="12" t="s">
        <v>4456</v>
      </c>
      <c r="H763" s="12" t="s">
        <v>268</v>
      </c>
      <c r="I763" s="12" t="b">
        <v>1</v>
      </c>
      <c r="J763" s="12" t="s">
        <v>1784</v>
      </c>
      <c r="O763" s="12">
        <v>505.87</v>
      </c>
      <c r="P763" s="12">
        <v>2061496.0</v>
      </c>
      <c r="Q763" s="12" t="b">
        <v>1</v>
      </c>
    </row>
    <row r="764">
      <c r="A764" s="12">
        <v>1375.0</v>
      </c>
      <c r="B764" s="12" t="s">
        <v>54</v>
      </c>
      <c r="C764" s="14">
        <v>46097.0</v>
      </c>
      <c r="D764" s="12" t="s">
        <v>156</v>
      </c>
      <c r="H764" s="12" t="s">
        <v>1905</v>
      </c>
      <c r="J764" s="12" t="s">
        <v>621</v>
      </c>
      <c r="O764" s="12">
        <v>625.0</v>
      </c>
      <c r="Q764" s="12" t="b">
        <v>1</v>
      </c>
    </row>
    <row r="765">
      <c r="A765" s="12">
        <v>1376.0</v>
      </c>
      <c r="B765" s="12" t="s">
        <v>54</v>
      </c>
      <c r="C765" s="14">
        <v>46097.0</v>
      </c>
      <c r="D765" s="12" t="s">
        <v>156</v>
      </c>
      <c r="H765" s="12" t="s">
        <v>4461</v>
      </c>
      <c r="J765" s="12" t="s">
        <v>621</v>
      </c>
      <c r="O765" s="12">
        <v>375.0</v>
      </c>
      <c r="Q765" s="12" t="b">
        <v>1</v>
      </c>
    </row>
    <row r="766">
      <c r="A766" s="12">
        <v>1377.0</v>
      </c>
      <c r="B766" s="12" t="s">
        <v>54</v>
      </c>
      <c r="C766" s="14">
        <v>46097.0</v>
      </c>
      <c r="D766" s="12" t="s">
        <v>1914</v>
      </c>
      <c r="H766" s="12" t="s">
        <v>1916</v>
      </c>
      <c r="J766" s="12" t="s">
        <v>621</v>
      </c>
      <c r="O766" s="12">
        <v>1110.0</v>
      </c>
      <c r="Q766" s="12" t="b">
        <v>1</v>
      </c>
    </row>
    <row r="767">
      <c r="A767" s="12">
        <v>1432.0</v>
      </c>
      <c r="B767" s="12" t="s">
        <v>54</v>
      </c>
      <c r="C767" s="14">
        <v>46097.0</v>
      </c>
      <c r="D767" s="12" t="s">
        <v>689</v>
      </c>
      <c r="H767" s="12" t="s">
        <v>959</v>
      </c>
      <c r="J767" s="12" t="s">
        <v>621</v>
      </c>
      <c r="O767" s="12">
        <v>5000.0</v>
      </c>
      <c r="Q767" s="12" t="b">
        <v>1</v>
      </c>
    </row>
    <row r="768">
      <c r="A768" s="12" t="s">
        <v>2497</v>
      </c>
      <c r="B768" s="12" t="s">
        <v>54</v>
      </c>
      <c r="C768" s="14">
        <v>46097.0</v>
      </c>
      <c r="D768" s="12" t="s">
        <v>156</v>
      </c>
      <c r="H768" s="12" t="s">
        <v>4469</v>
      </c>
      <c r="J768" s="12" t="s">
        <v>621</v>
      </c>
      <c r="O768" s="12">
        <v>1206.96</v>
      </c>
      <c r="Q768" s="12" t="b">
        <v>1</v>
      </c>
    </row>
    <row r="769">
      <c r="A769" s="12">
        <v>1440.0</v>
      </c>
      <c r="B769" s="12" t="s">
        <v>54</v>
      </c>
      <c r="C769" s="14">
        <v>46097.0</v>
      </c>
      <c r="D769" s="12" t="s">
        <v>1067</v>
      </c>
      <c r="H769" s="12" t="s">
        <v>1068</v>
      </c>
      <c r="J769" s="12" t="s">
        <v>621</v>
      </c>
      <c r="O769" s="12">
        <v>837.41</v>
      </c>
      <c r="Q769" s="12" t="b">
        <v>1</v>
      </c>
    </row>
    <row r="770">
      <c r="A770" s="12" t="s">
        <v>4129</v>
      </c>
      <c r="B770" s="12" t="s">
        <v>54</v>
      </c>
      <c r="C770" s="14">
        <v>46092.0</v>
      </c>
      <c r="D770" s="12" t="s">
        <v>556</v>
      </c>
      <c r="E770" s="12" t="s">
        <v>4475</v>
      </c>
      <c r="G770" s="12" t="s">
        <v>4476</v>
      </c>
      <c r="H770" s="12" t="s">
        <v>859</v>
      </c>
      <c r="I770" s="12" t="b">
        <v>1</v>
      </c>
      <c r="J770" s="12" t="s">
        <v>1784</v>
      </c>
      <c r="O770" s="12">
        <v>220.0</v>
      </c>
      <c r="P770" s="12">
        <v>2052954.0</v>
      </c>
      <c r="Q770" s="12" t="b">
        <v>1</v>
      </c>
    </row>
    <row r="771">
      <c r="A771" s="12" t="s">
        <v>4198</v>
      </c>
      <c r="B771" s="12" t="s">
        <v>54</v>
      </c>
      <c r="C771" s="14">
        <v>46098.0</v>
      </c>
      <c r="D771" s="12" t="s">
        <v>175</v>
      </c>
      <c r="E771" s="12" t="s">
        <v>4481</v>
      </c>
      <c r="G771" s="12" t="s">
        <v>4482</v>
      </c>
      <c r="H771" s="12" t="s">
        <v>2402</v>
      </c>
      <c r="I771" s="12" t="b">
        <v>1</v>
      </c>
      <c r="J771" s="12" t="s">
        <v>1784</v>
      </c>
      <c r="O771" s="12">
        <v>46.45</v>
      </c>
      <c r="P771" s="12">
        <v>2066464.0</v>
      </c>
      <c r="Q771" s="12" t="b">
        <v>1</v>
      </c>
    </row>
    <row r="772">
      <c r="A772" s="12" t="s">
        <v>4193</v>
      </c>
      <c r="B772" s="12" t="s">
        <v>54</v>
      </c>
      <c r="C772" s="14">
        <v>46097.0</v>
      </c>
      <c r="D772" s="12" t="s">
        <v>182</v>
      </c>
      <c r="E772" s="12" t="s">
        <v>4487</v>
      </c>
      <c r="G772" s="12" t="s">
        <v>4488</v>
      </c>
      <c r="H772" s="12" t="s">
        <v>2297</v>
      </c>
      <c r="I772" s="12" t="b">
        <v>1</v>
      </c>
      <c r="J772" s="12" t="s">
        <v>1784</v>
      </c>
      <c r="O772" s="12">
        <v>77.93</v>
      </c>
      <c r="P772" s="12">
        <v>2066463.0</v>
      </c>
      <c r="Q772" s="12" t="b">
        <v>1</v>
      </c>
    </row>
    <row r="773">
      <c r="A773" s="12" t="s">
        <v>4232</v>
      </c>
      <c r="B773" s="12" t="s">
        <v>54</v>
      </c>
      <c r="C773" s="14">
        <v>46099.0</v>
      </c>
      <c r="D773" s="12" t="s">
        <v>355</v>
      </c>
      <c r="E773" s="12" t="s">
        <v>4494</v>
      </c>
      <c r="G773" s="12" t="s">
        <v>4495</v>
      </c>
      <c r="H773" s="12" t="s">
        <v>3683</v>
      </c>
      <c r="I773" s="12" t="b">
        <v>1</v>
      </c>
      <c r="J773" s="12" t="s">
        <v>1784</v>
      </c>
      <c r="O773" s="12">
        <v>297.1</v>
      </c>
      <c r="P773" s="12">
        <v>2067998.0</v>
      </c>
      <c r="Q773" s="12" t="b">
        <v>1</v>
      </c>
    </row>
    <row r="774">
      <c r="A774" s="12" t="s">
        <v>4239</v>
      </c>
      <c r="B774" s="12" t="s">
        <v>54</v>
      </c>
      <c r="C774" s="14">
        <v>46099.0</v>
      </c>
      <c r="D774" s="12" t="s">
        <v>1769</v>
      </c>
      <c r="E774" s="12" t="s">
        <v>4498</v>
      </c>
      <c r="G774" s="12" t="s">
        <v>4499</v>
      </c>
      <c r="H774" s="12" t="s">
        <v>4501</v>
      </c>
      <c r="I774" s="12" t="b">
        <v>1</v>
      </c>
      <c r="J774" s="12" t="s">
        <v>1784</v>
      </c>
      <c r="O774" s="12">
        <v>68.0</v>
      </c>
      <c r="P774" s="12">
        <v>2068565.0</v>
      </c>
      <c r="Q774" s="12" t="b">
        <v>1</v>
      </c>
    </row>
    <row r="775">
      <c r="A775" s="12" t="s">
        <v>4205</v>
      </c>
      <c r="B775" s="12" t="s">
        <v>54</v>
      </c>
      <c r="C775" s="14">
        <v>46098.0</v>
      </c>
      <c r="D775" s="12" t="s">
        <v>156</v>
      </c>
      <c r="E775" s="12" t="s">
        <v>4505</v>
      </c>
      <c r="G775" s="12" t="s">
        <v>4507</v>
      </c>
      <c r="H775" s="12" t="s">
        <v>488</v>
      </c>
      <c r="I775" s="12" t="b">
        <v>0</v>
      </c>
      <c r="J775" s="12" t="s">
        <v>1784</v>
      </c>
      <c r="L775" s="12" t="s">
        <v>4510</v>
      </c>
      <c r="O775" s="12">
        <v>11421.97</v>
      </c>
      <c r="Q775" s="12" t="b">
        <v>1</v>
      </c>
    </row>
    <row r="776">
      <c r="A776" s="12"/>
      <c r="B776" s="12"/>
      <c r="C776" s="14"/>
      <c r="D776" s="12"/>
      <c r="E776" s="12"/>
      <c r="G776" s="12"/>
      <c r="H776" s="12"/>
      <c r="I776" s="12"/>
      <c r="J776" s="12"/>
      <c r="L776" s="12"/>
      <c r="Q776" s="12"/>
    </row>
    <row r="777">
      <c r="A777" s="12" t="s">
        <v>2504</v>
      </c>
      <c r="B777" s="12" t="s">
        <v>54</v>
      </c>
      <c r="C777" s="14">
        <v>46099.0</v>
      </c>
      <c r="D777" s="12" t="s">
        <v>156</v>
      </c>
      <c r="H777" s="12" t="s">
        <v>4516</v>
      </c>
      <c r="J777" s="12" t="s">
        <v>621</v>
      </c>
      <c r="O777" s="12">
        <v>1687.01</v>
      </c>
      <c r="Q777" s="12" t="b">
        <v>1</v>
      </c>
    </row>
    <row r="778">
      <c r="A778" s="12" t="s">
        <v>2507</v>
      </c>
      <c r="B778" s="12" t="s">
        <v>54</v>
      </c>
      <c r="C778" s="14">
        <v>46099.0</v>
      </c>
      <c r="D778" s="12" t="s">
        <v>156</v>
      </c>
      <c r="H778" s="12" t="s">
        <v>4521</v>
      </c>
      <c r="J778" s="12" t="s">
        <v>621</v>
      </c>
      <c r="O778" s="12">
        <v>280.66</v>
      </c>
      <c r="Q778" s="12" t="b">
        <v>1</v>
      </c>
    </row>
    <row r="779">
      <c r="A779" s="12" t="s">
        <v>2512</v>
      </c>
      <c r="B779" s="12" t="s">
        <v>54</v>
      </c>
      <c r="C779" s="14">
        <v>46099.0</v>
      </c>
      <c r="D779" s="12" t="s">
        <v>912</v>
      </c>
      <c r="H779" s="12" t="s">
        <v>4523</v>
      </c>
      <c r="J779" s="12" t="s">
        <v>621</v>
      </c>
      <c r="O779" s="12">
        <v>1270.0</v>
      </c>
      <c r="Q779" s="12" t="b">
        <v>1</v>
      </c>
    </row>
    <row r="780">
      <c r="A780" s="12" t="s">
        <v>2517</v>
      </c>
      <c r="B780" s="12" t="s">
        <v>54</v>
      </c>
      <c r="C780" s="14">
        <v>46099.0</v>
      </c>
      <c r="D780" s="12" t="s">
        <v>156</v>
      </c>
      <c r="H780" s="12" t="s">
        <v>4527</v>
      </c>
      <c r="J780" s="12" t="s">
        <v>621</v>
      </c>
      <c r="O780" s="12">
        <v>61.83</v>
      </c>
      <c r="Q780" s="12" t="b">
        <v>1</v>
      </c>
    </row>
    <row r="781">
      <c r="A781" s="12">
        <v>1439.0</v>
      </c>
      <c r="B781" s="12" t="s">
        <v>54</v>
      </c>
      <c r="C781" s="14">
        <v>46099.0</v>
      </c>
      <c r="D781" s="12" t="s">
        <v>734</v>
      </c>
      <c r="H781" s="12" t="s">
        <v>1466</v>
      </c>
      <c r="J781" s="12" t="s">
        <v>621</v>
      </c>
      <c r="O781" s="12">
        <v>1181.1</v>
      </c>
      <c r="Q781" s="12" t="b">
        <v>1</v>
      </c>
    </row>
    <row r="782">
      <c r="A782" s="12">
        <v>1441.0</v>
      </c>
      <c r="B782" s="12" t="s">
        <v>54</v>
      </c>
      <c r="C782" s="14">
        <v>46099.0</v>
      </c>
      <c r="D782" s="12" t="s">
        <v>1484</v>
      </c>
      <c r="H782" s="12" t="s">
        <v>1485</v>
      </c>
      <c r="J782" s="12" t="s">
        <v>621</v>
      </c>
      <c r="O782" s="12">
        <v>20.0</v>
      </c>
      <c r="Q782" s="12" t="b">
        <v>1</v>
      </c>
    </row>
    <row r="783">
      <c r="A783" s="12" t="s">
        <v>2525</v>
      </c>
      <c r="B783" s="12" t="s">
        <v>54</v>
      </c>
      <c r="C783" s="14">
        <v>46099.0</v>
      </c>
      <c r="D783" s="12" t="s">
        <v>156</v>
      </c>
      <c r="H783" s="12" t="s">
        <v>4538</v>
      </c>
      <c r="J783" s="12" t="s">
        <v>621</v>
      </c>
      <c r="O783" s="12">
        <v>1054.29</v>
      </c>
      <c r="Q783" s="12" t="b">
        <v>1</v>
      </c>
    </row>
    <row r="784">
      <c r="A784" s="12" t="s">
        <v>2528</v>
      </c>
      <c r="B784" s="12" t="s">
        <v>54</v>
      </c>
      <c r="C784" s="14">
        <v>46099.0</v>
      </c>
      <c r="D784" s="12" t="s">
        <v>156</v>
      </c>
      <c r="H784" s="12" t="s">
        <v>4540</v>
      </c>
      <c r="J784" s="12" t="s">
        <v>621</v>
      </c>
      <c r="O784" s="12">
        <v>3.6</v>
      </c>
      <c r="Q784" s="12" t="b">
        <v>1</v>
      </c>
    </row>
    <row r="785">
      <c r="A785" s="12" t="s">
        <v>2533</v>
      </c>
      <c r="B785" s="12" t="s">
        <v>54</v>
      </c>
      <c r="C785" s="14">
        <v>46099.0</v>
      </c>
      <c r="D785" s="12" t="s">
        <v>156</v>
      </c>
      <c r="H785" s="12" t="s">
        <v>4545</v>
      </c>
      <c r="J785" s="12" t="s">
        <v>621</v>
      </c>
      <c r="O785" s="12">
        <v>1097.04</v>
      </c>
      <c r="Q785" s="12" t="b">
        <v>1</v>
      </c>
    </row>
    <row r="786">
      <c r="A786" s="12">
        <v>1448.0</v>
      </c>
      <c r="B786" s="12" t="s">
        <v>54</v>
      </c>
      <c r="C786" s="14">
        <v>46099.0</v>
      </c>
      <c r="D786" s="12" t="s">
        <v>818</v>
      </c>
      <c r="H786" s="12" t="s">
        <v>819</v>
      </c>
      <c r="J786" s="12" t="s">
        <v>621</v>
      </c>
      <c r="O786" s="12">
        <v>185.0</v>
      </c>
      <c r="Q786" s="12" t="b">
        <v>1</v>
      </c>
    </row>
    <row r="787">
      <c r="A787" s="12" t="s">
        <v>4243</v>
      </c>
      <c r="B787" s="12" t="s">
        <v>54</v>
      </c>
      <c r="C787" s="14">
        <v>46100.0</v>
      </c>
      <c r="D787" s="12" t="s">
        <v>1103</v>
      </c>
      <c r="E787" s="12" t="s">
        <v>4552</v>
      </c>
      <c r="G787" s="12" t="s">
        <v>4554</v>
      </c>
      <c r="H787" s="12" t="s">
        <v>3268</v>
      </c>
      <c r="I787" s="12" t="b">
        <v>1</v>
      </c>
      <c r="J787" s="12" t="s">
        <v>1784</v>
      </c>
      <c r="O787" s="12">
        <v>205.2</v>
      </c>
      <c r="P787" s="12">
        <v>2070057.0</v>
      </c>
      <c r="Q787" s="12" t="b">
        <v>1</v>
      </c>
    </row>
    <row r="788">
      <c r="A788" s="12" t="s">
        <v>4212</v>
      </c>
      <c r="B788" s="12" t="s">
        <v>54</v>
      </c>
      <c r="C788" s="14">
        <v>46098.0</v>
      </c>
      <c r="D788" s="12" t="s">
        <v>220</v>
      </c>
      <c r="E788" s="12" t="s">
        <v>4559</v>
      </c>
      <c r="G788" s="12" t="s">
        <v>4560</v>
      </c>
      <c r="H788" s="12" t="s">
        <v>2402</v>
      </c>
      <c r="I788" s="12" t="b">
        <v>1</v>
      </c>
      <c r="J788" s="12" t="s">
        <v>1784</v>
      </c>
      <c r="O788" s="12">
        <v>474.7</v>
      </c>
      <c r="P788" s="12">
        <v>2072054.0</v>
      </c>
      <c r="Q788" s="12" t="b">
        <v>1</v>
      </c>
    </row>
    <row r="789">
      <c r="A789" s="12" t="s">
        <v>4251</v>
      </c>
      <c r="B789" s="12" t="s">
        <v>54</v>
      </c>
      <c r="C789" s="14">
        <v>46101.0</v>
      </c>
      <c r="D789" s="12" t="s">
        <v>435</v>
      </c>
      <c r="E789" s="12" t="s">
        <v>4565</v>
      </c>
      <c r="G789" s="12" t="s">
        <v>4566</v>
      </c>
      <c r="H789" s="12" t="s">
        <v>599</v>
      </c>
      <c r="I789" s="12" t="b">
        <v>1</v>
      </c>
      <c r="J789" s="12" t="s">
        <v>1784</v>
      </c>
      <c r="O789" s="12">
        <v>149.85</v>
      </c>
      <c r="P789" s="12">
        <v>2072061.0</v>
      </c>
      <c r="Q789" s="12" t="b">
        <v>1</v>
      </c>
    </row>
    <row r="790">
      <c r="A790" s="12" t="s">
        <v>2541</v>
      </c>
      <c r="B790" s="12" t="s">
        <v>54</v>
      </c>
      <c r="C790" s="14">
        <v>46101.0</v>
      </c>
      <c r="D790" s="12" t="s">
        <v>4571</v>
      </c>
      <c r="H790" s="12" t="s">
        <v>4572</v>
      </c>
      <c r="J790" s="12" t="s">
        <v>621</v>
      </c>
      <c r="O790" s="12">
        <v>372.0</v>
      </c>
      <c r="Q790" s="12" t="b">
        <v>1</v>
      </c>
    </row>
    <row r="791">
      <c r="A791" s="12" t="s">
        <v>4258</v>
      </c>
      <c r="B791" s="12" t="s">
        <v>54</v>
      </c>
      <c r="C791" s="14">
        <v>46101.0</v>
      </c>
      <c r="D791" s="12" t="s">
        <v>220</v>
      </c>
      <c r="E791" s="12" t="s">
        <v>4575</v>
      </c>
      <c r="G791" s="12" t="s">
        <v>4576</v>
      </c>
      <c r="H791" s="12" t="s">
        <v>2402</v>
      </c>
      <c r="I791" s="12" t="b">
        <v>1</v>
      </c>
      <c r="J791" s="12" t="s">
        <v>1784</v>
      </c>
      <c r="O791" s="12">
        <v>421.64</v>
      </c>
      <c r="P791" s="12">
        <v>2074449.0</v>
      </c>
      <c r="Q791" s="12" t="b">
        <v>1</v>
      </c>
    </row>
    <row r="792">
      <c r="A792" s="12" t="s">
        <v>4298</v>
      </c>
      <c r="B792" s="12" t="s">
        <v>54</v>
      </c>
      <c r="C792" s="14">
        <v>46102.0</v>
      </c>
      <c r="D792" s="12" t="s">
        <v>182</v>
      </c>
      <c r="E792" s="12" t="s">
        <v>4579</v>
      </c>
      <c r="G792" s="12" t="s">
        <v>4580</v>
      </c>
      <c r="H792" s="12" t="s">
        <v>2540</v>
      </c>
      <c r="I792" s="12" t="b">
        <v>1</v>
      </c>
      <c r="J792" s="12" t="s">
        <v>1784</v>
      </c>
      <c r="O792" s="12">
        <v>14.69</v>
      </c>
      <c r="P792" s="12">
        <v>2074453.0</v>
      </c>
      <c r="Q792" s="12" t="b">
        <v>1</v>
      </c>
    </row>
    <row r="793">
      <c r="A793" s="12" t="s">
        <v>4292</v>
      </c>
      <c r="B793" s="12" t="s">
        <v>54</v>
      </c>
      <c r="C793" s="14">
        <v>46101.0</v>
      </c>
      <c r="D793" s="12" t="s">
        <v>109</v>
      </c>
      <c r="E793" s="12" t="s">
        <v>4584</v>
      </c>
      <c r="G793" s="12" t="s">
        <v>4585</v>
      </c>
      <c r="H793" s="12" t="s">
        <v>4433</v>
      </c>
      <c r="I793" s="12" t="b">
        <v>1</v>
      </c>
      <c r="J793" s="12" t="s">
        <v>1784</v>
      </c>
      <c r="O793" s="12">
        <v>462.0</v>
      </c>
      <c r="P793" s="12">
        <v>2072633.0</v>
      </c>
      <c r="Q793" s="12" t="b">
        <v>1</v>
      </c>
    </row>
    <row r="794">
      <c r="A794" s="12" t="s">
        <v>4308</v>
      </c>
      <c r="B794" s="12" t="s">
        <v>54</v>
      </c>
      <c r="C794" s="14">
        <v>46103.0</v>
      </c>
      <c r="D794" s="12" t="s">
        <v>77</v>
      </c>
      <c r="E794" s="12" t="s">
        <v>4589</v>
      </c>
      <c r="G794" s="12" t="s">
        <v>4590</v>
      </c>
      <c r="H794" s="12" t="s">
        <v>3989</v>
      </c>
      <c r="I794" s="12" t="b">
        <v>1</v>
      </c>
      <c r="J794" s="12" t="s">
        <v>1784</v>
      </c>
      <c r="O794" s="12">
        <v>7.9</v>
      </c>
      <c r="P794" s="12">
        <v>2078166.0</v>
      </c>
      <c r="Q794" s="12" t="b">
        <v>1</v>
      </c>
    </row>
    <row r="795">
      <c r="A795" s="12" t="s">
        <v>4310</v>
      </c>
      <c r="B795" s="12" t="s">
        <v>54</v>
      </c>
      <c r="C795" s="14">
        <v>46104.0</v>
      </c>
      <c r="D795" s="12" t="s">
        <v>1769</v>
      </c>
      <c r="E795" s="12" t="s">
        <v>4594</v>
      </c>
      <c r="G795" s="12" t="s">
        <v>4595</v>
      </c>
      <c r="H795" s="12" t="s">
        <v>328</v>
      </c>
      <c r="I795" s="12" t="b">
        <v>1</v>
      </c>
      <c r="J795" s="12" t="s">
        <v>1784</v>
      </c>
      <c r="O795" s="12">
        <v>2.0</v>
      </c>
      <c r="P795" s="12">
        <v>2080296.0</v>
      </c>
      <c r="Q795" s="12" t="b">
        <v>1</v>
      </c>
    </row>
    <row r="796">
      <c r="A796" s="12" t="s">
        <v>4229</v>
      </c>
      <c r="B796" s="12" t="s">
        <v>54</v>
      </c>
      <c r="C796" s="14">
        <v>46098.0</v>
      </c>
      <c r="D796" s="12" t="s">
        <v>156</v>
      </c>
      <c r="E796" s="12" t="s">
        <v>4599</v>
      </c>
      <c r="G796" s="12" t="s">
        <v>4600</v>
      </c>
      <c r="H796" s="12" t="s">
        <v>254</v>
      </c>
      <c r="I796" s="12" t="b">
        <v>0</v>
      </c>
      <c r="J796" s="12" t="s">
        <v>1784</v>
      </c>
      <c r="L796" s="12" t="s">
        <v>4603</v>
      </c>
      <c r="O796" s="12">
        <v>6393.05</v>
      </c>
      <c r="Q796" s="12" t="b">
        <v>1</v>
      </c>
    </row>
    <row r="797">
      <c r="A797" s="12"/>
      <c r="B797" s="12"/>
      <c r="C797" s="14"/>
      <c r="D797" s="12"/>
      <c r="E797" s="12"/>
      <c r="G797" s="12"/>
      <c r="H797" s="12"/>
      <c r="I797" s="12"/>
      <c r="J797" s="12"/>
      <c r="L797" s="12"/>
      <c r="Q797" s="12"/>
    </row>
    <row r="798">
      <c r="A798" s="12">
        <v>1433.0</v>
      </c>
      <c r="B798" s="12" t="s">
        <v>54</v>
      </c>
      <c r="C798" s="14">
        <v>46105.0</v>
      </c>
      <c r="D798" s="12" t="s">
        <v>156</v>
      </c>
      <c r="H798" s="12" t="s">
        <v>1905</v>
      </c>
      <c r="J798" s="12" t="s">
        <v>621</v>
      </c>
      <c r="O798" s="12">
        <v>700.0</v>
      </c>
      <c r="Q798" s="12" t="b">
        <v>1</v>
      </c>
    </row>
    <row r="799">
      <c r="A799" s="12">
        <v>1434.0</v>
      </c>
      <c r="B799" s="12" t="s">
        <v>54</v>
      </c>
      <c r="C799" s="14">
        <v>46105.0</v>
      </c>
      <c r="D799" s="12" t="s">
        <v>156</v>
      </c>
      <c r="H799" s="12" t="s">
        <v>1909</v>
      </c>
      <c r="J799" s="12" t="s">
        <v>621</v>
      </c>
      <c r="O799" s="12">
        <v>396.0</v>
      </c>
      <c r="Q799" s="12" t="b">
        <v>1</v>
      </c>
    </row>
    <row r="800">
      <c r="A800" s="12">
        <v>1435.0</v>
      </c>
      <c r="B800" s="12" t="s">
        <v>54</v>
      </c>
      <c r="C800" s="14">
        <v>46105.0</v>
      </c>
      <c r="D800" s="12" t="s">
        <v>1914</v>
      </c>
      <c r="H800" s="12" t="s">
        <v>1916</v>
      </c>
      <c r="J800" s="12" t="s">
        <v>621</v>
      </c>
      <c r="O800" s="12">
        <v>1110.0</v>
      </c>
      <c r="Q800" s="12" t="b">
        <v>1</v>
      </c>
    </row>
    <row r="801">
      <c r="A801" s="12">
        <v>1438.0</v>
      </c>
      <c r="B801" s="12" t="s">
        <v>54</v>
      </c>
      <c r="C801" s="14">
        <v>46105.0</v>
      </c>
      <c r="D801" s="12" t="s">
        <v>933</v>
      </c>
      <c r="H801" s="12" t="s">
        <v>1494</v>
      </c>
      <c r="J801" s="12" t="s">
        <v>621</v>
      </c>
      <c r="O801" s="12">
        <v>10166.51</v>
      </c>
      <c r="Q801" s="12" t="b">
        <v>1</v>
      </c>
    </row>
    <row r="802">
      <c r="A802" s="12">
        <v>1449.0</v>
      </c>
      <c r="B802" s="12" t="s">
        <v>54</v>
      </c>
      <c r="C802" s="14">
        <v>46105.0</v>
      </c>
      <c r="D802" s="12" t="s">
        <v>1712</v>
      </c>
      <c r="H802" s="14">
        <v>46296.0</v>
      </c>
      <c r="J802" s="12" t="s">
        <v>621</v>
      </c>
      <c r="O802" s="12">
        <v>236.83</v>
      </c>
      <c r="Q802" s="12" t="b">
        <v>1</v>
      </c>
    </row>
    <row r="803">
      <c r="A803" s="12">
        <v>1450.0</v>
      </c>
      <c r="B803" s="12" t="s">
        <v>54</v>
      </c>
      <c r="C803" s="14">
        <v>46105.0</v>
      </c>
      <c r="D803" s="12" t="s">
        <v>1715</v>
      </c>
      <c r="H803" s="14">
        <v>46082.0</v>
      </c>
      <c r="J803" s="12" t="s">
        <v>621</v>
      </c>
      <c r="O803" s="12">
        <v>65.15</v>
      </c>
      <c r="Q803" s="12" t="b">
        <v>1</v>
      </c>
    </row>
    <row r="804">
      <c r="A804" s="12" t="s">
        <v>2553</v>
      </c>
      <c r="B804" s="12" t="s">
        <v>54</v>
      </c>
      <c r="C804" s="14">
        <v>46105.0</v>
      </c>
      <c r="D804" s="12" t="s">
        <v>156</v>
      </c>
      <c r="H804" s="12" t="s">
        <v>4627</v>
      </c>
      <c r="J804" s="12" t="s">
        <v>621</v>
      </c>
      <c r="O804" s="12">
        <v>2415.0</v>
      </c>
      <c r="Q804" s="12" t="b">
        <v>1</v>
      </c>
    </row>
    <row r="805">
      <c r="A805" s="12" t="s">
        <v>2555</v>
      </c>
      <c r="B805" s="12" t="s">
        <v>54</v>
      </c>
      <c r="C805" s="14">
        <v>46105.0</v>
      </c>
      <c r="D805" s="12" t="s">
        <v>156</v>
      </c>
      <c r="H805" s="12" t="s">
        <v>4631</v>
      </c>
      <c r="J805" s="12" t="s">
        <v>621</v>
      </c>
      <c r="O805" s="12">
        <v>1367.33</v>
      </c>
      <c r="Q805" s="12" t="b">
        <v>1</v>
      </c>
    </row>
    <row r="806">
      <c r="A806" s="12">
        <v>1461.0</v>
      </c>
      <c r="B806" s="12" t="s">
        <v>54</v>
      </c>
      <c r="C806" s="14">
        <v>46105.0</v>
      </c>
      <c r="H806" s="12" t="s">
        <v>3108</v>
      </c>
      <c r="J806" s="12" t="s">
        <v>621</v>
      </c>
      <c r="K806" s="12" t="s">
        <v>259</v>
      </c>
      <c r="O806" s="12">
        <v>585.0</v>
      </c>
      <c r="Q806" s="12" t="b">
        <v>1</v>
      </c>
    </row>
    <row r="807">
      <c r="A807" s="12" t="s">
        <v>2562</v>
      </c>
      <c r="B807" s="12" t="s">
        <v>54</v>
      </c>
      <c r="C807" s="14">
        <v>46106.0</v>
      </c>
      <c r="H807" s="12" t="s">
        <v>1112</v>
      </c>
      <c r="J807" s="12" t="s">
        <v>191</v>
      </c>
      <c r="K807" s="12" t="s">
        <v>1183</v>
      </c>
      <c r="O807" s="12">
        <v>200.0</v>
      </c>
      <c r="Q807" s="12" t="b">
        <v>1</v>
      </c>
    </row>
    <row r="808">
      <c r="A808" s="12" t="s">
        <v>4315</v>
      </c>
      <c r="B808" s="12" t="s">
        <v>54</v>
      </c>
      <c r="C808" s="14">
        <v>46107.0</v>
      </c>
      <c r="D808" s="12" t="s">
        <v>220</v>
      </c>
      <c r="E808" s="12" t="s">
        <v>4641</v>
      </c>
      <c r="G808" s="12" t="s">
        <v>4643</v>
      </c>
      <c r="H808" s="12" t="s">
        <v>1365</v>
      </c>
      <c r="I808" s="12" t="b">
        <v>1</v>
      </c>
      <c r="J808" s="12" t="s">
        <v>1784</v>
      </c>
      <c r="O808" s="12">
        <v>460.36</v>
      </c>
      <c r="P808" s="12">
        <v>2086217.0</v>
      </c>
      <c r="Q808" s="12" t="b">
        <v>1</v>
      </c>
    </row>
    <row r="809">
      <c r="A809" s="12" t="s">
        <v>4339</v>
      </c>
      <c r="B809" s="12" t="s">
        <v>54</v>
      </c>
      <c r="C809" s="14">
        <v>46107.0</v>
      </c>
      <c r="D809" s="12" t="s">
        <v>77</v>
      </c>
      <c r="E809" s="12" t="s">
        <v>4647</v>
      </c>
      <c r="G809" s="12" t="s">
        <v>4648</v>
      </c>
      <c r="H809" s="12" t="s">
        <v>2402</v>
      </c>
      <c r="I809" s="12" t="b">
        <v>1</v>
      </c>
      <c r="J809" s="12" t="s">
        <v>1784</v>
      </c>
      <c r="O809" s="12">
        <v>27.13</v>
      </c>
      <c r="P809" s="12">
        <v>2086224.0</v>
      </c>
      <c r="Q809" s="12" t="b">
        <v>1</v>
      </c>
    </row>
    <row r="810">
      <c r="A810" s="12" t="s">
        <v>4344</v>
      </c>
      <c r="B810" s="12" t="s">
        <v>54</v>
      </c>
      <c r="C810" s="14">
        <v>46108.0</v>
      </c>
      <c r="D810" s="12" t="s">
        <v>1103</v>
      </c>
      <c r="E810" s="12" t="s">
        <v>4653</v>
      </c>
      <c r="G810" s="12" t="s">
        <v>4654</v>
      </c>
      <c r="H810" s="12" t="s">
        <v>3268</v>
      </c>
      <c r="I810" s="12" t="b">
        <v>1</v>
      </c>
      <c r="J810" s="12" t="s">
        <v>1784</v>
      </c>
      <c r="O810" s="12">
        <v>307.4</v>
      </c>
      <c r="P810" s="12">
        <v>2087257.0</v>
      </c>
      <c r="Q810" s="12" t="b">
        <v>1</v>
      </c>
    </row>
    <row r="811">
      <c r="A811" s="12" t="s">
        <v>4356</v>
      </c>
      <c r="B811" s="12" t="s">
        <v>54</v>
      </c>
      <c r="C811" s="14">
        <v>46108.0</v>
      </c>
      <c r="D811" s="12" t="s">
        <v>556</v>
      </c>
      <c r="E811" s="12" t="s">
        <v>4660</v>
      </c>
      <c r="G811" s="12" t="s">
        <v>4661</v>
      </c>
      <c r="H811" s="12" t="s">
        <v>859</v>
      </c>
      <c r="I811" s="12" t="b">
        <v>1</v>
      </c>
      <c r="J811" s="12" t="s">
        <v>1784</v>
      </c>
      <c r="O811" s="12">
        <v>330.0</v>
      </c>
      <c r="P811" s="12">
        <v>2087924.0</v>
      </c>
      <c r="Q811" s="12" t="b">
        <v>1</v>
      </c>
    </row>
    <row r="812">
      <c r="A812" s="12" t="s">
        <v>4360</v>
      </c>
      <c r="B812" s="12" t="s">
        <v>54</v>
      </c>
      <c r="C812" s="14">
        <v>46108.0</v>
      </c>
      <c r="D812" s="12" t="s">
        <v>375</v>
      </c>
      <c r="E812" s="12" t="s">
        <v>4668</v>
      </c>
      <c r="G812" s="12" t="s">
        <v>4669</v>
      </c>
      <c r="H812" s="12" t="s">
        <v>153</v>
      </c>
      <c r="I812" s="12" t="b">
        <v>1</v>
      </c>
      <c r="J812" s="12" t="s">
        <v>1784</v>
      </c>
      <c r="O812" s="12">
        <v>41.88</v>
      </c>
      <c r="P812" s="12">
        <v>2087932.0</v>
      </c>
      <c r="Q812" s="12" t="b">
        <v>1</v>
      </c>
    </row>
    <row r="813">
      <c r="A813" s="12" t="s">
        <v>4372</v>
      </c>
      <c r="B813" s="12" t="s">
        <v>54</v>
      </c>
      <c r="C813" s="14">
        <v>46109.0</v>
      </c>
      <c r="D813" s="12" t="s">
        <v>4672</v>
      </c>
      <c r="E813" s="12" t="s">
        <v>4675</v>
      </c>
      <c r="G813" s="12" t="s">
        <v>4676</v>
      </c>
      <c r="H813" s="12" t="s">
        <v>1761</v>
      </c>
      <c r="I813" s="12" t="b">
        <v>1</v>
      </c>
      <c r="J813" s="12" t="s">
        <v>1784</v>
      </c>
      <c r="O813" s="12">
        <v>88.51</v>
      </c>
      <c r="P813" s="12">
        <v>2089401.0</v>
      </c>
      <c r="Q813" s="12" t="b">
        <v>1</v>
      </c>
    </row>
    <row r="814">
      <c r="A814" s="12" t="s">
        <v>4365</v>
      </c>
      <c r="B814" s="12" t="s">
        <v>54</v>
      </c>
      <c r="C814" s="14">
        <v>46108.0</v>
      </c>
      <c r="D814" s="12" t="s">
        <v>1103</v>
      </c>
      <c r="E814" s="12" t="s">
        <v>4680</v>
      </c>
      <c r="G814" s="12" t="s">
        <v>4681</v>
      </c>
      <c r="H814" s="12" t="s">
        <v>715</v>
      </c>
      <c r="I814" s="12" t="b">
        <v>0</v>
      </c>
      <c r="J814" s="12" t="s">
        <v>1784</v>
      </c>
      <c r="L814" s="12" t="s">
        <v>4685</v>
      </c>
      <c r="O814" s="12">
        <v>2642.06</v>
      </c>
      <c r="Q814" s="12" t="b">
        <v>1</v>
      </c>
    </row>
    <row r="815">
      <c r="A815" s="12"/>
      <c r="B815" s="12"/>
      <c r="C815" s="14"/>
      <c r="D815" s="12"/>
      <c r="E815" s="12"/>
      <c r="G815" s="12"/>
      <c r="H815" s="12"/>
      <c r="I815" s="12"/>
      <c r="J815" s="12"/>
      <c r="Q815" s="12"/>
    </row>
    <row r="816">
      <c r="A816" s="12"/>
      <c r="B816" s="12"/>
      <c r="C816" s="14"/>
      <c r="D816" s="12"/>
      <c r="E816" s="12"/>
      <c r="G816" s="12"/>
      <c r="H816" s="12"/>
      <c r="I816" s="12"/>
      <c r="J816" s="12"/>
      <c r="Q816" s="12"/>
    </row>
    <row r="817">
      <c r="A817" s="12" t="s">
        <v>4395</v>
      </c>
      <c r="B817" s="12" t="s">
        <v>54</v>
      </c>
      <c r="C817" s="14">
        <v>46112.0</v>
      </c>
      <c r="D817" s="12" t="s">
        <v>556</v>
      </c>
      <c r="E817" s="12" t="s">
        <v>4693</v>
      </c>
      <c r="G817" s="12" t="s">
        <v>4694</v>
      </c>
      <c r="H817" s="12" t="s">
        <v>859</v>
      </c>
      <c r="I817" s="12" t="b">
        <v>1</v>
      </c>
      <c r="J817" s="12" t="s">
        <v>1784</v>
      </c>
      <c r="O817" s="12">
        <v>250.0</v>
      </c>
      <c r="P817" s="12">
        <v>2098104.0</v>
      </c>
      <c r="Q817" s="12" t="b">
        <v>1</v>
      </c>
    </row>
    <row r="818">
      <c r="A818" s="12" t="s">
        <v>2565</v>
      </c>
      <c r="B818" s="12" t="s">
        <v>54</v>
      </c>
      <c r="C818" s="14">
        <v>46112.0</v>
      </c>
      <c r="H818" s="12" t="s">
        <v>4145</v>
      </c>
      <c r="J818" s="12" t="s">
        <v>621</v>
      </c>
      <c r="K818" s="12" t="s">
        <v>2739</v>
      </c>
      <c r="O818" s="12">
        <v>1.0</v>
      </c>
      <c r="Q818" s="12" t="b">
        <v>1</v>
      </c>
    </row>
    <row r="819">
      <c r="A819" s="12" t="s">
        <v>2569</v>
      </c>
      <c r="B819" s="12" t="s">
        <v>54</v>
      </c>
      <c r="C819" s="14">
        <v>46083.0</v>
      </c>
      <c r="H819" s="12" t="s">
        <v>1991</v>
      </c>
      <c r="J819" s="12" t="s">
        <v>191</v>
      </c>
      <c r="K819" s="12" t="s">
        <v>62</v>
      </c>
      <c r="O819" s="12">
        <v>400.0</v>
      </c>
      <c r="Q819" s="12" t="b">
        <v>1</v>
      </c>
    </row>
    <row r="820">
      <c r="A820" s="12" t="s">
        <v>4419</v>
      </c>
      <c r="B820" s="12" t="s">
        <v>54</v>
      </c>
      <c r="C820" s="14">
        <v>46113.0</v>
      </c>
      <c r="D820" s="12" t="s">
        <v>1103</v>
      </c>
      <c r="E820" s="12" t="s">
        <v>4705</v>
      </c>
      <c r="G820" s="12" t="s">
        <v>4707</v>
      </c>
      <c r="H820" s="12" t="s">
        <v>4708</v>
      </c>
      <c r="I820" s="12" t="b">
        <v>1</v>
      </c>
      <c r="J820" s="12" t="s">
        <v>1784</v>
      </c>
      <c r="O820" s="12">
        <v>518.4</v>
      </c>
      <c r="P820" s="12">
        <v>2100468.0</v>
      </c>
      <c r="Q820" s="12" t="b">
        <v>1</v>
      </c>
    </row>
    <row r="821">
      <c r="A821" s="12" t="s">
        <v>4438</v>
      </c>
      <c r="B821" s="12" t="s">
        <v>54</v>
      </c>
      <c r="C821" s="14">
        <v>46113.0</v>
      </c>
      <c r="D821" s="12" t="s">
        <v>1103</v>
      </c>
      <c r="E821" s="12" t="s">
        <v>4711</v>
      </c>
      <c r="G821" s="12" t="s">
        <v>4712</v>
      </c>
      <c r="H821" s="12" t="s">
        <v>4715</v>
      </c>
      <c r="I821" s="12" t="b">
        <v>1</v>
      </c>
      <c r="J821" s="12" t="s">
        <v>1784</v>
      </c>
      <c r="O821" s="12">
        <v>41.88</v>
      </c>
      <c r="P821" s="12">
        <v>2100477.0</v>
      </c>
      <c r="Q821" s="12" t="b">
        <v>1</v>
      </c>
    </row>
    <row r="822">
      <c r="A822" s="12" t="s">
        <v>4442</v>
      </c>
      <c r="B822" s="12" t="s">
        <v>54</v>
      </c>
      <c r="C822" s="14">
        <v>46113.0</v>
      </c>
      <c r="D822" s="12" t="s">
        <v>627</v>
      </c>
      <c r="E822" s="12" t="s">
        <v>4717</v>
      </c>
      <c r="G822" s="12" t="s">
        <v>4718</v>
      </c>
      <c r="H822" s="12" t="s">
        <v>4720</v>
      </c>
      <c r="I822" s="12" t="b">
        <v>1</v>
      </c>
      <c r="J822" s="12" t="s">
        <v>1784</v>
      </c>
      <c r="O822" s="12">
        <v>174.96</v>
      </c>
      <c r="P822" s="12">
        <v>2100501.0</v>
      </c>
      <c r="Q822" s="12" t="b">
        <v>1</v>
      </c>
    </row>
    <row r="823">
      <c r="A823" s="12" t="s">
        <v>4446</v>
      </c>
      <c r="B823" s="12" t="s">
        <v>54</v>
      </c>
      <c r="C823" s="14">
        <v>46113.0</v>
      </c>
      <c r="D823" s="12" t="s">
        <v>77</v>
      </c>
      <c r="E823" s="12" t="s">
        <v>4723</v>
      </c>
      <c r="G823" s="12" t="s">
        <v>4724</v>
      </c>
      <c r="H823" s="12" t="s">
        <v>4726</v>
      </c>
      <c r="I823" s="12" t="b">
        <v>1</v>
      </c>
      <c r="J823" s="12" t="s">
        <v>1784</v>
      </c>
      <c r="O823" s="12">
        <v>15.38</v>
      </c>
      <c r="P823" s="12">
        <v>2100505.0</v>
      </c>
      <c r="Q823" s="12" t="b">
        <v>1</v>
      </c>
    </row>
    <row r="824">
      <c r="A824" s="12" t="s">
        <v>4397</v>
      </c>
      <c r="B824" s="12" t="s">
        <v>54</v>
      </c>
      <c r="C824" s="14">
        <v>46112.0</v>
      </c>
      <c r="D824" s="12" t="s">
        <v>912</v>
      </c>
      <c r="E824" s="12" t="s">
        <v>4731</v>
      </c>
      <c r="G824" s="12" t="s">
        <v>4733</v>
      </c>
      <c r="H824" s="12" t="s">
        <v>4734</v>
      </c>
      <c r="I824" s="12" t="b">
        <v>0</v>
      </c>
      <c r="J824" s="12" t="s">
        <v>1784</v>
      </c>
      <c r="O824" s="12">
        <v>1225.09</v>
      </c>
      <c r="Q824" s="12" t="b">
        <v>1</v>
      </c>
    </row>
    <row r="825">
      <c r="A825" s="12" t="s">
        <v>4401</v>
      </c>
      <c r="B825" s="12" t="s">
        <v>54</v>
      </c>
      <c r="C825" s="14">
        <v>46112.0</v>
      </c>
      <c r="D825" s="12" t="s">
        <v>912</v>
      </c>
      <c r="E825" s="12" t="s">
        <v>4738</v>
      </c>
      <c r="G825" s="12" t="s">
        <v>4739</v>
      </c>
      <c r="H825" s="12" t="s">
        <v>293</v>
      </c>
      <c r="I825" s="12" t="b">
        <v>0</v>
      </c>
      <c r="J825" s="12" t="s">
        <v>1784</v>
      </c>
      <c r="L825" s="12" t="s">
        <v>4741</v>
      </c>
      <c r="O825" s="12">
        <v>19211.61</v>
      </c>
      <c r="Q825" s="12" t="b">
        <v>1</v>
      </c>
    </row>
    <row r="826">
      <c r="A826" s="12"/>
      <c r="B826" s="12"/>
      <c r="C826" s="14"/>
      <c r="D826" s="12"/>
      <c r="E826" s="12"/>
      <c r="G826" s="12"/>
      <c r="H826" s="12"/>
      <c r="I826" s="12"/>
      <c r="J826" s="12"/>
      <c r="L826" s="12"/>
      <c r="M826" s="12"/>
      <c r="Q826" s="12"/>
    </row>
    <row r="827">
      <c r="A827" s="12"/>
      <c r="B827" s="12"/>
      <c r="C827" s="14"/>
      <c r="D827" s="12"/>
      <c r="E827" s="12"/>
      <c r="G827" s="12"/>
      <c r="H827" s="12"/>
      <c r="I827" s="12"/>
      <c r="J827" s="12"/>
      <c r="L827" s="12"/>
      <c r="O827" s="12"/>
      <c r="Q827" s="12"/>
    </row>
    <row r="828">
      <c r="A828" s="12" t="s">
        <v>4478</v>
      </c>
      <c r="B828" s="12" t="s">
        <v>54</v>
      </c>
      <c r="C828" s="14">
        <v>46114.0</v>
      </c>
      <c r="D828" s="12" t="s">
        <v>190</v>
      </c>
      <c r="E828" s="12" t="s">
        <v>4748</v>
      </c>
      <c r="G828" s="12" t="s">
        <v>4750</v>
      </c>
      <c r="H828" s="12" t="s">
        <v>4501</v>
      </c>
      <c r="I828" s="12" t="b">
        <v>1</v>
      </c>
      <c r="J828" s="12" t="s">
        <v>1784</v>
      </c>
      <c r="O828" s="12">
        <v>16.0</v>
      </c>
      <c r="P828" s="12">
        <v>2101062.0</v>
      </c>
      <c r="Q828" s="12" t="b">
        <v>1</v>
      </c>
    </row>
    <row r="829">
      <c r="A829" s="12" t="s">
        <v>4480</v>
      </c>
      <c r="B829" s="12" t="s">
        <v>54</v>
      </c>
      <c r="C829" s="14">
        <v>46114.0</v>
      </c>
      <c r="D829" s="12" t="s">
        <v>4753</v>
      </c>
      <c r="E829" s="12" t="s">
        <v>4754</v>
      </c>
      <c r="G829" s="12" t="s">
        <v>4756</v>
      </c>
      <c r="H829" s="12" t="s">
        <v>4757</v>
      </c>
      <c r="I829" s="12" t="b">
        <v>1</v>
      </c>
      <c r="J829" s="12" t="s">
        <v>1784</v>
      </c>
      <c r="O829" s="12">
        <v>256.9</v>
      </c>
      <c r="P829" s="12">
        <v>2101305.0</v>
      </c>
      <c r="Q829" s="12" t="b">
        <v>1</v>
      </c>
    </row>
    <row r="830">
      <c r="A830" s="12">
        <v>1455.0</v>
      </c>
      <c r="B830" s="12" t="s">
        <v>54</v>
      </c>
      <c r="C830" s="14">
        <v>46114.0</v>
      </c>
      <c r="H830" s="12" t="s">
        <v>1644</v>
      </c>
      <c r="J830" s="12" t="s">
        <v>191</v>
      </c>
      <c r="K830" s="12" t="s">
        <v>727</v>
      </c>
      <c r="O830" s="12">
        <v>3500.0</v>
      </c>
      <c r="Q830" s="12" t="b">
        <v>1</v>
      </c>
    </row>
    <row r="831">
      <c r="A831" s="12">
        <v>1456.0</v>
      </c>
      <c r="B831" s="12" t="s">
        <v>54</v>
      </c>
      <c r="C831" s="14">
        <v>46114.0</v>
      </c>
      <c r="H831" s="12" t="s">
        <v>1884</v>
      </c>
      <c r="J831" s="12" t="s">
        <v>191</v>
      </c>
      <c r="K831" s="12" t="s">
        <v>727</v>
      </c>
      <c r="O831" s="12">
        <v>3348.36</v>
      </c>
      <c r="Q831" s="12" t="b">
        <v>1</v>
      </c>
    </row>
    <row r="832">
      <c r="A832" s="12">
        <v>1457.0</v>
      </c>
      <c r="B832" s="12" t="s">
        <v>54</v>
      </c>
      <c r="C832" s="14">
        <v>46114.0</v>
      </c>
      <c r="H832" s="12" t="s">
        <v>1884</v>
      </c>
      <c r="J832" s="12" t="s">
        <v>191</v>
      </c>
      <c r="K832" s="12" t="s">
        <v>1183</v>
      </c>
      <c r="O832" s="12">
        <v>1347.47</v>
      </c>
      <c r="Q832" s="12" t="b">
        <v>1</v>
      </c>
    </row>
    <row r="833">
      <c r="A833" s="12">
        <v>1458.0</v>
      </c>
      <c r="B833" s="12" t="s">
        <v>54</v>
      </c>
      <c r="C833" s="14">
        <v>46114.0</v>
      </c>
      <c r="H833" s="12" t="s">
        <v>1884</v>
      </c>
      <c r="J833" s="12" t="s">
        <v>191</v>
      </c>
      <c r="K833" s="12" t="s">
        <v>62</v>
      </c>
      <c r="O833" s="12">
        <v>1426.12</v>
      </c>
      <c r="Q833" s="12" t="b">
        <v>1</v>
      </c>
    </row>
    <row r="834">
      <c r="A834" s="12">
        <v>1459.0</v>
      </c>
      <c r="B834" s="12" t="s">
        <v>54</v>
      </c>
      <c r="C834" s="14">
        <v>46114.0</v>
      </c>
      <c r="H834" s="12" t="s">
        <v>1884</v>
      </c>
      <c r="J834" s="12" t="s">
        <v>191</v>
      </c>
      <c r="K834" s="12" t="s">
        <v>78</v>
      </c>
      <c r="O834" s="12">
        <v>1514.02</v>
      </c>
      <c r="Q834" s="12" t="b">
        <v>1</v>
      </c>
    </row>
    <row r="835">
      <c r="A835" s="12">
        <v>1460.0</v>
      </c>
      <c r="B835" s="12" t="s">
        <v>54</v>
      </c>
      <c r="C835" s="14">
        <v>46114.0</v>
      </c>
      <c r="H835" s="12" t="s">
        <v>1884</v>
      </c>
      <c r="J835" s="12" t="s">
        <v>191</v>
      </c>
      <c r="K835" s="12" t="s">
        <v>1900</v>
      </c>
      <c r="O835" s="12">
        <v>1318.34</v>
      </c>
      <c r="Q835" s="12" t="b">
        <v>1</v>
      </c>
    </row>
    <row r="836">
      <c r="A836" s="12">
        <v>1468.0</v>
      </c>
      <c r="B836" s="12" t="s">
        <v>54</v>
      </c>
      <c r="C836" s="14">
        <v>46114.0</v>
      </c>
      <c r="D836" s="12" t="s">
        <v>1668</v>
      </c>
      <c r="H836" s="12" t="s">
        <v>1671</v>
      </c>
      <c r="J836" s="12" t="s">
        <v>621</v>
      </c>
      <c r="O836" s="12">
        <v>125.0</v>
      </c>
      <c r="Q836" s="12" t="b">
        <v>1</v>
      </c>
    </row>
    <row r="837">
      <c r="A837" s="12">
        <v>1471.0</v>
      </c>
      <c r="B837" s="12" t="s">
        <v>54</v>
      </c>
      <c r="C837" s="14">
        <v>46114.0</v>
      </c>
      <c r="D837" s="12" t="s">
        <v>897</v>
      </c>
      <c r="H837" s="12" t="s">
        <v>909</v>
      </c>
      <c r="J837" s="12" t="s">
        <v>621</v>
      </c>
      <c r="O837" s="12">
        <v>0.0</v>
      </c>
      <c r="Q837" s="12" t="b">
        <v>1</v>
      </c>
    </row>
    <row r="838">
      <c r="A838" s="12">
        <v>1472.0</v>
      </c>
      <c r="B838" s="12" t="s">
        <v>54</v>
      </c>
      <c r="C838" s="14">
        <v>46114.0</v>
      </c>
      <c r="D838" s="12" t="s">
        <v>933</v>
      </c>
      <c r="H838" s="12" t="s">
        <v>1346</v>
      </c>
      <c r="J838" s="12" t="s">
        <v>621</v>
      </c>
      <c r="O838" s="12">
        <v>533.0</v>
      </c>
      <c r="Q838" s="12" t="b">
        <v>1</v>
      </c>
    </row>
    <row r="839">
      <c r="A839" s="12" t="s">
        <v>4386</v>
      </c>
      <c r="B839" s="12" t="s">
        <v>54</v>
      </c>
      <c r="C839" s="14">
        <v>46111.0</v>
      </c>
      <c r="D839" s="12" t="s">
        <v>77</v>
      </c>
      <c r="E839" s="12" t="s">
        <v>4785</v>
      </c>
      <c r="G839" s="12" t="s">
        <v>4787</v>
      </c>
      <c r="H839" s="12" t="s">
        <v>82</v>
      </c>
      <c r="I839" s="12" t="b">
        <v>1</v>
      </c>
      <c r="J839" s="12" t="s">
        <v>1784</v>
      </c>
      <c r="O839" s="12">
        <v>30.29</v>
      </c>
      <c r="P839" s="12">
        <v>2106614.0</v>
      </c>
      <c r="Q839" s="12" t="b">
        <v>1</v>
      </c>
    </row>
    <row r="840">
      <c r="A840" s="12" t="s">
        <v>4410</v>
      </c>
      <c r="B840" s="12" t="s">
        <v>54</v>
      </c>
      <c r="C840" s="14">
        <v>46112.0</v>
      </c>
      <c r="D840" s="12" t="s">
        <v>77</v>
      </c>
      <c r="E840" s="12" t="s">
        <v>4792</v>
      </c>
      <c r="G840" s="12" t="s">
        <v>4795</v>
      </c>
      <c r="H840" s="12" t="s">
        <v>82</v>
      </c>
      <c r="I840" s="12" t="b">
        <v>1</v>
      </c>
      <c r="J840" s="12" t="s">
        <v>1784</v>
      </c>
      <c r="O840" s="12">
        <v>10.65</v>
      </c>
      <c r="P840" s="12">
        <v>2106610.0</v>
      </c>
      <c r="Q840" s="12" t="b">
        <v>1</v>
      </c>
    </row>
    <row r="841">
      <c r="A841" s="12" t="s">
        <v>4493</v>
      </c>
      <c r="B841" s="12" t="s">
        <v>54</v>
      </c>
      <c r="C841" s="14">
        <v>46115.0</v>
      </c>
      <c r="D841" s="12" t="s">
        <v>77</v>
      </c>
      <c r="E841" s="12" t="s">
        <v>4800</v>
      </c>
      <c r="G841" s="12" t="s">
        <v>4802</v>
      </c>
      <c r="H841" s="12" t="s">
        <v>2540</v>
      </c>
      <c r="I841" s="12" t="b">
        <v>1</v>
      </c>
      <c r="J841" s="12" t="s">
        <v>1784</v>
      </c>
      <c r="O841" s="12">
        <v>30.5</v>
      </c>
      <c r="P841" s="12">
        <v>2106663.0</v>
      </c>
      <c r="Q841" s="12" t="b">
        <v>1</v>
      </c>
    </row>
    <row r="842">
      <c r="A842" s="12" t="s">
        <v>4484</v>
      </c>
      <c r="B842" s="12" t="s">
        <v>54</v>
      </c>
      <c r="C842" s="14">
        <v>46114.0</v>
      </c>
      <c r="D842" s="12" t="s">
        <v>220</v>
      </c>
      <c r="E842" s="12" t="s">
        <v>4806</v>
      </c>
      <c r="G842" s="12" t="s">
        <v>4807</v>
      </c>
      <c r="H842" s="12" t="s">
        <v>2402</v>
      </c>
      <c r="I842" s="12" t="b">
        <v>1</v>
      </c>
      <c r="J842" s="12" t="s">
        <v>1784</v>
      </c>
      <c r="O842" s="12">
        <v>224.07</v>
      </c>
      <c r="P842" s="12">
        <v>2106658.0</v>
      </c>
      <c r="Q842" s="12" t="b">
        <v>1</v>
      </c>
    </row>
    <row r="843">
      <c r="A843" s="12" t="s">
        <v>4452</v>
      </c>
      <c r="B843" s="12" t="s">
        <v>54</v>
      </c>
      <c r="C843" s="14">
        <v>46113.0</v>
      </c>
      <c r="D843" s="12" t="s">
        <v>220</v>
      </c>
      <c r="E843" s="12" t="s">
        <v>4811</v>
      </c>
      <c r="G843" s="12" t="s">
        <v>4812</v>
      </c>
      <c r="H843" s="12" t="s">
        <v>3715</v>
      </c>
      <c r="I843" s="12" t="b">
        <v>1</v>
      </c>
      <c r="J843" s="12" t="s">
        <v>1784</v>
      </c>
      <c r="O843" s="12">
        <v>591.36</v>
      </c>
      <c r="P843" s="12">
        <v>2106617.0</v>
      </c>
      <c r="Q843" s="12" t="b">
        <v>1</v>
      </c>
    </row>
    <row r="844">
      <c r="A844" s="12" t="s">
        <v>4502</v>
      </c>
      <c r="B844" s="12" t="s">
        <v>54</v>
      </c>
      <c r="C844" s="14">
        <v>46116.0</v>
      </c>
      <c r="D844" s="12" t="s">
        <v>435</v>
      </c>
      <c r="E844" s="12" t="s">
        <v>4815</v>
      </c>
      <c r="G844" s="12" t="s">
        <v>4816</v>
      </c>
      <c r="H844" s="12" t="s">
        <v>2402</v>
      </c>
      <c r="I844" s="12" t="b">
        <v>1</v>
      </c>
      <c r="J844" s="12" t="s">
        <v>1784</v>
      </c>
      <c r="O844" s="12">
        <v>61.07</v>
      </c>
      <c r="P844" s="12">
        <v>2106669.0</v>
      </c>
      <c r="Q844" s="12" t="b">
        <v>1</v>
      </c>
    </row>
    <row r="845">
      <c r="A845" s="12" t="s">
        <v>2595</v>
      </c>
      <c r="B845" s="12" t="s">
        <v>54</v>
      </c>
      <c r="C845" s="14">
        <v>46118.0</v>
      </c>
      <c r="D845" s="12" t="s">
        <v>1316</v>
      </c>
      <c r="H845" s="12" t="s">
        <v>4821</v>
      </c>
      <c r="J845" s="12" t="s">
        <v>621</v>
      </c>
      <c r="O845" s="12">
        <v>854.96</v>
      </c>
      <c r="Q845" s="12" t="b">
        <v>1</v>
      </c>
    </row>
    <row r="846">
      <c r="A846" s="12" t="s">
        <v>4525</v>
      </c>
      <c r="B846" s="12" t="s">
        <v>54</v>
      </c>
      <c r="C846" s="14">
        <v>46119.0</v>
      </c>
      <c r="D846" s="12" t="s">
        <v>190</v>
      </c>
      <c r="E846" s="12" t="s">
        <v>4826</v>
      </c>
      <c r="G846" s="12" t="s">
        <v>4827</v>
      </c>
      <c r="H846" s="12" t="s">
        <v>4829</v>
      </c>
      <c r="I846" s="12" t="b">
        <v>1</v>
      </c>
      <c r="J846" s="12" t="s">
        <v>1784</v>
      </c>
      <c r="O846" s="12">
        <v>2.0</v>
      </c>
      <c r="P846" s="12">
        <v>2112625.0</v>
      </c>
      <c r="Q846" s="12" t="b">
        <v>1</v>
      </c>
    </row>
    <row r="847">
      <c r="A847" s="12" t="s">
        <v>4520</v>
      </c>
      <c r="B847" s="12" t="s">
        <v>54</v>
      </c>
      <c r="C847" s="14">
        <v>46118.0</v>
      </c>
      <c r="D847" s="12" t="s">
        <v>58</v>
      </c>
      <c r="E847" s="12" t="s">
        <v>4831</v>
      </c>
      <c r="G847" s="12" t="s">
        <v>4832</v>
      </c>
      <c r="H847" s="12" t="s">
        <v>4834</v>
      </c>
      <c r="I847" s="12" t="b">
        <v>1</v>
      </c>
      <c r="J847" s="12" t="s">
        <v>1784</v>
      </c>
      <c r="O847" s="12">
        <v>121.2</v>
      </c>
      <c r="P847" s="12">
        <v>2112660.0</v>
      </c>
      <c r="Q847" s="12" t="b">
        <v>1</v>
      </c>
    </row>
    <row r="848">
      <c r="A848" s="12" t="s">
        <v>4528</v>
      </c>
      <c r="B848" s="12" t="s">
        <v>54</v>
      </c>
      <c r="C848" s="14">
        <v>46119.0</v>
      </c>
      <c r="D848" s="12" t="s">
        <v>220</v>
      </c>
      <c r="E848" s="12" t="s">
        <v>4837</v>
      </c>
      <c r="G848" s="12" t="s">
        <v>4838</v>
      </c>
      <c r="H848" s="12" t="s">
        <v>82</v>
      </c>
      <c r="I848" s="12" t="b">
        <v>1</v>
      </c>
      <c r="J848" s="12" t="s">
        <v>1784</v>
      </c>
      <c r="O848" s="12">
        <v>8.57</v>
      </c>
      <c r="P848" s="12">
        <v>2113040.0</v>
      </c>
      <c r="Q848" s="12" t="b">
        <v>1</v>
      </c>
    </row>
    <row r="849">
      <c r="A849" s="12" t="s">
        <v>4531</v>
      </c>
      <c r="B849" s="12" t="s">
        <v>54</v>
      </c>
      <c r="C849" s="14">
        <v>46119.0</v>
      </c>
      <c r="D849" s="12" t="s">
        <v>220</v>
      </c>
      <c r="E849" s="12" t="s">
        <v>4844</v>
      </c>
      <c r="G849" s="12" t="s">
        <v>4845</v>
      </c>
      <c r="H849" s="12" t="s">
        <v>2402</v>
      </c>
      <c r="I849" s="12" t="b">
        <v>1</v>
      </c>
      <c r="J849" s="12" t="s">
        <v>1784</v>
      </c>
      <c r="O849" s="12">
        <v>306.72</v>
      </c>
      <c r="P849" s="12">
        <v>2113039.0</v>
      </c>
      <c r="Q849" s="12" t="b">
        <v>1</v>
      </c>
    </row>
    <row r="850">
      <c r="A850" s="12" t="s">
        <v>4515</v>
      </c>
      <c r="B850" s="12" t="s">
        <v>54</v>
      </c>
      <c r="C850" s="14">
        <v>46116.0</v>
      </c>
      <c r="D850" s="12" t="s">
        <v>182</v>
      </c>
      <c r="E850" s="12" t="s">
        <v>4849</v>
      </c>
      <c r="G850" s="12" t="s">
        <v>4850</v>
      </c>
      <c r="H850" s="12" t="s">
        <v>268</v>
      </c>
      <c r="I850" s="12" t="b">
        <v>1</v>
      </c>
      <c r="J850" s="12" t="s">
        <v>1784</v>
      </c>
      <c r="O850" s="12">
        <v>22.69</v>
      </c>
      <c r="P850" s="12">
        <v>2113038.0</v>
      </c>
      <c r="Q850" s="12" t="b">
        <v>1</v>
      </c>
    </row>
    <row r="851">
      <c r="A851" s="12" t="s">
        <v>2599</v>
      </c>
      <c r="B851" s="12" t="s">
        <v>54</v>
      </c>
      <c r="C851" s="14">
        <v>46119.0</v>
      </c>
      <c r="D851" s="12" t="s">
        <v>2854</v>
      </c>
      <c r="H851" s="12" t="s">
        <v>4856</v>
      </c>
      <c r="J851" s="12" t="s">
        <v>191</v>
      </c>
      <c r="O851" s="12">
        <v>515.61</v>
      </c>
      <c r="Q851" s="12" t="b">
        <v>1</v>
      </c>
    </row>
    <row r="852">
      <c r="A852" s="12"/>
      <c r="B852" s="12"/>
      <c r="C852" s="14"/>
      <c r="D852" s="12"/>
      <c r="E852" s="12"/>
      <c r="G852" s="12"/>
      <c r="H852" s="12"/>
      <c r="I852" s="12"/>
      <c r="J852" s="12"/>
      <c r="Q852" s="12"/>
    </row>
    <row r="853">
      <c r="A853" s="12" t="s">
        <v>4415</v>
      </c>
      <c r="B853" s="12" t="s">
        <v>54</v>
      </c>
      <c r="C853" s="14">
        <v>46112.0</v>
      </c>
      <c r="D853" s="12" t="s">
        <v>912</v>
      </c>
      <c r="E853" s="12" t="s">
        <v>4863</v>
      </c>
      <c r="G853" s="12" t="s">
        <v>4864</v>
      </c>
      <c r="H853" s="12" t="s">
        <v>254</v>
      </c>
      <c r="I853" s="12" t="b">
        <v>0</v>
      </c>
      <c r="J853" s="12" t="s">
        <v>1784</v>
      </c>
      <c r="L853" s="12" t="s">
        <v>4865</v>
      </c>
      <c r="O853" s="12">
        <v>8315.33</v>
      </c>
      <c r="Q853" s="12" t="b">
        <v>1</v>
      </c>
    </row>
    <row r="854">
      <c r="A854" s="12"/>
      <c r="B854" s="12"/>
      <c r="C854" s="14"/>
      <c r="D854" s="12"/>
      <c r="E854" s="12"/>
      <c r="G854" s="12"/>
      <c r="H854" s="12"/>
      <c r="I854" s="12"/>
      <c r="J854" s="12"/>
      <c r="L854" s="12"/>
      <c r="M854" s="12"/>
      <c r="Q854" s="12"/>
    </row>
    <row r="855">
      <c r="A855" s="12" t="s">
        <v>4550</v>
      </c>
      <c r="B855" s="12" t="s">
        <v>54</v>
      </c>
      <c r="C855" s="14">
        <v>46120.0</v>
      </c>
      <c r="D855" s="12" t="s">
        <v>4873</v>
      </c>
      <c r="E855" s="12" t="s">
        <v>4874</v>
      </c>
      <c r="G855" s="12" t="s">
        <v>4875</v>
      </c>
      <c r="H855" s="12" t="s">
        <v>4877</v>
      </c>
      <c r="I855" s="12" t="b">
        <v>1</v>
      </c>
      <c r="J855" s="12" t="s">
        <v>1784</v>
      </c>
      <c r="M855" s="12" t="s">
        <v>4879</v>
      </c>
      <c r="O855" s="12">
        <v>30.0</v>
      </c>
      <c r="P855" s="12">
        <v>2113024.0</v>
      </c>
      <c r="Q855" s="12" t="b">
        <v>1</v>
      </c>
    </row>
    <row r="856">
      <c r="A856" s="12" t="s">
        <v>2603</v>
      </c>
      <c r="B856" s="12" t="s">
        <v>54</v>
      </c>
      <c r="C856" s="14">
        <v>46120.0</v>
      </c>
      <c r="H856" s="12" t="s">
        <v>4882</v>
      </c>
      <c r="J856" s="12" t="s">
        <v>191</v>
      </c>
      <c r="K856" s="12" t="s">
        <v>1900</v>
      </c>
      <c r="O856" s="12">
        <v>1569.56</v>
      </c>
      <c r="Q856" s="12" t="b">
        <v>1</v>
      </c>
    </row>
    <row r="857">
      <c r="A857" s="12" t="s">
        <v>4553</v>
      </c>
      <c r="B857" s="12" t="s">
        <v>54</v>
      </c>
      <c r="C857" s="14">
        <v>46121.0</v>
      </c>
      <c r="D857" s="12" t="s">
        <v>1769</v>
      </c>
      <c r="E857" s="12" t="s">
        <v>4885</v>
      </c>
      <c r="G857" s="12" t="s">
        <v>4886</v>
      </c>
      <c r="H857" s="12" t="s">
        <v>4829</v>
      </c>
      <c r="I857" s="12" t="b">
        <v>1</v>
      </c>
      <c r="J857" s="12" t="s">
        <v>1784</v>
      </c>
      <c r="O857" s="12">
        <v>16.0</v>
      </c>
      <c r="P857" s="12">
        <v>2115691.0</v>
      </c>
      <c r="Q857" s="12" t="b">
        <v>1</v>
      </c>
    </row>
    <row r="858">
      <c r="A858" s="12" t="s">
        <v>4557</v>
      </c>
      <c r="B858" s="12" t="s">
        <v>54</v>
      </c>
      <c r="C858" s="14">
        <v>46121.0</v>
      </c>
      <c r="D858" s="12" t="s">
        <v>77</v>
      </c>
      <c r="E858" s="12" t="s">
        <v>4892</v>
      </c>
      <c r="G858" s="12" t="s">
        <v>4893</v>
      </c>
      <c r="H858" s="12" t="s">
        <v>268</v>
      </c>
      <c r="I858" s="12" t="b">
        <v>1</v>
      </c>
      <c r="J858" s="12" t="s">
        <v>1784</v>
      </c>
      <c r="O858" s="12">
        <v>17.52</v>
      </c>
      <c r="P858" s="12">
        <v>2115458.0</v>
      </c>
      <c r="Q858" s="12" t="b">
        <v>1</v>
      </c>
    </row>
    <row r="859">
      <c r="A859" s="12" t="s">
        <v>4547</v>
      </c>
      <c r="B859" s="12" t="s">
        <v>54</v>
      </c>
      <c r="C859" s="14">
        <v>46119.0</v>
      </c>
      <c r="D859" s="12" t="s">
        <v>109</v>
      </c>
      <c r="E859" s="12" t="s">
        <v>4898</v>
      </c>
      <c r="G859" s="12" t="s">
        <v>4899</v>
      </c>
      <c r="H859" s="12" t="s">
        <v>687</v>
      </c>
      <c r="I859" s="12" t="b">
        <v>1</v>
      </c>
      <c r="J859" s="12" t="s">
        <v>1784</v>
      </c>
      <c r="O859" s="12">
        <v>375.0</v>
      </c>
      <c r="P859" s="12">
        <v>2112327.0</v>
      </c>
      <c r="Q859" s="12" t="b">
        <v>1</v>
      </c>
    </row>
    <row r="860">
      <c r="A860" s="12" t="s">
        <v>4562</v>
      </c>
      <c r="B860" s="12" t="s">
        <v>54</v>
      </c>
      <c r="C860" s="14">
        <v>46122.0</v>
      </c>
      <c r="D860" s="12" t="s">
        <v>220</v>
      </c>
      <c r="E860" s="12" t="s">
        <v>4904</v>
      </c>
      <c r="G860" s="12" t="s">
        <v>4905</v>
      </c>
      <c r="H860" s="12" t="s">
        <v>2402</v>
      </c>
      <c r="I860" s="12" t="b">
        <v>1</v>
      </c>
      <c r="J860" s="12" t="s">
        <v>1784</v>
      </c>
      <c r="O860" s="12">
        <v>315.53</v>
      </c>
      <c r="P860" s="12">
        <v>2117386.0</v>
      </c>
      <c r="Q860" s="12" t="b">
        <v>1</v>
      </c>
    </row>
    <row r="861">
      <c r="A861" s="12" t="s">
        <v>4598</v>
      </c>
      <c r="B861" s="12" t="s">
        <v>54</v>
      </c>
      <c r="C861" s="14">
        <v>46122.0</v>
      </c>
      <c r="D861" s="12" t="s">
        <v>556</v>
      </c>
      <c r="E861" s="12" t="s">
        <v>4910</v>
      </c>
      <c r="G861" s="12" t="s">
        <v>4911</v>
      </c>
      <c r="H861" s="12" t="s">
        <v>687</v>
      </c>
      <c r="I861" s="12" t="b">
        <v>1</v>
      </c>
      <c r="J861" s="12" t="s">
        <v>1784</v>
      </c>
      <c r="O861" s="12">
        <v>375.0</v>
      </c>
      <c r="P861" s="12">
        <v>2118011.0</v>
      </c>
      <c r="Q861" s="12" t="b">
        <v>1</v>
      </c>
    </row>
    <row r="862">
      <c r="A862" s="12" t="s">
        <v>4611</v>
      </c>
      <c r="B862" s="12" t="s">
        <v>54</v>
      </c>
      <c r="C862" s="14">
        <v>46123.0</v>
      </c>
      <c r="D862" s="12" t="s">
        <v>182</v>
      </c>
      <c r="E862" s="12" t="s">
        <v>4915</v>
      </c>
      <c r="G862" s="12" t="s">
        <v>4916</v>
      </c>
      <c r="H862" s="12" t="s">
        <v>2999</v>
      </c>
      <c r="I862" s="12" t="b">
        <v>1</v>
      </c>
      <c r="J862" s="12" t="s">
        <v>1784</v>
      </c>
      <c r="O862" s="12">
        <v>28.97</v>
      </c>
      <c r="P862" s="12">
        <v>2118854.0</v>
      </c>
      <c r="Q862" s="12" t="b">
        <v>1</v>
      </c>
    </row>
    <row r="863">
      <c r="A863" s="12">
        <v>7.6901091E7</v>
      </c>
      <c r="B863" s="12" t="s">
        <v>54</v>
      </c>
      <c r="C863" s="14">
        <v>46122.0</v>
      </c>
      <c r="D863" s="12" t="s">
        <v>784</v>
      </c>
      <c r="E863" s="12" t="s">
        <v>4920</v>
      </c>
      <c r="G863" s="12" t="s">
        <v>4921</v>
      </c>
      <c r="H863" s="12" t="s">
        <v>715</v>
      </c>
      <c r="I863" s="12" t="b">
        <v>0</v>
      </c>
      <c r="J863" s="12" t="s">
        <v>1784</v>
      </c>
      <c r="O863" s="12">
        <v>2642.06</v>
      </c>
      <c r="Q863" s="12" t="b">
        <v>1</v>
      </c>
    </row>
    <row r="864">
      <c r="A864" s="12"/>
      <c r="B864" s="12"/>
      <c r="C864" s="14"/>
      <c r="D864" s="12"/>
      <c r="E864" s="12"/>
      <c r="G864" s="12"/>
      <c r="H864" s="12"/>
      <c r="I864" s="12"/>
      <c r="J864" s="12"/>
      <c r="Q864" s="12"/>
    </row>
    <row r="865">
      <c r="A865" s="12"/>
      <c r="B865" s="12"/>
      <c r="C865" s="14"/>
      <c r="D865" s="12"/>
      <c r="E865" s="12"/>
      <c r="G865" s="12"/>
      <c r="H865" s="12"/>
      <c r="I865" s="12"/>
      <c r="J865" s="12"/>
      <c r="Q865" s="12"/>
    </row>
    <row r="866">
      <c r="A866" s="12" t="s">
        <v>2609</v>
      </c>
      <c r="B866" s="12" t="s">
        <v>54</v>
      </c>
      <c r="C866" s="14">
        <v>46125.0</v>
      </c>
      <c r="D866" s="12" t="s">
        <v>156</v>
      </c>
      <c r="H866" s="12" t="s">
        <v>4929</v>
      </c>
      <c r="J866" s="12" t="s">
        <v>621</v>
      </c>
      <c r="O866" s="12">
        <v>263.25</v>
      </c>
      <c r="Q866" s="12" t="b">
        <v>1</v>
      </c>
    </row>
    <row r="867">
      <c r="A867" s="12" t="s">
        <v>2613</v>
      </c>
      <c r="B867" s="12" t="s">
        <v>54</v>
      </c>
      <c r="C867" s="14">
        <v>46125.0</v>
      </c>
      <c r="D867" s="12" t="s">
        <v>156</v>
      </c>
      <c r="H867" s="12" t="s">
        <v>4931</v>
      </c>
      <c r="J867" s="12" t="s">
        <v>621</v>
      </c>
      <c r="O867" s="12">
        <v>4071.0</v>
      </c>
      <c r="Q867" s="12" t="b">
        <v>1</v>
      </c>
    </row>
    <row r="868">
      <c r="A868" s="12" t="s">
        <v>2618</v>
      </c>
      <c r="B868" s="12" t="s">
        <v>54</v>
      </c>
      <c r="C868" s="14">
        <v>46125.0</v>
      </c>
      <c r="D868" s="12" t="s">
        <v>156</v>
      </c>
      <c r="H868" s="12" t="s">
        <v>4934</v>
      </c>
      <c r="J868" s="12" t="s">
        <v>621</v>
      </c>
      <c r="O868" s="12">
        <v>1786.6</v>
      </c>
      <c r="Q868" s="12" t="b">
        <v>1</v>
      </c>
    </row>
    <row r="869">
      <c r="A869" s="12">
        <v>1478.0</v>
      </c>
      <c r="B869" s="12" t="s">
        <v>54</v>
      </c>
      <c r="C869" s="14">
        <v>46125.0</v>
      </c>
      <c r="D869" s="12" t="s">
        <v>689</v>
      </c>
      <c r="H869" s="12" t="s">
        <v>959</v>
      </c>
      <c r="J869" s="12" t="s">
        <v>621</v>
      </c>
      <c r="O869" s="12">
        <v>5000.0</v>
      </c>
      <c r="Q869" s="12" t="b">
        <v>1</v>
      </c>
    </row>
    <row r="870">
      <c r="A870" s="12">
        <v>1479.0</v>
      </c>
      <c r="B870" s="12" t="s">
        <v>54</v>
      </c>
      <c r="C870" s="14">
        <v>46125.0</v>
      </c>
      <c r="D870" s="12" t="s">
        <v>156</v>
      </c>
      <c r="H870" s="12" t="s">
        <v>1905</v>
      </c>
      <c r="J870" s="12" t="s">
        <v>621</v>
      </c>
      <c r="O870" s="12">
        <v>625.0</v>
      </c>
      <c r="Q870" s="12" t="b">
        <v>1</v>
      </c>
    </row>
    <row r="871">
      <c r="A871" s="12">
        <v>1480.0</v>
      </c>
      <c r="B871" s="12" t="s">
        <v>54</v>
      </c>
      <c r="C871" s="14">
        <v>46125.0</v>
      </c>
      <c r="D871" s="12" t="s">
        <v>156</v>
      </c>
      <c r="H871" s="12" t="s">
        <v>1909</v>
      </c>
      <c r="J871" s="12" t="s">
        <v>621</v>
      </c>
      <c r="O871" s="12">
        <v>375.0</v>
      </c>
      <c r="Q871" s="12" t="b">
        <v>1</v>
      </c>
    </row>
    <row r="872">
      <c r="A872" s="12">
        <v>1481.0</v>
      </c>
      <c r="B872" s="12" t="s">
        <v>54</v>
      </c>
      <c r="C872" s="14">
        <v>46125.0</v>
      </c>
      <c r="D872" s="12" t="s">
        <v>1914</v>
      </c>
      <c r="H872" s="12" t="s">
        <v>1916</v>
      </c>
      <c r="J872" s="12" t="s">
        <v>621</v>
      </c>
      <c r="O872" s="12">
        <v>1110.0</v>
      </c>
      <c r="Q872" s="12" t="b">
        <v>1</v>
      </c>
    </row>
    <row r="873">
      <c r="A873" s="12" t="s">
        <v>2634</v>
      </c>
      <c r="B873" s="12" t="s">
        <v>54</v>
      </c>
      <c r="C873" s="14">
        <v>46125.0</v>
      </c>
      <c r="D873" s="12" t="s">
        <v>1715</v>
      </c>
      <c r="H873" s="12" t="s">
        <v>3036</v>
      </c>
      <c r="J873" s="12" t="s">
        <v>621</v>
      </c>
      <c r="O873" s="12">
        <v>616.71</v>
      </c>
      <c r="Q873" s="12" t="b">
        <v>1</v>
      </c>
    </row>
    <row r="874">
      <c r="A874" s="12">
        <v>1493.0</v>
      </c>
      <c r="B874" s="12" t="s">
        <v>54</v>
      </c>
      <c r="C874" s="14">
        <v>46125.0</v>
      </c>
      <c r="D874" s="12" t="s">
        <v>734</v>
      </c>
      <c r="H874" s="12" t="s">
        <v>1466</v>
      </c>
      <c r="J874" s="12" t="s">
        <v>621</v>
      </c>
      <c r="O874" s="12">
        <v>1193.68</v>
      </c>
      <c r="Q874" s="12" t="b">
        <v>1</v>
      </c>
    </row>
    <row r="875">
      <c r="A875" s="12">
        <v>1494.0</v>
      </c>
      <c r="B875" s="12" t="s">
        <v>54</v>
      </c>
      <c r="C875" s="14">
        <v>46125.0</v>
      </c>
      <c r="D875" s="12" t="s">
        <v>1067</v>
      </c>
      <c r="H875" s="12" t="s">
        <v>1068</v>
      </c>
      <c r="J875" s="12" t="s">
        <v>621</v>
      </c>
      <c r="O875" s="12">
        <v>849.11</v>
      </c>
      <c r="Q875" s="12" t="b">
        <v>1</v>
      </c>
    </row>
    <row r="876">
      <c r="A876" s="12">
        <v>1495.0</v>
      </c>
      <c r="B876" s="12" t="s">
        <v>54</v>
      </c>
      <c r="C876" s="14">
        <v>46125.0</v>
      </c>
      <c r="D876" s="12" t="s">
        <v>1484</v>
      </c>
      <c r="H876" s="12" t="s">
        <v>1485</v>
      </c>
      <c r="J876" s="12" t="s">
        <v>621</v>
      </c>
      <c r="O876" s="12">
        <v>20.0</v>
      </c>
      <c r="Q876" s="12" t="b">
        <v>1</v>
      </c>
    </row>
    <row r="877">
      <c r="A877" s="12" t="s">
        <v>2646</v>
      </c>
      <c r="B877" s="12" t="s">
        <v>54</v>
      </c>
      <c r="C877" s="14">
        <v>46125.0</v>
      </c>
      <c r="D877" s="12" t="s">
        <v>818</v>
      </c>
      <c r="H877" s="12" t="s">
        <v>819</v>
      </c>
      <c r="J877" s="12" t="s">
        <v>621</v>
      </c>
      <c r="O877" s="12">
        <v>185.0</v>
      </c>
      <c r="Q877" s="12" t="b">
        <v>1</v>
      </c>
    </row>
    <row r="878">
      <c r="A878" s="12" t="s">
        <v>2650</v>
      </c>
      <c r="B878" s="12" t="s">
        <v>54</v>
      </c>
      <c r="C878" s="14">
        <v>46125.0</v>
      </c>
      <c r="D878" s="12" t="s">
        <v>4967</v>
      </c>
      <c r="H878" s="12" t="s">
        <v>4968</v>
      </c>
      <c r="J878" s="12" t="s">
        <v>191</v>
      </c>
      <c r="O878" s="12">
        <v>50.0</v>
      </c>
      <c r="Q878" s="12" t="b">
        <v>1</v>
      </c>
    </row>
    <row r="879">
      <c r="A879" s="12" t="s">
        <v>4608</v>
      </c>
      <c r="B879" s="12" t="s">
        <v>54</v>
      </c>
      <c r="C879" s="14">
        <v>46122.0</v>
      </c>
      <c r="D879" s="12" t="s">
        <v>775</v>
      </c>
      <c r="E879" s="12" t="s">
        <v>4973</v>
      </c>
      <c r="G879" s="12" t="s">
        <v>4976</v>
      </c>
      <c r="H879" s="12" t="s">
        <v>715</v>
      </c>
      <c r="I879" s="12" t="b">
        <v>0</v>
      </c>
      <c r="J879" s="12" t="s">
        <v>1784</v>
      </c>
      <c r="O879" s="12">
        <v>2168.57</v>
      </c>
      <c r="Q879" s="12" t="b">
        <v>1</v>
      </c>
    </row>
    <row r="880">
      <c r="A880" s="12"/>
      <c r="B880" s="12"/>
      <c r="C880" s="14"/>
      <c r="D880" s="12"/>
      <c r="E880" s="12"/>
      <c r="G880" s="12"/>
      <c r="H880" s="12"/>
      <c r="I880" s="12"/>
      <c r="J880" s="12"/>
      <c r="Q880" s="12"/>
    </row>
    <row r="881">
      <c r="A881" s="12" t="s">
        <v>4622</v>
      </c>
      <c r="B881" s="12" t="s">
        <v>54</v>
      </c>
      <c r="C881" s="14">
        <v>46126.0</v>
      </c>
      <c r="D881" s="12" t="s">
        <v>2500</v>
      </c>
      <c r="E881" s="12" t="s">
        <v>4989</v>
      </c>
      <c r="G881" s="12" t="s">
        <v>4990</v>
      </c>
      <c r="H881" s="12" t="s">
        <v>4991</v>
      </c>
      <c r="I881" s="12" t="b">
        <v>1</v>
      </c>
      <c r="J881" s="12" t="s">
        <v>1784</v>
      </c>
      <c r="O881" s="12">
        <v>179.25</v>
      </c>
      <c r="P881" s="12">
        <v>2125748.0</v>
      </c>
      <c r="Q881" s="12" t="b">
        <v>1</v>
      </c>
    </row>
    <row r="882">
      <c r="A882" s="12" t="s">
        <v>4635</v>
      </c>
      <c r="B882" s="12" t="s">
        <v>54</v>
      </c>
      <c r="C882" s="14">
        <v>46126.0</v>
      </c>
      <c r="D882" s="12" t="s">
        <v>220</v>
      </c>
      <c r="E882" s="12" t="s">
        <v>4996</v>
      </c>
      <c r="G882" s="12" t="s">
        <v>4997</v>
      </c>
      <c r="H882" s="12" t="s">
        <v>268</v>
      </c>
      <c r="I882" s="12" t="b">
        <v>1</v>
      </c>
      <c r="J882" s="12" t="s">
        <v>1784</v>
      </c>
      <c r="O882" s="12">
        <v>39.45</v>
      </c>
      <c r="P882" s="12">
        <v>2125745.0</v>
      </c>
      <c r="Q882" s="12" t="b">
        <v>1</v>
      </c>
    </row>
    <row r="883">
      <c r="A883" s="12" t="s">
        <v>4616</v>
      </c>
      <c r="B883" s="12" t="s">
        <v>54</v>
      </c>
      <c r="C883" s="14">
        <v>46125.0</v>
      </c>
      <c r="D883" s="12" t="s">
        <v>77</v>
      </c>
      <c r="E883" s="12" t="s">
        <v>5004</v>
      </c>
      <c r="G883" s="12" t="s">
        <v>5007</v>
      </c>
      <c r="H883" s="12" t="s">
        <v>268</v>
      </c>
      <c r="I883" s="12" t="b">
        <v>1</v>
      </c>
      <c r="J883" s="12" t="s">
        <v>1784</v>
      </c>
      <c r="O883" s="12">
        <v>24.71</v>
      </c>
      <c r="P883" s="12">
        <v>2125744.0</v>
      </c>
      <c r="Q883" s="12" t="b">
        <v>1</v>
      </c>
    </row>
    <row r="884">
      <c r="A884" s="12" t="s">
        <v>4642</v>
      </c>
      <c r="B884" s="12" t="s">
        <v>54</v>
      </c>
      <c r="C884" s="14">
        <v>46126.0</v>
      </c>
      <c r="D884" s="12" t="s">
        <v>532</v>
      </c>
      <c r="E884" s="12" t="s">
        <v>5014</v>
      </c>
      <c r="G884" s="12" t="s">
        <v>5015</v>
      </c>
      <c r="H884" s="12" t="s">
        <v>2402</v>
      </c>
      <c r="I884" s="12" t="b">
        <v>1</v>
      </c>
      <c r="J884" s="12" t="s">
        <v>1784</v>
      </c>
      <c r="O884" s="12">
        <v>164.93</v>
      </c>
      <c r="P884" s="12">
        <v>2125747.0</v>
      </c>
      <c r="Q884" s="12" t="b">
        <v>1</v>
      </c>
    </row>
    <row r="885">
      <c r="A885" s="12" t="s">
        <v>2653</v>
      </c>
      <c r="B885" s="12" t="s">
        <v>54</v>
      </c>
      <c r="C885" s="14">
        <v>46126.0</v>
      </c>
      <c r="H885" s="12" t="s">
        <v>1112</v>
      </c>
      <c r="J885" s="12" t="s">
        <v>191</v>
      </c>
      <c r="K885" s="12" t="s">
        <v>1183</v>
      </c>
      <c r="O885" s="12">
        <v>300.0</v>
      </c>
      <c r="Q885" s="12" t="b">
        <v>1</v>
      </c>
    </row>
    <row r="886">
      <c r="A886" s="12">
        <v>1504.0</v>
      </c>
      <c r="B886" s="12" t="s">
        <v>54</v>
      </c>
      <c r="C886" s="14">
        <v>46127.0</v>
      </c>
      <c r="D886" s="12" t="s">
        <v>818</v>
      </c>
      <c r="H886" s="12" t="s">
        <v>819</v>
      </c>
      <c r="J886" s="12" t="s">
        <v>621</v>
      </c>
      <c r="O886" s="12">
        <v>0.0</v>
      </c>
      <c r="Q886" s="12" t="b">
        <v>1</v>
      </c>
    </row>
    <row r="887">
      <c r="A887" s="12" t="s">
        <v>2658</v>
      </c>
      <c r="B887" s="12" t="s">
        <v>54</v>
      </c>
      <c r="C887" s="14">
        <v>46126.0</v>
      </c>
      <c r="H887" s="12" t="s">
        <v>1112</v>
      </c>
      <c r="J887" s="12" t="s">
        <v>1784</v>
      </c>
      <c r="K887" s="12" t="s">
        <v>62</v>
      </c>
      <c r="O887" s="12">
        <v>500.0</v>
      </c>
      <c r="Q887" s="12" t="b">
        <v>1</v>
      </c>
    </row>
    <row r="888">
      <c r="A888" s="12" t="s">
        <v>2661</v>
      </c>
      <c r="B888" s="12" t="s">
        <v>54</v>
      </c>
      <c r="C888" s="14">
        <v>46126.0</v>
      </c>
      <c r="H888" s="12" t="s">
        <v>1112</v>
      </c>
      <c r="J888" s="12" t="s">
        <v>1784</v>
      </c>
      <c r="K888" s="12" t="s">
        <v>78</v>
      </c>
      <c r="O888" s="12">
        <v>500.0</v>
      </c>
      <c r="Q888" s="12" t="b">
        <v>1</v>
      </c>
    </row>
    <row r="889">
      <c r="A889" s="12" t="s">
        <v>4679</v>
      </c>
      <c r="B889" s="12" t="s">
        <v>54</v>
      </c>
      <c r="C889" s="14">
        <v>46127.0</v>
      </c>
      <c r="D889" s="12" t="s">
        <v>109</v>
      </c>
      <c r="E889" s="12" t="s">
        <v>5029</v>
      </c>
      <c r="G889" s="12" t="s">
        <v>5030</v>
      </c>
      <c r="H889" s="12" t="s">
        <v>687</v>
      </c>
      <c r="I889" s="12" t="b">
        <v>1</v>
      </c>
      <c r="J889" s="12" t="s">
        <v>1784</v>
      </c>
      <c r="O889" s="12">
        <v>280.0</v>
      </c>
      <c r="P889" s="12">
        <v>2128412.0</v>
      </c>
      <c r="Q889" s="12" t="b">
        <v>1</v>
      </c>
    </row>
    <row r="890">
      <c r="A890" s="12" t="s">
        <v>4664</v>
      </c>
      <c r="B890" s="12" t="s">
        <v>54</v>
      </c>
      <c r="C890" s="14">
        <v>46126.0</v>
      </c>
      <c r="D890" s="12" t="s">
        <v>156</v>
      </c>
      <c r="E890" s="12" t="s">
        <v>5034</v>
      </c>
      <c r="G890" s="12" t="s">
        <v>5035</v>
      </c>
      <c r="H890" s="12" t="s">
        <v>293</v>
      </c>
      <c r="I890" s="12" t="b">
        <v>0</v>
      </c>
      <c r="J890" s="12" t="s">
        <v>1784</v>
      </c>
      <c r="L890" s="12" t="s">
        <v>5037</v>
      </c>
      <c r="O890" s="12">
        <v>12635.67</v>
      </c>
      <c r="Q890" s="12" t="b">
        <v>1</v>
      </c>
      <c r="S890" s="12">
        <v>374.78</v>
      </c>
    </row>
    <row r="891">
      <c r="A891" s="12"/>
      <c r="B891" s="12"/>
      <c r="C891" s="14"/>
      <c r="D891" s="12"/>
      <c r="E891" s="12"/>
      <c r="G891" s="12"/>
      <c r="H891" s="12"/>
      <c r="I891" s="12"/>
      <c r="J891" s="12"/>
      <c r="L891" s="12"/>
      <c r="M891" s="12"/>
      <c r="Q891" s="12"/>
    </row>
    <row r="892">
      <c r="A892" s="12" t="s">
        <v>4684</v>
      </c>
      <c r="B892" s="12" t="s">
        <v>54</v>
      </c>
      <c r="C892" s="14">
        <v>46128.0</v>
      </c>
      <c r="D892" s="12" t="s">
        <v>77</v>
      </c>
      <c r="E892" s="12" t="s">
        <v>5043</v>
      </c>
      <c r="G892" s="12" t="s">
        <v>5044</v>
      </c>
      <c r="H892" s="12" t="s">
        <v>5045</v>
      </c>
      <c r="I892" s="12" t="b">
        <v>1</v>
      </c>
      <c r="J892" s="12" t="s">
        <v>1784</v>
      </c>
      <c r="O892" s="12">
        <v>8.99</v>
      </c>
      <c r="P892" s="12">
        <v>2128894.0</v>
      </c>
      <c r="Q892" s="12" t="b">
        <v>1</v>
      </c>
    </row>
    <row r="893">
      <c r="A893" s="12" t="s">
        <v>4687</v>
      </c>
      <c r="B893" s="12" t="s">
        <v>54</v>
      </c>
      <c r="C893" s="14">
        <v>46129.0</v>
      </c>
      <c r="D893" s="12" t="s">
        <v>1103</v>
      </c>
      <c r="E893" s="12" t="s">
        <v>5051</v>
      </c>
      <c r="G893" s="12" t="s">
        <v>5053</v>
      </c>
      <c r="H893" s="12" t="s">
        <v>153</v>
      </c>
      <c r="I893" s="12" t="b">
        <v>1</v>
      </c>
      <c r="J893" s="12" t="s">
        <v>1784</v>
      </c>
      <c r="O893" s="12">
        <v>375.6</v>
      </c>
      <c r="P893" s="12">
        <v>2130183.0</v>
      </c>
      <c r="Q893" s="12" t="b">
        <v>1</v>
      </c>
    </row>
    <row r="894">
      <c r="A894" s="12" t="s">
        <v>4697</v>
      </c>
      <c r="B894" s="12" t="s">
        <v>54</v>
      </c>
      <c r="C894" s="14">
        <v>46129.0</v>
      </c>
      <c r="D894" s="12" t="s">
        <v>77</v>
      </c>
      <c r="E894" s="12" t="s">
        <v>5056</v>
      </c>
      <c r="G894" s="12" t="s">
        <v>5057</v>
      </c>
      <c r="H894" s="12" t="s">
        <v>2487</v>
      </c>
      <c r="I894" s="12" t="b">
        <v>1</v>
      </c>
      <c r="J894" s="12" t="s">
        <v>1784</v>
      </c>
      <c r="O894" s="12">
        <v>201.95</v>
      </c>
      <c r="P894" s="12">
        <v>2130811.0</v>
      </c>
      <c r="Q894" s="12" t="b">
        <v>1</v>
      </c>
    </row>
    <row r="895">
      <c r="A895" s="12" t="s">
        <v>4673</v>
      </c>
      <c r="B895" s="12" t="s">
        <v>54</v>
      </c>
      <c r="C895" s="14">
        <v>46126.0</v>
      </c>
      <c r="D895" s="12" t="s">
        <v>156</v>
      </c>
      <c r="E895" s="12" t="s">
        <v>5063</v>
      </c>
      <c r="G895" s="12" t="s">
        <v>5065</v>
      </c>
      <c r="H895" s="12" t="s">
        <v>368</v>
      </c>
      <c r="I895" s="12" t="b">
        <v>0</v>
      </c>
      <c r="J895" s="12" t="s">
        <v>1784</v>
      </c>
      <c r="L895" s="12" t="s">
        <v>5069</v>
      </c>
      <c r="O895" s="12">
        <v>7496.04</v>
      </c>
      <c r="Q895" s="12" t="b">
        <v>1</v>
      </c>
    </row>
    <row r="896">
      <c r="A896" s="12"/>
      <c r="B896" s="12"/>
      <c r="C896" s="14"/>
      <c r="D896" s="12"/>
      <c r="E896" s="12"/>
      <c r="G896" s="12"/>
      <c r="H896" s="12"/>
      <c r="I896" s="12"/>
      <c r="J896" s="12"/>
      <c r="L896" s="12"/>
      <c r="Q896" s="12"/>
    </row>
    <row r="897">
      <c r="A897" s="12" t="s">
        <v>4701</v>
      </c>
      <c r="B897" s="12" t="s">
        <v>54</v>
      </c>
      <c r="C897" s="14">
        <v>46130.0</v>
      </c>
      <c r="D897" s="12" t="s">
        <v>220</v>
      </c>
      <c r="E897" s="12" t="s">
        <v>5075</v>
      </c>
      <c r="G897" s="12" t="s">
        <v>5076</v>
      </c>
      <c r="H897" s="12" t="s">
        <v>2487</v>
      </c>
      <c r="I897" s="12" t="b">
        <v>1</v>
      </c>
      <c r="J897" s="12" t="s">
        <v>1784</v>
      </c>
      <c r="O897" s="12">
        <v>428.39</v>
      </c>
      <c r="P897" s="12">
        <v>2133306.0</v>
      </c>
      <c r="Q897" s="12" t="b">
        <v>1</v>
      </c>
    </row>
    <row r="898">
      <c r="A898" s="12" t="s">
        <v>4737</v>
      </c>
      <c r="B898" s="12" t="s">
        <v>54</v>
      </c>
      <c r="C898" s="14">
        <v>46130.0</v>
      </c>
      <c r="D898" s="12" t="s">
        <v>77</v>
      </c>
      <c r="E898" s="12" t="s">
        <v>5081</v>
      </c>
      <c r="G898" s="12" t="s">
        <v>5082</v>
      </c>
      <c r="H898" s="12" t="s">
        <v>2540</v>
      </c>
      <c r="I898" s="12" t="b">
        <v>1</v>
      </c>
      <c r="J898" s="12" t="s">
        <v>1784</v>
      </c>
      <c r="O898" s="12">
        <v>36.76</v>
      </c>
      <c r="P898" s="12">
        <v>2133315.0</v>
      </c>
      <c r="Q898" s="12" t="b">
        <v>1</v>
      </c>
    </row>
    <row r="899">
      <c r="A899" s="12">
        <v>1492.0</v>
      </c>
      <c r="B899" s="12" t="s">
        <v>54</v>
      </c>
      <c r="C899" s="14">
        <v>46130.0</v>
      </c>
      <c r="D899" s="12" t="s">
        <v>933</v>
      </c>
      <c r="H899" s="12" t="s">
        <v>1494</v>
      </c>
      <c r="J899" s="12" t="s">
        <v>621</v>
      </c>
      <c r="O899" s="12">
        <v>9721.53</v>
      </c>
      <c r="Q899" s="12" t="b">
        <v>1</v>
      </c>
    </row>
    <row r="900">
      <c r="A900" s="12" t="s">
        <v>4744</v>
      </c>
      <c r="B900" s="12" t="s">
        <v>54</v>
      </c>
      <c r="C900" s="14">
        <v>46131.0</v>
      </c>
      <c r="D900" s="12" t="s">
        <v>470</v>
      </c>
      <c r="E900" s="12" t="s">
        <v>5090</v>
      </c>
      <c r="G900" s="12" t="s">
        <v>5092</v>
      </c>
      <c r="H900" s="12" t="s">
        <v>880</v>
      </c>
      <c r="I900" s="12" t="b">
        <v>1</v>
      </c>
      <c r="J900" s="12" t="s">
        <v>1784</v>
      </c>
      <c r="O900" s="12">
        <v>13.57</v>
      </c>
      <c r="P900" s="12">
        <v>2137970.0</v>
      </c>
      <c r="Q900" s="12" t="b">
        <v>1</v>
      </c>
    </row>
    <row r="901">
      <c r="A901" s="12" t="s">
        <v>4751</v>
      </c>
      <c r="B901" s="12" t="s">
        <v>54</v>
      </c>
      <c r="C901" s="14">
        <v>46132.0</v>
      </c>
      <c r="D901" s="12" t="s">
        <v>220</v>
      </c>
      <c r="E901" s="12" t="s">
        <v>5096</v>
      </c>
      <c r="G901" s="12" t="s">
        <v>5098</v>
      </c>
      <c r="H901" s="12" t="s">
        <v>2402</v>
      </c>
      <c r="I901" s="12" t="b">
        <v>1</v>
      </c>
      <c r="J901" s="12" t="s">
        <v>1784</v>
      </c>
      <c r="O901" s="12">
        <v>269.27</v>
      </c>
      <c r="P901" s="12">
        <v>2137974.0</v>
      </c>
      <c r="Q901" s="12" t="b">
        <v>1</v>
      </c>
    </row>
    <row r="902">
      <c r="A902" s="12" t="s">
        <v>4767</v>
      </c>
      <c r="B902" s="12" t="s">
        <v>54</v>
      </c>
      <c r="C902" s="14">
        <v>46132.0</v>
      </c>
      <c r="D902" s="12" t="s">
        <v>58</v>
      </c>
      <c r="E902" s="12" t="s">
        <v>5104</v>
      </c>
      <c r="G902" s="12" t="s">
        <v>5105</v>
      </c>
      <c r="H902" s="12" t="s">
        <v>5106</v>
      </c>
      <c r="I902" s="12" t="b">
        <v>1</v>
      </c>
      <c r="J902" s="12" t="s">
        <v>1784</v>
      </c>
      <c r="O902" s="12">
        <v>55.2</v>
      </c>
      <c r="P902" s="12">
        <v>2137669.0</v>
      </c>
      <c r="Q902" s="12" t="b">
        <v>1</v>
      </c>
    </row>
    <row r="903">
      <c r="A903" s="12" t="s">
        <v>4769</v>
      </c>
      <c r="B903" s="12" t="s">
        <v>54</v>
      </c>
      <c r="C903" s="14">
        <v>46132.0</v>
      </c>
      <c r="D903" s="12" t="s">
        <v>435</v>
      </c>
      <c r="E903" s="12" t="s">
        <v>5113</v>
      </c>
      <c r="G903" s="12" t="s">
        <v>5114</v>
      </c>
      <c r="H903" s="12" t="s">
        <v>2540</v>
      </c>
      <c r="I903" s="12" t="b">
        <v>1</v>
      </c>
      <c r="J903" s="12" t="s">
        <v>1784</v>
      </c>
      <c r="O903" s="12">
        <v>16.15</v>
      </c>
      <c r="P903" s="12">
        <v>2137965.0</v>
      </c>
      <c r="Q903" s="12" t="b">
        <v>1</v>
      </c>
    </row>
    <row r="904">
      <c r="A904" s="12" t="s">
        <v>4779</v>
      </c>
      <c r="B904" s="12" t="s">
        <v>54</v>
      </c>
      <c r="C904" s="14">
        <v>46134.0</v>
      </c>
      <c r="D904" s="12" t="s">
        <v>375</v>
      </c>
      <c r="E904" s="12" t="s">
        <v>5117</v>
      </c>
      <c r="G904" s="12" t="s">
        <v>5118</v>
      </c>
      <c r="H904" s="12" t="s">
        <v>153</v>
      </c>
      <c r="I904" s="12" t="b">
        <v>1</v>
      </c>
      <c r="J904" s="12" t="s">
        <v>1784</v>
      </c>
      <c r="O904" s="12">
        <v>155.5</v>
      </c>
      <c r="P904" s="12">
        <v>2142124.0</v>
      </c>
      <c r="Q904" s="12" t="b">
        <v>1</v>
      </c>
    </row>
    <row r="905">
      <c r="A905" s="12" t="s">
        <v>4783</v>
      </c>
      <c r="B905" s="12" t="s">
        <v>54</v>
      </c>
      <c r="C905" s="14">
        <v>46134.0</v>
      </c>
      <c r="D905" s="12" t="s">
        <v>1103</v>
      </c>
      <c r="E905" s="12" t="s">
        <v>5126</v>
      </c>
      <c r="G905" s="12" t="s">
        <v>5128</v>
      </c>
      <c r="H905" s="12" t="s">
        <v>5129</v>
      </c>
      <c r="I905" s="12" t="b">
        <v>1</v>
      </c>
      <c r="J905" s="12" t="s">
        <v>1784</v>
      </c>
      <c r="O905" s="12">
        <v>112.5</v>
      </c>
      <c r="P905" s="12">
        <v>2142650.0</v>
      </c>
      <c r="Q905" s="12" t="b">
        <v>1</v>
      </c>
    </row>
    <row r="906">
      <c r="A906" s="12" t="s">
        <v>4774</v>
      </c>
      <c r="B906" s="12" t="s">
        <v>54</v>
      </c>
      <c r="C906" s="14">
        <v>46133.0</v>
      </c>
      <c r="D906" s="12" t="s">
        <v>77</v>
      </c>
      <c r="E906" s="12" t="s">
        <v>5132</v>
      </c>
      <c r="G906" s="12" t="s">
        <v>5133</v>
      </c>
      <c r="H906" s="12" t="s">
        <v>5134</v>
      </c>
      <c r="I906" s="12" t="b">
        <v>1</v>
      </c>
      <c r="J906" s="12" t="s">
        <v>1784</v>
      </c>
      <c r="O906" s="12">
        <v>13.43</v>
      </c>
      <c r="P906" s="12">
        <v>2142675.0</v>
      </c>
      <c r="Q906" s="12" t="b">
        <v>1</v>
      </c>
    </row>
    <row r="907">
      <c r="A907" s="12" t="s">
        <v>4793</v>
      </c>
      <c r="B907" s="12" t="s">
        <v>54</v>
      </c>
      <c r="C907" s="14">
        <v>46136.0</v>
      </c>
      <c r="D907" s="12" t="s">
        <v>556</v>
      </c>
      <c r="E907" s="12" t="s">
        <v>5138</v>
      </c>
      <c r="G907" s="12" t="s">
        <v>5139</v>
      </c>
      <c r="H907" s="12" t="s">
        <v>687</v>
      </c>
      <c r="I907" s="12" t="b">
        <v>1</v>
      </c>
      <c r="J907" s="12" t="s">
        <v>1784</v>
      </c>
      <c r="O907" s="12">
        <v>462.0</v>
      </c>
      <c r="P907" s="12">
        <v>2145385.0</v>
      </c>
      <c r="Q907" s="12" t="b">
        <v>1</v>
      </c>
    </row>
    <row r="908">
      <c r="A908" s="12" t="s">
        <v>2667</v>
      </c>
      <c r="B908" s="12" t="s">
        <v>54</v>
      </c>
      <c r="C908" s="14">
        <v>46136.0</v>
      </c>
      <c r="D908" s="12" t="s">
        <v>156</v>
      </c>
      <c r="H908" s="12" t="s">
        <v>5143</v>
      </c>
      <c r="J908" s="12" t="s">
        <v>621</v>
      </c>
      <c r="O908" s="12">
        <v>2758.0</v>
      </c>
      <c r="Q908" s="12" t="b">
        <v>1</v>
      </c>
    </row>
    <row r="909">
      <c r="A909" s="12" t="s">
        <v>2671</v>
      </c>
      <c r="B909" s="12" t="s">
        <v>54</v>
      </c>
      <c r="C909" s="14">
        <v>46136.0</v>
      </c>
      <c r="D909" s="12" t="s">
        <v>156</v>
      </c>
      <c r="H909" s="12" t="s">
        <v>5145</v>
      </c>
      <c r="J909" s="12" t="s">
        <v>621</v>
      </c>
      <c r="O909" s="12">
        <v>1444.95</v>
      </c>
      <c r="Q909" s="12" t="b">
        <v>1</v>
      </c>
    </row>
    <row r="910">
      <c r="A910" s="12">
        <v>1510.0</v>
      </c>
      <c r="B910" s="12" t="s">
        <v>54</v>
      </c>
      <c r="C910" s="14">
        <v>46136.0</v>
      </c>
      <c r="D910" s="12" t="s">
        <v>1712</v>
      </c>
      <c r="H910" s="14">
        <v>46296.0</v>
      </c>
      <c r="J910" s="12" t="s">
        <v>621</v>
      </c>
      <c r="O910" s="12">
        <v>236.83</v>
      </c>
      <c r="Q910" s="12" t="b">
        <v>1</v>
      </c>
    </row>
    <row r="911">
      <c r="A911" s="12">
        <v>1511.0</v>
      </c>
      <c r="B911" s="12" t="s">
        <v>54</v>
      </c>
      <c r="C911" s="14">
        <v>46136.0</v>
      </c>
      <c r="D911" s="12" t="s">
        <v>1715</v>
      </c>
      <c r="H911" s="14">
        <v>46082.0</v>
      </c>
      <c r="J911" s="12" t="s">
        <v>621</v>
      </c>
      <c r="O911" s="12">
        <v>65.15</v>
      </c>
      <c r="Q911" s="12" t="b">
        <v>1</v>
      </c>
    </row>
    <row r="912">
      <c r="A912" s="12" t="s">
        <v>4786</v>
      </c>
      <c r="B912" s="12" t="s">
        <v>54</v>
      </c>
      <c r="C912" s="14">
        <v>46135.0</v>
      </c>
      <c r="D912" s="12" t="s">
        <v>4182</v>
      </c>
      <c r="E912" s="12" t="s">
        <v>5155</v>
      </c>
      <c r="G912" s="12" t="s">
        <v>5158</v>
      </c>
      <c r="H912" s="12" t="s">
        <v>2402</v>
      </c>
      <c r="I912" s="12" t="b">
        <v>1</v>
      </c>
      <c r="J912" s="12" t="s">
        <v>1784</v>
      </c>
      <c r="O912" s="12">
        <v>9.99</v>
      </c>
      <c r="P912" s="12">
        <v>2149682.0</v>
      </c>
      <c r="Q912" s="12" t="b">
        <v>1</v>
      </c>
    </row>
    <row r="913">
      <c r="A913" s="12" t="s">
        <v>4798</v>
      </c>
      <c r="B913" s="12" t="s">
        <v>54</v>
      </c>
      <c r="C913" s="14">
        <v>46136.0</v>
      </c>
      <c r="D913" s="12" t="s">
        <v>182</v>
      </c>
      <c r="E913" s="12" t="s">
        <v>5164</v>
      </c>
      <c r="G913" s="12" t="s">
        <v>5165</v>
      </c>
      <c r="H913" s="12" t="s">
        <v>5166</v>
      </c>
      <c r="I913" s="12" t="b">
        <v>1</v>
      </c>
      <c r="J913" s="12" t="s">
        <v>1784</v>
      </c>
      <c r="O913" s="12">
        <v>169.9</v>
      </c>
      <c r="P913" s="12">
        <v>2149678.0</v>
      </c>
      <c r="Q913" s="12" t="b">
        <v>1</v>
      </c>
    </row>
    <row r="914">
      <c r="A914" s="12" t="s">
        <v>4801</v>
      </c>
      <c r="B914" s="12" t="s">
        <v>54</v>
      </c>
      <c r="C914" s="14">
        <v>46136.0</v>
      </c>
      <c r="D914" s="12" t="s">
        <v>220</v>
      </c>
      <c r="E914" s="12" t="s">
        <v>5170</v>
      </c>
      <c r="G914" s="12" t="s">
        <v>5171</v>
      </c>
      <c r="H914" s="12" t="s">
        <v>2402</v>
      </c>
      <c r="I914" s="12" t="b">
        <v>1</v>
      </c>
      <c r="J914" s="12" t="s">
        <v>1784</v>
      </c>
      <c r="O914" s="12">
        <v>31.89</v>
      </c>
      <c r="P914" s="12">
        <v>2149671.0</v>
      </c>
      <c r="Q914" s="12" t="b">
        <v>1</v>
      </c>
    </row>
    <row r="915">
      <c r="A915" s="12" t="s">
        <v>4854</v>
      </c>
      <c r="B915" s="12" t="s">
        <v>54</v>
      </c>
      <c r="C915" s="14">
        <v>46138.0</v>
      </c>
      <c r="D915" s="12" t="s">
        <v>77</v>
      </c>
      <c r="E915" s="12" t="s">
        <v>5174</v>
      </c>
      <c r="G915" s="12" t="s">
        <v>5176</v>
      </c>
      <c r="H915" s="12" t="s">
        <v>2540</v>
      </c>
      <c r="I915" s="12" t="b">
        <v>1</v>
      </c>
      <c r="J915" s="12" t="s">
        <v>1784</v>
      </c>
      <c r="O915" s="12">
        <v>15.38</v>
      </c>
      <c r="P915" s="12">
        <v>2149670.0</v>
      </c>
      <c r="Q915" s="12" t="b">
        <v>1</v>
      </c>
    </row>
    <row r="916">
      <c r="A916" s="12" t="s">
        <v>4805</v>
      </c>
      <c r="B916" s="12" t="s">
        <v>54</v>
      </c>
      <c r="C916" s="14">
        <v>46136.0</v>
      </c>
      <c r="D916" s="12" t="s">
        <v>220</v>
      </c>
      <c r="E916" s="12" t="s">
        <v>5181</v>
      </c>
      <c r="G916" s="12" t="s">
        <v>5183</v>
      </c>
      <c r="H916" s="12" t="s">
        <v>2487</v>
      </c>
      <c r="I916" s="12" t="b">
        <v>1</v>
      </c>
      <c r="J916" s="12" t="s">
        <v>1784</v>
      </c>
      <c r="O916" s="12">
        <v>478.7</v>
      </c>
      <c r="P916" s="12">
        <v>2149667.0</v>
      </c>
      <c r="Q916" s="12" t="b">
        <v>1</v>
      </c>
    </row>
    <row r="917">
      <c r="A917" s="12" t="s">
        <v>4852</v>
      </c>
      <c r="B917" s="12" t="s">
        <v>54</v>
      </c>
      <c r="C917" s="14">
        <v>46137.0</v>
      </c>
      <c r="D917" s="12" t="s">
        <v>77</v>
      </c>
      <c r="E917" s="12" t="s">
        <v>5185</v>
      </c>
      <c r="G917" s="12" t="s">
        <v>5188</v>
      </c>
      <c r="H917" s="12" t="s">
        <v>2540</v>
      </c>
      <c r="I917" s="12" t="b">
        <v>1</v>
      </c>
      <c r="J917" s="12" t="s">
        <v>1784</v>
      </c>
      <c r="O917" s="12">
        <v>8.03</v>
      </c>
      <c r="P917" s="12">
        <v>2149662.0</v>
      </c>
      <c r="Q917" s="12" t="b">
        <v>1</v>
      </c>
    </row>
    <row r="918">
      <c r="A918" s="12">
        <v>3.8086095E7</v>
      </c>
      <c r="B918" s="12" t="s">
        <v>54</v>
      </c>
      <c r="C918" s="14">
        <v>46135.0</v>
      </c>
      <c r="D918" s="12" t="s">
        <v>504</v>
      </c>
      <c r="E918" s="12" t="s">
        <v>5192</v>
      </c>
      <c r="G918" s="12" t="s">
        <v>5194</v>
      </c>
      <c r="H918" s="12" t="s">
        <v>5195</v>
      </c>
      <c r="I918" s="12" t="b">
        <v>1</v>
      </c>
      <c r="J918" s="12" t="s">
        <v>1784</v>
      </c>
      <c r="O918" s="12">
        <v>30.0</v>
      </c>
      <c r="P918" s="12">
        <v>2149660.0</v>
      </c>
      <c r="Q918" s="12" t="b">
        <v>1</v>
      </c>
    </row>
    <row r="919">
      <c r="A919" s="12" t="s">
        <v>4858</v>
      </c>
      <c r="B919" s="12" t="s">
        <v>54</v>
      </c>
      <c r="C919" s="14">
        <v>46139.0</v>
      </c>
      <c r="D919" s="12" t="s">
        <v>5199</v>
      </c>
      <c r="E919" s="12" t="s">
        <v>5200</v>
      </c>
      <c r="G919" s="12" t="s">
        <v>5201</v>
      </c>
      <c r="H919" s="12" t="s">
        <v>3715</v>
      </c>
      <c r="I919" s="12" t="b">
        <v>1</v>
      </c>
      <c r="J919" s="12" t="s">
        <v>1784</v>
      </c>
      <c r="O919" s="12">
        <v>537.5</v>
      </c>
      <c r="P919" s="12">
        <v>2152363.0</v>
      </c>
      <c r="Q919" s="12" t="b">
        <v>1</v>
      </c>
    </row>
    <row r="920">
      <c r="A920" s="12" t="s">
        <v>4878</v>
      </c>
      <c r="B920" s="12" t="s">
        <v>54</v>
      </c>
      <c r="C920" s="14">
        <v>46140.0</v>
      </c>
      <c r="D920" s="12" t="s">
        <v>109</v>
      </c>
      <c r="E920" s="12" t="s">
        <v>5205</v>
      </c>
      <c r="G920" s="12" t="s">
        <v>5206</v>
      </c>
      <c r="H920" s="12" t="s">
        <v>687</v>
      </c>
      <c r="I920" s="12" t="b">
        <v>1</v>
      </c>
      <c r="J920" s="12" t="s">
        <v>1784</v>
      </c>
      <c r="O920" s="12">
        <v>420.0</v>
      </c>
      <c r="P920" s="12">
        <v>2153823.0</v>
      </c>
      <c r="Q920" s="12" t="b">
        <v>1</v>
      </c>
    </row>
    <row r="921">
      <c r="A921" s="12" t="s">
        <v>4881</v>
      </c>
      <c r="B921" s="12" t="s">
        <v>54</v>
      </c>
      <c r="C921" s="14">
        <v>46140.0</v>
      </c>
      <c r="D921" s="12" t="s">
        <v>5209</v>
      </c>
      <c r="E921" s="12" t="s">
        <v>5210</v>
      </c>
      <c r="G921" s="12" t="s">
        <v>5211</v>
      </c>
      <c r="H921" s="12" t="s">
        <v>488</v>
      </c>
      <c r="I921" s="12" t="b">
        <v>0</v>
      </c>
      <c r="J921" s="12" t="s">
        <v>1784</v>
      </c>
      <c r="L921" s="12" t="s">
        <v>5214</v>
      </c>
      <c r="M921" s="12" t="s">
        <v>5215</v>
      </c>
      <c r="O921" s="12">
        <v>9871.51</v>
      </c>
      <c r="Q921" s="12" t="b">
        <v>1</v>
      </c>
    </row>
    <row r="922">
      <c r="A922" s="12" t="s">
        <v>4888</v>
      </c>
      <c r="B922" s="12" t="s">
        <v>54</v>
      </c>
      <c r="C922" s="14">
        <v>46140.0</v>
      </c>
      <c r="D922" s="12" t="s">
        <v>912</v>
      </c>
      <c r="E922" s="12" t="s">
        <v>5219</v>
      </c>
      <c r="G922" s="12" t="s">
        <v>5220</v>
      </c>
      <c r="H922" s="12" t="s">
        <v>5221</v>
      </c>
      <c r="I922" s="12" t="b">
        <v>0</v>
      </c>
      <c r="J922" s="12" t="s">
        <v>1784</v>
      </c>
      <c r="O922" s="12">
        <v>8.16</v>
      </c>
      <c r="Q922" s="12" t="b">
        <v>1</v>
      </c>
    </row>
    <row r="923">
      <c r="A923" s="12" t="s">
        <v>4895</v>
      </c>
      <c r="B923" s="12" t="s">
        <v>54</v>
      </c>
      <c r="C923" s="14">
        <v>46140.0</v>
      </c>
      <c r="D923" s="12" t="s">
        <v>912</v>
      </c>
      <c r="E923" s="12" t="s">
        <v>5210</v>
      </c>
      <c r="G923" s="12" t="s">
        <v>5226</v>
      </c>
      <c r="H923" s="12" t="s">
        <v>488</v>
      </c>
      <c r="I923" s="12" t="b">
        <v>0</v>
      </c>
      <c r="J923" s="12" t="s">
        <v>1784</v>
      </c>
      <c r="O923" s="12">
        <v>139.61</v>
      </c>
      <c r="Q923" s="12" t="b">
        <v>1</v>
      </c>
    </row>
    <row r="924">
      <c r="A924" s="12"/>
      <c r="B924" s="12"/>
      <c r="C924" s="14"/>
      <c r="D924" s="12"/>
      <c r="E924" s="12"/>
      <c r="G924" s="12"/>
      <c r="H924" s="12"/>
      <c r="I924" s="12"/>
      <c r="J924" s="12"/>
      <c r="L924" s="12"/>
      <c r="Q924" s="12"/>
    </row>
    <row r="925">
      <c r="A925" s="12">
        <v>1513.0</v>
      </c>
      <c r="B925" s="12" t="s">
        <v>54</v>
      </c>
      <c r="C925" s="14">
        <v>46142.0</v>
      </c>
      <c r="H925" s="12" t="s">
        <v>1644</v>
      </c>
      <c r="J925" s="12" t="s">
        <v>191</v>
      </c>
      <c r="K925" s="12" t="s">
        <v>727</v>
      </c>
      <c r="O925" s="12">
        <v>3500.0</v>
      </c>
      <c r="Q925" s="12" t="b">
        <v>1</v>
      </c>
    </row>
    <row r="926">
      <c r="A926" s="12">
        <v>1514.0</v>
      </c>
      <c r="B926" s="12" t="s">
        <v>54</v>
      </c>
      <c r="C926" s="14">
        <v>46142.0</v>
      </c>
      <c r="H926" s="12" t="s">
        <v>1884</v>
      </c>
      <c r="J926" s="12" t="s">
        <v>191</v>
      </c>
      <c r="K926" s="12" t="s">
        <v>727</v>
      </c>
      <c r="O926" s="12">
        <v>3870.73</v>
      </c>
      <c r="Q926" s="12" t="b">
        <v>1</v>
      </c>
    </row>
    <row r="927">
      <c r="A927" s="12">
        <v>1515.0</v>
      </c>
      <c r="B927" s="12" t="s">
        <v>54</v>
      </c>
      <c r="C927" s="14">
        <v>46142.0</v>
      </c>
      <c r="H927" s="12" t="s">
        <v>1884</v>
      </c>
      <c r="J927" s="12" t="s">
        <v>191</v>
      </c>
      <c r="K927" s="12" t="s">
        <v>1183</v>
      </c>
      <c r="O927" s="12">
        <v>1726.18</v>
      </c>
      <c r="Q927" s="12" t="b">
        <v>1</v>
      </c>
    </row>
    <row r="928">
      <c r="A928" s="12">
        <v>1516.0</v>
      </c>
      <c r="B928" s="12" t="s">
        <v>54</v>
      </c>
      <c r="C928" s="14">
        <v>46142.0</v>
      </c>
      <c r="H928" s="12" t="s">
        <v>1884</v>
      </c>
      <c r="J928" s="12" t="s">
        <v>191</v>
      </c>
      <c r="K928" s="12" t="s">
        <v>62</v>
      </c>
      <c r="O928" s="12">
        <v>1410.31</v>
      </c>
      <c r="Q928" s="12" t="b">
        <v>1</v>
      </c>
    </row>
    <row r="929">
      <c r="A929" s="12">
        <v>1517.0</v>
      </c>
      <c r="B929" s="12" t="s">
        <v>54</v>
      </c>
      <c r="C929" s="14">
        <v>46142.0</v>
      </c>
      <c r="H929" s="12" t="s">
        <v>1884</v>
      </c>
      <c r="J929" s="12" t="s">
        <v>191</v>
      </c>
      <c r="K929" s="12" t="s">
        <v>78</v>
      </c>
      <c r="O929" s="12">
        <v>1439.45</v>
      </c>
      <c r="Q929" s="12" t="b">
        <v>1</v>
      </c>
    </row>
    <row r="930">
      <c r="A930" s="12">
        <v>1518.0</v>
      </c>
      <c r="B930" s="12" t="s">
        <v>54</v>
      </c>
      <c r="C930" s="14">
        <v>46142.0</v>
      </c>
      <c r="H930" s="12" t="s">
        <v>1884</v>
      </c>
      <c r="J930" s="12" t="s">
        <v>191</v>
      </c>
      <c r="K930" s="12" t="s">
        <v>152</v>
      </c>
      <c r="O930" s="12">
        <v>1278.08</v>
      </c>
      <c r="Q930" s="12" t="b">
        <v>1</v>
      </c>
    </row>
    <row r="931">
      <c r="A931" s="12">
        <v>1519.0</v>
      </c>
      <c r="B931" s="12" t="s">
        <v>54</v>
      </c>
      <c r="C931" s="14">
        <v>46142.0</v>
      </c>
      <c r="H931" s="12" t="s">
        <v>3108</v>
      </c>
      <c r="J931" s="12" t="s">
        <v>191</v>
      </c>
      <c r="K931" s="12" t="s">
        <v>259</v>
      </c>
      <c r="O931" s="12">
        <v>585.0</v>
      </c>
      <c r="Q931" s="12" t="b">
        <v>1</v>
      </c>
    </row>
    <row r="932">
      <c r="A932" s="12" t="s">
        <v>4901</v>
      </c>
      <c r="B932" s="12" t="s">
        <v>54</v>
      </c>
      <c r="C932" s="14">
        <v>46140.0</v>
      </c>
      <c r="D932" s="12" t="s">
        <v>912</v>
      </c>
      <c r="E932" s="12" t="s">
        <v>5255</v>
      </c>
      <c r="G932" s="12" t="s">
        <v>5256</v>
      </c>
      <c r="H932" s="12" t="s">
        <v>254</v>
      </c>
      <c r="I932" s="12" t="b">
        <v>0</v>
      </c>
      <c r="J932" s="12" t="s">
        <v>1784</v>
      </c>
      <c r="L932" s="12" t="s">
        <v>5258</v>
      </c>
      <c r="O932" s="12">
        <v>5344.44</v>
      </c>
      <c r="Q932" s="12" t="b">
        <v>1</v>
      </c>
    </row>
    <row r="933">
      <c r="A933" s="12"/>
      <c r="B933" s="12"/>
      <c r="C933" s="14"/>
      <c r="D933" s="12"/>
      <c r="E933" s="12"/>
      <c r="G933" s="12"/>
      <c r="H933" s="12"/>
      <c r="I933" s="12"/>
      <c r="J933" s="12"/>
      <c r="L933" s="12"/>
      <c r="M933" s="12"/>
      <c r="Q933" s="12"/>
    </row>
    <row r="934">
      <c r="A934" s="12" t="s">
        <v>4955</v>
      </c>
      <c r="B934" s="12" t="s">
        <v>54</v>
      </c>
      <c r="C934" s="14">
        <v>46143.0</v>
      </c>
      <c r="D934" s="12" t="s">
        <v>182</v>
      </c>
      <c r="E934" s="12" t="s">
        <v>5265</v>
      </c>
      <c r="G934" s="12" t="s">
        <v>5266</v>
      </c>
      <c r="H934" s="12" t="s">
        <v>5268</v>
      </c>
      <c r="I934" s="12" t="b">
        <v>1</v>
      </c>
      <c r="J934" s="12" t="s">
        <v>1784</v>
      </c>
      <c r="O934" s="12">
        <v>10.24</v>
      </c>
      <c r="P934" s="12">
        <v>2158776.0</v>
      </c>
      <c r="Q934" s="12" t="b">
        <v>1</v>
      </c>
    </row>
    <row r="935">
      <c r="A935" s="12" t="s">
        <v>4907</v>
      </c>
      <c r="B935" s="12" t="s">
        <v>54</v>
      </c>
      <c r="C935" s="14">
        <v>46140.0</v>
      </c>
      <c r="D935" s="12" t="s">
        <v>627</v>
      </c>
      <c r="E935" s="12" t="s">
        <v>5270</v>
      </c>
      <c r="G935" s="12" t="s">
        <v>5272</v>
      </c>
      <c r="H935" s="12" t="s">
        <v>5273</v>
      </c>
      <c r="I935" s="12" t="b">
        <v>1</v>
      </c>
      <c r="J935" s="12" t="s">
        <v>1784</v>
      </c>
      <c r="O935" s="12">
        <v>433.81</v>
      </c>
      <c r="P935" s="12">
        <v>2161390.0</v>
      </c>
      <c r="Q935" s="12" t="b">
        <v>1</v>
      </c>
    </row>
    <row r="936">
      <c r="A936" s="12" t="s">
        <v>4862</v>
      </c>
      <c r="B936" s="12" t="s">
        <v>54</v>
      </c>
      <c r="C936" s="14">
        <v>46139.0</v>
      </c>
      <c r="D936" s="12" t="s">
        <v>175</v>
      </c>
      <c r="E936" s="12" t="s">
        <v>5277</v>
      </c>
      <c r="G936" s="12" t="s">
        <v>5278</v>
      </c>
      <c r="H936" s="12" t="s">
        <v>5279</v>
      </c>
      <c r="I936" s="12" t="b">
        <v>1</v>
      </c>
      <c r="J936" s="12" t="s">
        <v>1784</v>
      </c>
      <c r="O936" s="12">
        <v>60.0</v>
      </c>
      <c r="P936" s="12">
        <v>2161402.0</v>
      </c>
      <c r="Q936" s="12" t="b">
        <v>1</v>
      </c>
    </row>
    <row r="937">
      <c r="A937" s="12" t="s">
        <v>4963</v>
      </c>
      <c r="B937" s="12" t="s">
        <v>54</v>
      </c>
      <c r="C937" s="14">
        <v>46145.0</v>
      </c>
      <c r="D937" s="12" t="s">
        <v>77</v>
      </c>
      <c r="E937" s="12" t="s">
        <v>5284</v>
      </c>
      <c r="G937" s="12" t="s">
        <v>5285</v>
      </c>
      <c r="H937" s="12" t="s">
        <v>3989</v>
      </c>
      <c r="I937" s="12" t="b">
        <v>1</v>
      </c>
      <c r="J937" s="12" t="s">
        <v>1784</v>
      </c>
      <c r="O937" s="12">
        <v>4.65</v>
      </c>
      <c r="P937" s="12">
        <v>2162791.0</v>
      </c>
      <c r="Q937" s="12" t="b">
        <v>1</v>
      </c>
    </row>
    <row r="938">
      <c r="A938" s="12" t="s">
        <v>4957</v>
      </c>
      <c r="B938" s="12" t="s">
        <v>54</v>
      </c>
      <c r="C938" s="14">
        <v>46144.0</v>
      </c>
      <c r="D938" s="12" t="s">
        <v>77</v>
      </c>
      <c r="E938" s="12" t="s">
        <v>5290</v>
      </c>
      <c r="G938" s="12" t="s">
        <v>5291</v>
      </c>
      <c r="H938" s="12" t="s">
        <v>2814</v>
      </c>
      <c r="I938" s="12" t="b">
        <v>1</v>
      </c>
      <c r="J938" s="12" t="s">
        <v>1784</v>
      </c>
      <c r="O938" s="12">
        <v>28.92</v>
      </c>
      <c r="P938" s="12">
        <v>2162793.0</v>
      </c>
      <c r="Q938" s="12" t="b">
        <v>1</v>
      </c>
    </row>
    <row r="939">
      <c r="A939" s="12" t="s">
        <v>4872</v>
      </c>
      <c r="B939" s="12" t="s">
        <v>54</v>
      </c>
      <c r="C939" s="14">
        <v>46139.0</v>
      </c>
      <c r="D939" s="12" t="s">
        <v>220</v>
      </c>
      <c r="E939" s="12" t="s">
        <v>5297</v>
      </c>
      <c r="G939" s="12" t="s">
        <v>5298</v>
      </c>
      <c r="H939" s="12" t="s">
        <v>5299</v>
      </c>
      <c r="I939" s="12" t="b">
        <v>1</v>
      </c>
      <c r="J939" s="12" t="s">
        <v>1784</v>
      </c>
      <c r="O939" s="12">
        <v>4.89</v>
      </c>
      <c r="P939" s="12">
        <v>2162796.0</v>
      </c>
      <c r="Q939" s="12" t="b">
        <v>1</v>
      </c>
    </row>
    <row r="940">
      <c r="A940" s="12" t="s">
        <v>4936</v>
      </c>
      <c r="B940" s="12" t="s">
        <v>54</v>
      </c>
      <c r="C940" s="14">
        <v>46140.0</v>
      </c>
      <c r="D940" s="12" t="s">
        <v>77</v>
      </c>
      <c r="E940" s="12" t="s">
        <v>5304</v>
      </c>
      <c r="G940" s="12" t="s">
        <v>5305</v>
      </c>
      <c r="H940" s="12" t="s">
        <v>2814</v>
      </c>
      <c r="I940" s="12" t="b">
        <v>1</v>
      </c>
      <c r="J940" s="12" t="s">
        <v>1784</v>
      </c>
      <c r="O940" s="12">
        <v>68.66</v>
      </c>
      <c r="P940" s="12">
        <v>2162799.0</v>
      </c>
      <c r="Q940" s="12" t="b">
        <v>1</v>
      </c>
    </row>
    <row r="941">
      <c r="A941" s="12" t="s">
        <v>4965</v>
      </c>
      <c r="B941" s="12" t="s">
        <v>54</v>
      </c>
      <c r="C941" s="14">
        <v>46147.0</v>
      </c>
      <c r="D941" s="12" t="s">
        <v>4411</v>
      </c>
      <c r="E941" s="12" t="s">
        <v>5309</v>
      </c>
      <c r="G941" s="12" t="s">
        <v>5310</v>
      </c>
      <c r="H941" s="12" t="s">
        <v>5311</v>
      </c>
      <c r="I941" s="12" t="b">
        <v>1</v>
      </c>
      <c r="J941" s="12" t="s">
        <v>1784</v>
      </c>
      <c r="O941" s="12">
        <v>99.0</v>
      </c>
      <c r="P941" s="12">
        <v>2166491.0</v>
      </c>
      <c r="Q941" s="12" t="b">
        <v>1</v>
      </c>
    </row>
    <row r="942">
      <c r="A942" s="12">
        <v>1520.0</v>
      </c>
      <c r="B942" s="12" t="s">
        <v>54</v>
      </c>
      <c r="C942" s="14">
        <v>46147.0</v>
      </c>
      <c r="D942" s="12" t="s">
        <v>848</v>
      </c>
      <c r="H942" s="12" t="s">
        <v>1226</v>
      </c>
      <c r="J942" s="12" t="s">
        <v>621</v>
      </c>
      <c r="O942" s="12">
        <v>1.0</v>
      </c>
      <c r="Q942" s="12" t="b">
        <v>1</v>
      </c>
    </row>
    <row r="943">
      <c r="A943" s="12">
        <v>1524.0</v>
      </c>
      <c r="B943" s="12" t="s">
        <v>54</v>
      </c>
      <c r="C943" s="14">
        <v>46147.0</v>
      </c>
      <c r="D943" s="12" t="s">
        <v>1668</v>
      </c>
      <c r="H943" s="12" t="s">
        <v>1671</v>
      </c>
      <c r="J943" s="12" t="s">
        <v>621</v>
      </c>
      <c r="O943" s="12">
        <v>125.0</v>
      </c>
      <c r="Q943" s="12" t="b">
        <v>1</v>
      </c>
    </row>
    <row r="944">
      <c r="A944" s="12">
        <v>1525.0</v>
      </c>
      <c r="B944" s="12" t="s">
        <v>54</v>
      </c>
      <c r="C944" s="14">
        <v>46147.0</v>
      </c>
      <c r="D944" s="12" t="s">
        <v>897</v>
      </c>
      <c r="H944" s="12" t="s">
        <v>909</v>
      </c>
      <c r="J944" s="12" t="s">
        <v>621</v>
      </c>
      <c r="O944" s="12">
        <v>0.0</v>
      </c>
      <c r="Q944" s="12" t="b">
        <v>1</v>
      </c>
    </row>
    <row r="945">
      <c r="A945" s="12">
        <v>1526.0</v>
      </c>
      <c r="B945" s="12" t="s">
        <v>54</v>
      </c>
      <c r="C945" s="14">
        <v>46147.0</v>
      </c>
      <c r="D945" s="12" t="s">
        <v>933</v>
      </c>
      <c r="H945" s="12" t="s">
        <v>1346</v>
      </c>
      <c r="J945" s="12" t="s">
        <v>621</v>
      </c>
      <c r="O945" s="12">
        <v>533.95</v>
      </c>
      <c r="Q945" s="12" t="b">
        <v>1</v>
      </c>
    </row>
    <row r="946">
      <c r="A946" s="12" t="s">
        <v>2718</v>
      </c>
      <c r="B946" s="12" t="s">
        <v>54</v>
      </c>
      <c r="C946" s="14">
        <v>46147.0</v>
      </c>
      <c r="D946" s="12" t="s">
        <v>156</v>
      </c>
      <c r="H946" s="12" t="s">
        <v>5323</v>
      </c>
      <c r="J946" s="12" t="s">
        <v>621</v>
      </c>
      <c r="O946" s="12">
        <v>1.75</v>
      </c>
      <c r="Q946" s="12" t="b">
        <v>1</v>
      </c>
    </row>
    <row r="947">
      <c r="A947" s="12" t="s">
        <v>2721</v>
      </c>
      <c r="B947" s="12" t="s">
        <v>54</v>
      </c>
      <c r="C947" s="14">
        <v>46147.0</v>
      </c>
      <c r="D947" s="12" t="s">
        <v>156</v>
      </c>
      <c r="H947" s="12" t="s">
        <v>5325</v>
      </c>
      <c r="J947" s="12" t="s">
        <v>621</v>
      </c>
      <c r="O947" s="12">
        <v>30.0</v>
      </c>
      <c r="Q947" s="12" t="b">
        <v>1</v>
      </c>
    </row>
    <row r="948">
      <c r="A948" s="12" t="s">
        <v>4942</v>
      </c>
      <c r="B948" s="12" t="s">
        <v>54</v>
      </c>
      <c r="C948" s="14">
        <v>46140.0</v>
      </c>
      <c r="D948" s="12" t="s">
        <v>1103</v>
      </c>
      <c r="E948" s="12" t="s">
        <v>5328</v>
      </c>
      <c r="G948" s="12" t="s">
        <v>5329</v>
      </c>
      <c r="H948" s="12" t="s">
        <v>153</v>
      </c>
      <c r="I948" s="12" t="b">
        <v>1</v>
      </c>
      <c r="J948" s="12" t="s">
        <v>1784</v>
      </c>
      <c r="O948" s="12">
        <v>159.6</v>
      </c>
      <c r="P948" s="12">
        <v>2155172.0</v>
      </c>
      <c r="Q948" s="12" t="b">
        <v>1</v>
      </c>
    </row>
    <row r="949">
      <c r="A949" s="12" t="s">
        <v>5011</v>
      </c>
      <c r="B949" s="12" t="s">
        <v>54</v>
      </c>
      <c r="C949" s="14">
        <v>46150.0</v>
      </c>
      <c r="D949" s="12" t="s">
        <v>683</v>
      </c>
      <c r="E949" s="12" t="s">
        <v>5332</v>
      </c>
      <c r="G949" s="12" t="s">
        <v>5333</v>
      </c>
      <c r="H949" s="12" t="s">
        <v>859</v>
      </c>
      <c r="I949" s="12" t="b">
        <v>1</v>
      </c>
      <c r="J949" s="12" t="s">
        <v>1784</v>
      </c>
      <c r="O949" s="12">
        <v>300.0</v>
      </c>
      <c r="P949" s="12">
        <v>2171529.0</v>
      </c>
      <c r="Q949" s="12" t="b">
        <v>1</v>
      </c>
    </row>
    <row r="950">
      <c r="A950" s="12"/>
      <c r="B950" s="12"/>
      <c r="C950" s="14"/>
      <c r="D950" s="12"/>
      <c r="E950" s="12"/>
      <c r="G950" s="12"/>
      <c r="H950" s="12"/>
      <c r="I950" s="12"/>
      <c r="J950" s="12"/>
      <c r="Q950" s="12"/>
    </row>
    <row r="951">
      <c r="A951" s="12" t="s">
        <v>4970</v>
      </c>
      <c r="B951" s="12" t="s">
        <v>54</v>
      </c>
      <c r="C951" s="14">
        <v>46147.0</v>
      </c>
      <c r="D951" s="12" t="s">
        <v>435</v>
      </c>
      <c r="E951" s="12" t="s">
        <v>5338</v>
      </c>
      <c r="G951" s="12" t="s">
        <v>5340</v>
      </c>
      <c r="H951" s="12" t="s">
        <v>5341</v>
      </c>
      <c r="I951" s="12" t="b">
        <v>1</v>
      </c>
      <c r="J951" s="12" t="s">
        <v>1784</v>
      </c>
      <c r="O951" s="12">
        <v>174.52</v>
      </c>
      <c r="P951" s="12">
        <v>2171637.0</v>
      </c>
      <c r="Q951" s="12" t="b">
        <v>1</v>
      </c>
    </row>
    <row r="952">
      <c r="A952" s="12" t="s">
        <v>5013</v>
      </c>
      <c r="B952" s="12" t="s">
        <v>54</v>
      </c>
      <c r="C952" s="14">
        <v>46150.0</v>
      </c>
      <c r="D952" s="12" t="s">
        <v>5344</v>
      </c>
      <c r="E952" s="12" t="s">
        <v>5346</v>
      </c>
      <c r="G952" s="12" t="s">
        <v>5348</v>
      </c>
      <c r="H952" s="12" t="s">
        <v>5349</v>
      </c>
      <c r="I952" s="12" t="b">
        <v>1</v>
      </c>
      <c r="J952" s="12" t="s">
        <v>1784</v>
      </c>
      <c r="O952" s="12">
        <v>6.0</v>
      </c>
      <c r="P952" s="12">
        <v>2171638.0</v>
      </c>
      <c r="Q952" s="12" t="b">
        <v>1</v>
      </c>
    </row>
    <row r="953">
      <c r="A953" s="12" t="s">
        <v>5042</v>
      </c>
      <c r="B953" s="12" t="s">
        <v>54</v>
      </c>
      <c r="C953" s="14">
        <v>46151.0</v>
      </c>
      <c r="D953" s="12" t="s">
        <v>435</v>
      </c>
      <c r="E953" s="12" t="s">
        <v>5354</v>
      </c>
      <c r="G953" s="12" t="s">
        <v>5355</v>
      </c>
      <c r="H953" s="12" t="s">
        <v>5357</v>
      </c>
      <c r="I953" s="12" t="b">
        <v>1</v>
      </c>
      <c r="J953" s="12" t="s">
        <v>1784</v>
      </c>
      <c r="O953" s="12">
        <v>4.45</v>
      </c>
      <c r="P953" s="12">
        <v>2172766.0</v>
      </c>
      <c r="Q953" s="12" t="b">
        <v>1</v>
      </c>
    </row>
    <row r="954">
      <c r="A954" s="12" t="s">
        <v>5001</v>
      </c>
      <c r="B954" s="12" t="s">
        <v>54</v>
      </c>
      <c r="C954" s="14">
        <v>46149.0</v>
      </c>
      <c r="D954" s="12" t="s">
        <v>77</v>
      </c>
      <c r="E954" s="12" t="s">
        <v>5363</v>
      </c>
      <c r="G954" s="12" t="s">
        <v>5364</v>
      </c>
      <c r="H954" s="12" t="s">
        <v>5365</v>
      </c>
      <c r="I954" s="12" t="b">
        <v>1</v>
      </c>
      <c r="J954" s="12" t="s">
        <v>1784</v>
      </c>
      <c r="O954" s="12">
        <v>6.01</v>
      </c>
      <c r="P954" s="12">
        <v>2173171.0</v>
      </c>
      <c r="Q954" s="12" t="b">
        <v>1</v>
      </c>
    </row>
    <row r="955">
      <c r="A955" s="12" t="s">
        <v>5047</v>
      </c>
      <c r="B955" s="12" t="s">
        <v>54</v>
      </c>
      <c r="C955" s="14">
        <v>46152.0</v>
      </c>
      <c r="D955" s="12" t="s">
        <v>470</v>
      </c>
      <c r="E955" s="12" t="s">
        <v>5370</v>
      </c>
      <c r="G955" s="12" t="s">
        <v>5371</v>
      </c>
      <c r="H955" s="12" t="s">
        <v>3989</v>
      </c>
      <c r="I955" s="12" t="b">
        <v>1</v>
      </c>
      <c r="J955" s="12" t="s">
        <v>1784</v>
      </c>
      <c r="O955" s="12">
        <v>5.17</v>
      </c>
      <c r="P955" s="12">
        <v>2176388.0</v>
      </c>
      <c r="Q955" s="12" t="b">
        <v>1</v>
      </c>
    </row>
    <row r="956">
      <c r="A956" s="12" t="s">
        <v>2727</v>
      </c>
      <c r="B956" s="12" t="s">
        <v>54</v>
      </c>
      <c r="C956" s="14">
        <v>46154.0</v>
      </c>
      <c r="D956" s="12" t="s">
        <v>156</v>
      </c>
      <c r="H956" s="12" t="s">
        <v>5378</v>
      </c>
      <c r="J956" s="12" t="s">
        <v>621</v>
      </c>
      <c r="O956" s="12">
        <v>2082.0</v>
      </c>
      <c r="Q956" s="12" t="b">
        <v>1</v>
      </c>
    </row>
    <row r="957">
      <c r="A957" s="12" t="s">
        <v>2731</v>
      </c>
      <c r="B957" s="12" t="s">
        <v>54</v>
      </c>
      <c r="C957" s="14">
        <v>46154.0</v>
      </c>
      <c r="D957" s="12" t="s">
        <v>156</v>
      </c>
      <c r="H957" s="12" t="s">
        <v>5380</v>
      </c>
      <c r="J957" s="12" t="s">
        <v>621</v>
      </c>
      <c r="O957" s="12">
        <v>1148.42</v>
      </c>
      <c r="Q957" s="12" t="b">
        <v>1</v>
      </c>
    </row>
    <row r="958">
      <c r="A958" s="12" t="s">
        <v>5006</v>
      </c>
      <c r="B958" s="12" t="s">
        <v>54</v>
      </c>
      <c r="C958" s="14">
        <v>46149.0</v>
      </c>
      <c r="D958" s="12" t="s">
        <v>5383</v>
      </c>
      <c r="E958" s="12" t="s">
        <v>5384</v>
      </c>
      <c r="G958" s="12" t="s">
        <v>5386</v>
      </c>
      <c r="H958" s="12" t="s">
        <v>5388</v>
      </c>
      <c r="I958" s="12" t="b">
        <v>1</v>
      </c>
      <c r="J958" s="12" t="s">
        <v>1784</v>
      </c>
      <c r="O958" s="12">
        <v>360.0</v>
      </c>
      <c r="P958" s="12">
        <v>2178393.0</v>
      </c>
      <c r="Q958" s="12" t="b">
        <v>1</v>
      </c>
    </row>
    <row r="959">
      <c r="A959" s="12" t="s">
        <v>2735</v>
      </c>
      <c r="B959" s="12" t="s">
        <v>54</v>
      </c>
      <c r="C959" s="14">
        <v>46155.0</v>
      </c>
      <c r="H959" s="12" t="s">
        <v>5392</v>
      </c>
      <c r="J959" s="12" t="s">
        <v>191</v>
      </c>
      <c r="K959" s="12" t="s">
        <v>1183</v>
      </c>
      <c r="O959" s="12">
        <v>500.0</v>
      </c>
      <c r="Q959" s="12" t="b">
        <v>1</v>
      </c>
    </row>
    <row r="960">
      <c r="A960" s="12" t="s">
        <v>2737</v>
      </c>
      <c r="B960" s="12" t="s">
        <v>54</v>
      </c>
      <c r="C960" s="14">
        <v>46155.0</v>
      </c>
      <c r="H960" s="12" t="s">
        <v>5392</v>
      </c>
      <c r="J960" s="12" t="s">
        <v>191</v>
      </c>
      <c r="K960" s="12" t="s">
        <v>152</v>
      </c>
      <c r="O960" s="12">
        <v>500.0</v>
      </c>
      <c r="Q960" s="12" t="b">
        <v>1</v>
      </c>
    </row>
    <row r="961">
      <c r="A961" s="12" t="s">
        <v>2741</v>
      </c>
      <c r="B961" s="12" t="s">
        <v>54</v>
      </c>
      <c r="C961" s="14">
        <v>46155.0</v>
      </c>
      <c r="H961" s="12" t="s">
        <v>5392</v>
      </c>
      <c r="J961" s="12" t="s">
        <v>191</v>
      </c>
      <c r="K961" s="12" t="s">
        <v>62</v>
      </c>
      <c r="O961" s="12">
        <v>500.0</v>
      </c>
      <c r="Q961" s="12" t="b">
        <v>1</v>
      </c>
    </row>
    <row r="962">
      <c r="A962" s="12" t="s">
        <v>2746</v>
      </c>
      <c r="B962" s="12" t="s">
        <v>54</v>
      </c>
      <c r="C962" s="14">
        <v>46155.0</v>
      </c>
      <c r="H962" s="12" t="s">
        <v>5392</v>
      </c>
      <c r="J962" s="12" t="s">
        <v>191</v>
      </c>
      <c r="K962" s="12" t="s">
        <v>78</v>
      </c>
      <c r="O962" s="12">
        <v>500.0</v>
      </c>
      <c r="Q962" s="12" t="b">
        <v>1</v>
      </c>
    </row>
    <row r="963">
      <c r="A963" s="12" t="s">
        <v>5050</v>
      </c>
      <c r="B963" s="12" t="s">
        <v>54</v>
      </c>
      <c r="C963" s="14">
        <v>46154.0</v>
      </c>
      <c r="D963" s="12" t="s">
        <v>912</v>
      </c>
      <c r="E963" s="12" t="s">
        <v>5402</v>
      </c>
      <c r="G963" s="12" t="s">
        <v>5403</v>
      </c>
      <c r="H963" s="12" t="s">
        <v>5404</v>
      </c>
      <c r="I963" s="12" t="b">
        <v>0</v>
      </c>
      <c r="J963" s="12" t="s">
        <v>1784</v>
      </c>
      <c r="O963" s="12">
        <v>263.03</v>
      </c>
      <c r="Q963" s="12" t="b">
        <v>1</v>
      </c>
    </row>
    <row r="964">
      <c r="A964" s="12" t="s">
        <v>5059</v>
      </c>
      <c r="B964" s="12" t="s">
        <v>54</v>
      </c>
      <c r="C964" s="14">
        <v>46154.0</v>
      </c>
      <c r="D964" s="12" t="s">
        <v>912</v>
      </c>
      <c r="E964" s="12" t="s">
        <v>5407</v>
      </c>
      <c r="G964" s="12" t="s">
        <v>5408</v>
      </c>
      <c r="H964" s="12" t="s">
        <v>5411</v>
      </c>
      <c r="I964" s="12" t="b">
        <v>0</v>
      </c>
      <c r="J964" s="12" t="s">
        <v>1784</v>
      </c>
      <c r="O964" s="12">
        <v>112.38</v>
      </c>
      <c r="Q964" s="12" t="b">
        <v>1</v>
      </c>
    </row>
    <row r="965">
      <c r="A965" s="12" t="s">
        <v>5067</v>
      </c>
      <c r="B965" s="12" t="s">
        <v>54</v>
      </c>
      <c r="C965" s="14">
        <v>46154.0</v>
      </c>
      <c r="D965" s="12" t="s">
        <v>912</v>
      </c>
      <c r="E965" s="12" t="s">
        <v>5416</v>
      </c>
      <c r="G965" s="12" t="s">
        <v>5418</v>
      </c>
      <c r="H965" s="12" t="s">
        <v>5420</v>
      </c>
      <c r="I965" s="12" t="b">
        <v>0</v>
      </c>
      <c r="J965" s="12" t="s">
        <v>1784</v>
      </c>
      <c r="O965" s="12">
        <v>776.57</v>
      </c>
      <c r="Q965" s="12" t="b">
        <v>1</v>
      </c>
    </row>
    <row r="966">
      <c r="A966" s="12" t="s">
        <v>5072</v>
      </c>
      <c r="B966" s="12" t="s">
        <v>54</v>
      </c>
      <c r="C966" s="14">
        <v>46154.0</v>
      </c>
      <c r="D966" s="12" t="s">
        <v>912</v>
      </c>
      <c r="E966" s="12" t="s">
        <v>5425</v>
      </c>
      <c r="G966" s="12" t="s">
        <v>5426</v>
      </c>
      <c r="H966" s="12" t="s">
        <v>5427</v>
      </c>
      <c r="I966" s="12" t="b">
        <v>0</v>
      </c>
      <c r="J966" s="12" t="s">
        <v>1784</v>
      </c>
      <c r="L966" s="12" t="s">
        <v>5428</v>
      </c>
      <c r="O966" s="12">
        <v>7950.47</v>
      </c>
      <c r="Q966" s="12" t="b">
        <v>1</v>
      </c>
    </row>
    <row r="967">
      <c r="A967" s="12"/>
      <c r="B967" s="12"/>
      <c r="C967" s="14"/>
      <c r="D967" s="12"/>
      <c r="E967" s="12"/>
      <c r="G967" s="12"/>
      <c r="H967" s="12"/>
      <c r="I967" s="12"/>
      <c r="J967" s="12"/>
      <c r="Q967" s="12"/>
    </row>
    <row r="968">
      <c r="A968" s="12"/>
      <c r="B968" s="12"/>
      <c r="C968" s="14"/>
      <c r="D968" s="12"/>
      <c r="E968" s="12"/>
      <c r="G968" s="12"/>
      <c r="H968" s="12"/>
      <c r="I968" s="12"/>
      <c r="J968" s="12"/>
      <c r="L968" s="12"/>
      <c r="Q968" s="12"/>
    </row>
    <row r="969">
      <c r="A969" s="12"/>
      <c r="B969" s="12"/>
      <c r="C969" s="14"/>
      <c r="D969" s="12"/>
      <c r="E969" s="12"/>
      <c r="G969" s="12"/>
      <c r="H969" s="12"/>
      <c r="I969" s="12"/>
      <c r="J969" s="12"/>
      <c r="Q969" s="12"/>
    </row>
    <row r="970">
      <c r="A970" s="12"/>
      <c r="B970" s="12"/>
      <c r="C970" s="14"/>
      <c r="D970" s="12"/>
      <c r="E970" s="12"/>
      <c r="G970" s="12"/>
      <c r="H970" s="12"/>
      <c r="I970" s="12"/>
      <c r="J970" s="12"/>
      <c r="Q970" s="12"/>
    </row>
    <row r="971">
      <c r="A971" s="12" t="s">
        <v>5097</v>
      </c>
      <c r="B971" s="12" t="s">
        <v>54</v>
      </c>
      <c r="C971" s="14">
        <v>46156.0</v>
      </c>
      <c r="D971" s="12" t="s">
        <v>5383</v>
      </c>
      <c r="E971" s="12" t="s">
        <v>5449</v>
      </c>
      <c r="G971" s="12" t="s">
        <v>5451</v>
      </c>
      <c r="H971" s="12" t="s">
        <v>5452</v>
      </c>
      <c r="I971" s="12" t="b">
        <v>1</v>
      </c>
      <c r="J971" s="12" t="s">
        <v>1784</v>
      </c>
      <c r="O971" s="12">
        <v>9.5</v>
      </c>
      <c r="P971" s="12">
        <v>2179927.0</v>
      </c>
      <c r="Q971" s="12" t="b">
        <v>1</v>
      </c>
    </row>
    <row r="972">
      <c r="A972" s="12" t="s">
        <v>5101</v>
      </c>
      <c r="B972" s="12" t="s">
        <v>54</v>
      </c>
      <c r="C972" s="14">
        <v>46156.0</v>
      </c>
      <c r="D972" s="12" t="s">
        <v>77</v>
      </c>
      <c r="E972" s="12" t="s">
        <v>5456</v>
      </c>
      <c r="G972" s="12" t="s">
        <v>5459</v>
      </c>
      <c r="H972" s="12" t="s">
        <v>5365</v>
      </c>
      <c r="I972" s="12" t="b">
        <v>1</v>
      </c>
      <c r="J972" s="12" t="s">
        <v>1784</v>
      </c>
      <c r="O972" s="12">
        <v>3.59</v>
      </c>
      <c r="P972" s="12">
        <v>2179929.0</v>
      </c>
      <c r="Q972" s="12" t="b">
        <v>1</v>
      </c>
    </row>
    <row r="973">
      <c r="A973" s="12" t="s">
        <v>5103</v>
      </c>
      <c r="B973" s="12" t="s">
        <v>54</v>
      </c>
      <c r="C973" s="14">
        <v>46157.0</v>
      </c>
      <c r="D973" s="12" t="s">
        <v>5383</v>
      </c>
      <c r="E973" s="12" t="s">
        <v>5463</v>
      </c>
      <c r="G973" s="12" t="s">
        <v>5465</v>
      </c>
      <c r="H973" s="12" t="s">
        <v>4829</v>
      </c>
      <c r="I973" s="12" t="b">
        <v>1</v>
      </c>
      <c r="J973" s="12" t="s">
        <v>1784</v>
      </c>
      <c r="O973" s="12">
        <v>52.0</v>
      </c>
      <c r="P973" s="12">
        <v>2181119.0</v>
      </c>
      <c r="Q973" s="12" t="b">
        <v>1</v>
      </c>
    </row>
    <row r="974">
      <c r="A974" s="12" t="s">
        <v>5108</v>
      </c>
      <c r="B974" s="12" t="s">
        <v>54</v>
      </c>
      <c r="C974" s="14">
        <v>46157.0</v>
      </c>
      <c r="D974" s="12" t="s">
        <v>5468</v>
      </c>
      <c r="E974" s="12" t="s">
        <v>5469</v>
      </c>
      <c r="G974" s="12" t="s">
        <v>5471</v>
      </c>
      <c r="H974" s="12" t="s">
        <v>5472</v>
      </c>
      <c r="I974" s="12" t="b">
        <v>1</v>
      </c>
      <c r="J974" s="12" t="s">
        <v>1784</v>
      </c>
      <c r="O974" s="12">
        <v>3.9</v>
      </c>
      <c r="P974" s="12">
        <v>2181116.0</v>
      </c>
      <c r="Q974" s="12" t="b">
        <v>1</v>
      </c>
    </row>
    <row r="975">
      <c r="A975" s="12" t="s">
        <v>5017</v>
      </c>
      <c r="B975" s="12" t="s">
        <v>54</v>
      </c>
      <c r="C975" s="14">
        <v>46150.0</v>
      </c>
      <c r="D975" s="12" t="s">
        <v>220</v>
      </c>
      <c r="E975" s="12" t="s">
        <v>5475</v>
      </c>
      <c r="G975" s="12" t="s">
        <v>5476</v>
      </c>
      <c r="H975" s="12" t="s">
        <v>5477</v>
      </c>
      <c r="I975" s="12" t="b">
        <v>1</v>
      </c>
      <c r="J975" s="12" t="s">
        <v>1784</v>
      </c>
      <c r="O975" s="12">
        <v>296.21</v>
      </c>
      <c r="P975" s="12">
        <v>2181112.0</v>
      </c>
      <c r="Q975" s="12" t="b">
        <v>1</v>
      </c>
    </row>
    <row r="976">
      <c r="A976" s="12" t="s">
        <v>5112</v>
      </c>
      <c r="B976" s="12" t="s">
        <v>54</v>
      </c>
      <c r="C976" s="14">
        <v>46157.0</v>
      </c>
      <c r="D976" s="12" t="s">
        <v>1103</v>
      </c>
      <c r="E976" s="12" t="s">
        <v>5481</v>
      </c>
      <c r="G976" s="12" t="s">
        <v>5482</v>
      </c>
      <c r="H976" s="12" t="s">
        <v>153</v>
      </c>
      <c r="I976" s="12" t="b">
        <v>1</v>
      </c>
      <c r="J976" s="12" t="s">
        <v>1784</v>
      </c>
      <c r="O976" s="12">
        <v>114.0</v>
      </c>
      <c r="P976" s="12">
        <v>2181033.0</v>
      </c>
      <c r="Q976" s="12" t="b">
        <v>1</v>
      </c>
    </row>
    <row r="977">
      <c r="A977" s="12" t="s">
        <v>4950</v>
      </c>
      <c r="B977" s="12" t="s">
        <v>54</v>
      </c>
      <c r="C977" s="14">
        <v>46140.0</v>
      </c>
      <c r="D977" s="12" t="s">
        <v>912</v>
      </c>
      <c r="E977" s="12" t="s">
        <v>5487</v>
      </c>
      <c r="G977" s="12" t="s">
        <v>5488</v>
      </c>
      <c r="H977" s="12" t="s">
        <v>5489</v>
      </c>
      <c r="I977" s="12" t="b">
        <v>0</v>
      </c>
      <c r="J977" s="12" t="s">
        <v>1784</v>
      </c>
      <c r="O977" s="12">
        <v>139.61</v>
      </c>
      <c r="Q977" s="12" t="b">
        <v>1</v>
      </c>
    </row>
    <row r="978">
      <c r="A978" s="12">
        <v>1533.0</v>
      </c>
      <c r="B978" s="12" t="s">
        <v>54</v>
      </c>
      <c r="C978" s="14">
        <v>46159.0</v>
      </c>
      <c r="D978" s="12" t="s">
        <v>156</v>
      </c>
      <c r="H978" s="12" t="s">
        <v>1905</v>
      </c>
      <c r="J978" s="12" t="s">
        <v>621</v>
      </c>
      <c r="O978" s="12">
        <v>625.0</v>
      </c>
      <c r="Q978" s="12" t="b">
        <v>1</v>
      </c>
    </row>
    <row r="979">
      <c r="A979" s="12">
        <v>1534.0</v>
      </c>
      <c r="B979" s="12" t="s">
        <v>54</v>
      </c>
      <c r="C979" s="14">
        <v>46159.0</v>
      </c>
      <c r="D979" s="12" t="s">
        <v>156</v>
      </c>
      <c r="H979" s="12" t="s">
        <v>1909</v>
      </c>
      <c r="J979" s="12" t="s">
        <v>621</v>
      </c>
      <c r="O979" s="12">
        <v>396.0</v>
      </c>
      <c r="Q979" s="12" t="b">
        <v>1</v>
      </c>
    </row>
    <row r="980">
      <c r="A980" s="12">
        <v>1535.0</v>
      </c>
      <c r="B980" s="12" t="s">
        <v>54</v>
      </c>
      <c r="C980" s="14">
        <v>46159.0</v>
      </c>
      <c r="D980" s="12" t="s">
        <v>1914</v>
      </c>
      <c r="H980" s="12" t="s">
        <v>1916</v>
      </c>
      <c r="J980" s="12" t="s">
        <v>621</v>
      </c>
      <c r="O980" s="12">
        <v>1110.0</v>
      </c>
      <c r="Q980" s="12" t="b">
        <v>1</v>
      </c>
    </row>
    <row r="981">
      <c r="A981" s="12" t="s">
        <v>5121</v>
      </c>
      <c r="B981" s="12" t="s">
        <v>54</v>
      </c>
      <c r="C981" s="14">
        <v>46157.0</v>
      </c>
      <c r="D981" s="12" t="s">
        <v>220</v>
      </c>
      <c r="E981" s="12" t="s">
        <v>5497</v>
      </c>
      <c r="G981" s="12" t="s">
        <v>5498</v>
      </c>
      <c r="H981" s="12" t="s">
        <v>2402</v>
      </c>
      <c r="I981" s="12" t="b">
        <v>1</v>
      </c>
      <c r="J981" s="12" t="s">
        <v>1784</v>
      </c>
      <c r="O981" s="12">
        <v>345.45</v>
      </c>
      <c r="P981" s="12">
        <v>2186154.0</v>
      </c>
      <c r="Q981" s="12" t="b">
        <v>1</v>
      </c>
    </row>
    <row r="982">
      <c r="A982" s="12" t="s">
        <v>5154</v>
      </c>
      <c r="B982" s="12" t="s">
        <v>54</v>
      </c>
      <c r="C982" s="14">
        <v>46159.0</v>
      </c>
      <c r="D982" s="12" t="s">
        <v>435</v>
      </c>
      <c r="E982" s="12" t="s">
        <v>5502</v>
      </c>
      <c r="G982" s="12" t="s">
        <v>5503</v>
      </c>
      <c r="H982" s="12" t="s">
        <v>880</v>
      </c>
      <c r="I982" s="12" t="b">
        <v>1</v>
      </c>
      <c r="J982" s="12" t="s">
        <v>1784</v>
      </c>
      <c r="O982" s="12">
        <v>7.11</v>
      </c>
      <c r="P982" s="12">
        <v>2186155.0</v>
      </c>
      <c r="Q982" s="12" t="b">
        <v>1</v>
      </c>
    </row>
    <row r="983">
      <c r="A983" s="12" t="s">
        <v>5159</v>
      </c>
      <c r="B983" s="12" t="s">
        <v>54</v>
      </c>
      <c r="C983" s="14">
        <v>46160.0</v>
      </c>
      <c r="D983" s="12" t="s">
        <v>5383</v>
      </c>
      <c r="E983" s="12" t="s">
        <v>5507</v>
      </c>
      <c r="G983" s="12" t="s">
        <v>5509</v>
      </c>
      <c r="H983" s="12" t="s">
        <v>328</v>
      </c>
      <c r="I983" s="12" t="b">
        <v>1</v>
      </c>
      <c r="J983" s="12" t="s">
        <v>1784</v>
      </c>
      <c r="O983" s="12">
        <v>13.5</v>
      </c>
      <c r="P983" s="12">
        <v>2186158.0</v>
      </c>
      <c r="Q983" s="12" t="b">
        <v>1</v>
      </c>
    </row>
    <row r="984">
      <c r="A984" s="12" t="s">
        <v>5161</v>
      </c>
      <c r="B984" s="12" t="s">
        <v>54</v>
      </c>
      <c r="C984" s="14">
        <v>46160.0</v>
      </c>
      <c r="D984" s="12" t="s">
        <v>175</v>
      </c>
      <c r="E984" s="12" t="s">
        <v>5512</v>
      </c>
      <c r="G984" s="12" t="s">
        <v>5514</v>
      </c>
      <c r="H984" s="12" t="s">
        <v>5515</v>
      </c>
      <c r="I984" s="12" t="b">
        <v>1</v>
      </c>
      <c r="J984" s="12" t="s">
        <v>1784</v>
      </c>
      <c r="O984" s="12">
        <v>15.0</v>
      </c>
      <c r="P984" s="12">
        <v>2186156.0</v>
      </c>
      <c r="Q984" s="12" t="b">
        <v>1</v>
      </c>
    </row>
    <row r="985">
      <c r="A985" s="12" t="s">
        <v>5163</v>
      </c>
      <c r="B985" s="12" t="s">
        <v>54</v>
      </c>
      <c r="C985" s="14">
        <v>46160.0</v>
      </c>
      <c r="D985" s="12" t="s">
        <v>683</v>
      </c>
      <c r="E985" s="12" t="s">
        <v>5518</v>
      </c>
      <c r="G985" s="12" t="s">
        <v>5520</v>
      </c>
      <c r="H985" s="12" t="s">
        <v>5521</v>
      </c>
      <c r="I985" s="12" t="b">
        <v>1</v>
      </c>
      <c r="J985" s="12" t="s">
        <v>1784</v>
      </c>
      <c r="O985" s="12">
        <v>280.0</v>
      </c>
      <c r="P985" s="12">
        <v>2186268.0</v>
      </c>
      <c r="Q985" s="12" t="b">
        <v>1</v>
      </c>
    </row>
    <row r="986">
      <c r="A986" s="12" t="s">
        <v>5168</v>
      </c>
      <c r="B986" s="12" t="s">
        <v>54</v>
      </c>
      <c r="C986" s="14">
        <v>46161.0</v>
      </c>
      <c r="D986" s="12" t="s">
        <v>77</v>
      </c>
      <c r="E986" s="12" t="s">
        <v>5526</v>
      </c>
      <c r="G986" s="12" t="s">
        <v>5527</v>
      </c>
      <c r="H986" s="12" t="s">
        <v>5528</v>
      </c>
      <c r="I986" s="12" t="b">
        <v>1</v>
      </c>
      <c r="J986" s="12" t="s">
        <v>1784</v>
      </c>
      <c r="O986" s="12">
        <v>8.8</v>
      </c>
      <c r="P986" s="12">
        <v>2187454.0</v>
      </c>
      <c r="Q986" s="12" t="b">
        <v>1</v>
      </c>
    </row>
    <row r="987">
      <c r="A987" s="12">
        <v>1532.0</v>
      </c>
      <c r="B987" s="12" t="s">
        <v>54</v>
      </c>
      <c r="C987" s="14">
        <v>46161.0</v>
      </c>
      <c r="D987" s="12" t="s">
        <v>689</v>
      </c>
      <c r="H987" s="12" t="s">
        <v>959</v>
      </c>
      <c r="J987" s="12" t="s">
        <v>621</v>
      </c>
      <c r="O987" s="12">
        <v>5300.0</v>
      </c>
      <c r="Q987" s="12" t="b">
        <v>1</v>
      </c>
    </row>
    <row r="988">
      <c r="A988" s="12">
        <v>1537.0</v>
      </c>
      <c r="B988" s="12" t="s">
        <v>54</v>
      </c>
      <c r="C988" s="14">
        <v>46161.0</v>
      </c>
      <c r="D988" s="12" t="s">
        <v>933</v>
      </c>
      <c r="H988" s="12" t="s">
        <v>1494</v>
      </c>
      <c r="J988" s="12" t="s">
        <v>621</v>
      </c>
      <c r="O988" s="12">
        <v>6336.67</v>
      </c>
      <c r="Q988" s="12" t="b">
        <v>1</v>
      </c>
    </row>
    <row r="989">
      <c r="A989" s="12" t="s">
        <v>5091</v>
      </c>
      <c r="B989" s="12" t="s">
        <v>54</v>
      </c>
      <c r="C989" s="14">
        <v>46155.0</v>
      </c>
      <c r="D989" s="12" t="s">
        <v>5536</v>
      </c>
      <c r="E989" s="12" t="s">
        <v>5538</v>
      </c>
      <c r="G989" s="12" t="s">
        <v>5539</v>
      </c>
      <c r="H989" s="12" t="s">
        <v>5540</v>
      </c>
      <c r="I989" s="12" t="b">
        <v>0</v>
      </c>
      <c r="J989" s="12" t="s">
        <v>1784</v>
      </c>
      <c r="O989" s="12">
        <v>1909.6</v>
      </c>
      <c r="Q989" s="12" t="b">
        <v>1</v>
      </c>
    </row>
    <row r="990">
      <c r="A990" s="12" t="s">
        <v>5177</v>
      </c>
      <c r="B990" s="12" t="s">
        <v>54</v>
      </c>
      <c r="C990" s="14">
        <v>46162.0</v>
      </c>
      <c r="D990" s="12" t="s">
        <v>5542</v>
      </c>
      <c r="E990" s="12" t="s">
        <v>5543</v>
      </c>
      <c r="G990" s="12" t="s">
        <v>5544</v>
      </c>
      <c r="H990" s="12" t="s">
        <v>5546</v>
      </c>
      <c r="I990" s="12" t="b">
        <v>1</v>
      </c>
      <c r="J990" s="12" t="s">
        <v>1784</v>
      </c>
      <c r="O990" s="12">
        <v>290.0</v>
      </c>
      <c r="P990" s="12">
        <v>2188612.0</v>
      </c>
      <c r="Q990" s="12" t="b">
        <v>1</v>
      </c>
    </row>
    <row r="991">
      <c r="A991" s="12">
        <v>1538.0</v>
      </c>
      <c r="B991" s="12" t="s">
        <v>54</v>
      </c>
      <c r="C991" s="14">
        <v>46162.0</v>
      </c>
      <c r="D991" s="12" t="s">
        <v>734</v>
      </c>
      <c r="H991" s="12" t="s">
        <v>1466</v>
      </c>
      <c r="J991" s="12" t="s">
        <v>621</v>
      </c>
      <c r="O991" s="12">
        <v>1314.21</v>
      </c>
      <c r="Q991" s="12" t="b">
        <v>1</v>
      </c>
    </row>
    <row r="992">
      <c r="A992" s="12">
        <v>1539.0</v>
      </c>
      <c r="B992" s="12" t="s">
        <v>54</v>
      </c>
      <c r="C992" s="14">
        <v>46162.0</v>
      </c>
      <c r="D992" s="12" t="s">
        <v>1067</v>
      </c>
      <c r="H992" s="12" t="s">
        <v>1068</v>
      </c>
      <c r="J992" s="12" t="s">
        <v>621</v>
      </c>
      <c r="O992" s="12">
        <v>1040.0</v>
      </c>
      <c r="Q992" s="12" t="b">
        <v>1</v>
      </c>
    </row>
    <row r="993">
      <c r="A993" s="12">
        <v>1540.0</v>
      </c>
      <c r="B993" s="12" t="s">
        <v>54</v>
      </c>
      <c r="C993" s="14">
        <v>46162.0</v>
      </c>
      <c r="D993" s="12" t="s">
        <v>1484</v>
      </c>
      <c r="H993" s="12" t="s">
        <v>1485</v>
      </c>
      <c r="J993" s="12" t="s">
        <v>621</v>
      </c>
      <c r="O993" s="12">
        <v>20.0</v>
      </c>
      <c r="Q993" s="12" t="b">
        <v>1</v>
      </c>
    </row>
    <row r="994">
      <c r="A994" s="12" t="s">
        <v>2766</v>
      </c>
      <c r="B994" s="12" t="s">
        <v>54</v>
      </c>
      <c r="C994" s="14">
        <v>46162.0</v>
      </c>
      <c r="D994" s="12" t="s">
        <v>1715</v>
      </c>
      <c r="H994" s="12" t="s">
        <v>45</v>
      </c>
      <c r="J994" s="12" t="s">
        <v>621</v>
      </c>
      <c r="O994" s="12">
        <v>588.5</v>
      </c>
      <c r="Q994" s="12" t="b">
        <v>1</v>
      </c>
    </row>
    <row r="995">
      <c r="A995" s="12">
        <v>1554.0</v>
      </c>
      <c r="B995" s="12" t="s">
        <v>54</v>
      </c>
      <c r="C995" s="14">
        <v>46162.0</v>
      </c>
      <c r="D995" s="12" t="s">
        <v>818</v>
      </c>
      <c r="H995" s="12" t="s">
        <v>819</v>
      </c>
      <c r="J995" s="12" t="s">
        <v>621</v>
      </c>
      <c r="O995" s="12">
        <v>185.29</v>
      </c>
      <c r="Q995" s="12" t="b">
        <v>1</v>
      </c>
    </row>
    <row r="996">
      <c r="A996" s="12" t="s">
        <v>5080</v>
      </c>
      <c r="B996" s="12" t="s">
        <v>54</v>
      </c>
      <c r="C996" s="14">
        <v>46154.0</v>
      </c>
      <c r="D996" s="12" t="s">
        <v>912</v>
      </c>
      <c r="E996" s="12" t="s">
        <v>5556</v>
      </c>
      <c r="G996" s="12" t="s">
        <v>5557</v>
      </c>
      <c r="H996" s="12" t="s">
        <v>5558</v>
      </c>
      <c r="I996" s="12" t="b">
        <v>0</v>
      </c>
      <c r="J996" s="12" t="s">
        <v>1784</v>
      </c>
      <c r="O996" s="12">
        <v>279.23</v>
      </c>
      <c r="Q996" s="12" t="b">
        <v>1</v>
      </c>
    </row>
    <row r="997">
      <c r="A997" s="12"/>
      <c r="B997" s="12"/>
      <c r="C997" s="14"/>
      <c r="D997" s="12"/>
      <c r="E997" s="12"/>
      <c r="G997" s="12"/>
      <c r="H997" s="12"/>
      <c r="I997" s="12"/>
      <c r="J997" s="12"/>
      <c r="Q997" s="12"/>
    </row>
    <row r="998">
      <c r="A998" s="12" t="s">
        <v>2771</v>
      </c>
      <c r="B998" s="12" t="s">
        <v>54</v>
      </c>
      <c r="C998" s="14">
        <v>46163.0</v>
      </c>
      <c r="D998" s="12" t="s">
        <v>4420</v>
      </c>
      <c r="H998" s="12" t="s">
        <v>3112</v>
      </c>
      <c r="J998" s="12" t="s">
        <v>621</v>
      </c>
      <c r="O998" s="12">
        <v>1292.72</v>
      </c>
      <c r="Q998" s="12" t="b">
        <v>1</v>
      </c>
    </row>
    <row r="999">
      <c r="A999" s="12" t="s">
        <v>5173</v>
      </c>
      <c r="B999" s="12" t="s">
        <v>54</v>
      </c>
      <c r="C999" s="14">
        <v>46164.0</v>
      </c>
      <c r="D999" s="12" t="s">
        <v>683</v>
      </c>
      <c r="E999" s="12" t="s">
        <v>5567</v>
      </c>
      <c r="G999" s="12" t="s">
        <v>5568</v>
      </c>
      <c r="H999" s="12" t="s">
        <v>687</v>
      </c>
      <c r="I999" s="12" t="b">
        <v>1</v>
      </c>
      <c r="J999" s="12" t="s">
        <v>1784</v>
      </c>
      <c r="O999" s="12">
        <v>300.0</v>
      </c>
      <c r="P999" s="12">
        <v>2190850.0</v>
      </c>
      <c r="Q999" s="12" t="b">
        <v>1</v>
      </c>
    </row>
    <row r="1000">
      <c r="A1000" s="12"/>
      <c r="B1000" s="12"/>
      <c r="C1000" s="14"/>
      <c r="D1000" s="12"/>
      <c r="E1000" s="12"/>
      <c r="G1000" s="12"/>
      <c r="H1000" s="12"/>
      <c r="I1000" s="12"/>
      <c r="J1000" s="12"/>
      <c r="Q1000" s="12"/>
    </row>
    <row r="1001">
      <c r="A1001" s="12" t="s">
        <v>5189</v>
      </c>
      <c r="B1001" s="12" t="s">
        <v>54</v>
      </c>
      <c r="C1001" s="14">
        <v>46164.0</v>
      </c>
      <c r="D1001" s="12" t="s">
        <v>175</v>
      </c>
      <c r="E1001" s="12" t="s">
        <v>5573</v>
      </c>
      <c r="G1001" s="12" t="s">
        <v>5575</v>
      </c>
      <c r="H1001" s="12" t="s">
        <v>5576</v>
      </c>
      <c r="I1001" s="12" t="b">
        <v>1</v>
      </c>
      <c r="J1001" s="12" t="s">
        <v>1784</v>
      </c>
      <c r="O1001" s="12">
        <v>20.0</v>
      </c>
      <c r="P1001" s="12">
        <v>2191113.0</v>
      </c>
      <c r="Q1001" s="12" t="b">
        <v>1</v>
      </c>
    </row>
    <row r="1002">
      <c r="A1002" s="12" t="s">
        <v>5232</v>
      </c>
      <c r="B1002" s="12" t="s">
        <v>54</v>
      </c>
      <c r="C1002" s="14">
        <v>46166.0</v>
      </c>
      <c r="D1002" s="12" t="s">
        <v>77</v>
      </c>
      <c r="E1002" s="12" t="s">
        <v>5579</v>
      </c>
      <c r="G1002" s="12" t="s">
        <v>5581</v>
      </c>
      <c r="H1002" s="12" t="s">
        <v>5582</v>
      </c>
      <c r="I1002" s="12" t="b">
        <v>1</v>
      </c>
      <c r="J1002" s="12" t="s">
        <v>1784</v>
      </c>
      <c r="O1002" s="12">
        <v>9.99</v>
      </c>
      <c r="P1002" s="12">
        <v>2193456.0</v>
      </c>
      <c r="Q1002" s="12" t="b">
        <v>1</v>
      </c>
    </row>
    <row r="1003">
      <c r="A1003" s="12" t="s">
        <v>5234</v>
      </c>
      <c r="B1003" s="12" t="s">
        <v>54</v>
      </c>
      <c r="C1003" s="14">
        <v>46166.0</v>
      </c>
      <c r="D1003" s="12" t="s">
        <v>77</v>
      </c>
      <c r="E1003" s="12" t="s">
        <v>5585</v>
      </c>
      <c r="G1003" s="12" t="s">
        <v>5586</v>
      </c>
      <c r="H1003" s="12" t="s">
        <v>2540</v>
      </c>
      <c r="I1003" s="12" t="b">
        <v>1</v>
      </c>
      <c r="J1003" s="12" t="s">
        <v>1784</v>
      </c>
      <c r="O1003" s="12">
        <v>19.92</v>
      </c>
      <c r="P1003" s="12">
        <v>2193453.0</v>
      </c>
      <c r="Q1003" s="12" t="b">
        <v>1</v>
      </c>
    </row>
    <row r="1004">
      <c r="A1004" s="12" t="s">
        <v>5191</v>
      </c>
      <c r="B1004" s="12" t="s">
        <v>54</v>
      </c>
      <c r="C1004" s="14">
        <v>46164.0</v>
      </c>
      <c r="D1004" s="12" t="s">
        <v>220</v>
      </c>
      <c r="E1004" s="12" t="s">
        <v>5590</v>
      </c>
      <c r="G1004" s="12" t="s">
        <v>5591</v>
      </c>
      <c r="H1004" s="12" t="s">
        <v>2402</v>
      </c>
      <c r="I1004" s="12" t="b">
        <v>1</v>
      </c>
      <c r="J1004" s="12" t="s">
        <v>1784</v>
      </c>
      <c r="O1004" s="12">
        <v>302.1</v>
      </c>
      <c r="P1004" s="12">
        <v>2195678.0</v>
      </c>
      <c r="Q1004" s="12" t="b">
        <v>1</v>
      </c>
    </row>
    <row r="1005">
      <c r="A1005" s="12" t="s">
        <v>5229</v>
      </c>
      <c r="B1005" s="12" t="s">
        <v>54</v>
      </c>
      <c r="C1005" s="14">
        <v>46165.0</v>
      </c>
      <c r="D1005" s="12" t="s">
        <v>220</v>
      </c>
      <c r="E1005" s="12" t="s">
        <v>5594</v>
      </c>
      <c r="G1005" s="12" t="s">
        <v>5595</v>
      </c>
      <c r="H1005" s="12" t="s">
        <v>5596</v>
      </c>
      <c r="I1005" s="12" t="b">
        <v>1</v>
      </c>
      <c r="J1005" s="12" t="s">
        <v>1784</v>
      </c>
      <c r="O1005" s="12">
        <v>5.26</v>
      </c>
      <c r="P1005" s="12">
        <v>2195676.0</v>
      </c>
      <c r="Q1005" s="12" t="b">
        <v>1</v>
      </c>
    </row>
    <row r="1006">
      <c r="A1006" s="12" t="s">
        <v>5238</v>
      </c>
      <c r="B1006" s="12" t="s">
        <v>54</v>
      </c>
      <c r="C1006" s="14">
        <v>46167.0</v>
      </c>
      <c r="D1006" s="12" t="s">
        <v>4411</v>
      </c>
      <c r="E1006" s="12" t="s">
        <v>5599</v>
      </c>
      <c r="G1006" s="12" t="s">
        <v>5600</v>
      </c>
      <c r="H1006" s="12" t="s">
        <v>5311</v>
      </c>
      <c r="I1006" s="12" t="b">
        <v>1</v>
      </c>
      <c r="J1006" s="12" t="s">
        <v>1784</v>
      </c>
      <c r="O1006" s="12">
        <v>225.0</v>
      </c>
      <c r="P1006" s="12">
        <v>2195675.0</v>
      </c>
      <c r="Q1006" s="12" t="b">
        <v>1</v>
      </c>
    </row>
    <row r="1007">
      <c r="A1007" s="12" t="s">
        <v>5152</v>
      </c>
      <c r="B1007" s="12" t="s">
        <v>54</v>
      </c>
      <c r="C1007" s="14">
        <v>46158.0</v>
      </c>
      <c r="D1007" s="12" t="s">
        <v>5604</v>
      </c>
      <c r="E1007" s="12" t="s">
        <v>5610</v>
      </c>
      <c r="G1007" s="12" t="s">
        <v>5611</v>
      </c>
      <c r="H1007" s="12" t="s">
        <v>5612</v>
      </c>
      <c r="I1007" s="12" t="b">
        <v>1</v>
      </c>
      <c r="J1007" s="12" t="s">
        <v>1784</v>
      </c>
      <c r="O1007" s="12">
        <v>300.0</v>
      </c>
      <c r="P1007" s="12">
        <v>2182142.0</v>
      </c>
      <c r="Q1007" s="12" t="b">
        <v>1</v>
      </c>
    </row>
    <row r="1008">
      <c r="A1008" s="12" t="s">
        <v>5180</v>
      </c>
      <c r="B1008" s="12" t="s">
        <v>54</v>
      </c>
      <c r="C1008" s="14">
        <v>46162.0</v>
      </c>
      <c r="D1008" s="12" t="s">
        <v>156</v>
      </c>
      <c r="E1008" s="12" t="s">
        <v>5615</v>
      </c>
      <c r="G1008" s="12" t="s">
        <v>5616</v>
      </c>
      <c r="H1008" s="12" t="s">
        <v>5617</v>
      </c>
      <c r="I1008" s="12" t="b">
        <v>0</v>
      </c>
      <c r="J1008" s="12" t="s">
        <v>1784</v>
      </c>
      <c r="O1008" s="12">
        <v>1681.72</v>
      </c>
      <c r="Q1008" s="12" t="b">
        <v>1</v>
      </c>
    </row>
    <row r="1009">
      <c r="A1009" s="12"/>
      <c r="B1009" s="12"/>
      <c r="C1009" s="14"/>
      <c r="D1009" s="12"/>
      <c r="E1009" s="12"/>
      <c r="G1009" s="12"/>
      <c r="H1009" s="12"/>
      <c r="I1009" s="12"/>
      <c r="J1009" s="12"/>
      <c r="Q1009" s="12"/>
    </row>
    <row r="1010">
      <c r="A1010" s="12" t="s">
        <v>5225</v>
      </c>
      <c r="B1010" s="12" t="s">
        <v>54</v>
      </c>
      <c r="C1010" s="14">
        <v>46164.0</v>
      </c>
      <c r="D1010" s="12">
        <v>6.8893939E7</v>
      </c>
      <c r="E1010" s="12" t="s">
        <v>5624</v>
      </c>
      <c r="G1010" s="12" t="s">
        <v>5626</v>
      </c>
      <c r="H1010" s="12" t="s">
        <v>715</v>
      </c>
      <c r="I1010" s="12" t="b">
        <v>0</v>
      </c>
      <c r="J1010" s="12" t="s">
        <v>1784</v>
      </c>
      <c r="O1010" s="12">
        <v>1203.21</v>
      </c>
      <c r="Q1010" s="12" t="b">
        <v>1</v>
      </c>
    </row>
    <row r="1011">
      <c r="A1011" s="12"/>
      <c r="B1011" s="12"/>
      <c r="C1011" s="14"/>
      <c r="D1011" s="12"/>
      <c r="E1011" s="12"/>
      <c r="G1011" s="12"/>
      <c r="H1011" s="12"/>
      <c r="I1011" s="12"/>
      <c r="J1011" s="12"/>
      <c r="Q1011" s="12"/>
    </row>
    <row r="1012">
      <c r="A1012" s="12" t="s">
        <v>5240</v>
      </c>
      <c r="B1012" s="12" t="s">
        <v>54</v>
      </c>
      <c r="C1012" s="14">
        <v>46168.0</v>
      </c>
      <c r="D1012" s="12" t="s">
        <v>441</v>
      </c>
      <c r="E1012" s="12" t="s">
        <v>5636</v>
      </c>
      <c r="G1012" s="12" t="s">
        <v>5637</v>
      </c>
      <c r="H1012" s="12" t="s">
        <v>5638</v>
      </c>
      <c r="I1012" s="12" t="b">
        <v>1</v>
      </c>
      <c r="J1012" s="12" t="s">
        <v>1784</v>
      </c>
      <c r="O1012" s="12">
        <v>168.0</v>
      </c>
      <c r="P1012" s="12">
        <v>2196908.0</v>
      </c>
      <c r="Q1012" s="12" t="b">
        <v>1</v>
      </c>
    </row>
    <row r="1013">
      <c r="A1013" s="12" t="s">
        <v>5244</v>
      </c>
      <c r="B1013" s="12" t="s">
        <v>54</v>
      </c>
      <c r="C1013" s="14">
        <v>46168.0</v>
      </c>
      <c r="D1013" s="12" t="s">
        <v>5643</v>
      </c>
      <c r="E1013" s="12" t="s">
        <v>5644</v>
      </c>
      <c r="G1013" s="12" t="s">
        <v>5645</v>
      </c>
      <c r="H1013" s="12" t="s">
        <v>5646</v>
      </c>
      <c r="I1013" s="12" t="b">
        <v>1</v>
      </c>
      <c r="J1013" s="12" t="s">
        <v>1784</v>
      </c>
      <c r="O1013" s="12">
        <v>30.0</v>
      </c>
      <c r="P1013" s="12">
        <v>2197022.0</v>
      </c>
      <c r="Q1013" s="12" t="b">
        <v>1</v>
      </c>
    </row>
    <row r="1014">
      <c r="A1014" s="12" t="s">
        <v>5250</v>
      </c>
      <c r="B1014" s="12" t="s">
        <v>54</v>
      </c>
      <c r="C1014" s="14">
        <v>46169.0</v>
      </c>
      <c r="D1014" s="12" t="s">
        <v>190</v>
      </c>
      <c r="E1014" s="12" t="s">
        <v>5650</v>
      </c>
      <c r="G1014" s="12" t="s">
        <v>5651</v>
      </c>
      <c r="H1014" s="12" t="s">
        <v>328</v>
      </c>
      <c r="I1014" s="12" t="b">
        <v>1</v>
      </c>
      <c r="J1014" s="12" t="s">
        <v>1784</v>
      </c>
      <c r="O1014" s="12">
        <v>27.5</v>
      </c>
      <c r="P1014" s="12">
        <v>2198369.0</v>
      </c>
      <c r="Q1014" s="12" t="b">
        <v>1</v>
      </c>
    </row>
    <row r="1015">
      <c r="A1015" s="12" t="s">
        <v>5252</v>
      </c>
      <c r="B1015" s="12" t="s">
        <v>54</v>
      </c>
      <c r="C1015" s="14">
        <v>46169.0</v>
      </c>
      <c r="D1015" s="12" t="s">
        <v>182</v>
      </c>
      <c r="E1015" s="12" t="s">
        <v>5655</v>
      </c>
      <c r="G1015" s="12" t="s">
        <v>5656</v>
      </c>
      <c r="H1015" s="12" t="s">
        <v>1839</v>
      </c>
      <c r="I1015" s="12" t="b">
        <v>1</v>
      </c>
      <c r="J1015" s="12" t="s">
        <v>1784</v>
      </c>
      <c r="O1015" s="12">
        <v>1.9</v>
      </c>
      <c r="P1015" s="12">
        <v>2198367.0</v>
      </c>
      <c r="Q1015" s="12" t="b">
        <v>1</v>
      </c>
    </row>
    <row r="1016">
      <c r="A1016" s="12" t="s">
        <v>5247</v>
      </c>
      <c r="B1016" s="12" t="s">
        <v>54</v>
      </c>
      <c r="C1016" s="14">
        <v>46168.0</v>
      </c>
      <c r="D1016" s="12" t="s">
        <v>220</v>
      </c>
      <c r="E1016" s="12" t="s">
        <v>5660</v>
      </c>
      <c r="G1016" s="12" t="s">
        <v>5661</v>
      </c>
      <c r="H1016" s="12" t="s">
        <v>5662</v>
      </c>
      <c r="I1016" s="12" t="b">
        <v>1</v>
      </c>
      <c r="J1016" s="12" t="s">
        <v>1784</v>
      </c>
      <c r="O1016" s="12">
        <v>45.8</v>
      </c>
      <c r="P1016" s="12">
        <v>2198361.0</v>
      </c>
      <c r="Q1016" s="12" t="b">
        <v>1</v>
      </c>
    </row>
    <row r="1017">
      <c r="A1017" s="12" t="s">
        <v>5254</v>
      </c>
      <c r="B1017" s="12" t="s">
        <v>54</v>
      </c>
      <c r="C1017" s="14">
        <v>46169.0</v>
      </c>
      <c r="D1017" s="12" t="s">
        <v>77</v>
      </c>
      <c r="E1017" s="12" t="s">
        <v>5666</v>
      </c>
      <c r="G1017" s="12" t="s">
        <v>5667</v>
      </c>
      <c r="H1017" s="12" t="s">
        <v>2540</v>
      </c>
      <c r="I1017" s="12" t="b">
        <v>1</v>
      </c>
      <c r="J1017" s="12" t="s">
        <v>1784</v>
      </c>
      <c r="O1017" s="12">
        <v>28.97</v>
      </c>
      <c r="P1017" s="12">
        <v>2198477.0</v>
      </c>
      <c r="Q1017" s="12" t="b">
        <v>1</v>
      </c>
    </row>
    <row r="1018">
      <c r="A1018" s="12" t="s">
        <v>2775</v>
      </c>
      <c r="B1018" s="12" t="s">
        <v>54</v>
      </c>
      <c r="C1018" s="14">
        <v>46169.0</v>
      </c>
      <c r="D1018" s="12" t="s">
        <v>156</v>
      </c>
      <c r="H1018" s="12" t="s">
        <v>5672</v>
      </c>
      <c r="J1018" s="12" t="s">
        <v>621</v>
      </c>
      <c r="O1018" s="12">
        <v>166.87</v>
      </c>
      <c r="Q1018" s="12" t="b">
        <v>1</v>
      </c>
    </row>
    <row r="1019">
      <c r="A1019" s="12" t="s">
        <v>2778</v>
      </c>
      <c r="B1019" s="12" t="s">
        <v>54</v>
      </c>
      <c r="C1019" s="14">
        <v>46169.0</v>
      </c>
      <c r="D1019" s="12" t="s">
        <v>156</v>
      </c>
      <c r="H1019" s="12" t="s">
        <v>5674</v>
      </c>
      <c r="J1019" s="12" t="s">
        <v>621</v>
      </c>
      <c r="O1019" s="12">
        <v>60.0</v>
      </c>
      <c r="Q1019" s="12" t="b">
        <v>1</v>
      </c>
    </row>
    <row r="1020">
      <c r="A1020" s="12">
        <v>1.44845451E8</v>
      </c>
      <c r="B1020" s="12" t="s">
        <v>54</v>
      </c>
      <c r="C1020" s="14">
        <v>46169.0</v>
      </c>
      <c r="D1020" s="12" t="s">
        <v>156</v>
      </c>
      <c r="H1020" s="12" t="s">
        <v>5676</v>
      </c>
      <c r="J1020" s="12" t="s">
        <v>621</v>
      </c>
      <c r="O1020" s="12">
        <v>1673.2</v>
      </c>
      <c r="Q1020" s="12" t="b">
        <v>1</v>
      </c>
    </row>
    <row r="1021">
      <c r="A1021" s="12" t="s">
        <v>2782</v>
      </c>
      <c r="B1021" s="12" t="s">
        <v>54</v>
      </c>
      <c r="C1021" s="14">
        <v>46169.0</v>
      </c>
      <c r="D1021" s="12" t="s">
        <v>156</v>
      </c>
      <c r="H1021" s="12" t="s">
        <v>5680</v>
      </c>
      <c r="J1021" s="12" t="s">
        <v>621</v>
      </c>
      <c r="O1021" s="12">
        <v>338.2</v>
      </c>
      <c r="Q1021" s="12" t="b">
        <v>1</v>
      </c>
    </row>
    <row r="1022">
      <c r="A1022" s="12">
        <v>1557.0</v>
      </c>
      <c r="B1022" s="12" t="s">
        <v>54</v>
      </c>
      <c r="C1022" s="14">
        <v>46169.0</v>
      </c>
      <c r="D1022" s="12" t="s">
        <v>1712</v>
      </c>
      <c r="H1022" s="14">
        <v>46304.0</v>
      </c>
      <c r="J1022" s="12" t="s">
        <v>621</v>
      </c>
      <c r="O1022" s="12">
        <v>236.83</v>
      </c>
      <c r="Q1022" s="12" t="b">
        <v>1</v>
      </c>
    </row>
    <row r="1023">
      <c r="A1023" s="12" t="s">
        <v>2786</v>
      </c>
      <c r="B1023" s="12" t="s">
        <v>54</v>
      </c>
      <c r="C1023" s="14">
        <v>46169.0</v>
      </c>
      <c r="D1023" s="12" t="s">
        <v>156</v>
      </c>
      <c r="H1023" s="12" t="s">
        <v>5684</v>
      </c>
      <c r="J1023" s="12" t="s">
        <v>621</v>
      </c>
      <c r="O1023" s="12">
        <v>1573.9</v>
      </c>
      <c r="Q1023" s="12" t="b">
        <v>1</v>
      </c>
    </row>
    <row r="1024">
      <c r="A1024" s="12" t="s">
        <v>5262</v>
      </c>
      <c r="B1024" s="12" t="s">
        <v>54</v>
      </c>
      <c r="C1024" s="14">
        <v>46170.0</v>
      </c>
      <c r="D1024" s="12" t="s">
        <v>556</v>
      </c>
      <c r="E1024" s="12" t="s">
        <v>5688</v>
      </c>
      <c r="G1024" s="12" t="s">
        <v>5689</v>
      </c>
      <c r="H1024" s="12" t="s">
        <v>859</v>
      </c>
      <c r="I1024" s="12" t="b">
        <v>1</v>
      </c>
      <c r="J1024" s="12" t="s">
        <v>1784</v>
      </c>
      <c r="O1024" s="12">
        <v>300.0</v>
      </c>
      <c r="P1024" s="12">
        <v>2199270.0</v>
      </c>
      <c r="Q1024" s="12" t="b">
        <v>1</v>
      </c>
    </row>
    <row r="1025">
      <c r="A1025" s="12" t="s">
        <v>5271</v>
      </c>
      <c r="B1025" s="12" t="s">
        <v>54</v>
      </c>
      <c r="C1025" s="14">
        <v>46171.0</v>
      </c>
      <c r="D1025" s="12" t="s">
        <v>1103</v>
      </c>
      <c r="E1025" s="12" t="s">
        <v>5693</v>
      </c>
      <c r="G1025" s="12" t="s">
        <v>5694</v>
      </c>
      <c r="H1025" s="12" t="s">
        <v>5695</v>
      </c>
      <c r="I1025" s="12" t="b">
        <v>1</v>
      </c>
      <c r="J1025" s="12" t="s">
        <v>1784</v>
      </c>
      <c r="O1025" s="12">
        <v>216.2</v>
      </c>
      <c r="P1025" s="12">
        <v>2200656.0</v>
      </c>
      <c r="Q1025" s="12" t="b">
        <v>1</v>
      </c>
    </row>
    <row r="1026">
      <c r="A1026" s="12" t="s">
        <v>5087</v>
      </c>
      <c r="B1026" s="12" t="s">
        <v>54</v>
      </c>
      <c r="C1026" s="14">
        <v>46154.0</v>
      </c>
      <c r="D1026" s="12" t="s">
        <v>912</v>
      </c>
      <c r="E1026" s="12" t="s">
        <v>5701</v>
      </c>
      <c r="G1026" s="12" t="s">
        <v>5702</v>
      </c>
      <c r="H1026" s="12" t="s">
        <v>254</v>
      </c>
      <c r="I1026" s="12" t="b">
        <v>0</v>
      </c>
      <c r="J1026" s="12" t="s">
        <v>1784</v>
      </c>
      <c r="O1026" s="12">
        <v>1573.9</v>
      </c>
      <c r="Q1026" s="12" t="b">
        <v>1</v>
      </c>
    </row>
    <row r="1027">
      <c r="A1027" s="12"/>
      <c r="B1027" s="12"/>
      <c r="C1027" s="14"/>
      <c r="D1027" s="12"/>
      <c r="E1027" s="12"/>
      <c r="G1027" s="12"/>
      <c r="H1027" s="12"/>
      <c r="I1027" s="12"/>
      <c r="J1027" s="12"/>
      <c r="L1027" s="12"/>
      <c r="Q1027" s="12"/>
    </row>
    <row r="1028">
      <c r="A1028" s="12">
        <v>1561.0</v>
      </c>
      <c r="B1028" s="12" t="s">
        <v>54</v>
      </c>
      <c r="C1028" s="14">
        <v>46171.0</v>
      </c>
      <c r="H1028" s="12" t="s">
        <v>1644</v>
      </c>
      <c r="J1028" s="12" t="s">
        <v>191</v>
      </c>
      <c r="K1028" s="12" t="s">
        <v>727</v>
      </c>
      <c r="O1028" s="12">
        <v>3500.0</v>
      </c>
      <c r="Q1028" s="12" t="b">
        <v>1</v>
      </c>
    </row>
    <row r="1029">
      <c r="A1029" s="12">
        <v>1562.0</v>
      </c>
      <c r="B1029" s="12" t="s">
        <v>54</v>
      </c>
      <c r="C1029" s="14">
        <v>46171.0</v>
      </c>
      <c r="H1029" s="12" t="s">
        <v>1884</v>
      </c>
      <c r="J1029" s="12" t="s">
        <v>191</v>
      </c>
      <c r="K1029" s="12" t="s">
        <v>727</v>
      </c>
      <c r="O1029" s="12">
        <v>3411.66</v>
      </c>
      <c r="Q1029" s="12" t="b">
        <v>1</v>
      </c>
    </row>
    <row r="1030">
      <c r="A1030" s="12">
        <v>1563.0</v>
      </c>
      <c r="B1030" s="12" t="s">
        <v>54</v>
      </c>
      <c r="C1030" s="14">
        <v>46171.0</v>
      </c>
      <c r="H1030" s="12" t="s">
        <v>1884</v>
      </c>
      <c r="J1030" s="12" t="s">
        <v>191</v>
      </c>
      <c r="K1030" s="12" t="s">
        <v>1183</v>
      </c>
      <c r="O1030" s="12">
        <v>1504.79</v>
      </c>
      <c r="Q1030" s="12" t="b">
        <v>1</v>
      </c>
    </row>
    <row r="1031">
      <c r="A1031" s="12">
        <v>1564.0</v>
      </c>
      <c r="B1031" s="12" t="s">
        <v>54</v>
      </c>
      <c r="C1031" s="14">
        <v>46171.0</v>
      </c>
      <c r="H1031" s="12" t="s">
        <v>1884</v>
      </c>
      <c r="J1031" s="12" t="s">
        <v>191</v>
      </c>
      <c r="K1031" s="12" t="s">
        <v>62</v>
      </c>
      <c r="O1031" s="12">
        <v>1315.46</v>
      </c>
      <c r="Q1031" s="12" t="b">
        <v>1</v>
      </c>
    </row>
    <row r="1032">
      <c r="A1032" s="12">
        <v>1565.0</v>
      </c>
      <c r="B1032" s="12" t="s">
        <v>54</v>
      </c>
      <c r="C1032" s="14">
        <v>46171.0</v>
      </c>
      <c r="H1032" s="12" t="s">
        <v>1884</v>
      </c>
      <c r="J1032" s="12" t="s">
        <v>191</v>
      </c>
      <c r="K1032" s="12" t="s">
        <v>78</v>
      </c>
      <c r="O1032" s="12">
        <v>1040.31</v>
      </c>
      <c r="Q1032" s="12" t="b">
        <v>1</v>
      </c>
    </row>
    <row r="1033">
      <c r="A1033" s="12">
        <v>1566.0</v>
      </c>
      <c r="B1033" s="12" t="s">
        <v>54</v>
      </c>
      <c r="C1033" s="14">
        <v>46171.0</v>
      </c>
      <c r="H1033" s="12" t="s">
        <v>1884</v>
      </c>
      <c r="J1033" s="12" t="s">
        <v>191</v>
      </c>
      <c r="K1033" s="12" t="s">
        <v>152</v>
      </c>
      <c r="O1033" s="12">
        <v>1816.11</v>
      </c>
      <c r="Q1033" s="12" t="b">
        <v>1</v>
      </c>
    </row>
    <row r="1034">
      <c r="A1034" s="12" t="s">
        <v>5281</v>
      </c>
      <c r="B1034" s="12" t="s">
        <v>54</v>
      </c>
      <c r="C1034" s="14">
        <v>46171.0</v>
      </c>
      <c r="D1034" s="12" t="s">
        <v>175</v>
      </c>
      <c r="E1034" s="12" t="s">
        <v>5726</v>
      </c>
      <c r="G1034" s="12" t="s">
        <v>5727</v>
      </c>
      <c r="H1034" s="12" t="s">
        <v>2402</v>
      </c>
      <c r="I1034" s="12" t="b">
        <v>1</v>
      </c>
      <c r="J1034" s="12" t="s">
        <v>1784</v>
      </c>
      <c r="O1034" s="12">
        <v>86.7</v>
      </c>
      <c r="P1034" s="12">
        <v>2203061.0</v>
      </c>
      <c r="Q1034" s="12" t="b">
        <v>1</v>
      </c>
    </row>
    <row r="1035">
      <c r="A1035" s="12" t="s">
        <v>5314</v>
      </c>
      <c r="B1035" s="12" t="s">
        <v>54</v>
      </c>
      <c r="C1035" s="14">
        <v>46171.0</v>
      </c>
      <c r="D1035" s="12" t="s">
        <v>220</v>
      </c>
      <c r="E1035" s="12" t="s">
        <v>5731</v>
      </c>
      <c r="G1035" s="12" t="s">
        <v>5733</v>
      </c>
      <c r="H1035" s="12" t="s">
        <v>2814</v>
      </c>
      <c r="I1035" s="12" t="b">
        <v>1</v>
      </c>
      <c r="J1035" s="12" t="s">
        <v>1784</v>
      </c>
      <c r="O1035" s="12">
        <v>396.31</v>
      </c>
      <c r="P1035" s="12">
        <v>2203058.0</v>
      </c>
      <c r="Q1035" s="12" t="b">
        <v>1</v>
      </c>
    </row>
    <row r="1036">
      <c r="A1036" s="12" t="s">
        <v>5289</v>
      </c>
      <c r="B1036" s="12" t="s">
        <v>54</v>
      </c>
      <c r="C1036" s="14">
        <v>46172.0</v>
      </c>
      <c r="D1036" s="12" t="s">
        <v>470</v>
      </c>
      <c r="E1036" s="12" t="s">
        <v>5738</v>
      </c>
      <c r="G1036" s="12" t="s">
        <v>5739</v>
      </c>
      <c r="H1036" s="12" t="s">
        <v>3989</v>
      </c>
      <c r="I1036" s="12" t="b">
        <v>1</v>
      </c>
      <c r="J1036" s="12" t="s">
        <v>1784</v>
      </c>
      <c r="O1036" s="12">
        <v>5.3</v>
      </c>
      <c r="P1036" s="12">
        <v>2201150.0</v>
      </c>
      <c r="Q1036" s="12" t="b">
        <v>1</v>
      </c>
    </row>
    <row r="1037">
      <c r="A1037" s="12" t="s">
        <v>5296</v>
      </c>
      <c r="B1037" s="12" t="s">
        <v>54</v>
      </c>
      <c r="C1037" s="14">
        <v>46174.0</v>
      </c>
      <c r="D1037" s="12" t="s">
        <v>77</v>
      </c>
      <c r="E1037" s="12" t="s">
        <v>5743</v>
      </c>
      <c r="G1037" s="12" t="s">
        <v>5744</v>
      </c>
      <c r="H1037" s="12" t="s">
        <v>2814</v>
      </c>
      <c r="I1037" s="12" t="b">
        <v>1</v>
      </c>
      <c r="J1037" s="12" t="s">
        <v>1784</v>
      </c>
      <c r="O1037" s="12">
        <v>44.52</v>
      </c>
      <c r="P1037" s="12">
        <v>2206781.0</v>
      </c>
      <c r="Q1037" s="12" t="b">
        <v>1</v>
      </c>
    </row>
    <row r="1038">
      <c r="A1038" s="12" t="s">
        <v>2801</v>
      </c>
      <c r="B1038" s="12" t="s">
        <v>54</v>
      </c>
      <c r="C1038" s="14">
        <v>46172.0</v>
      </c>
      <c r="H1038" s="12" t="s">
        <v>5749</v>
      </c>
      <c r="J1038" s="12" t="s">
        <v>621</v>
      </c>
      <c r="K1038" s="12" t="s">
        <v>727</v>
      </c>
      <c r="O1038" s="12">
        <v>8378.4</v>
      </c>
      <c r="Q1038" s="12" t="b">
        <v>1</v>
      </c>
    </row>
    <row r="1039">
      <c r="A1039" s="12">
        <v>1567.0</v>
      </c>
      <c r="B1039" s="12" t="s">
        <v>54</v>
      </c>
      <c r="C1039" s="14">
        <v>46174.0</v>
      </c>
      <c r="H1039" s="12" t="s">
        <v>3108</v>
      </c>
      <c r="J1039" s="12" t="s">
        <v>621</v>
      </c>
      <c r="K1039" s="12" t="s">
        <v>259</v>
      </c>
      <c r="O1039" s="12">
        <v>585.0</v>
      </c>
      <c r="Q1039" s="12" t="b">
        <v>1</v>
      </c>
    </row>
    <row r="1040">
      <c r="A1040" s="12">
        <v>1568.0</v>
      </c>
      <c r="B1040" s="12" t="s">
        <v>54</v>
      </c>
      <c r="C1040" s="14">
        <v>46174.0</v>
      </c>
      <c r="D1040" s="12" t="s">
        <v>1712</v>
      </c>
      <c r="H1040" s="12" t="s">
        <v>5753</v>
      </c>
      <c r="J1040" s="12" t="s">
        <v>621</v>
      </c>
      <c r="O1040" s="12">
        <v>855.0</v>
      </c>
      <c r="Q1040" s="12" t="b">
        <v>1</v>
      </c>
    </row>
    <row r="1041">
      <c r="A1041" s="12" t="s">
        <v>5307</v>
      </c>
      <c r="B1041" s="12" t="s">
        <v>54</v>
      </c>
      <c r="C1041" s="14">
        <v>46175.0</v>
      </c>
      <c r="D1041" s="12" t="s">
        <v>220</v>
      </c>
      <c r="E1041" s="12" t="s">
        <v>5755</v>
      </c>
      <c r="G1041" s="12" t="s">
        <v>5756</v>
      </c>
      <c r="H1041" s="12" t="s">
        <v>1365</v>
      </c>
      <c r="I1041" s="12" t="b">
        <v>1</v>
      </c>
      <c r="J1041" s="12" t="s">
        <v>1784</v>
      </c>
      <c r="O1041" s="12">
        <v>139.51</v>
      </c>
      <c r="P1041" s="12">
        <v>2207853.0</v>
      </c>
      <c r="Q1041" s="12" t="b">
        <v>1</v>
      </c>
    </row>
    <row r="1042">
      <c r="A1042" s="12" t="s">
        <v>5339</v>
      </c>
      <c r="B1042" s="12" t="s">
        <v>54</v>
      </c>
      <c r="C1042" s="14">
        <v>46175.0</v>
      </c>
      <c r="D1042" s="12" t="s">
        <v>4411</v>
      </c>
      <c r="E1042" s="12" t="s">
        <v>5759</v>
      </c>
      <c r="G1042" s="12" t="s">
        <v>5760</v>
      </c>
      <c r="H1042" s="12" t="s">
        <v>5761</v>
      </c>
      <c r="I1042" s="12" t="b">
        <v>1</v>
      </c>
      <c r="J1042" s="12" t="s">
        <v>1784</v>
      </c>
      <c r="O1042" s="12">
        <v>100.0</v>
      </c>
      <c r="P1042" s="12">
        <v>2207855.0</v>
      </c>
      <c r="Q1042" s="12" t="b">
        <v>1</v>
      </c>
    </row>
    <row r="1043">
      <c r="A1043" s="12" t="s">
        <v>5303</v>
      </c>
      <c r="B1043" s="12" t="s">
        <v>54</v>
      </c>
      <c r="C1043" s="14">
        <v>46174.0</v>
      </c>
      <c r="D1043" s="12" t="s">
        <v>58</v>
      </c>
      <c r="E1043" s="12" t="s">
        <v>5764</v>
      </c>
      <c r="G1043" s="12" t="s">
        <v>5765</v>
      </c>
      <c r="H1043" s="12" t="s">
        <v>1000</v>
      </c>
      <c r="I1043" s="12" t="b">
        <v>1</v>
      </c>
      <c r="J1043" s="12" t="s">
        <v>1784</v>
      </c>
      <c r="O1043" s="12">
        <v>55.2</v>
      </c>
      <c r="P1043" s="12">
        <v>2206592.0</v>
      </c>
      <c r="Q1043" s="12" t="b">
        <v>1</v>
      </c>
    </row>
    <row r="1044">
      <c r="A1044" s="12">
        <v>5.7240299E7</v>
      </c>
      <c r="B1044" s="12" t="s">
        <v>54</v>
      </c>
      <c r="C1044" s="14">
        <v>46170.0</v>
      </c>
      <c r="D1044" s="12" t="s">
        <v>784</v>
      </c>
      <c r="E1044" s="12" t="s">
        <v>5768</v>
      </c>
      <c r="G1044" s="12" t="s">
        <v>5769</v>
      </c>
      <c r="H1044" s="12" t="s">
        <v>715</v>
      </c>
      <c r="I1044" s="12" t="b">
        <v>0</v>
      </c>
      <c r="J1044" s="12" t="s">
        <v>1784</v>
      </c>
      <c r="O1044" s="12">
        <v>911.86</v>
      </c>
      <c r="Q1044" s="12" t="b">
        <v>1</v>
      </c>
    </row>
    <row r="1045">
      <c r="A1045" s="12"/>
      <c r="B1045" s="12"/>
      <c r="C1045" s="14"/>
      <c r="D1045" s="12"/>
      <c r="E1045" s="12"/>
      <c r="G1045" s="12"/>
      <c r="H1045" s="12"/>
      <c r="I1045" s="12"/>
      <c r="J1045" s="12"/>
      <c r="Q1045" s="12"/>
    </row>
    <row r="1046">
      <c r="A1046" s="12" t="s">
        <v>5343</v>
      </c>
      <c r="B1046" s="12" t="s">
        <v>54</v>
      </c>
      <c r="C1046" s="14">
        <v>46175.0</v>
      </c>
      <c r="D1046" s="12" t="s">
        <v>556</v>
      </c>
      <c r="E1046" s="12" t="s">
        <v>5773</v>
      </c>
      <c r="G1046" s="12" t="s">
        <v>5774</v>
      </c>
      <c r="H1046" s="12" t="s">
        <v>687</v>
      </c>
      <c r="I1046" s="12" t="b">
        <v>1</v>
      </c>
      <c r="J1046" s="12" t="s">
        <v>1784</v>
      </c>
      <c r="O1046" s="12">
        <v>600.0</v>
      </c>
      <c r="P1046" s="12">
        <v>2208078.0</v>
      </c>
      <c r="Q1046" s="12" t="b">
        <v>1</v>
      </c>
    </row>
    <row r="1047">
      <c r="A1047" s="12" t="s">
        <v>5294</v>
      </c>
      <c r="B1047" s="12" t="s">
        <v>54</v>
      </c>
      <c r="C1047" s="14">
        <v>46173.0</v>
      </c>
      <c r="D1047" s="12" t="s">
        <v>3425</v>
      </c>
      <c r="E1047" s="12" t="s">
        <v>5778</v>
      </c>
      <c r="G1047" s="12" t="s">
        <v>5780</v>
      </c>
      <c r="H1047" s="12" t="s">
        <v>5781</v>
      </c>
      <c r="I1047" s="12" t="b">
        <v>1</v>
      </c>
      <c r="J1047" s="12" t="s">
        <v>1784</v>
      </c>
      <c r="O1047" s="12">
        <v>9.92</v>
      </c>
      <c r="P1047" s="12">
        <v>2208148.0</v>
      </c>
      <c r="Q1047" s="12" t="b">
        <v>1</v>
      </c>
    </row>
    <row r="1048">
      <c r="A1048" s="12" t="s">
        <v>2809</v>
      </c>
      <c r="B1048" s="12" t="s">
        <v>54</v>
      </c>
      <c r="C1048" s="14">
        <v>46176.0</v>
      </c>
      <c r="D1048" s="12" t="s">
        <v>156</v>
      </c>
      <c r="H1048" s="12" t="s">
        <v>5783</v>
      </c>
      <c r="J1048" s="12" t="s">
        <v>621</v>
      </c>
      <c r="O1048" s="12">
        <v>351.0</v>
      </c>
      <c r="Q1048" s="12" t="b">
        <v>1</v>
      </c>
    </row>
    <row r="1049">
      <c r="A1049" s="12">
        <v>1577.0</v>
      </c>
      <c r="B1049" s="12" t="s">
        <v>54</v>
      </c>
      <c r="C1049" s="14">
        <v>46177.0</v>
      </c>
      <c r="D1049" s="12" t="s">
        <v>897</v>
      </c>
      <c r="H1049" s="12" t="s">
        <v>909</v>
      </c>
      <c r="J1049" s="12" t="s">
        <v>621</v>
      </c>
      <c r="O1049" s="12">
        <v>0.0</v>
      </c>
      <c r="Q1049" s="12" t="b">
        <v>1</v>
      </c>
    </row>
    <row r="1050">
      <c r="A1050" s="12" t="s">
        <v>5347</v>
      </c>
      <c r="B1050" s="12" t="s">
        <v>54</v>
      </c>
      <c r="C1050" s="14">
        <v>46178.0</v>
      </c>
      <c r="D1050" s="12" t="s">
        <v>220</v>
      </c>
      <c r="E1050" s="12" t="s">
        <v>5791</v>
      </c>
      <c r="G1050" s="12" t="s">
        <v>5792</v>
      </c>
      <c r="H1050" s="12" t="s">
        <v>1365</v>
      </c>
      <c r="I1050" s="12" t="b">
        <v>1</v>
      </c>
      <c r="J1050" s="12" t="s">
        <v>1784</v>
      </c>
      <c r="O1050" s="12">
        <v>253.62</v>
      </c>
      <c r="P1050" s="12">
        <v>2213534.0</v>
      </c>
      <c r="Q1050" s="12" t="b">
        <v>1</v>
      </c>
    </row>
    <row r="1051">
      <c r="A1051" s="12" t="s">
        <v>5387</v>
      </c>
      <c r="B1051" s="12" t="s">
        <v>54</v>
      </c>
      <c r="C1051" s="14">
        <v>46178.0</v>
      </c>
      <c r="D1051" s="12" t="s">
        <v>77</v>
      </c>
      <c r="E1051" s="12" t="s">
        <v>5796</v>
      </c>
      <c r="G1051" s="12" t="s">
        <v>5798</v>
      </c>
      <c r="H1051" s="12" t="s">
        <v>3841</v>
      </c>
      <c r="I1051" s="12" t="b">
        <v>1</v>
      </c>
      <c r="J1051" s="12" t="s">
        <v>1784</v>
      </c>
      <c r="O1051" s="12">
        <v>26.82</v>
      </c>
      <c r="P1051" s="12">
        <v>2213528.0</v>
      </c>
      <c r="Q1051" s="12" t="b">
        <v>1</v>
      </c>
    </row>
    <row r="1052">
      <c r="A1052" s="12" t="s">
        <v>5394</v>
      </c>
      <c r="B1052" s="12" t="s">
        <v>54</v>
      </c>
      <c r="C1052" s="14">
        <v>46181.0</v>
      </c>
      <c r="D1052" s="12" t="s">
        <v>220</v>
      </c>
      <c r="E1052" s="12" t="s">
        <v>5803</v>
      </c>
      <c r="G1052" s="12" t="s">
        <v>5804</v>
      </c>
      <c r="H1052" s="12" t="s">
        <v>2402</v>
      </c>
      <c r="I1052" s="12" t="b">
        <v>1</v>
      </c>
      <c r="J1052" s="12" t="s">
        <v>1784</v>
      </c>
      <c r="O1052" s="12">
        <v>257.8</v>
      </c>
      <c r="P1052" s="12">
        <v>2218865.0</v>
      </c>
      <c r="Q1052" s="12" t="b">
        <v>1</v>
      </c>
    </row>
    <row r="1053">
      <c r="A1053" s="12" t="s">
        <v>5390</v>
      </c>
      <c r="B1053" s="12" t="s">
        <v>54</v>
      </c>
      <c r="C1053" s="14">
        <v>46180.0</v>
      </c>
      <c r="D1053" s="12" t="s">
        <v>3425</v>
      </c>
      <c r="E1053" s="12" t="s">
        <v>5810</v>
      </c>
      <c r="G1053" s="12" t="s">
        <v>5811</v>
      </c>
      <c r="H1053" s="12" t="s">
        <v>4151</v>
      </c>
      <c r="I1053" s="12" t="b">
        <v>1</v>
      </c>
      <c r="J1053" s="12" t="s">
        <v>1784</v>
      </c>
      <c r="O1053" s="12">
        <v>8.81</v>
      </c>
      <c r="P1053" s="12">
        <v>2216295.0</v>
      </c>
      <c r="Q1053" s="12" t="b">
        <v>1</v>
      </c>
    </row>
    <row r="1054">
      <c r="A1054" s="12"/>
      <c r="B1054" s="12"/>
      <c r="C1054" s="14"/>
      <c r="D1054" s="12"/>
      <c r="E1054" s="12"/>
      <c r="G1054" s="12"/>
      <c r="H1054" s="12"/>
      <c r="I1054" s="12"/>
      <c r="J1054" s="12"/>
      <c r="Q1054" s="12"/>
    </row>
    <row r="1055">
      <c r="A1055" s="12" t="s">
        <v>5417</v>
      </c>
      <c r="B1055" s="12" t="s">
        <v>54</v>
      </c>
      <c r="C1055" s="14">
        <v>46183.0</v>
      </c>
      <c r="D1055" s="12" t="s">
        <v>190</v>
      </c>
      <c r="E1055" s="12" t="s">
        <v>5817</v>
      </c>
      <c r="G1055" s="12" t="s">
        <v>5819</v>
      </c>
      <c r="H1055" s="12" t="s">
        <v>328</v>
      </c>
      <c r="I1055" s="12" t="b">
        <v>1</v>
      </c>
      <c r="J1055" s="12" t="s">
        <v>1784</v>
      </c>
      <c r="O1055" s="12">
        <v>32.0</v>
      </c>
      <c r="P1055" s="12">
        <v>2221826.0</v>
      </c>
      <c r="Q1055" s="12" t="b">
        <v>1</v>
      </c>
    </row>
    <row r="1056">
      <c r="A1056" s="12">
        <v>1575.0</v>
      </c>
      <c r="B1056" s="12" t="s">
        <v>54</v>
      </c>
      <c r="C1056" s="14">
        <v>46183.0</v>
      </c>
      <c r="D1056" s="12" t="s">
        <v>1668</v>
      </c>
      <c r="H1056" s="12" t="s">
        <v>1671</v>
      </c>
      <c r="J1056" s="12" t="s">
        <v>621</v>
      </c>
      <c r="O1056" s="12">
        <v>125.0</v>
      </c>
      <c r="Q1056" s="12" t="b">
        <v>1</v>
      </c>
    </row>
    <row r="1057">
      <c r="A1057" s="12">
        <v>1578.0</v>
      </c>
      <c r="B1057" s="12" t="s">
        <v>54</v>
      </c>
      <c r="C1057" s="14">
        <v>46183.0</v>
      </c>
      <c r="D1057" s="12" t="s">
        <v>933</v>
      </c>
      <c r="H1057" s="12" t="s">
        <v>1346</v>
      </c>
      <c r="J1057" s="12" t="s">
        <v>621</v>
      </c>
      <c r="O1057" s="12">
        <v>523.0</v>
      </c>
      <c r="Q1057" s="12" t="b">
        <v>1</v>
      </c>
    </row>
    <row r="1058">
      <c r="A1058" s="12" t="s">
        <v>2824</v>
      </c>
      <c r="B1058" s="12" t="s">
        <v>54</v>
      </c>
      <c r="C1058" s="14">
        <v>46183.0</v>
      </c>
      <c r="H1058" s="12" t="s">
        <v>5829</v>
      </c>
      <c r="J1058" s="12" t="s">
        <v>191</v>
      </c>
      <c r="K1058" s="12" t="s">
        <v>62</v>
      </c>
      <c r="O1058" s="12">
        <v>500.0</v>
      </c>
      <c r="Q1058" s="12" t="b">
        <v>1</v>
      </c>
    </row>
    <row r="1059">
      <c r="A1059" s="12" t="s">
        <v>2827</v>
      </c>
      <c r="B1059" s="12" t="s">
        <v>54</v>
      </c>
      <c r="C1059" s="14">
        <v>46183.0</v>
      </c>
      <c r="H1059" s="12" t="s">
        <v>5829</v>
      </c>
      <c r="J1059" s="12" t="s">
        <v>191</v>
      </c>
      <c r="K1059" s="12" t="s">
        <v>78</v>
      </c>
      <c r="O1059" s="12">
        <v>500.0</v>
      </c>
      <c r="Q1059" s="12" t="b">
        <v>1</v>
      </c>
    </row>
    <row r="1060">
      <c r="A1060" s="12" t="s">
        <v>2832</v>
      </c>
      <c r="B1060" s="12" t="s">
        <v>54</v>
      </c>
      <c r="C1060" s="14">
        <v>46183.0</v>
      </c>
      <c r="H1060" s="12" t="s">
        <v>5829</v>
      </c>
      <c r="J1060" s="12" t="s">
        <v>191</v>
      </c>
      <c r="K1060" s="12" t="s">
        <v>1183</v>
      </c>
      <c r="O1060" s="12">
        <v>500.0</v>
      </c>
      <c r="Q1060" s="12" t="b">
        <v>1</v>
      </c>
    </row>
    <row r="1061">
      <c r="A1061" s="12" t="s">
        <v>2835</v>
      </c>
      <c r="B1061" s="12" t="s">
        <v>54</v>
      </c>
      <c r="C1061" s="14">
        <v>46183.0</v>
      </c>
      <c r="H1061" s="12" t="s">
        <v>5829</v>
      </c>
      <c r="J1061" s="12" t="s">
        <v>191</v>
      </c>
      <c r="K1061" s="12" t="s">
        <v>152</v>
      </c>
      <c r="O1061" s="12">
        <v>500.0</v>
      </c>
      <c r="Q1061" s="12" t="b">
        <v>1</v>
      </c>
    </row>
    <row r="1062">
      <c r="A1062" s="12" t="s">
        <v>5430</v>
      </c>
      <c r="B1062" s="12" t="s">
        <v>54</v>
      </c>
      <c r="C1062" s="14">
        <v>46184.0</v>
      </c>
      <c r="D1062" s="12" t="s">
        <v>1371</v>
      </c>
      <c r="E1062" s="12" t="s">
        <v>5840</v>
      </c>
      <c r="G1062" s="12" t="s">
        <v>5842</v>
      </c>
      <c r="H1062" s="12" t="s">
        <v>2402</v>
      </c>
      <c r="I1062" s="12" t="b">
        <v>1</v>
      </c>
      <c r="J1062" s="12" t="s">
        <v>1784</v>
      </c>
      <c r="O1062" s="12">
        <v>100.0</v>
      </c>
      <c r="P1062" s="12">
        <v>2222852.0</v>
      </c>
      <c r="Q1062" s="12" t="b">
        <v>1</v>
      </c>
    </row>
    <row r="1063">
      <c r="A1063" s="12" t="s">
        <v>5434</v>
      </c>
      <c r="B1063" s="12" t="s">
        <v>54</v>
      </c>
      <c r="C1063" s="14">
        <v>46184.0</v>
      </c>
      <c r="D1063" s="12" t="s">
        <v>5846</v>
      </c>
      <c r="E1063" s="12" t="s">
        <v>5847</v>
      </c>
      <c r="G1063" s="12" t="s">
        <v>5848</v>
      </c>
      <c r="H1063" s="12" t="s">
        <v>1365</v>
      </c>
      <c r="I1063" s="12" t="b">
        <v>1</v>
      </c>
      <c r="J1063" s="12" t="s">
        <v>1784</v>
      </c>
      <c r="O1063" s="12">
        <v>37.0</v>
      </c>
      <c r="P1063" s="12">
        <v>2222848.0</v>
      </c>
      <c r="Q1063" s="12" t="b">
        <v>1</v>
      </c>
    </row>
    <row r="1064">
      <c r="A1064" s="12" t="s">
        <v>5444</v>
      </c>
      <c r="B1064" s="12" t="s">
        <v>54</v>
      </c>
      <c r="C1064" s="14">
        <v>46184.0</v>
      </c>
      <c r="D1064" s="12" t="s">
        <v>5846</v>
      </c>
      <c r="E1064" s="12" t="s">
        <v>5847</v>
      </c>
      <c r="G1064" s="12" t="s">
        <v>5852</v>
      </c>
      <c r="H1064" s="12" t="s">
        <v>1365</v>
      </c>
      <c r="I1064" s="12" t="b">
        <v>1</v>
      </c>
      <c r="J1064" s="12" t="s">
        <v>1784</v>
      </c>
      <c r="O1064" s="12">
        <v>10.0</v>
      </c>
      <c r="P1064" s="12">
        <v>2222850.0</v>
      </c>
      <c r="Q1064" s="12" t="b">
        <v>1</v>
      </c>
    </row>
    <row r="1065">
      <c r="A1065" s="12" t="s">
        <v>5460</v>
      </c>
      <c r="B1065" s="12" t="s">
        <v>54</v>
      </c>
      <c r="C1065" s="14">
        <v>46185.0</v>
      </c>
      <c r="D1065" s="12" t="s">
        <v>3425</v>
      </c>
      <c r="E1065" s="12" t="s">
        <v>5856</v>
      </c>
      <c r="G1065" s="12" t="s">
        <v>5857</v>
      </c>
      <c r="H1065" s="12" t="s">
        <v>2814</v>
      </c>
      <c r="I1065" s="12" t="b">
        <v>1</v>
      </c>
      <c r="J1065" s="12" t="s">
        <v>1784</v>
      </c>
      <c r="O1065" s="12">
        <v>149.9</v>
      </c>
      <c r="P1065" s="12">
        <v>2223993.0</v>
      </c>
      <c r="Q1065" s="12" t="b">
        <v>1</v>
      </c>
    </row>
    <row r="1066">
      <c r="A1066" s="12" t="s">
        <v>5462</v>
      </c>
      <c r="B1066" s="12" t="s">
        <v>54</v>
      </c>
      <c r="C1066" s="14">
        <v>46185.0</v>
      </c>
      <c r="D1066" s="12" t="s">
        <v>220</v>
      </c>
      <c r="E1066" s="12" t="s">
        <v>5861</v>
      </c>
      <c r="G1066" s="12" t="s">
        <v>5862</v>
      </c>
      <c r="H1066" s="12" t="s">
        <v>2402</v>
      </c>
      <c r="I1066" s="12" t="b">
        <v>1</v>
      </c>
      <c r="J1066" s="12" t="s">
        <v>1784</v>
      </c>
      <c r="O1066" s="12">
        <v>364.89</v>
      </c>
      <c r="P1066" s="12">
        <v>2223991.0</v>
      </c>
      <c r="Q1066" s="12" t="b">
        <v>1</v>
      </c>
    </row>
    <row r="1067">
      <c r="A1067" s="12" t="s">
        <v>5500</v>
      </c>
      <c r="B1067" s="12" t="s">
        <v>54</v>
      </c>
      <c r="C1067" s="14">
        <v>46185.0</v>
      </c>
      <c r="D1067" s="12" t="s">
        <v>182</v>
      </c>
      <c r="E1067" s="12" t="s">
        <v>5866</v>
      </c>
      <c r="G1067" s="12" t="s">
        <v>5867</v>
      </c>
      <c r="H1067" s="12" t="s">
        <v>2389</v>
      </c>
      <c r="I1067" s="12" t="b">
        <v>1</v>
      </c>
      <c r="J1067" s="12" t="s">
        <v>1784</v>
      </c>
      <c r="O1067" s="12">
        <v>87.67</v>
      </c>
      <c r="P1067" s="12">
        <v>2223990.0</v>
      </c>
      <c r="Q1067" s="12" t="b">
        <v>1</v>
      </c>
    </row>
    <row r="1068">
      <c r="A1068" s="12" t="s">
        <v>5505</v>
      </c>
      <c r="B1068" s="12" t="s">
        <v>54</v>
      </c>
      <c r="C1068" s="14">
        <v>46185.0</v>
      </c>
      <c r="D1068" s="12" t="s">
        <v>1103</v>
      </c>
      <c r="E1068" s="12" t="s">
        <v>5872</v>
      </c>
      <c r="G1068" s="12" t="s">
        <v>5873</v>
      </c>
      <c r="H1068" s="12" t="s">
        <v>153</v>
      </c>
      <c r="I1068" s="12" t="b">
        <v>1</v>
      </c>
      <c r="J1068" s="12" t="s">
        <v>1784</v>
      </c>
      <c r="O1068" s="12">
        <v>336.84</v>
      </c>
      <c r="P1068" s="12">
        <v>2223989.0</v>
      </c>
      <c r="Q1068" s="12" t="b">
        <v>1</v>
      </c>
    </row>
    <row r="1069">
      <c r="A1069" s="12" t="s">
        <v>5446</v>
      </c>
      <c r="B1069" s="12" t="s">
        <v>54</v>
      </c>
      <c r="C1069" s="14">
        <v>46184.0</v>
      </c>
      <c r="D1069" s="12" t="s">
        <v>324</v>
      </c>
      <c r="E1069" s="12" t="s">
        <v>5878</v>
      </c>
      <c r="G1069" s="12" t="s">
        <v>5879</v>
      </c>
      <c r="H1069" s="12" t="s">
        <v>5880</v>
      </c>
      <c r="I1069" s="12" t="b">
        <v>1</v>
      </c>
      <c r="J1069" s="12" t="s">
        <v>1784</v>
      </c>
      <c r="O1069" s="12">
        <v>63.3</v>
      </c>
      <c r="P1069" s="12">
        <v>2223253.0</v>
      </c>
      <c r="Q1069" s="12" t="b">
        <v>1</v>
      </c>
    </row>
    <row r="1070">
      <c r="A1070" s="12" t="s">
        <v>5453</v>
      </c>
      <c r="B1070" s="12" t="s">
        <v>54</v>
      </c>
      <c r="C1070" s="14">
        <v>46184.0</v>
      </c>
      <c r="D1070" s="12" t="s">
        <v>324</v>
      </c>
      <c r="E1070" s="12" t="s">
        <v>5878</v>
      </c>
      <c r="G1070" s="12" t="s">
        <v>5885</v>
      </c>
      <c r="H1070" s="12" t="s">
        <v>5880</v>
      </c>
      <c r="I1070" s="12" t="b">
        <v>1</v>
      </c>
      <c r="J1070" s="12" t="s">
        <v>1784</v>
      </c>
      <c r="O1070" s="12">
        <v>36.0</v>
      </c>
      <c r="P1070" s="12">
        <v>2223252.0</v>
      </c>
      <c r="Q1070" s="12" t="b">
        <v>1</v>
      </c>
    </row>
    <row r="1071">
      <c r="A1071" s="12" t="s">
        <v>5455</v>
      </c>
      <c r="B1071" s="12" t="s">
        <v>54</v>
      </c>
      <c r="C1071" s="14">
        <v>46184.0</v>
      </c>
      <c r="D1071" s="12" t="s">
        <v>532</v>
      </c>
      <c r="E1071" s="12" t="s">
        <v>5889</v>
      </c>
      <c r="G1071" s="12" t="s">
        <v>5890</v>
      </c>
      <c r="H1071" s="12" t="s">
        <v>5892</v>
      </c>
      <c r="I1071" s="12" t="b">
        <v>1</v>
      </c>
      <c r="J1071" s="12" t="s">
        <v>1784</v>
      </c>
      <c r="O1071" s="12">
        <v>20.97</v>
      </c>
      <c r="P1071" s="12">
        <v>223255.0</v>
      </c>
      <c r="Q1071" s="12" t="b">
        <v>1</v>
      </c>
    </row>
    <row r="1072">
      <c r="A1072" s="12" t="s">
        <v>5513</v>
      </c>
      <c r="B1072" s="12" t="s">
        <v>54</v>
      </c>
      <c r="C1072" s="14">
        <v>46186.0</v>
      </c>
      <c r="D1072" s="12" t="s">
        <v>532</v>
      </c>
      <c r="E1072" s="12" t="s">
        <v>5895</v>
      </c>
      <c r="G1072" s="12" t="s">
        <v>5896</v>
      </c>
      <c r="H1072" s="12" t="s">
        <v>5898</v>
      </c>
      <c r="I1072" s="12" t="b">
        <v>1</v>
      </c>
      <c r="J1072" s="12" t="s">
        <v>1784</v>
      </c>
      <c r="O1072" s="12">
        <v>11.99</v>
      </c>
      <c r="P1072" s="12">
        <v>2225200.0</v>
      </c>
      <c r="Q1072" s="12" t="b">
        <v>1</v>
      </c>
    </row>
    <row r="1073">
      <c r="A1073" s="12" t="s">
        <v>5519</v>
      </c>
      <c r="B1073" s="12" t="s">
        <v>54</v>
      </c>
      <c r="C1073" s="14">
        <v>46187.0</v>
      </c>
      <c r="D1073" s="12" t="s">
        <v>3425</v>
      </c>
      <c r="E1073" s="12" t="s">
        <v>5901</v>
      </c>
      <c r="G1073" s="12" t="s">
        <v>5902</v>
      </c>
      <c r="H1073" s="12" t="s">
        <v>3989</v>
      </c>
      <c r="I1073" s="12" t="b">
        <v>1</v>
      </c>
      <c r="J1073" s="12" t="s">
        <v>1784</v>
      </c>
      <c r="O1073" s="12">
        <v>6.24</v>
      </c>
      <c r="P1073" s="12">
        <v>2227162.0</v>
      </c>
      <c r="Q1073" s="12" t="b">
        <v>1</v>
      </c>
    </row>
    <row r="1074">
      <c r="A1074" s="12" t="s">
        <v>5523</v>
      </c>
      <c r="B1074" s="12" t="s">
        <v>54</v>
      </c>
      <c r="C1074" s="14">
        <v>46189.0</v>
      </c>
      <c r="D1074" s="12" t="s">
        <v>3425</v>
      </c>
      <c r="E1074" s="12" t="s">
        <v>5905</v>
      </c>
      <c r="G1074" s="12" t="s">
        <v>5907</v>
      </c>
      <c r="H1074" s="12" t="s">
        <v>3841</v>
      </c>
      <c r="I1074" s="12" t="b">
        <v>1</v>
      </c>
      <c r="J1074" s="12" t="s">
        <v>1784</v>
      </c>
      <c r="O1074" s="12">
        <v>16.26</v>
      </c>
      <c r="P1074" s="12">
        <v>2229156.0</v>
      </c>
      <c r="Q1074" s="12" t="b">
        <v>1</v>
      </c>
    </row>
    <row r="1075">
      <c r="A1075" s="12" t="s">
        <v>5562</v>
      </c>
      <c r="B1075" s="12" t="s">
        <v>54</v>
      </c>
      <c r="C1075" s="14">
        <v>46197.0</v>
      </c>
      <c r="D1075" s="12" t="s">
        <v>1103</v>
      </c>
      <c r="E1075" s="12" t="s">
        <v>5911</v>
      </c>
      <c r="G1075" s="12" t="s">
        <v>5913</v>
      </c>
      <c r="H1075" s="12" t="s">
        <v>715</v>
      </c>
      <c r="I1075" s="12" t="b">
        <v>0</v>
      </c>
      <c r="J1075" s="12" t="s">
        <v>1784</v>
      </c>
      <c r="O1075" s="12">
        <v>2265.49</v>
      </c>
      <c r="Q1075" s="12" t="b">
        <v>1</v>
      </c>
    </row>
    <row r="1076">
      <c r="A1076" s="12" t="s">
        <v>5423</v>
      </c>
      <c r="B1076" s="12" t="s">
        <v>54</v>
      </c>
      <c r="C1076" s="14">
        <v>46183.0</v>
      </c>
      <c r="D1076" s="12" t="s">
        <v>784</v>
      </c>
      <c r="E1076" s="12" t="s">
        <v>5916</v>
      </c>
      <c r="G1076" s="12" t="s">
        <v>5918</v>
      </c>
      <c r="H1076" s="12" t="s">
        <v>715</v>
      </c>
      <c r="I1076" s="12" t="b">
        <v>0</v>
      </c>
      <c r="J1076" s="12" t="s">
        <v>1784</v>
      </c>
      <c r="O1076" s="12">
        <v>2265.49</v>
      </c>
      <c r="Q1076" s="12" t="b">
        <v>1</v>
      </c>
    </row>
    <row r="1077">
      <c r="A1077" s="12"/>
      <c r="B1077" s="12"/>
      <c r="C1077" s="14"/>
      <c r="D1077" s="12"/>
      <c r="E1077" s="12"/>
      <c r="G1077" s="12"/>
      <c r="H1077" s="12"/>
      <c r="I1077" s="12"/>
      <c r="J1077" s="12"/>
      <c r="Q1077" s="12"/>
    </row>
    <row r="1078">
      <c r="A1078" s="12" t="s">
        <v>5525</v>
      </c>
      <c r="B1078" s="12" t="s">
        <v>54</v>
      </c>
      <c r="C1078" s="14">
        <v>46189.0</v>
      </c>
      <c r="D1078" s="12" t="s">
        <v>1043</v>
      </c>
      <c r="E1078" s="12" t="s">
        <v>5925</v>
      </c>
      <c r="G1078" s="12" t="s">
        <v>5926</v>
      </c>
      <c r="H1078" s="12" t="s">
        <v>687</v>
      </c>
      <c r="I1078" s="12" t="b">
        <v>1</v>
      </c>
      <c r="J1078" s="12" t="s">
        <v>1784</v>
      </c>
      <c r="O1078" s="12">
        <v>495.0</v>
      </c>
      <c r="P1078" s="12">
        <v>2229983.0</v>
      </c>
      <c r="Q1078" s="12" t="b">
        <v>1</v>
      </c>
    </row>
    <row r="1079">
      <c r="A1079" s="12" t="s">
        <v>2840</v>
      </c>
      <c r="B1079" s="12" t="s">
        <v>54</v>
      </c>
      <c r="C1079" s="14">
        <v>46189.0</v>
      </c>
      <c r="D1079" s="12" t="s">
        <v>689</v>
      </c>
      <c r="H1079" s="12" t="s">
        <v>5933</v>
      </c>
      <c r="J1079" s="12" t="s">
        <v>621</v>
      </c>
      <c r="O1079" s="12">
        <v>5300.0</v>
      </c>
      <c r="Q1079" s="12" t="b">
        <v>1</v>
      </c>
    </row>
    <row r="1080">
      <c r="A1080" s="12">
        <v>1581.0</v>
      </c>
      <c r="B1080" s="12" t="s">
        <v>54</v>
      </c>
      <c r="C1080" s="14">
        <v>46190.0</v>
      </c>
      <c r="D1080" s="12" t="s">
        <v>933</v>
      </c>
      <c r="H1080" s="12" t="s">
        <v>1494</v>
      </c>
      <c r="J1080" s="12" t="s">
        <v>621</v>
      </c>
      <c r="O1080" s="12">
        <v>3949.05</v>
      </c>
      <c r="Q1080" s="12" t="b">
        <v>1</v>
      </c>
    </row>
    <row r="1081">
      <c r="A1081" s="12">
        <v>1582.0</v>
      </c>
      <c r="B1081" s="12" t="s">
        <v>54</v>
      </c>
      <c r="C1081" s="14">
        <v>46190.0</v>
      </c>
      <c r="D1081" s="12" t="s">
        <v>734</v>
      </c>
      <c r="H1081" s="12" t="s">
        <v>1466</v>
      </c>
      <c r="J1081" s="12" t="s">
        <v>621</v>
      </c>
      <c r="O1081" s="12">
        <v>1324.89</v>
      </c>
      <c r="Q1081" s="12" t="b">
        <v>1</v>
      </c>
    </row>
    <row r="1082">
      <c r="A1082" s="12">
        <v>1583.0</v>
      </c>
      <c r="B1082" s="12" t="s">
        <v>54</v>
      </c>
      <c r="C1082" s="14">
        <v>46190.0</v>
      </c>
      <c r="D1082" s="12" t="s">
        <v>1067</v>
      </c>
      <c r="H1082" s="12" t="s">
        <v>1068</v>
      </c>
      <c r="J1082" s="12" t="s">
        <v>621</v>
      </c>
      <c r="O1082" s="12">
        <v>1096.14</v>
      </c>
      <c r="Q1082" s="12" t="b">
        <v>1</v>
      </c>
    </row>
    <row r="1083">
      <c r="A1083" s="12">
        <v>1584.0</v>
      </c>
      <c r="B1083" s="12" t="s">
        <v>54</v>
      </c>
      <c r="C1083" s="14">
        <v>46190.0</v>
      </c>
      <c r="D1083" s="12" t="s">
        <v>1484</v>
      </c>
      <c r="H1083" s="12" t="s">
        <v>1485</v>
      </c>
      <c r="J1083" s="12" t="s">
        <v>621</v>
      </c>
      <c r="O1083" s="12">
        <v>0.0</v>
      </c>
      <c r="Q1083" s="12" t="b">
        <v>1</v>
      </c>
    </row>
    <row r="1084">
      <c r="A1084" s="12" t="s">
        <v>2853</v>
      </c>
      <c r="B1084" s="12" t="s">
        <v>54</v>
      </c>
      <c r="C1084" s="14">
        <v>46190.0</v>
      </c>
      <c r="D1084" s="12" t="s">
        <v>5943</v>
      </c>
      <c r="H1084" s="12" t="s">
        <v>5944</v>
      </c>
      <c r="J1084" s="12" t="s">
        <v>621</v>
      </c>
      <c r="O1084" s="12">
        <v>306.0</v>
      </c>
      <c r="Q1084" s="12" t="b">
        <v>1</v>
      </c>
    </row>
    <row r="1085">
      <c r="A1085" s="12" t="s">
        <v>2858</v>
      </c>
      <c r="B1085" s="12" t="s">
        <v>54</v>
      </c>
      <c r="C1085" s="14">
        <v>46191.0</v>
      </c>
      <c r="H1085" s="12" t="s">
        <v>5946</v>
      </c>
      <c r="J1085" s="12" t="s">
        <v>191</v>
      </c>
      <c r="K1085" s="12" t="s">
        <v>1183</v>
      </c>
      <c r="O1085" s="12">
        <v>2212.33</v>
      </c>
      <c r="Q1085" s="12" t="b">
        <v>1</v>
      </c>
    </row>
    <row r="1086">
      <c r="A1086" s="12" t="s">
        <v>5534</v>
      </c>
      <c r="B1086" s="12" t="s">
        <v>54</v>
      </c>
      <c r="C1086" s="14">
        <v>46192.0</v>
      </c>
      <c r="D1086" s="12" t="s">
        <v>220</v>
      </c>
      <c r="E1086" s="12" t="s">
        <v>5950</v>
      </c>
      <c r="G1086" s="12" t="s">
        <v>5951</v>
      </c>
      <c r="H1086" s="12" t="s">
        <v>2402</v>
      </c>
      <c r="I1086" s="12" t="b">
        <v>1</v>
      </c>
      <c r="J1086" s="12" t="s">
        <v>1784</v>
      </c>
      <c r="O1086" s="12">
        <v>318.15</v>
      </c>
      <c r="P1086" s="16" t="s">
        <v>5669</v>
      </c>
      <c r="Q1086" s="12" t="b">
        <v>1</v>
      </c>
    </row>
    <row r="1087">
      <c r="A1087" s="12">
        <v>1.8283946E7</v>
      </c>
      <c r="B1087" s="12" t="s">
        <v>54</v>
      </c>
      <c r="C1087" s="14">
        <v>46192.0</v>
      </c>
      <c r="D1087" s="12" t="s">
        <v>220</v>
      </c>
      <c r="E1087" s="12" t="s">
        <v>5957</v>
      </c>
      <c r="G1087" s="12" t="s">
        <v>5958</v>
      </c>
      <c r="H1087" s="12" t="s">
        <v>5959</v>
      </c>
      <c r="I1087" s="12" t="b">
        <v>1</v>
      </c>
      <c r="J1087" s="12" t="s">
        <v>1784</v>
      </c>
      <c r="O1087" s="12">
        <v>1.49</v>
      </c>
      <c r="P1087" s="12">
        <v>2232525.0</v>
      </c>
      <c r="Q1087" s="12" t="b">
        <v>1</v>
      </c>
    </row>
    <row r="1088">
      <c r="A1088" s="12" t="s">
        <v>5532</v>
      </c>
      <c r="B1088" s="12" t="s">
        <v>54</v>
      </c>
      <c r="C1088" s="14">
        <v>46192.0</v>
      </c>
      <c r="D1088" s="12" t="s">
        <v>470</v>
      </c>
      <c r="E1088" s="12" t="s">
        <v>5962</v>
      </c>
      <c r="G1088" s="12" t="s">
        <v>5964</v>
      </c>
      <c r="H1088" s="12" t="s">
        <v>3989</v>
      </c>
      <c r="I1088" s="12" t="b">
        <v>1</v>
      </c>
      <c r="J1088" s="12" t="s">
        <v>1784</v>
      </c>
      <c r="O1088" s="12">
        <v>6.33</v>
      </c>
      <c r="P1088" s="12">
        <v>2232525.0</v>
      </c>
      <c r="Q1088" s="12" t="b">
        <v>1</v>
      </c>
    </row>
    <row r="1089">
      <c r="A1089" s="12" t="s">
        <v>2862</v>
      </c>
      <c r="B1089" s="12" t="s">
        <v>54</v>
      </c>
      <c r="C1089" s="14">
        <v>46195.0</v>
      </c>
      <c r="H1089" s="12" t="s">
        <v>5966</v>
      </c>
      <c r="J1089" s="12" t="s">
        <v>621</v>
      </c>
      <c r="K1089" s="12" t="s">
        <v>1183</v>
      </c>
      <c r="O1089" s="12">
        <v>0.01</v>
      </c>
      <c r="Q1089" s="12" t="b">
        <v>1</v>
      </c>
    </row>
    <row r="1090">
      <c r="A1090" s="12">
        <v>1576.0</v>
      </c>
      <c r="B1090" s="12" t="s">
        <v>54</v>
      </c>
      <c r="C1090" s="14">
        <v>46195.0</v>
      </c>
      <c r="D1090" s="12" t="s">
        <v>4420</v>
      </c>
      <c r="H1090" s="12" t="s">
        <v>5970</v>
      </c>
      <c r="J1090" s="12" t="s">
        <v>621</v>
      </c>
      <c r="O1090" s="12">
        <v>1078.68</v>
      </c>
      <c r="Q1090" s="12" t="b">
        <v>1</v>
      </c>
    </row>
    <row r="1091">
      <c r="A1091" s="12">
        <v>1591.0</v>
      </c>
      <c r="B1091" s="12" t="s">
        <v>54</v>
      </c>
      <c r="C1091" s="14">
        <v>46195.0</v>
      </c>
      <c r="D1091" s="12" t="s">
        <v>818</v>
      </c>
      <c r="H1091" s="12" t="s">
        <v>819</v>
      </c>
      <c r="J1091" s="12" t="s">
        <v>621</v>
      </c>
      <c r="O1091" s="12">
        <v>185.0</v>
      </c>
      <c r="Q1091" s="12" t="b">
        <v>1</v>
      </c>
    </row>
    <row r="1092">
      <c r="A1092" s="12" t="s">
        <v>2870</v>
      </c>
      <c r="B1092" s="12" t="s">
        <v>54</v>
      </c>
      <c r="C1092" s="14">
        <v>46195.0</v>
      </c>
      <c r="D1092" s="12" t="s">
        <v>5974</v>
      </c>
      <c r="H1092" s="12" t="s">
        <v>5975</v>
      </c>
      <c r="J1092" s="12" t="s">
        <v>621</v>
      </c>
      <c r="O1092" s="12">
        <v>1057.0</v>
      </c>
      <c r="Q1092" s="12" t="b">
        <v>1</v>
      </c>
    </row>
    <row r="1093">
      <c r="A1093" s="12">
        <v>1596.0</v>
      </c>
      <c r="B1093" s="12" t="s">
        <v>54</v>
      </c>
      <c r="C1093" s="14">
        <v>46195.0</v>
      </c>
      <c r="D1093" s="12" t="s">
        <v>1712</v>
      </c>
      <c r="H1093" s="12" t="s">
        <v>5978</v>
      </c>
      <c r="J1093" s="12" t="s">
        <v>621</v>
      </c>
      <c r="O1093" s="12">
        <v>236.83</v>
      </c>
      <c r="Q1093" s="12" t="b">
        <v>1</v>
      </c>
    </row>
    <row r="1094">
      <c r="A1094" s="12" t="s">
        <v>2878</v>
      </c>
      <c r="B1094" s="12" t="s">
        <v>54</v>
      </c>
      <c r="C1094" s="14">
        <v>46195.0</v>
      </c>
      <c r="D1094" s="12" t="s">
        <v>1914</v>
      </c>
      <c r="H1094" s="12" t="s">
        <v>5982</v>
      </c>
      <c r="J1094" s="12" t="s">
        <v>621</v>
      </c>
      <c r="O1094" s="12">
        <v>1117.77</v>
      </c>
      <c r="Q1094" s="12" t="b">
        <v>1</v>
      </c>
    </row>
    <row r="1095">
      <c r="A1095" s="12" t="s">
        <v>2882</v>
      </c>
      <c r="B1095" s="12" t="s">
        <v>54</v>
      </c>
      <c r="C1095" s="14">
        <v>46195.0</v>
      </c>
      <c r="D1095" s="12" t="s">
        <v>1914</v>
      </c>
      <c r="H1095" s="12" t="s">
        <v>5984</v>
      </c>
      <c r="J1095" s="12" t="s">
        <v>621</v>
      </c>
      <c r="O1095" s="12">
        <v>1110.0</v>
      </c>
      <c r="Q1095" s="12" t="b">
        <v>1</v>
      </c>
    </row>
    <row r="1096">
      <c r="A1096" s="12" t="s">
        <v>2886</v>
      </c>
      <c r="B1096" s="12" t="s">
        <v>54</v>
      </c>
      <c r="C1096" s="14">
        <v>46195.0</v>
      </c>
      <c r="D1096" s="12" t="s">
        <v>1914</v>
      </c>
      <c r="H1096" s="12" t="s">
        <v>5989</v>
      </c>
      <c r="J1096" s="12" t="s">
        <v>621</v>
      </c>
      <c r="O1096" s="12">
        <v>398.8</v>
      </c>
      <c r="Q1096" s="12" t="b">
        <v>1</v>
      </c>
    </row>
    <row r="1097">
      <c r="A1097" s="12"/>
      <c r="B1097" s="12"/>
      <c r="C1097" s="14"/>
      <c r="D1097" s="12"/>
      <c r="E1097" s="12"/>
      <c r="G1097" s="12"/>
      <c r="H1097" s="12"/>
      <c r="I1097" s="12"/>
      <c r="J1097" s="12"/>
      <c r="P1097" s="12"/>
      <c r="Q1097" s="12"/>
    </row>
    <row r="1098">
      <c r="A1098" s="12" t="s">
        <v>5566</v>
      </c>
      <c r="B1098" s="12" t="s">
        <v>54</v>
      </c>
      <c r="C1098" s="14">
        <v>46198.0</v>
      </c>
      <c r="D1098" s="12" t="s">
        <v>220</v>
      </c>
      <c r="E1098" s="12" t="s">
        <v>5994</v>
      </c>
      <c r="G1098" s="12" t="s">
        <v>5995</v>
      </c>
      <c r="H1098" s="12" t="s">
        <v>2402</v>
      </c>
      <c r="I1098" s="12" t="b">
        <v>1</v>
      </c>
      <c r="J1098" s="12" t="s">
        <v>1784</v>
      </c>
      <c r="O1098" s="12">
        <v>220.32</v>
      </c>
      <c r="P1098" s="12">
        <v>2241760.0</v>
      </c>
      <c r="Q1098" s="12" t="b">
        <v>1</v>
      </c>
    </row>
    <row r="1099">
      <c r="A1099" s="12" t="s">
        <v>5602</v>
      </c>
      <c r="B1099" s="12" t="s">
        <v>54</v>
      </c>
      <c r="C1099" s="14">
        <v>46198.0</v>
      </c>
      <c r="D1099" s="12" t="s">
        <v>4672</v>
      </c>
      <c r="E1099" s="12" t="s">
        <v>5999</v>
      </c>
      <c r="G1099" s="12" t="s">
        <v>6001</v>
      </c>
      <c r="H1099" s="12" t="s">
        <v>3841</v>
      </c>
      <c r="I1099" s="12" t="b">
        <v>1</v>
      </c>
      <c r="J1099" s="12" t="s">
        <v>1784</v>
      </c>
      <c r="O1099" s="12">
        <v>15.44</v>
      </c>
      <c r="P1099" s="12">
        <v>2241761.0</v>
      </c>
      <c r="Q1099" s="12" t="b">
        <v>1</v>
      </c>
    </row>
    <row r="1100">
      <c r="A1100" s="12"/>
      <c r="B1100" s="12"/>
      <c r="C1100" s="14"/>
      <c r="D1100" s="12"/>
      <c r="E1100" s="12"/>
      <c r="G1100" s="12"/>
      <c r="H1100" s="12"/>
      <c r="I1100" s="12"/>
      <c r="J1100" s="12"/>
      <c r="Q1100" s="12"/>
    </row>
    <row r="1101">
      <c r="A1101" s="12"/>
      <c r="B1101" s="12"/>
      <c r="C1101" s="14"/>
      <c r="D1101" s="12"/>
      <c r="E1101" s="12"/>
      <c r="G1101" s="12"/>
      <c r="H1101" s="12"/>
      <c r="I1101" s="12"/>
      <c r="J1101" s="12"/>
      <c r="Q1101" s="12"/>
    </row>
    <row r="1102">
      <c r="A1102" s="12" t="s">
        <v>2891</v>
      </c>
      <c r="B1102" s="12" t="s">
        <v>54</v>
      </c>
      <c r="C1102" s="14">
        <v>46199.0</v>
      </c>
      <c r="D1102" s="12" t="s">
        <v>1715</v>
      </c>
      <c r="H1102" s="12" t="s">
        <v>45</v>
      </c>
      <c r="J1102" s="12" t="s">
        <v>621</v>
      </c>
      <c r="O1102" s="12">
        <v>593.12</v>
      </c>
      <c r="Q1102" s="12" t="b">
        <v>1</v>
      </c>
    </row>
    <row r="1103">
      <c r="A1103" s="12" t="s">
        <v>2894</v>
      </c>
      <c r="B1103" s="12" t="s">
        <v>54</v>
      </c>
      <c r="C1103" s="14">
        <v>46199.0</v>
      </c>
      <c r="D1103" s="12" t="s">
        <v>734</v>
      </c>
      <c r="H1103" s="12" t="s">
        <v>6010</v>
      </c>
      <c r="J1103" s="12" t="s">
        <v>621</v>
      </c>
      <c r="O1103" s="12">
        <v>394.83</v>
      </c>
      <c r="Q1103" s="12" t="b">
        <v>1</v>
      </c>
    </row>
    <row r="1104">
      <c r="A1104" s="12" t="s">
        <v>2901</v>
      </c>
      <c r="B1104" s="12" t="s">
        <v>54</v>
      </c>
      <c r="C1104" s="14">
        <v>46199.0</v>
      </c>
      <c r="D1104" s="12" t="s">
        <v>6012</v>
      </c>
      <c r="H1104" s="12" t="s">
        <v>6013</v>
      </c>
      <c r="J1104" s="12" t="s">
        <v>621</v>
      </c>
      <c r="O1104" s="12">
        <v>134.0</v>
      </c>
      <c r="Q1104" s="12" t="b">
        <v>1</v>
      </c>
    </row>
    <row r="1105">
      <c r="A1105" s="12" t="s">
        <v>5605</v>
      </c>
      <c r="B1105" s="12" t="s">
        <v>54</v>
      </c>
      <c r="C1105" s="14">
        <v>46201.0</v>
      </c>
      <c r="D1105" s="12" t="s">
        <v>3425</v>
      </c>
      <c r="E1105" s="12" t="s">
        <v>6016</v>
      </c>
      <c r="G1105" s="12" t="s">
        <v>6017</v>
      </c>
      <c r="H1105" s="12" t="s">
        <v>3989</v>
      </c>
      <c r="I1105" s="12" t="b">
        <v>1</v>
      </c>
      <c r="J1105" s="12" t="s">
        <v>1784</v>
      </c>
      <c r="O1105" s="12">
        <v>4.35</v>
      </c>
      <c r="P1105" s="12">
        <v>2245203.0</v>
      </c>
      <c r="Q1105" s="12" t="b">
        <v>1</v>
      </c>
    </row>
    <row r="1106">
      <c r="A1106" s="12" t="s">
        <v>5607</v>
      </c>
      <c r="B1106" s="12" t="s">
        <v>54</v>
      </c>
      <c r="C1106" s="14">
        <v>46203.0</v>
      </c>
      <c r="D1106" s="12" t="s">
        <v>220</v>
      </c>
      <c r="E1106" s="12" t="s">
        <v>6020</v>
      </c>
      <c r="G1106" s="12" t="s">
        <v>6021</v>
      </c>
      <c r="H1106" s="12" t="s">
        <v>2402</v>
      </c>
      <c r="I1106" s="12" t="b">
        <v>1</v>
      </c>
      <c r="J1106" s="12" t="s">
        <v>1784</v>
      </c>
      <c r="O1106" s="12">
        <v>157.19</v>
      </c>
      <c r="P1106" s="12">
        <v>2247908.0</v>
      </c>
      <c r="Q1106" s="12" t="b">
        <v>1</v>
      </c>
    </row>
    <row r="1107">
      <c r="A1107" s="12" t="s">
        <v>286</v>
      </c>
      <c r="B1107" s="12" t="s">
        <v>54</v>
      </c>
      <c r="C1107" s="14">
        <v>46204.0</v>
      </c>
      <c r="D1107" s="12" t="s">
        <v>556</v>
      </c>
      <c r="E1107" s="12" t="s">
        <v>6024</v>
      </c>
      <c r="G1107" s="12" t="s">
        <v>6025</v>
      </c>
      <c r="H1107" s="12" t="s">
        <v>6027</v>
      </c>
      <c r="I1107" s="12" t="b">
        <v>1</v>
      </c>
      <c r="J1107" s="12" t="s">
        <v>1784</v>
      </c>
      <c r="O1107" s="12">
        <v>245.0</v>
      </c>
      <c r="P1107" s="16" t="s">
        <v>6029</v>
      </c>
      <c r="Q1107" s="12" t="b">
        <v>1</v>
      </c>
    </row>
    <row r="1108">
      <c r="A1108" s="12">
        <v>1605.0</v>
      </c>
      <c r="B1108" s="12" t="s">
        <v>54</v>
      </c>
      <c r="C1108" s="19">
        <v>46204.0</v>
      </c>
      <c r="F1108" s="12" t="s">
        <v>3108</v>
      </c>
      <c r="H1108" s="12" t="s">
        <v>3108</v>
      </c>
      <c r="J1108" s="12" t="s">
        <v>621</v>
      </c>
      <c r="K1108" s="12" t="s">
        <v>259</v>
      </c>
      <c r="O1108" s="17">
        <v>585.0</v>
      </c>
      <c r="Q1108" s="12" t="b">
        <v>1</v>
      </c>
      <c r="R1108" s="12" t="b">
        <v>0</v>
      </c>
    </row>
    <row r="1109">
      <c r="A1109" s="12">
        <v>1606.0</v>
      </c>
      <c r="B1109" s="12" t="s">
        <v>54</v>
      </c>
      <c r="C1109" s="19">
        <v>46204.0</v>
      </c>
      <c r="D1109" s="12" t="s">
        <v>1712</v>
      </c>
      <c r="F1109" s="19">
        <v>46297.0</v>
      </c>
      <c r="H1109" s="19">
        <v>46297.0</v>
      </c>
      <c r="J1109" s="12" t="s">
        <v>621</v>
      </c>
      <c r="O1109" s="17">
        <v>855.0</v>
      </c>
      <c r="Q1109" s="12" t="b">
        <v>1</v>
      </c>
      <c r="R1109" s="12" t="b">
        <v>0</v>
      </c>
    </row>
    <row r="1110">
      <c r="A1110" s="12" t="s">
        <v>316</v>
      </c>
      <c r="B1110" s="12" t="s">
        <v>54</v>
      </c>
      <c r="C1110" s="14">
        <v>46205.0</v>
      </c>
      <c r="D1110" s="12" t="s">
        <v>375</v>
      </c>
      <c r="E1110" s="12" t="s">
        <v>6036</v>
      </c>
      <c r="G1110" s="12" t="s">
        <v>6037</v>
      </c>
      <c r="H1110" s="12" t="s">
        <v>378</v>
      </c>
      <c r="I1110" s="12" t="b">
        <v>1</v>
      </c>
      <c r="J1110" s="12" t="s">
        <v>1784</v>
      </c>
      <c r="O1110" s="12">
        <v>159.6</v>
      </c>
      <c r="P1110" s="16" t="s">
        <v>6039</v>
      </c>
      <c r="Q1110" s="12" t="b">
        <v>1</v>
      </c>
    </row>
    <row r="1111">
      <c r="A1111" s="12" t="s">
        <v>5654</v>
      </c>
      <c r="B1111" s="12" t="s">
        <v>54</v>
      </c>
      <c r="C1111" s="14">
        <v>46205.0</v>
      </c>
      <c r="D1111" s="12" t="s">
        <v>5383</v>
      </c>
      <c r="E1111" s="12" t="s">
        <v>6042</v>
      </c>
      <c r="G1111" s="12" t="s">
        <v>6043</v>
      </c>
      <c r="H1111" s="12" t="s">
        <v>6044</v>
      </c>
      <c r="I1111" s="12" t="b">
        <v>1</v>
      </c>
      <c r="J1111" s="12" t="s">
        <v>1784</v>
      </c>
      <c r="O1111" s="12">
        <v>75.5</v>
      </c>
      <c r="P1111" s="16" t="s">
        <v>6047</v>
      </c>
      <c r="Q1111" s="12" t="b">
        <v>1</v>
      </c>
    </row>
    <row r="1112">
      <c r="A1112" s="12" t="s">
        <v>361</v>
      </c>
      <c r="B1112" s="12" t="s">
        <v>54</v>
      </c>
      <c r="C1112" s="14">
        <v>46205.0</v>
      </c>
      <c r="D1112" s="12" t="s">
        <v>175</v>
      </c>
      <c r="E1112" s="12" t="s">
        <v>6049</v>
      </c>
      <c r="G1112" s="12" t="s">
        <v>6051</v>
      </c>
      <c r="H1112" s="12" t="s">
        <v>2402</v>
      </c>
      <c r="I1112" s="12" t="b">
        <v>1</v>
      </c>
      <c r="J1112" s="12" t="s">
        <v>1784</v>
      </c>
      <c r="O1112" s="12">
        <v>66.9</v>
      </c>
      <c r="P1112" s="16" t="s">
        <v>6053</v>
      </c>
      <c r="Q1112" s="12" t="b">
        <v>1</v>
      </c>
    </row>
    <row r="1113">
      <c r="A1113" s="12" t="s">
        <v>369</v>
      </c>
      <c r="B1113" s="12" t="s">
        <v>54</v>
      </c>
      <c r="C1113" s="14">
        <v>46205.0</v>
      </c>
      <c r="D1113" s="12" t="s">
        <v>435</v>
      </c>
      <c r="E1113" s="12" t="s">
        <v>6055</v>
      </c>
      <c r="G1113" s="12" t="s">
        <v>6057</v>
      </c>
      <c r="H1113" s="12" t="s">
        <v>6059</v>
      </c>
      <c r="I1113" s="12" t="b">
        <v>1</v>
      </c>
      <c r="J1113" s="12" t="s">
        <v>1784</v>
      </c>
      <c r="O1113" s="12">
        <v>5.99</v>
      </c>
      <c r="P1113" s="16" t="s">
        <v>6061</v>
      </c>
      <c r="Q1113" s="12" t="b">
        <v>1</v>
      </c>
    </row>
    <row r="1114">
      <c r="A1114" s="12">
        <v>1599.0</v>
      </c>
      <c r="B1114" s="12" t="s">
        <v>54</v>
      </c>
      <c r="C1114" s="14">
        <v>46205.0</v>
      </c>
      <c r="D1114" s="12"/>
      <c r="E1114" s="12"/>
      <c r="F1114" s="12" t="s">
        <v>1644</v>
      </c>
      <c r="G1114" s="12"/>
      <c r="H1114" s="12" t="s">
        <v>1644</v>
      </c>
      <c r="I1114" s="12"/>
      <c r="J1114" s="12" t="s">
        <v>191</v>
      </c>
      <c r="K1114" s="12" t="s">
        <v>727</v>
      </c>
      <c r="O1114" s="17">
        <v>3500.0</v>
      </c>
      <c r="P1114" s="12"/>
      <c r="Q1114" s="12" t="b">
        <v>1</v>
      </c>
      <c r="R1114" s="12" t="b">
        <v>0</v>
      </c>
    </row>
    <row r="1115">
      <c r="A1115" s="12">
        <v>1600.0</v>
      </c>
      <c r="B1115" s="12" t="s">
        <v>54</v>
      </c>
      <c r="C1115" s="14">
        <v>46205.0</v>
      </c>
      <c r="D1115" s="12"/>
      <c r="E1115" s="12"/>
      <c r="F1115" s="12" t="s">
        <v>1884</v>
      </c>
      <c r="G1115" s="12"/>
      <c r="H1115" s="12" t="s">
        <v>1884</v>
      </c>
      <c r="I1115" s="12"/>
      <c r="J1115" s="12" t="s">
        <v>191</v>
      </c>
      <c r="K1115" s="12" t="s">
        <v>727</v>
      </c>
      <c r="O1115" s="17">
        <v>3502.66</v>
      </c>
      <c r="P1115" s="12"/>
      <c r="Q1115" s="12" t="b">
        <v>1</v>
      </c>
      <c r="R1115" s="12" t="b">
        <v>0</v>
      </c>
    </row>
    <row r="1116">
      <c r="A1116" s="12">
        <v>1601.0</v>
      </c>
      <c r="B1116" s="12" t="s">
        <v>54</v>
      </c>
      <c r="C1116" s="14">
        <v>46205.0</v>
      </c>
      <c r="D1116" s="12"/>
      <c r="E1116" s="12"/>
      <c r="F1116" s="12" t="s">
        <v>1884</v>
      </c>
      <c r="G1116" s="12"/>
      <c r="H1116" s="12" t="s">
        <v>1884</v>
      </c>
      <c r="I1116" s="12"/>
      <c r="J1116" s="12" t="s">
        <v>191</v>
      </c>
      <c r="K1116" s="12" t="s">
        <v>1183</v>
      </c>
      <c r="O1116" s="17">
        <v>1492.01</v>
      </c>
      <c r="P1116" s="12"/>
      <c r="Q1116" s="12" t="b">
        <v>1</v>
      </c>
      <c r="R1116" s="12" t="b">
        <v>0</v>
      </c>
    </row>
    <row r="1117">
      <c r="A1117" s="12">
        <v>1602.0</v>
      </c>
      <c r="B1117" s="12" t="s">
        <v>54</v>
      </c>
      <c r="C1117" s="14">
        <v>46205.0</v>
      </c>
      <c r="D1117" s="12"/>
      <c r="E1117" s="12"/>
      <c r="F1117" s="12" t="s">
        <v>1884</v>
      </c>
      <c r="G1117" s="12"/>
      <c r="H1117" s="12" t="s">
        <v>1884</v>
      </c>
      <c r="I1117" s="12"/>
      <c r="J1117" s="12" t="s">
        <v>191</v>
      </c>
      <c r="K1117" s="12" t="s">
        <v>62</v>
      </c>
      <c r="O1117" s="17">
        <v>1674.03</v>
      </c>
      <c r="P1117" s="12"/>
      <c r="Q1117" s="12" t="b">
        <v>1</v>
      </c>
      <c r="R1117" s="12" t="b">
        <v>0</v>
      </c>
    </row>
    <row r="1118">
      <c r="A1118" s="12">
        <v>1603.0</v>
      </c>
      <c r="B1118" s="12" t="s">
        <v>54</v>
      </c>
      <c r="C1118" s="14">
        <v>46205.0</v>
      </c>
      <c r="D1118" s="12"/>
      <c r="E1118" s="12"/>
      <c r="F1118" s="12" t="s">
        <v>1884</v>
      </c>
      <c r="G1118" s="12"/>
      <c r="H1118" s="12" t="s">
        <v>1884</v>
      </c>
      <c r="I1118" s="12"/>
      <c r="J1118" s="12" t="s">
        <v>191</v>
      </c>
      <c r="K1118" s="12" t="s">
        <v>78</v>
      </c>
      <c r="O1118" s="17">
        <v>1492.88</v>
      </c>
      <c r="P1118" s="12"/>
      <c r="Q1118" s="12" t="b">
        <v>1</v>
      </c>
      <c r="R1118" s="12" t="b">
        <v>0</v>
      </c>
    </row>
    <row r="1119">
      <c r="A1119" s="12">
        <v>1604.0</v>
      </c>
      <c r="B1119" s="12" t="s">
        <v>54</v>
      </c>
      <c r="C1119" s="14">
        <v>46205.0</v>
      </c>
      <c r="D1119" s="12"/>
      <c r="E1119" s="12"/>
      <c r="F1119" s="12" t="s">
        <v>1884</v>
      </c>
      <c r="G1119" s="12"/>
      <c r="H1119" s="12" t="s">
        <v>1884</v>
      </c>
      <c r="I1119" s="12"/>
      <c r="J1119" s="12" t="s">
        <v>191</v>
      </c>
      <c r="K1119" s="12" t="s">
        <v>152</v>
      </c>
      <c r="O1119" s="17">
        <v>1781.27</v>
      </c>
      <c r="P1119" s="12"/>
      <c r="Q1119" s="12" t="b">
        <v>1</v>
      </c>
      <c r="R1119" s="12" t="b">
        <v>0</v>
      </c>
    </row>
    <row r="1120">
      <c r="A1120" s="16" t="s">
        <v>5698</v>
      </c>
      <c r="B1120" s="12" t="s">
        <v>54</v>
      </c>
      <c r="C1120" s="14">
        <v>46207.0</v>
      </c>
      <c r="D1120" s="12" t="s">
        <v>4672</v>
      </c>
      <c r="E1120" s="12" t="s">
        <v>6074</v>
      </c>
      <c r="F1120" s="12"/>
      <c r="G1120" s="12" t="s">
        <v>6075</v>
      </c>
      <c r="H1120" s="12" t="s">
        <v>3989</v>
      </c>
      <c r="I1120" s="12" t="b">
        <v>1</v>
      </c>
      <c r="J1120" s="12" t="s">
        <v>1784</v>
      </c>
      <c r="L1120" s="12" t="s">
        <v>6076</v>
      </c>
      <c r="O1120" s="12">
        <v>3.72</v>
      </c>
      <c r="P1120" s="16" t="s">
        <v>5698</v>
      </c>
      <c r="Q1120" s="12" t="b">
        <v>1</v>
      </c>
      <c r="R1120" s="12"/>
    </row>
    <row r="1121">
      <c r="A1121" s="16" t="s">
        <v>5669</v>
      </c>
      <c r="B1121" s="12" t="s">
        <v>54</v>
      </c>
      <c r="C1121" s="14">
        <v>46206.0</v>
      </c>
      <c r="D1121" s="12" t="s">
        <v>220</v>
      </c>
      <c r="E1121" s="12" t="s">
        <v>6077</v>
      </c>
      <c r="F1121" s="12"/>
      <c r="G1121" s="12" t="s">
        <v>6078</v>
      </c>
      <c r="H1121" s="12" t="s">
        <v>5477</v>
      </c>
      <c r="I1121" s="12" t="b">
        <v>1</v>
      </c>
      <c r="J1121" s="12" t="s">
        <v>1784</v>
      </c>
      <c r="L1121" s="12"/>
      <c r="O1121" s="12">
        <v>303.76</v>
      </c>
      <c r="P1121" s="12"/>
      <c r="Q1121" s="12" t="b">
        <v>1</v>
      </c>
      <c r="R1121" s="12"/>
    </row>
    <row r="1122">
      <c r="A1122" s="16" t="s">
        <v>5692</v>
      </c>
      <c r="B1122" s="12" t="s">
        <v>54</v>
      </c>
      <c r="C1122" s="14">
        <v>46206.0</v>
      </c>
      <c r="D1122" s="12" t="s">
        <v>190</v>
      </c>
      <c r="E1122" s="12" t="s">
        <v>6079</v>
      </c>
      <c r="F1122" s="12"/>
      <c r="G1122" s="12" t="s">
        <v>6080</v>
      </c>
      <c r="H1122" s="12" t="s">
        <v>6081</v>
      </c>
      <c r="I1122" s="12" t="b">
        <v>1</v>
      </c>
      <c r="J1122" s="12" t="s">
        <v>1784</v>
      </c>
      <c r="L1122" s="12"/>
      <c r="O1122" s="12">
        <v>15.0</v>
      </c>
      <c r="P1122" s="16" t="s">
        <v>6082</v>
      </c>
      <c r="Q1122" s="12" t="b">
        <v>1</v>
      </c>
      <c r="R1122" s="12"/>
    </row>
    <row r="1123">
      <c r="A1123" s="16" t="s">
        <v>477</v>
      </c>
      <c r="B1123" s="12" t="s">
        <v>54</v>
      </c>
      <c r="C1123" s="14">
        <v>46206.0</v>
      </c>
      <c r="D1123" s="12" t="s">
        <v>6083</v>
      </c>
      <c r="E1123" s="12" t="s">
        <v>6084</v>
      </c>
      <c r="F1123" s="12"/>
      <c r="G1123" s="12" t="s">
        <v>6085</v>
      </c>
      <c r="H1123" s="12" t="s">
        <v>6086</v>
      </c>
      <c r="I1123" s="12" t="b">
        <v>1</v>
      </c>
      <c r="J1123" s="12" t="s">
        <v>1784</v>
      </c>
      <c r="L1123" s="12"/>
      <c r="O1123" s="12">
        <v>56.79</v>
      </c>
      <c r="P1123" s="16" t="s">
        <v>477</v>
      </c>
      <c r="Q1123" s="12" t="b">
        <v>1</v>
      </c>
      <c r="R1123" s="12"/>
    </row>
    <row r="1124">
      <c r="A1124" s="16" t="s">
        <v>467</v>
      </c>
      <c r="B1124" s="12" t="s">
        <v>54</v>
      </c>
      <c r="C1124" s="14">
        <v>46173.0</v>
      </c>
      <c r="D1124" s="12" t="s">
        <v>6083</v>
      </c>
      <c r="E1124" s="12" t="s">
        <v>6087</v>
      </c>
      <c r="F1124" s="12"/>
      <c r="G1124" s="12" t="s">
        <v>6088</v>
      </c>
      <c r="H1124" s="12" t="s">
        <v>6089</v>
      </c>
      <c r="I1124" s="12" t="b">
        <v>1</v>
      </c>
      <c r="J1124" s="12" t="s">
        <v>1784</v>
      </c>
      <c r="L1124" s="12"/>
      <c r="O1124" s="12">
        <v>21.9</v>
      </c>
      <c r="P1124" s="16" t="s">
        <v>467</v>
      </c>
      <c r="Q1124" s="12" t="b">
        <v>1</v>
      </c>
      <c r="R1124" s="12"/>
    </row>
    <row r="1125">
      <c r="A1125" s="16" t="s">
        <v>562</v>
      </c>
      <c r="B1125" s="12" t="s">
        <v>54</v>
      </c>
      <c r="C1125" s="14">
        <v>46211.0</v>
      </c>
      <c r="D1125" s="12" t="s">
        <v>175</v>
      </c>
      <c r="E1125" s="12" t="s">
        <v>6090</v>
      </c>
      <c r="F1125" s="12"/>
      <c r="G1125" s="12" t="s">
        <v>6091</v>
      </c>
      <c r="H1125" s="12" t="s">
        <v>6092</v>
      </c>
      <c r="I1125" s="12" t="b">
        <v>1</v>
      </c>
      <c r="J1125" s="12" t="s">
        <v>1784</v>
      </c>
      <c r="L1125" s="12"/>
      <c r="O1125" s="12">
        <v>31.8</v>
      </c>
      <c r="P1125" s="16" t="s">
        <v>562</v>
      </c>
      <c r="Q1125" s="12" t="b">
        <v>1</v>
      </c>
      <c r="R1125" s="12"/>
    </row>
    <row r="1126">
      <c r="A1126" s="16" t="s">
        <v>553</v>
      </c>
      <c r="B1126" s="12" t="s">
        <v>54</v>
      </c>
      <c r="C1126" s="14">
        <v>46211.0</v>
      </c>
      <c r="D1126" s="12" t="s">
        <v>2012</v>
      </c>
      <c r="E1126" s="12" t="s">
        <v>6093</v>
      </c>
      <c r="F1126" s="12"/>
      <c r="G1126" s="12" t="s">
        <v>6095</v>
      </c>
      <c r="H1126" s="12" t="s">
        <v>6096</v>
      </c>
      <c r="I1126" s="12" t="b">
        <v>1</v>
      </c>
      <c r="J1126" s="12" t="s">
        <v>1784</v>
      </c>
      <c r="L1126" s="12"/>
      <c r="O1126" s="12">
        <v>70.0</v>
      </c>
      <c r="P1126" s="16" t="s">
        <v>553</v>
      </c>
      <c r="Q1126" s="12" t="b">
        <v>1</v>
      </c>
      <c r="R1126" s="12"/>
    </row>
    <row r="1127">
      <c r="A1127" s="16" t="s">
        <v>544</v>
      </c>
      <c r="B1127" s="12" t="s">
        <v>54</v>
      </c>
      <c r="C1127" s="14">
        <v>46211.0</v>
      </c>
      <c r="D1127" s="12" t="s">
        <v>175</v>
      </c>
      <c r="E1127" s="12" t="s">
        <v>6097</v>
      </c>
      <c r="F1127" s="12"/>
      <c r="G1127" s="12" t="s">
        <v>6099</v>
      </c>
      <c r="H1127" s="12" t="s">
        <v>6100</v>
      </c>
      <c r="I1127" s="12" t="b">
        <v>1</v>
      </c>
      <c r="J1127" s="12" t="s">
        <v>1784</v>
      </c>
      <c r="L1127" s="12"/>
      <c r="O1127" s="12">
        <v>42.5</v>
      </c>
      <c r="P1127" s="16" t="s">
        <v>544</v>
      </c>
      <c r="Q1127" s="12" t="b">
        <v>1</v>
      </c>
      <c r="R1127" s="12"/>
    </row>
    <row r="1128">
      <c r="A1128" s="16" t="s">
        <v>531</v>
      </c>
      <c r="B1128" s="12" t="s">
        <v>54</v>
      </c>
      <c r="C1128" s="14">
        <v>46211.0</v>
      </c>
      <c r="D1128" s="12" t="s">
        <v>441</v>
      </c>
      <c r="E1128" s="12" t="s">
        <v>6101</v>
      </c>
      <c r="F1128" s="12"/>
      <c r="G1128" s="12" t="s">
        <v>6103</v>
      </c>
      <c r="H1128" s="12" t="s">
        <v>6104</v>
      </c>
      <c r="I1128" s="12" t="b">
        <v>1</v>
      </c>
      <c r="J1128" s="12" t="s">
        <v>1784</v>
      </c>
      <c r="L1128" s="12"/>
      <c r="O1128" s="12">
        <v>79.0</v>
      </c>
      <c r="P1128" s="16" t="s">
        <v>531</v>
      </c>
      <c r="Q1128" s="12" t="b">
        <v>1</v>
      </c>
      <c r="R1128" s="12"/>
    </row>
    <row r="1129">
      <c r="A1129" s="12" t="s">
        <v>5724</v>
      </c>
      <c r="B1129" s="12" t="s">
        <v>54</v>
      </c>
      <c r="C1129" s="14">
        <v>46244.0</v>
      </c>
      <c r="D1129" s="12"/>
      <c r="E1129" s="12" t="s">
        <v>6105</v>
      </c>
      <c r="F1129" s="12"/>
      <c r="G1129" s="12" t="s">
        <v>6106</v>
      </c>
      <c r="H1129" s="12" t="s">
        <v>423</v>
      </c>
      <c r="I1129" s="12" t="b">
        <v>0</v>
      </c>
      <c r="J1129" s="12" t="s">
        <v>1784</v>
      </c>
      <c r="L1129" s="12"/>
      <c r="O1129" s="12">
        <v>2341.13</v>
      </c>
      <c r="P1129" s="12"/>
      <c r="Q1129" s="12" t="b">
        <v>1</v>
      </c>
      <c r="R1129" s="12"/>
    </row>
    <row r="1130">
      <c r="A1130" s="12" t="s">
        <v>5707</v>
      </c>
      <c r="B1130" s="12" t="s">
        <v>54</v>
      </c>
      <c r="C1130" s="14">
        <v>46211.0</v>
      </c>
      <c r="D1130" s="12" t="s">
        <v>156</v>
      </c>
      <c r="E1130" s="12"/>
      <c r="F1130" s="12" t="s">
        <v>6108</v>
      </c>
      <c r="G1130" s="12"/>
      <c r="H1130" s="12" t="s">
        <v>6108</v>
      </c>
      <c r="I1130" s="12"/>
      <c r="J1130" s="12" t="s">
        <v>621</v>
      </c>
      <c r="K1130" s="12"/>
      <c r="L1130" s="12"/>
      <c r="O1130" s="12">
        <v>446.93</v>
      </c>
      <c r="P1130" s="12"/>
      <c r="Q1130" s="12" t="b">
        <v>1</v>
      </c>
      <c r="R1130" s="12" t="b">
        <v>0</v>
      </c>
    </row>
    <row r="1131">
      <c r="A1131" s="12" t="s">
        <v>5709</v>
      </c>
      <c r="B1131" s="12" t="s">
        <v>54</v>
      </c>
      <c r="C1131" s="14">
        <v>46211.0</v>
      </c>
      <c r="D1131" s="12" t="s">
        <v>156</v>
      </c>
      <c r="E1131" s="12"/>
      <c r="F1131" s="12" t="s">
        <v>6110</v>
      </c>
      <c r="G1131" s="12"/>
      <c r="H1131" s="12" t="s">
        <v>6110</v>
      </c>
      <c r="I1131" s="12"/>
      <c r="J1131" s="12" t="s">
        <v>621</v>
      </c>
      <c r="K1131" s="12"/>
      <c r="L1131" s="12"/>
      <c r="O1131" s="12">
        <v>1984.2</v>
      </c>
      <c r="P1131" s="12"/>
      <c r="Q1131" s="12" t="b">
        <v>1</v>
      </c>
      <c r="R1131" s="12" t="b">
        <v>0</v>
      </c>
    </row>
    <row r="1132">
      <c r="A1132" s="12" t="s">
        <v>5711</v>
      </c>
      <c r="B1132" s="12" t="s">
        <v>54</v>
      </c>
      <c r="C1132" s="14">
        <v>46211.0</v>
      </c>
      <c r="D1132" s="12" t="s">
        <v>156</v>
      </c>
      <c r="E1132" s="12"/>
      <c r="F1132" s="12" t="s">
        <v>6112</v>
      </c>
      <c r="G1132" s="12"/>
      <c r="H1132" s="12" t="s">
        <v>6112</v>
      </c>
      <c r="I1132" s="12"/>
      <c r="J1132" s="12" t="s">
        <v>621</v>
      </c>
      <c r="K1132" s="12"/>
      <c r="L1132" s="12"/>
      <c r="O1132" s="12">
        <v>56.34</v>
      </c>
      <c r="P1132" s="12"/>
      <c r="Q1132" s="12" t="b">
        <v>1</v>
      </c>
      <c r="R1132" s="12" t="b">
        <v>0</v>
      </c>
    </row>
    <row r="1133">
      <c r="A1133" s="12">
        <v>1616.0</v>
      </c>
      <c r="B1133" s="12" t="s">
        <v>54</v>
      </c>
      <c r="C1133" s="14">
        <v>46212.0</v>
      </c>
      <c r="D1133" s="12" t="s">
        <v>1668</v>
      </c>
      <c r="E1133" s="12"/>
      <c r="F1133" s="12" t="s">
        <v>1671</v>
      </c>
      <c r="G1133" s="12"/>
      <c r="H1133" s="12" t="s">
        <v>1671</v>
      </c>
      <c r="I1133" s="12"/>
      <c r="J1133" s="12" t="s">
        <v>621</v>
      </c>
      <c r="K1133" s="12"/>
      <c r="L1133" s="12"/>
      <c r="O1133" s="12">
        <v>125.0</v>
      </c>
      <c r="P1133" s="12"/>
      <c r="Q1133" s="12" t="b">
        <v>1</v>
      </c>
      <c r="R1133" s="12" t="b">
        <v>0</v>
      </c>
    </row>
    <row r="1134">
      <c r="A1134" s="12">
        <v>1621.0</v>
      </c>
      <c r="B1134" s="12" t="s">
        <v>54</v>
      </c>
      <c r="C1134" s="14">
        <v>46212.0</v>
      </c>
      <c r="D1134" s="12" t="s">
        <v>897</v>
      </c>
      <c r="E1134" s="12"/>
      <c r="F1134" s="12" t="s">
        <v>909</v>
      </c>
      <c r="G1134" s="12"/>
      <c r="H1134" s="12" t="s">
        <v>909</v>
      </c>
      <c r="I1134" s="12"/>
      <c r="J1134" s="12" t="s">
        <v>621</v>
      </c>
      <c r="K1134" s="12"/>
      <c r="L1134" s="12"/>
      <c r="O1134" s="12">
        <v>0.0</v>
      </c>
      <c r="P1134" s="12"/>
      <c r="Q1134" s="12" t="b">
        <v>1</v>
      </c>
      <c r="R1134" s="12" t="b">
        <v>0</v>
      </c>
    </row>
    <row r="1135">
      <c r="A1135" s="12">
        <v>1622.0</v>
      </c>
      <c r="B1135" s="12" t="s">
        <v>54</v>
      </c>
      <c r="C1135" s="14">
        <v>46212.0</v>
      </c>
      <c r="D1135" s="12" t="s">
        <v>933</v>
      </c>
      <c r="E1135" s="12"/>
      <c r="F1135" s="12" t="s">
        <v>1346</v>
      </c>
      <c r="G1135" s="12"/>
      <c r="H1135" s="12" t="s">
        <v>1346</v>
      </c>
      <c r="I1135" s="12"/>
      <c r="J1135" s="12" t="s">
        <v>621</v>
      </c>
      <c r="K1135" s="12"/>
      <c r="L1135" s="12"/>
      <c r="O1135" s="12">
        <v>523.0</v>
      </c>
      <c r="P1135" s="12"/>
      <c r="Q1135" s="12" t="b">
        <v>1</v>
      </c>
      <c r="R1135" s="12" t="b">
        <v>0</v>
      </c>
    </row>
    <row r="1136">
      <c r="A1136" s="12" t="s">
        <v>650</v>
      </c>
      <c r="B1136" s="12" t="s">
        <v>54</v>
      </c>
      <c r="C1136" s="14">
        <v>46213.0</v>
      </c>
      <c r="D1136" s="12" t="s">
        <v>556</v>
      </c>
      <c r="E1136" s="12" t="s">
        <v>6118</v>
      </c>
      <c r="F1136" s="12"/>
      <c r="G1136" s="12" t="s">
        <v>6119</v>
      </c>
      <c r="H1136" s="12" t="s">
        <v>6120</v>
      </c>
      <c r="I1136" s="12" t="b">
        <v>1</v>
      </c>
      <c r="J1136" s="12" t="s">
        <v>1784</v>
      </c>
      <c r="K1136" s="12"/>
      <c r="L1136" s="12"/>
      <c r="O1136" s="12">
        <v>210.0</v>
      </c>
      <c r="P1136" s="16" t="s">
        <v>6121</v>
      </c>
      <c r="Q1136" s="12" t="b">
        <v>1</v>
      </c>
      <c r="R1136" s="12"/>
    </row>
    <row r="1137">
      <c r="A1137" s="12" t="s">
        <v>662</v>
      </c>
      <c r="B1137" s="12" t="s">
        <v>54</v>
      </c>
      <c r="C1137" s="14">
        <v>46213.0</v>
      </c>
      <c r="D1137" s="12" t="s">
        <v>77</v>
      </c>
      <c r="E1137" s="12" t="s">
        <v>6122</v>
      </c>
      <c r="F1137" s="12"/>
      <c r="G1137" s="12" t="s">
        <v>6123</v>
      </c>
      <c r="H1137" s="12" t="s">
        <v>6124</v>
      </c>
      <c r="I1137" s="12" t="b">
        <v>1</v>
      </c>
      <c r="J1137" s="12" t="s">
        <v>1784</v>
      </c>
      <c r="K1137" s="12"/>
      <c r="L1137" s="12"/>
      <c r="O1137" s="12">
        <v>95.94</v>
      </c>
      <c r="P1137" s="16" t="s">
        <v>6125</v>
      </c>
      <c r="Q1137" s="12" t="b">
        <v>1</v>
      </c>
      <c r="R1137" s="12"/>
    </row>
    <row r="1138">
      <c r="A1138" s="12" t="s">
        <v>5736</v>
      </c>
      <c r="B1138" s="12" t="s">
        <v>54</v>
      </c>
      <c r="C1138" s="14">
        <v>46213.0</v>
      </c>
      <c r="D1138" s="12"/>
      <c r="E1138" s="12"/>
      <c r="F1138" s="12" t="s">
        <v>6126</v>
      </c>
      <c r="G1138" s="12"/>
      <c r="H1138" s="12" t="s">
        <v>6126</v>
      </c>
      <c r="I1138" s="12"/>
      <c r="J1138" s="12" t="s">
        <v>621</v>
      </c>
      <c r="K1138" s="12" t="s">
        <v>62</v>
      </c>
      <c r="L1138" s="12"/>
      <c r="O1138" s="12">
        <v>2283.37</v>
      </c>
      <c r="P1138" s="12"/>
      <c r="Q1138" s="12" t="b">
        <v>1</v>
      </c>
      <c r="R1138" s="12" t="b">
        <v>0</v>
      </c>
    </row>
    <row r="1139">
      <c r="A1139" s="12" t="s">
        <v>812</v>
      </c>
      <c r="B1139" s="12" t="s">
        <v>54</v>
      </c>
      <c r="C1139" s="14">
        <v>46216.0</v>
      </c>
      <c r="D1139" s="12" t="s">
        <v>6127</v>
      </c>
      <c r="E1139" s="12" t="s">
        <v>6128</v>
      </c>
      <c r="F1139" s="12"/>
      <c r="G1139" s="12" t="s">
        <v>6129</v>
      </c>
      <c r="H1139" s="12" t="s">
        <v>6130</v>
      </c>
      <c r="I1139" s="12" t="b">
        <v>1</v>
      </c>
      <c r="J1139" s="12" t="s">
        <v>1784</v>
      </c>
      <c r="K1139" s="12"/>
      <c r="L1139" s="12"/>
      <c r="O1139" s="12">
        <v>39.98</v>
      </c>
      <c r="P1139" s="16" t="s">
        <v>6131</v>
      </c>
      <c r="Q1139" s="12" t="b">
        <v>1</v>
      </c>
      <c r="R1139" s="12"/>
    </row>
    <row r="1140">
      <c r="A1140" s="12" t="s">
        <v>799</v>
      </c>
      <c r="B1140" s="12" t="s">
        <v>54</v>
      </c>
      <c r="C1140" s="14">
        <v>46216.0</v>
      </c>
      <c r="D1140" s="12" t="s">
        <v>532</v>
      </c>
      <c r="E1140" s="12" t="s">
        <v>6132</v>
      </c>
      <c r="F1140" s="12"/>
      <c r="G1140" s="12" t="s">
        <v>6133</v>
      </c>
      <c r="H1140" s="12" t="s">
        <v>6134</v>
      </c>
      <c r="I1140" s="12" t="b">
        <v>1</v>
      </c>
      <c r="J1140" s="12" t="s">
        <v>1784</v>
      </c>
      <c r="K1140" s="12"/>
      <c r="L1140" s="12"/>
      <c r="O1140" s="12">
        <v>58.97</v>
      </c>
      <c r="P1140" s="16" t="s">
        <v>6135</v>
      </c>
      <c r="Q1140" s="12" t="b">
        <v>1</v>
      </c>
      <c r="R1140" s="12"/>
    </row>
    <row r="1141">
      <c r="A1141" s="12" t="s">
        <v>5748</v>
      </c>
      <c r="B1141" s="12" t="s">
        <v>54</v>
      </c>
      <c r="C1141" s="14">
        <v>46213.0</v>
      </c>
      <c r="D1141" s="12" t="s">
        <v>627</v>
      </c>
      <c r="E1141" s="12" t="s">
        <v>6136</v>
      </c>
      <c r="F1141" s="12"/>
      <c r="G1141" s="12" t="s">
        <v>6137</v>
      </c>
      <c r="H1141" s="12" t="s">
        <v>6138</v>
      </c>
      <c r="I1141" s="12" t="b">
        <v>1</v>
      </c>
      <c r="J1141" s="12" t="s">
        <v>1784</v>
      </c>
      <c r="K1141" s="12"/>
      <c r="L1141" s="12"/>
      <c r="O1141" s="12">
        <v>366.04</v>
      </c>
      <c r="P1141" s="16" t="s">
        <v>6139</v>
      </c>
      <c r="Q1141" s="12" t="b">
        <v>1</v>
      </c>
      <c r="R1141" s="12"/>
    </row>
    <row r="1142">
      <c r="A1142" s="12" t="s">
        <v>5785</v>
      </c>
      <c r="B1142" s="12" t="s">
        <v>54</v>
      </c>
      <c r="C1142" s="14">
        <v>46216.0</v>
      </c>
      <c r="D1142" s="12" t="s">
        <v>77</v>
      </c>
      <c r="E1142" s="12" t="s">
        <v>6140</v>
      </c>
      <c r="F1142" s="12"/>
      <c r="G1142" s="12" t="s">
        <v>6141</v>
      </c>
      <c r="H1142" s="12" t="s">
        <v>6142</v>
      </c>
      <c r="I1142" s="12" t="b">
        <v>1</v>
      </c>
      <c r="J1142" s="12" t="s">
        <v>1784</v>
      </c>
      <c r="K1142" s="12"/>
      <c r="L1142" s="12"/>
      <c r="O1142" s="12">
        <v>11.11</v>
      </c>
      <c r="P1142" s="16" t="s">
        <v>6143</v>
      </c>
      <c r="Q1142" s="12" t="b">
        <v>1</v>
      </c>
      <c r="R1142" s="12"/>
    </row>
    <row r="1143">
      <c r="A1143" s="12" t="s">
        <v>5742</v>
      </c>
      <c r="B1143" s="12" t="s">
        <v>54</v>
      </c>
      <c r="C1143" s="14">
        <v>46216.0</v>
      </c>
      <c r="D1143" s="12" t="s">
        <v>156</v>
      </c>
      <c r="E1143" s="12"/>
      <c r="F1143" s="12" t="s">
        <v>6144</v>
      </c>
      <c r="G1143" s="12"/>
      <c r="H1143" s="12" t="s">
        <v>6144</v>
      </c>
      <c r="I1143" s="12"/>
      <c r="J1143" s="12" t="s">
        <v>621</v>
      </c>
      <c r="K1143" s="12"/>
      <c r="L1143" s="12"/>
      <c r="O1143" s="12">
        <v>2924.2</v>
      </c>
      <c r="P1143" s="12"/>
      <c r="Q1143" s="12" t="b">
        <v>1</v>
      </c>
      <c r="R1143" s="12" t="b">
        <v>0</v>
      </c>
    </row>
    <row r="1144">
      <c r="A1144" s="12" t="s">
        <v>5746</v>
      </c>
      <c r="B1144" s="12" t="s">
        <v>54</v>
      </c>
      <c r="C1144" s="14">
        <v>46216.0</v>
      </c>
      <c r="D1144" s="12" t="s">
        <v>156</v>
      </c>
      <c r="E1144" s="12"/>
      <c r="F1144" s="12" t="s">
        <v>6145</v>
      </c>
      <c r="G1144" s="12"/>
      <c r="H1144" s="12" t="s">
        <v>6145</v>
      </c>
      <c r="I1144" s="12"/>
      <c r="J1144" s="12" t="s">
        <v>621</v>
      </c>
      <c r="K1144" s="12"/>
      <c r="L1144" s="12"/>
      <c r="O1144" s="12">
        <v>628.35</v>
      </c>
      <c r="P1144" s="12"/>
      <c r="Q1144" s="12" t="b">
        <v>1</v>
      </c>
      <c r="R1144" s="12" t="b">
        <v>0</v>
      </c>
    </row>
    <row r="1145">
      <c r="A1145" s="12" t="s">
        <v>847</v>
      </c>
      <c r="B1145" s="12" t="s">
        <v>54</v>
      </c>
      <c r="C1145" s="14">
        <v>46217.0</v>
      </c>
      <c r="D1145" s="12" t="s">
        <v>77</v>
      </c>
      <c r="E1145" s="12" t="s">
        <v>6146</v>
      </c>
      <c r="F1145" s="12"/>
      <c r="G1145" s="12" t="s">
        <v>6147</v>
      </c>
      <c r="H1145" s="12" t="s">
        <v>6148</v>
      </c>
      <c r="I1145" s="12" t="b">
        <v>1</v>
      </c>
      <c r="J1145" s="12" t="s">
        <v>1784</v>
      </c>
      <c r="K1145" s="12"/>
      <c r="L1145" s="12"/>
      <c r="O1145" s="12">
        <v>9.99</v>
      </c>
      <c r="P1145" s="16" t="s">
        <v>6149</v>
      </c>
      <c r="Q1145" s="12" t="b">
        <v>1</v>
      </c>
      <c r="R1145" s="12"/>
    </row>
    <row r="1146">
      <c r="A1146" s="12" t="s">
        <v>864</v>
      </c>
      <c r="B1146" s="12" t="s">
        <v>54</v>
      </c>
      <c r="C1146" s="14">
        <v>46217.0</v>
      </c>
      <c r="D1146" s="12" t="s">
        <v>3355</v>
      </c>
      <c r="E1146" s="12" t="s">
        <v>6150</v>
      </c>
      <c r="F1146" s="12"/>
      <c r="G1146" s="12" t="s">
        <v>6151</v>
      </c>
      <c r="H1146" s="12" t="s">
        <v>6152</v>
      </c>
      <c r="I1146" s="12" t="b">
        <v>1</v>
      </c>
      <c r="J1146" s="12" t="s">
        <v>1784</v>
      </c>
      <c r="K1146" s="12"/>
      <c r="L1146" s="12"/>
      <c r="O1146" s="12">
        <v>5.85</v>
      </c>
      <c r="P1146" s="16" t="s">
        <v>6153</v>
      </c>
      <c r="Q1146" s="12" t="b">
        <v>1</v>
      </c>
      <c r="R1146" s="12"/>
    </row>
    <row r="1147">
      <c r="A1147" s="12" t="s">
        <v>5795</v>
      </c>
      <c r="B1147" s="12" t="s">
        <v>54</v>
      </c>
      <c r="C1147" s="14">
        <v>46217.0</v>
      </c>
      <c r="D1147" s="12" t="s">
        <v>470</v>
      </c>
      <c r="E1147" s="12" t="s">
        <v>6154</v>
      </c>
      <c r="F1147" s="12"/>
      <c r="G1147" s="12" t="s">
        <v>6156</v>
      </c>
      <c r="H1147" s="12" t="s">
        <v>6157</v>
      </c>
      <c r="I1147" s="12" t="b">
        <v>1</v>
      </c>
      <c r="J1147" s="12" t="s">
        <v>1784</v>
      </c>
      <c r="K1147" s="12"/>
      <c r="L1147" s="12"/>
      <c r="O1147" s="12">
        <v>4.03</v>
      </c>
      <c r="P1147" s="16" t="s">
        <v>6158</v>
      </c>
      <c r="Q1147" s="12" t="b">
        <v>1</v>
      </c>
      <c r="R1147" s="12"/>
    </row>
    <row r="1148">
      <c r="A1148" s="12" t="s">
        <v>922</v>
      </c>
      <c r="B1148" s="12" t="s">
        <v>54</v>
      </c>
      <c r="C1148" s="14">
        <v>46218.0</v>
      </c>
      <c r="D1148" s="12" t="s">
        <v>375</v>
      </c>
      <c r="E1148" s="12" t="s">
        <v>6159</v>
      </c>
      <c r="F1148" s="12"/>
      <c r="G1148" s="12" t="s">
        <v>6160</v>
      </c>
      <c r="H1148" s="12" t="s">
        <v>4708</v>
      </c>
      <c r="I1148" s="12" t="b">
        <v>1</v>
      </c>
      <c r="J1148" s="12" t="s">
        <v>1784</v>
      </c>
      <c r="K1148" s="12"/>
      <c r="L1148" s="12" t="s">
        <v>6161</v>
      </c>
      <c r="O1148" s="12">
        <v>182.16</v>
      </c>
      <c r="P1148" s="16" t="s">
        <v>6162</v>
      </c>
      <c r="Q1148" s="12" t="b">
        <v>1</v>
      </c>
      <c r="R1148" s="12"/>
    </row>
    <row r="1149">
      <c r="A1149" s="12" t="s">
        <v>5800</v>
      </c>
      <c r="B1149" s="12" t="s">
        <v>54</v>
      </c>
      <c r="C1149" s="14">
        <v>46218.0</v>
      </c>
      <c r="D1149" s="12" t="s">
        <v>156</v>
      </c>
      <c r="E1149" s="12"/>
      <c r="F1149" s="12" t="s">
        <v>6164</v>
      </c>
      <c r="G1149" s="12"/>
      <c r="H1149" s="12" t="s">
        <v>6164</v>
      </c>
      <c r="I1149" s="12"/>
      <c r="J1149" s="12" t="s">
        <v>621</v>
      </c>
      <c r="K1149" s="12"/>
      <c r="L1149" s="12"/>
      <c r="O1149" s="12">
        <v>5624.25</v>
      </c>
      <c r="P1149" s="12"/>
      <c r="Q1149" s="12" t="b">
        <v>1</v>
      </c>
      <c r="R1149" s="12" t="b">
        <v>0</v>
      </c>
    </row>
    <row r="1150">
      <c r="A1150" s="12" t="s">
        <v>5802</v>
      </c>
      <c r="B1150" s="12" t="s">
        <v>54</v>
      </c>
      <c r="C1150" s="14">
        <v>46218.0</v>
      </c>
      <c r="D1150" s="12" t="s">
        <v>156</v>
      </c>
      <c r="E1150" s="12"/>
      <c r="F1150" s="12" t="s">
        <v>6165</v>
      </c>
      <c r="G1150" s="12"/>
      <c r="H1150" s="12" t="s">
        <v>6165</v>
      </c>
      <c r="I1150" s="12"/>
      <c r="J1150" s="12" t="s">
        <v>621</v>
      </c>
      <c r="K1150" s="12"/>
      <c r="L1150" s="12"/>
      <c r="O1150" s="12">
        <v>1177.97</v>
      </c>
      <c r="P1150" s="12"/>
      <c r="Q1150" s="12" t="b">
        <v>1</v>
      </c>
      <c r="R1150" s="12" t="b">
        <v>0</v>
      </c>
    </row>
    <row r="1151">
      <c r="A1151" s="12" t="s">
        <v>5806</v>
      </c>
      <c r="B1151" s="12" t="s">
        <v>54</v>
      </c>
      <c r="C1151" s="14">
        <v>46218.0</v>
      </c>
      <c r="D1151" s="12" t="s">
        <v>156</v>
      </c>
      <c r="E1151" s="12"/>
      <c r="F1151" s="12" t="s">
        <v>6167</v>
      </c>
      <c r="G1151" s="12"/>
      <c r="H1151" s="12" t="s">
        <v>6167</v>
      </c>
      <c r="I1151" s="12"/>
      <c r="J1151" s="12" t="s">
        <v>621</v>
      </c>
      <c r="K1151" s="12"/>
      <c r="L1151" s="12"/>
      <c r="O1151" s="12">
        <v>488.64</v>
      </c>
      <c r="P1151" s="12"/>
      <c r="Q1151" s="12" t="b">
        <v>1</v>
      </c>
      <c r="R1151" s="12" t="b">
        <v>0</v>
      </c>
    </row>
    <row r="1152">
      <c r="A1152" s="12">
        <v>1627.0</v>
      </c>
      <c r="B1152" s="12" t="s">
        <v>54</v>
      </c>
      <c r="C1152" s="14">
        <v>46218.0</v>
      </c>
      <c r="D1152" s="12" t="s">
        <v>689</v>
      </c>
      <c r="E1152" s="12"/>
      <c r="F1152" s="12" t="s">
        <v>959</v>
      </c>
      <c r="G1152" s="12"/>
      <c r="H1152" s="12" t="s">
        <v>959</v>
      </c>
      <c r="I1152" s="12"/>
      <c r="J1152" s="12" t="s">
        <v>621</v>
      </c>
      <c r="K1152" s="12"/>
      <c r="L1152" s="12"/>
      <c r="O1152" s="12">
        <v>5300.0</v>
      </c>
      <c r="P1152" s="12"/>
      <c r="Q1152" s="12" t="b">
        <v>1</v>
      </c>
      <c r="R1152" s="12" t="b">
        <v>0</v>
      </c>
    </row>
    <row r="1153">
      <c r="A1153" s="12">
        <v>1628.0</v>
      </c>
      <c r="B1153" s="12" t="s">
        <v>54</v>
      </c>
      <c r="C1153" s="14">
        <v>46218.0</v>
      </c>
      <c r="D1153" s="12" t="s">
        <v>156</v>
      </c>
      <c r="E1153" s="12"/>
      <c r="F1153" s="12" t="s">
        <v>1905</v>
      </c>
      <c r="G1153" s="12"/>
      <c r="H1153" s="12" t="s">
        <v>1905</v>
      </c>
      <c r="I1153" s="12"/>
      <c r="J1153" s="12" t="s">
        <v>621</v>
      </c>
      <c r="K1153" s="12"/>
      <c r="L1153" s="12"/>
      <c r="O1153" s="12">
        <v>1110.0</v>
      </c>
      <c r="P1153" s="12"/>
      <c r="Q1153" s="12" t="b">
        <v>1</v>
      </c>
      <c r="R1153" s="12" t="b">
        <v>0</v>
      </c>
    </row>
    <row r="1154">
      <c r="A1154" s="12">
        <v>1629.0</v>
      </c>
      <c r="B1154" s="12" t="s">
        <v>54</v>
      </c>
      <c r="C1154" s="14">
        <v>46218.0</v>
      </c>
      <c r="D1154" s="12" t="s">
        <v>156</v>
      </c>
      <c r="E1154" s="12"/>
      <c r="F1154" s="12" t="s">
        <v>1909</v>
      </c>
      <c r="G1154" s="12"/>
      <c r="H1154" s="12" t="s">
        <v>1909</v>
      </c>
      <c r="I1154" s="12"/>
      <c r="J1154" s="12" t="s">
        <v>621</v>
      </c>
      <c r="K1154" s="12"/>
      <c r="L1154" s="12"/>
      <c r="O1154" s="12">
        <v>396.0</v>
      </c>
      <c r="P1154" s="12"/>
      <c r="Q1154" s="12" t="b">
        <v>1</v>
      </c>
      <c r="R1154" s="12" t="b">
        <v>0</v>
      </c>
    </row>
    <row r="1155">
      <c r="A1155" s="12">
        <v>1630.0</v>
      </c>
      <c r="B1155" s="12" t="s">
        <v>54</v>
      </c>
      <c r="C1155" s="14">
        <v>46218.0</v>
      </c>
      <c r="D1155" s="12" t="s">
        <v>1914</v>
      </c>
      <c r="E1155" s="12"/>
      <c r="F1155" s="12" t="s">
        <v>1916</v>
      </c>
      <c r="G1155" s="12"/>
      <c r="H1155" s="12" t="s">
        <v>1916</v>
      </c>
      <c r="I1155" s="12"/>
      <c r="J1155" s="12" t="s">
        <v>621</v>
      </c>
      <c r="K1155" s="12"/>
      <c r="L1155" s="12"/>
      <c r="O1155" s="12">
        <v>1110.0</v>
      </c>
      <c r="P1155" s="12"/>
      <c r="Q1155" s="12" t="b">
        <v>1</v>
      </c>
      <c r="R1155" s="12" t="b">
        <v>0</v>
      </c>
    </row>
    <row r="1156">
      <c r="A1156" s="12" t="s">
        <v>5818</v>
      </c>
      <c r="B1156" s="12" t="s">
        <v>54</v>
      </c>
      <c r="C1156" s="14">
        <v>46218.0</v>
      </c>
      <c r="D1156" s="12"/>
      <c r="E1156" s="12"/>
      <c r="F1156" s="12" t="s">
        <v>5392</v>
      </c>
      <c r="G1156" s="12"/>
      <c r="H1156" s="12" t="s">
        <v>5392</v>
      </c>
      <c r="I1156" s="12"/>
      <c r="J1156" s="12" t="s">
        <v>191</v>
      </c>
      <c r="K1156" s="12" t="s">
        <v>78</v>
      </c>
      <c r="L1156" s="12"/>
      <c r="O1156" s="12">
        <v>500.0</v>
      </c>
      <c r="P1156" s="12"/>
      <c r="Q1156" s="12" t="b">
        <v>1</v>
      </c>
      <c r="R1156" s="12" t="b">
        <v>0</v>
      </c>
    </row>
    <row r="1157">
      <c r="A1157" s="12" t="s">
        <v>5822</v>
      </c>
      <c r="B1157" s="12" t="s">
        <v>54</v>
      </c>
      <c r="C1157" s="14">
        <v>46218.0</v>
      </c>
      <c r="D1157" s="12"/>
      <c r="E1157" s="12"/>
      <c r="F1157" s="12" t="s">
        <v>5392</v>
      </c>
      <c r="G1157" s="12"/>
      <c r="H1157" s="12" t="s">
        <v>5392</v>
      </c>
      <c r="I1157" s="12"/>
      <c r="J1157" s="12" t="s">
        <v>191</v>
      </c>
      <c r="K1157" s="12" t="s">
        <v>152</v>
      </c>
      <c r="L1157" s="12"/>
      <c r="O1157" s="12">
        <v>500.0</v>
      </c>
      <c r="P1157" s="12"/>
      <c r="Q1157" s="12" t="b">
        <v>1</v>
      </c>
      <c r="R1157" s="12" t="b">
        <v>0</v>
      </c>
    </row>
    <row r="1158">
      <c r="A1158" s="12" t="s">
        <v>5824</v>
      </c>
      <c r="B1158" s="12" t="s">
        <v>54</v>
      </c>
      <c r="C1158" s="14">
        <v>46218.0</v>
      </c>
      <c r="D1158" s="12"/>
      <c r="E1158" s="12"/>
      <c r="F1158" s="12" t="s">
        <v>5392</v>
      </c>
      <c r="G1158" s="12"/>
      <c r="H1158" s="12" t="s">
        <v>5392</v>
      </c>
      <c r="I1158" s="12"/>
      <c r="J1158" s="12" t="s">
        <v>191</v>
      </c>
      <c r="K1158" s="12" t="s">
        <v>1183</v>
      </c>
      <c r="L1158" s="12"/>
      <c r="O1158" s="12">
        <v>500.0</v>
      </c>
      <c r="P1158" s="12"/>
      <c r="Q1158" s="12" t="b">
        <v>1</v>
      </c>
      <c r="R1158" s="12" t="b">
        <v>0</v>
      </c>
    </row>
    <row r="1159">
      <c r="A1159" s="12" t="s">
        <v>5834</v>
      </c>
      <c r="B1159" s="12" t="s">
        <v>54</v>
      </c>
      <c r="C1159" s="14">
        <v>46210.0</v>
      </c>
      <c r="D1159" s="12" t="s">
        <v>784</v>
      </c>
      <c r="E1159" s="12" t="s">
        <v>6174</v>
      </c>
      <c r="F1159" s="12"/>
      <c r="G1159" s="12" t="s">
        <v>6175</v>
      </c>
      <c r="H1159" s="12" t="s">
        <v>715</v>
      </c>
      <c r="I1159" s="12" t="b">
        <v>0</v>
      </c>
      <c r="J1159" s="12" t="s">
        <v>1784</v>
      </c>
      <c r="K1159" s="12"/>
      <c r="L1159" s="12"/>
      <c r="O1159" s="12">
        <v>1761.38</v>
      </c>
      <c r="P1159" s="12"/>
      <c r="Q1159" s="12" t="b">
        <v>1</v>
      </c>
      <c r="R1159" s="12"/>
    </row>
    <row r="1160">
      <c r="A1160" s="12" t="s">
        <v>994</v>
      </c>
      <c r="B1160" s="12" t="s">
        <v>54</v>
      </c>
      <c r="C1160" s="14">
        <v>46219.0</v>
      </c>
      <c r="D1160" s="12" t="s">
        <v>556</v>
      </c>
      <c r="E1160" s="12" t="s">
        <v>6177</v>
      </c>
      <c r="F1160" s="12"/>
      <c r="G1160" s="12" t="s">
        <v>6178</v>
      </c>
      <c r="H1160" s="12" t="s">
        <v>6179</v>
      </c>
      <c r="I1160" s="12" t="b">
        <v>1</v>
      </c>
      <c r="J1160" s="12" t="s">
        <v>1784</v>
      </c>
      <c r="K1160" s="12"/>
      <c r="L1160" s="12"/>
      <c r="O1160" s="12">
        <v>700.0</v>
      </c>
      <c r="P1160" s="16" t="s">
        <v>6180</v>
      </c>
      <c r="Q1160" s="12" t="b">
        <v>1</v>
      </c>
      <c r="R1160" s="12"/>
    </row>
    <row r="1161">
      <c r="A1161" s="12" t="s">
        <v>1031</v>
      </c>
      <c r="B1161" s="12" t="s">
        <v>54</v>
      </c>
      <c r="C1161" s="14">
        <v>46219.0</v>
      </c>
      <c r="D1161" s="12" t="s">
        <v>355</v>
      </c>
      <c r="E1161" s="12" t="s">
        <v>6182</v>
      </c>
      <c r="F1161" s="12"/>
      <c r="G1161" s="12" t="s">
        <v>6183</v>
      </c>
      <c r="H1161" s="12" t="s">
        <v>6184</v>
      </c>
      <c r="I1161" s="12" t="b">
        <v>1</v>
      </c>
      <c r="J1161" s="12" t="s">
        <v>1784</v>
      </c>
      <c r="K1161" s="12"/>
      <c r="L1161" s="12"/>
      <c r="O1161" s="12">
        <v>99.4</v>
      </c>
      <c r="P1161" s="16" t="s">
        <v>6185</v>
      </c>
      <c r="Q1161" s="12" t="b">
        <v>1</v>
      </c>
      <c r="R1161" s="12"/>
    </row>
    <row r="1162">
      <c r="A1162" s="12" t="s">
        <v>1074</v>
      </c>
      <c r="B1162" s="12" t="s">
        <v>54</v>
      </c>
      <c r="C1162" s="14">
        <v>46220.0</v>
      </c>
      <c r="D1162" s="12" t="s">
        <v>769</v>
      </c>
      <c r="E1162" s="12" t="s">
        <v>6186</v>
      </c>
      <c r="F1162" s="12"/>
      <c r="G1162" s="12" t="s">
        <v>6187</v>
      </c>
      <c r="H1162" s="12" t="s">
        <v>6188</v>
      </c>
      <c r="I1162" s="12" t="b">
        <v>1</v>
      </c>
      <c r="J1162" s="12" t="s">
        <v>1784</v>
      </c>
      <c r="K1162" s="12"/>
      <c r="L1162" s="12"/>
      <c r="O1162" s="12">
        <v>115.99</v>
      </c>
      <c r="P1162" s="16" t="s">
        <v>6189</v>
      </c>
      <c r="Q1162" s="12" t="b">
        <v>1</v>
      </c>
      <c r="R1162" s="12"/>
    </row>
    <row r="1163">
      <c r="A1163" s="12" t="s">
        <v>1088</v>
      </c>
      <c r="B1163" s="12" t="s">
        <v>54</v>
      </c>
      <c r="C1163" s="14">
        <v>46220.0</v>
      </c>
      <c r="D1163" s="12" t="s">
        <v>6190</v>
      </c>
      <c r="E1163" s="12" t="s">
        <v>6191</v>
      </c>
      <c r="F1163" s="12"/>
      <c r="G1163" s="12" t="s">
        <v>6192</v>
      </c>
      <c r="H1163" s="12" t="s">
        <v>6193</v>
      </c>
      <c r="I1163" s="12" t="b">
        <v>1</v>
      </c>
      <c r="J1163" s="12" t="s">
        <v>1784</v>
      </c>
      <c r="K1163" s="12"/>
      <c r="L1163" s="12"/>
      <c r="O1163" s="12">
        <v>182.12</v>
      </c>
      <c r="P1163" s="16" t="s">
        <v>6194</v>
      </c>
      <c r="Q1163" s="12" t="b">
        <v>1</v>
      </c>
      <c r="R1163" s="12"/>
    </row>
    <row r="1164">
      <c r="A1164" s="12" t="s">
        <v>1101</v>
      </c>
      <c r="B1164" s="12" t="s">
        <v>54</v>
      </c>
      <c r="C1164" s="14">
        <v>46220.0</v>
      </c>
      <c r="D1164" s="12" t="s">
        <v>220</v>
      </c>
      <c r="E1164" s="12" t="s">
        <v>6195</v>
      </c>
      <c r="F1164" s="12"/>
      <c r="G1164" s="12" t="s">
        <v>6196</v>
      </c>
      <c r="H1164" s="12" t="s">
        <v>5477</v>
      </c>
      <c r="I1164" s="12" t="b">
        <v>1</v>
      </c>
      <c r="J1164" s="12" t="s">
        <v>1784</v>
      </c>
      <c r="K1164" s="12"/>
      <c r="L1164" s="12"/>
      <c r="O1164" s="12">
        <v>349.15</v>
      </c>
      <c r="P1164" s="16" t="s">
        <v>6197</v>
      </c>
      <c r="Q1164" s="12" t="b">
        <v>1</v>
      </c>
      <c r="R1164" s="12"/>
    </row>
    <row r="1165">
      <c r="A1165" s="12">
        <v>1633.0</v>
      </c>
      <c r="B1165" s="12" t="s">
        <v>54</v>
      </c>
      <c r="C1165" s="14">
        <v>46221.0</v>
      </c>
      <c r="D1165" s="12" t="s">
        <v>734</v>
      </c>
      <c r="E1165" s="12"/>
      <c r="F1165" s="12" t="s">
        <v>1466</v>
      </c>
      <c r="G1165" s="12"/>
      <c r="H1165" s="12" t="s">
        <v>1466</v>
      </c>
      <c r="I1165" s="12"/>
      <c r="J1165" s="12" t="s">
        <v>621</v>
      </c>
      <c r="K1165" s="12"/>
      <c r="L1165" s="12"/>
      <c r="O1165" s="12">
        <v>1324.89</v>
      </c>
      <c r="P1165" s="12"/>
      <c r="Q1165" s="12" t="b">
        <v>1</v>
      </c>
      <c r="R1165" s="12" t="b">
        <v>0</v>
      </c>
    </row>
    <row r="1166">
      <c r="A1166" s="12">
        <v>1634.0</v>
      </c>
      <c r="B1166" s="12" t="s">
        <v>54</v>
      </c>
      <c r="C1166" s="14">
        <v>46221.0</v>
      </c>
      <c r="D1166" s="12" t="s">
        <v>1067</v>
      </c>
      <c r="E1166" s="12"/>
      <c r="F1166" s="12" t="s">
        <v>1068</v>
      </c>
      <c r="G1166" s="12"/>
      <c r="H1166" s="12" t="s">
        <v>1068</v>
      </c>
      <c r="I1166" s="12"/>
      <c r="J1166" s="12" t="s">
        <v>621</v>
      </c>
      <c r="K1166" s="12"/>
      <c r="L1166" s="12"/>
      <c r="O1166" s="12">
        <v>1096.14</v>
      </c>
      <c r="P1166" s="12"/>
      <c r="Q1166" s="12" t="b">
        <v>1</v>
      </c>
      <c r="R1166" s="12" t="b">
        <v>0</v>
      </c>
    </row>
    <row r="1167">
      <c r="A1167" s="12" t="s">
        <v>1122</v>
      </c>
      <c r="B1167" s="12" t="s">
        <v>54</v>
      </c>
      <c r="C1167" s="14">
        <v>46222.0</v>
      </c>
      <c r="D1167" s="12" t="s">
        <v>435</v>
      </c>
      <c r="E1167" s="12" t="s">
        <v>6199</v>
      </c>
      <c r="F1167" s="12"/>
      <c r="G1167" s="12" t="s">
        <v>6200</v>
      </c>
      <c r="H1167" s="12" t="s">
        <v>6201</v>
      </c>
      <c r="I1167" s="12" t="b">
        <v>1</v>
      </c>
      <c r="J1167" s="12" t="s">
        <v>1784</v>
      </c>
      <c r="K1167" s="12"/>
      <c r="L1167" s="12"/>
      <c r="O1167" s="12">
        <v>8.27</v>
      </c>
      <c r="P1167" s="16" t="s">
        <v>6203</v>
      </c>
      <c r="Q1167" s="12" t="b">
        <v>1</v>
      </c>
      <c r="R1167" s="12"/>
    </row>
    <row r="1168">
      <c r="A1168" s="12">
        <v>1632.0</v>
      </c>
      <c r="B1168" s="12" t="s">
        <v>54</v>
      </c>
      <c r="C1168" s="14">
        <v>46223.0</v>
      </c>
      <c r="D1168" s="12" t="s">
        <v>933</v>
      </c>
      <c r="E1168" s="12"/>
      <c r="F1168" s="12" t="s">
        <v>1494</v>
      </c>
      <c r="G1168" s="12"/>
      <c r="H1168" s="12" t="s">
        <v>1494</v>
      </c>
      <c r="I1168" s="12"/>
      <c r="J1168" s="12" t="s">
        <v>621</v>
      </c>
      <c r="K1168" s="12"/>
      <c r="L1168" s="12"/>
      <c r="O1168" s="12">
        <v>3759.81</v>
      </c>
      <c r="P1168" s="12"/>
      <c r="Q1168" s="12" t="b">
        <v>1</v>
      </c>
      <c r="R1168" s="12" t="b">
        <v>0</v>
      </c>
    </row>
    <row r="1169">
      <c r="A1169" s="12">
        <v>1637.0</v>
      </c>
      <c r="B1169" s="12" t="s">
        <v>54</v>
      </c>
      <c r="C1169" s="14">
        <v>46223.0</v>
      </c>
      <c r="D1169" s="12" t="s">
        <v>818</v>
      </c>
      <c r="E1169" s="12"/>
      <c r="F1169" s="12" t="s">
        <v>819</v>
      </c>
      <c r="G1169" s="12"/>
      <c r="H1169" s="12" t="s">
        <v>819</v>
      </c>
      <c r="I1169" s="12"/>
      <c r="J1169" s="12" t="s">
        <v>621</v>
      </c>
      <c r="K1169" s="12"/>
      <c r="L1169" s="12"/>
      <c r="O1169" s="12">
        <v>185.0</v>
      </c>
      <c r="P1169" s="12"/>
      <c r="Q1169" s="12" t="b">
        <v>1</v>
      </c>
      <c r="R1169" s="12" t="b">
        <v>0</v>
      </c>
    </row>
    <row r="1170">
      <c r="A1170" s="12" t="s">
        <v>1171</v>
      </c>
      <c r="B1170" s="12" t="s">
        <v>54</v>
      </c>
      <c r="C1170" s="14">
        <v>46224.0</v>
      </c>
      <c r="D1170" s="12" t="s">
        <v>375</v>
      </c>
      <c r="E1170" s="12" t="s">
        <v>6205</v>
      </c>
      <c r="F1170" s="12"/>
      <c r="G1170" s="12" t="s">
        <v>6206</v>
      </c>
      <c r="H1170" s="12" t="s">
        <v>4708</v>
      </c>
      <c r="I1170" s="12" t="b">
        <v>1</v>
      </c>
      <c r="J1170" s="12" t="s">
        <v>1784</v>
      </c>
      <c r="K1170" s="12"/>
      <c r="L1170" s="12" t="s">
        <v>6207</v>
      </c>
      <c r="O1170" s="12">
        <v>167.88</v>
      </c>
      <c r="P1170" s="16" t="s">
        <v>6208</v>
      </c>
      <c r="Q1170" s="12" t="b">
        <v>1</v>
      </c>
      <c r="R1170" s="12"/>
    </row>
    <row r="1171">
      <c r="A1171" s="12" t="s">
        <v>5910</v>
      </c>
      <c r="B1171" s="12" t="s">
        <v>54</v>
      </c>
      <c r="C1171" s="14">
        <v>46225.0</v>
      </c>
      <c r="D1171" s="12" t="s">
        <v>156</v>
      </c>
      <c r="E1171" s="12" t="s">
        <v>6210</v>
      </c>
      <c r="F1171" s="12"/>
      <c r="G1171" s="12" t="s">
        <v>6211</v>
      </c>
      <c r="H1171" s="12" t="s">
        <v>368</v>
      </c>
      <c r="I1171" s="12" t="b">
        <v>0</v>
      </c>
      <c r="J1171" s="12" t="s">
        <v>1784</v>
      </c>
      <c r="L1171" s="12"/>
      <c r="O1171" s="12">
        <v>983.88</v>
      </c>
      <c r="P1171" s="12"/>
      <c r="Q1171" s="12" t="b">
        <v>1</v>
      </c>
      <c r="R1171" s="12"/>
    </row>
    <row r="1172">
      <c r="A1172" s="12" t="s">
        <v>1180</v>
      </c>
      <c r="B1172" s="12" t="s">
        <v>54</v>
      </c>
      <c r="C1172" s="14">
        <v>46225.0</v>
      </c>
      <c r="D1172" s="12" t="s">
        <v>109</v>
      </c>
      <c r="E1172" s="12" t="s">
        <v>6212</v>
      </c>
      <c r="F1172" s="12"/>
      <c r="G1172" s="12" t="s">
        <v>6213</v>
      </c>
      <c r="H1172" s="12" t="s">
        <v>6214</v>
      </c>
      <c r="I1172" s="12" t="b">
        <v>1</v>
      </c>
      <c r="J1172" s="12" t="s">
        <v>1784</v>
      </c>
      <c r="K1172" s="12"/>
      <c r="L1172" s="12"/>
      <c r="O1172" s="12">
        <v>480.0</v>
      </c>
      <c r="P1172" s="16" t="s">
        <v>6215</v>
      </c>
      <c r="Q1172" s="12" t="b">
        <v>1</v>
      </c>
      <c r="R1172" s="12"/>
    </row>
    <row r="1173">
      <c r="A1173" s="12" t="s">
        <v>1199</v>
      </c>
      <c r="B1173" s="12" t="s">
        <v>54</v>
      </c>
      <c r="C1173" s="14">
        <v>46227.0</v>
      </c>
      <c r="D1173" s="16" t="s">
        <v>6216</v>
      </c>
      <c r="E1173" s="12" t="s">
        <v>6217</v>
      </c>
      <c r="F1173" s="12"/>
      <c r="G1173" s="12" t="s">
        <v>6218</v>
      </c>
      <c r="H1173" s="12" t="s">
        <v>6219</v>
      </c>
      <c r="I1173" s="12" t="b">
        <v>1</v>
      </c>
      <c r="J1173" s="12" t="s">
        <v>1784</v>
      </c>
      <c r="K1173" s="12"/>
      <c r="L1173" s="12"/>
      <c r="O1173" s="12">
        <v>25.0</v>
      </c>
      <c r="P1173" s="16" t="s">
        <v>6220</v>
      </c>
      <c r="Q1173" s="12" t="b">
        <v>1</v>
      </c>
      <c r="R1173" s="12"/>
    </row>
    <row r="1174">
      <c r="A1174" s="12" t="s">
        <v>5917</v>
      </c>
      <c r="B1174" s="12" t="s">
        <v>54</v>
      </c>
      <c r="C1174" s="14">
        <v>46227.0</v>
      </c>
      <c r="D1174" s="12" t="s">
        <v>6222</v>
      </c>
      <c r="E1174" s="12" t="s">
        <v>6223</v>
      </c>
      <c r="F1174" s="12"/>
      <c r="G1174" s="12" t="s">
        <v>6224</v>
      </c>
      <c r="H1174" s="12" t="s">
        <v>6225</v>
      </c>
      <c r="I1174" s="12" t="b">
        <v>1</v>
      </c>
      <c r="J1174" s="12" t="s">
        <v>1784</v>
      </c>
      <c r="K1174" s="12"/>
      <c r="L1174" s="12"/>
      <c r="O1174" s="12">
        <v>170.0</v>
      </c>
      <c r="P1174" s="16" t="s">
        <v>6227</v>
      </c>
      <c r="Q1174" s="12" t="b">
        <v>1</v>
      </c>
      <c r="R1174" s="12"/>
    </row>
    <row r="1175">
      <c r="A1175" s="12" t="s">
        <v>5935</v>
      </c>
      <c r="B1175" s="12" t="s">
        <v>54</v>
      </c>
      <c r="C1175" s="14">
        <v>46229.0</v>
      </c>
      <c r="D1175" s="12" t="s">
        <v>435</v>
      </c>
      <c r="E1175" s="12" t="s">
        <v>6230</v>
      </c>
      <c r="F1175" s="12"/>
      <c r="G1175" s="12" t="s">
        <v>6232</v>
      </c>
      <c r="H1175" s="12" t="s">
        <v>6142</v>
      </c>
      <c r="I1175" s="12" t="b">
        <v>1</v>
      </c>
      <c r="J1175" s="12" t="s">
        <v>1784</v>
      </c>
      <c r="K1175" s="12"/>
      <c r="L1175" s="12"/>
      <c r="O1175" s="12">
        <v>8.48</v>
      </c>
      <c r="P1175" s="16" t="s">
        <v>6233</v>
      </c>
      <c r="Q1175" s="12" t="b">
        <v>1</v>
      </c>
      <c r="R1175" s="12"/>
    </row>
    <row r="1176">
      <c r="A1176" s="12">
        <v>1643.0</v>
      </c>
      <c r="B1176" s="12" t="s">
        <v>54</v>
      </c>
      <c r="C1176" s="14">
        <v>46230.0</v>
      </c>
      <c r="D1176" s="12" t="s">
        <v>1712</v>
      </c>
      <c r="E1176" s="12"/>
      <c r="F1176" s="19">
        <v>46305.0</v>
      </c>
      <c r="G1176" s="12"/>
      <c r="H1176" s="19">
        <v>46305.0</v>
      </c>
      <c r="I1176" s="12"/>
      <c r="J1176" s="12" t="s">
        <v>621</v>
      </c>
      <c r="K1176" s="12"/>
      <c r="L1176" s="12"/>
      <c r="O1176" s="12">
        <v>236.83</v>
      </c>
      <c r="P1176" s="12"/>
      <c r="Q1176" s="12" t="b">
        <v>1</v>
      </c>
      <c r="R1176" s="12" t="b">
        <v>0</v>
      </c>
    </row>
    <row r="1177">
      <c r="A1177" s="12">
        <v>1651.0</v>
      </c>
      <c r="B1177" s="12" t="s">
        <v>54</v>
      </c>
      <c r="C1177" s="14">
        <v>46230.0</v>
      </c>
      <c r="D1177" s="12" t="s">
        <v>1712</v>
      </c>
      <c r="E1177" s="12"/>
      <c r="F1177" s="19">
        <v>46297.0</v>
      </c>
      <c r="G1177" s="12"/>
      <c r="H1177" s="19">
        <v>46297.0</v>
      </c>
      <c r="I1177" s="12"/>
      <c r="J1177" s="12" t="s">
        <v>621</v>
      </c>
      <c r="K1177" s="12"/>
      <c r="L1177" s="12"/>
      <c r="O1177" s="12">
        <v>855.0</v>
      </c>
      <c r="P1177" s="12"/>
      <c r="Q1177" s="12" t="b">
        <v>1</v>
      </c>
      <c r="R1177" s="12" t="b">
        <v>0</v>
      </c>
    </row>
    <row r="1178">
      <c r="A1178" s="12" t="s">
        <v>5923</v>
      </c>
      <c r="B1178" s="12" t="s">
        <v>54</v>
      </c>
      <c r="C1178" s="14">
        <v>46230.0</v>
      </c>
      <c r="D1178" s="12" t="s">
        <v>1715</v>
      </c>
      <c r="E1178" s="12"/>
      <c r="F1178" s="12" t="s">
        <v>45</v>
      </c>
      <c r="G1178" s="12"/>
      <c r="H1178" s="12" t="s">
        <v>45</v>
      </c>
      <c r="I1178" s="12"/>
      <c r="J1178" s="12" t="s">
        <v>621</v>
      </c>
      <c r="K1178" s="12"/>
      <c r="L1178" s="12"/>
      <c r="O1178" s="12">
        <v>574.34</v>
      </c>
      <c r="P1178" s="12"/>
      <c r="Q1178" s="12" t="b">
        <v>1</v>
      </c>
      <c r="R1178" s="12" t="b">
        <v>0</v>
      </c>
    </row>
    <row r="1179">
      <c r="A1179" s="12" t="s">
        <v>5929</v>
      </c>
      <c r="B1179" s="12" t="s">
        <v>54</v>
      </c>
      <c r="C1179" s="14">
        <v>46230.0</v>
      </c>
      <c r="D1179" s="12" t="s">
        <v>734</v>
      </c>
      <c r="E1179" s="12"/>
      <c r="F1179" s="12" t="s">
        <v>6238</v>
      </c>
      <c r="G1179" s="12"/>
      <c r="H1179" s="12" t="s">
        <v>6238</v>
      </c>
      <c r="I1179" s="12"/>
      <c r="J1179" s="12" t="s">
        <v>621</v>
      </c>
      <c r="K1179" s="12"/>
      <c r="L1179" s="12"/>
      <c r="O1179" s="12">
        <v>4050.0</v>
      </c>
      <c r="P1179" s="12"/>
      <c r="Q1179" s="12" t="b">
        <v>1</v>
      </c>
      <c r="R1179" s="12" t="b">
        <v>0</v>
      </c>
    </row>
    <row r="1180">
      <c r="A1180" s="12" t="s">
        <v>1383</v>
      </c>
      <c r="B1180" s="12" t="s">
        <v>54</v>
      </c>
      <c r="C1180" s="14">
        <v>46226.0</v>
      </c>
      <c r="D1180" s="12" t="s">
        <v>137</v>
      </c>
      <c r="E1180" s="12" t="s">
        <v>6239</v>
      </c>
      <c r="F1180" s="12"/>
      <c r="G1180" s="12" t="s">
        <v>6240</v>
      </c>
      <c r="H1180" s="12" t="s">
        <v>5273</v>
      </c>
      <c r="I1180" s="12" t="b">
        <v>1</v>
      </c>
      <c r="J1180" s="12" t="s">
        <v>1784</v>
      </c>
      <c r="K1180" s="12"/>
      <c r="L1180" s="12"/>
      <c r="O1180" s="12">
        <v>413.8</v>
      </c>
      <c r="P1180" s="16" t="s">
        <v>6241</v>
      </c>
      <c r="Q1180" s="12" t="b">
        <v>1</v>
      </c>
      <c r="R1180" s="12"/>
    </row>
    <row r="1181">
      <c r="A1181" s="12" t="s">
        <v>1375</v>
      </c>
      <c r="B1181" s="12" t="s">
        <v>54</v>
      </c>
      <c r="C1181" s="14">
        <v>46230.0</v>
      </c>
      <c r="D1181" s="12" t="s">
        <v>137</v>
      </c>
      <c r="E1181" s="12" t="s">
        <v>6242</v>
      </c>
      <c r="F1181" s="12"/>
      <c r="G1181" s="12" t="s">
        <v>6243</v>
      </c>
      <c r="H1181" s="12" t="s">
        <v>5477</v>
      </c>
      <c r="I1181" s="12" t="b">
        <v>1</v>
      </c>
      <c r="J1181" s="12" t="s">
        <v>1784</v>
      </c>
      <c r="K1181" s="12"/>
      <c r="L1181" s="12"/>
      <c r="O1181" s="12">
        <v>355.76</v>
      </c>
      <c r="P1181" s="16" t="s">
        <v>6244</v>
      </c>
      <c r="Q1181" s="12" t="b">
        <v>1</v>
      </c>
      <c r="R1181" s="12"/>
    </row>
    <row r="1182">
      <c r="A1182" s="12">
        <v>1650.0</v>
      </c>
      <c r="B1182" s="12" t="s">
        <v>54</v>
      </c>
      <c r="C1182" s="14">
        <v>46231.0</v>
      </c>
      <c r="D1182" s="12"/>
      <c r="E1182" s="12"/>
      <c r="F1182" s="12" t="s">
        <v>3108</v>
      </c>
      <c r="G1182" s="12"/>
      <c r="H1182" s="12" t="s">
        <v>3108</v>
      </c>
      <c r="I1182" s="12"/>
      <c r="J1182" s="12" t="s">
        <v>621</v>
      </c>
      <c r="K1182" s="12" t="s">
        <v>259</v>
      </c>
      <c r="L1182" s="12"/>
      <c r="O1182" s="12">
        <v>585.0</v>
      </c>
      <c r="P1182" s="12"/>
      <c r="Q1182" s="12" t="b">
        <v>1</v>
      </c>
      <c r="R1182" s="12" t="b">
        <v>0</v>
      </c>
    </row>
    <row r="1183">
      <c r="A1183" s="12" t="s">
        <v>5986</v>
      </c>
      <c r="B1183" s="12" t="s">
        <v>54</v>
      </c>
      <c r="C1183" s="14">
        <v>46232.0</v>
      </c>
      <c r="D1183" s="12" t="s">
        <v>156</v>
      </c>
      <c r="E1183" s="12" t="s">
        <v>6245</v>
      </c>
      <c r="F1183" s="12"/>
      <c r="G1183" s="12" t="s">
        <v>6246</v>
      </c>
      <c r="H1183" s="12" t="s">
        <v>488</v>
      </c>
      <c r="I1183" s="12" t="b">
        <v>0</v>
      </c>
      <c r="J1183" s="12" t="s">
        <v>1784</v>
      </c>
      <c r="K1183" s="12"/>
      <c r="L1183" s="12" t="s">
        <v>6247</v>
      </c>
      <c r="M1183" s="12" t="s">
        <v>6248</v>
      </c>
      <c r="O1183" s="12">
        <v>10781.0</v>
      </c>
      <c r="P1183" s="12"/>
      <c r="Q1183" s="12" t="b">
        <v>1</v>
      </c>
      <c r="R1183" s="12"/>
    </row>
    <row r="1184">
      <c r="A1184" s="12" t="s">
        <v>1454</v>
      </c>
      <c r="B1184" s="12" t="s">
        <v>54</v>
      </c>
      <c r="C1184" s="14">
        <v>46232.0</v>
      </c>
      <c r="D1184" s="12" t="s">
        <v>6249</v>
      </c>
      <c r="E1184" s="12" t="s">
        <v>6250</v>
      </c>
      <c r="F1184" s="12"/>
      <c r="G1184" s="12" t="s">
        <v>6251</v>
      </c>
      <c r="H1184" s="12" t="s">
        <v>3268</v>
      </c>
      <c r="I1184" s="12" t="b">
        <v>1</v>
      </c>
      <c r="J1184" s="12" t="s">
        <v>1784</v>
      </c>
      <c r="K1184" s="12"/>
      <c r="L1184" s="12"/>
      <c r="M1184" s="12"/>
      <c r="O1184" s="12">
        <v>123.6</v>
      </c>
      <c r="P1184" s="16" t="s">
        <v>6252</v>
      </c>
      <c r="Q1184" s="12" t="b">
        <v>1</v>
      </c>
      <c r="R1184" s="12"/>
    </row>
    <row r="1185">
      <c r="A1185" s="12" t="s">
        <v>1479</v>
      </c>
      <c r="B1185" s="12" t="s">
        <v>54</v>
      </c>
      <c r="C1185" s="14">
        <v>46232.0</v>
      </c>
      <c r="D1185" s="12" t="s">
        <v>435</v>
      </c>
      <c r="E1185" s="12" t="s">
        <v>6253</v>
      </c>
      <c r="F1185" s="12"/>
      <c r="G1185" s="12" t="s">
        <v>6254</v>
      </c>
      <c r="H1185" s="12" t="s">
        <v>599</v>
      </c>
      <c r="I1185" s="12" t="b">
        <v>1</v>
      </c>
      <c r="J1185" s="12" t="s">
        <v>1784</v>
      </c>
      <c r="K1185" s="12"/>
      <c r="L1185" s="12"/>
      <c r="M1185" s="12"/>
      <c r="O1185" s="12">
        <v>105.19</v>
      </c>
      <c r="P1185" s="16" t="s">
        <v>6255</v>
      </c>
      <c r="Q1185" s="12" t="b">
        <v>1</v>
      </c>
      <c r="R1185" s="12"/>
    </row>
    <row r="1186">
      <c r="A1186" s="12" t="s">
        <v>1584</v>
      </c>
      <c r="B1186" s="12" t="s">
        <v>54</v>
      </c>
      <c r="C1186" s="14">
        <v>46234.0</v>
      </c>
      <c r="D1186" s="12" t="s">
        <v>375</v>
      </c>
      <c r="E1186" s="12" t="s">
        <v>6256</v>
      </c>
      <c r="F1186" s="12"/>
      <c r="G1186" s="12" t="s">
        <v>6257</v>
      </c>
      <c r="H1186" s="12" t="s">
        <v>4708</v>
      </c>
      <c r="I1186" s="12" t="b">
        <v>1</v>
      </c>
      <c r="J1186" s="12" t="s">
        <v>1784</v>
      </c>
      <c r="K1186" s="12"/>
      <c r="L1186" s="12"/>
      <c r="M1186" s="12"/>
      <c r="O1186" s="12">
        <v>222.0</v>
      </c>
      <c r="P1186" s="16" t="s">
        <v>6258</v>
      </c>
      <c r="Q1186" s="12" t="b">
        <v>1</v>
      </c>
      <c r="R1186" s="12"/>
    </row>
    <row r="1187">
      <c r="A1187" s="12" t="s">
        <v>1572</v>
      </c>
      <c r="B1187" s="12" t="s">
        <v>54</v>
      </c>
      <c r="C1187" s="14">
        <v>46234.0</v>
      </c>
      <c r="D1187" s="12" t="s">
        <v>470</v>
      </c>
      <c r="E1187" s="12" t="s">
        <v>6259</v>
      </c>
      <c r="F1187" s="12"/>
      <c r="G1187" s="12" t="s">
        <v>6260</v>
      </c>
      <c r="H1187" s="12" t="s">
        <v>6261</v>
      </c>
      <c r="I1187" s="12" t="b">
        <v>1</v>
      </c>
      <c r="J1187" s="12" t="s">
        <v>1784</v>
      </c>
      <c r="K1187" s="12"/>
      <c r="L1187" s="12"/>
      <c r="M1187" s="12"/>
      <c r="O1187" s="12">
        <v>13.08</v>
      </c>
      <c r="P1187" s="16" t="s">
        <v>6262</v>
      </c>
      <c r="Q1187" s="12" t="b">
        <v>1</v>
      </c>
      <c r="R1187" s="12"/>
    </row>
    <row r="1188">
      <c r="A1188" s="12" t="s">
        <v>1561</v>
      </c>
      <c r="B1188" s="12" t="s">
        <v>54</v>
      </c>
      <c r="C1188" s="14">
        <v>46234.0</v>
      </c>
      <c r="D1188" s="12" t="s">
        <v>175</v>
      </c>
      <c r="E1188" s="12" t="s">
        <v>6264</v>
      </c>
      <c r="F1188" s="12"/>
      <c r="G1188" s="12" t="s">
        <v>6265</v>
      </c>
      <c r="H1188" s="12" t="s">
        <v>6266</v>
      </c>
      <c r="I1188" s="12" t="b">
        <v>1</v>
      </c>
      <c r="J1188" s="12" t="s">
        <v>1784</v>
      </c>
      <c r="K1188" s="12"/>
      <c r="L1188" s="12"/>
      <c r="M1188" s="12"/>
      <c r="O1188" s="12">
        <v>49.4</v>
      </c>
      <c r="P1188" s="16" t="s">
        <v>6267</v>
      </c>
      <c r="Q1188" s="12" t="b">
        <v>1</v>
      </c>
      <c r="R1188" s="12"/>
    </row>
    <row r="1189">
      <c r="A1189" s="12" t="s">
        <v>1546</v>
      </c>
      <c r="B1189" s="12" t="s">
        <v>54</v>
      </c>
      <c r="C1189" s="14">
        <v>46234.0</v>
      </c>
      <c r="D1189" s="12" t="s">
        <v>627</v>
      </c>
      <c r="E1189" s="12" t="s">
        <v>6269</v>
      </c>
      <c r="F1189" s="12"/>
      <c r="G1189" s="12" t="s">
        <v>6270</v>
      </c>
      <c r="H1189" s="12" t="s">
        <v>6138</v>
      </c>
      <c r="I1189" s="12" t="b">
        <v>1</v>
      </c>
      <c r="J1189" s="12" t="s">
        <v>1784</v>
      </c>
      <c r="K1189" s="12"/>
      <c r="L1189" s="12"/>
      <c r="M1189" s="12"/>
      <c r="O1189" s="12">
        <v>407.46</v>
      </c>
      <c r="P1189" s="16" t="s">
        <v>6271</v>
      </c>
      <c r="Q1189" s="12" t="b">
        <v>1</v>
      </c>
      <c r="R1189" s="12"/>
    </row>
    <row r="1190">
      <c r="A1190" s="12" t="s">
        <v>1533</v>
      </c>
      <c r="B1190" s="12" t="s">
        <v>54</v>
      </c>
      <c r="C1190" s="14">
        <v>46234.0</v>
      </c>
      <c r="D1190" s="12" t="s">
        <v>627</v>
      </c>
      <c r="E1190" s="12" t="s">
        <v>6273</v>
      </c>
      <c r="F1190" s="12"/>
      <c r="G1190" s="12" t="s">
        <v>6274</v>
      </c>
      <c r="H1190" s="12" t="s">
        <v>6124</v>
      </c>
      <c r="I1190" s="12" t="b">
        <v>1</v>
      </c>
      <c r="J1190" s="12" t="s">
        <v>1784</v>
      </c>
      <c r="K1190" s="12"/>
      <c r="L1190" s="12"/>
      <c r="M1190" s="12"/>
      <c r="O1190" s="12">
        <v>179.8</v>
      </c>
      <c r="P1190" s="16" t="s">
        <v>6276</v>
      </c>
      <c r="Q1190" s="12" t="b">
        <v>1</v>
      </c>
      <c r="R1190" s="12"/>
    </row>
    <row r="1191">
      <c r="A1191" s="12" t="s">
        <v>1605</v>
      </c>
      <c r="B1191" s="12" t="s">
        <v>54</v>
      </c>
      <c r="C1191" s="14">
        <v>46235.0</v>
      </c>
      <c r="D1191" s="12" t="s">
        <v>5383</v>
      </c>
      <c r="E1191" s="12" t="s">
        <v>6277</v>
      </c>
      <c r="F1191" s="12"/>
      <c r="G1191" s="12" t="s">
        <v>6278</v>
      </c>
      <c r="H1191" s="12" t="s">
        <v>6279</v>
      </c>
      <c r="I1191" s="12" t="b">
        <v>1</v>
      </c>
      <c r="J1191" s="12" t="s">
        <v>1784</v>
      </c>
      <c r="K1191" s="12"/>
      <c r="L1191" s="12"/>
      <c r="M1191" s="12"/>
      <c r="O1191" s="12">
        <v>13.5</v>
      </c>
      <c r="P1191" s="16" t="s">
        <v>6281</v>
      </c>
      <c r="Q1191" s="12" t="b">
        <v>1</v>
      </c>
      <c r="R1191" s="12"/>
    </row>
    <row r="1192">
      <c r="A1192" s="12" t="s">
        <v>1617</v>
      </c>
      <c r="B1192" s="12" t="s">
        <v>54</v>
      </c>
      <c r="C1192" s="14">
        <v>46235.0</v>
      </c>
      <c r="D1192" s="12" t="s">
        <v>175</v>
      </c>
      <c r="E1192" s="12" t="s">
        <v>6282</v>
      </c>
      <c r="F1192" s="12"/>
      <c r="G1192" s="12" t="s">
        <v>6283</v>
      </c>
      <c r="H1192" s="12" t="s">
        <v>2402</v>
      </c>
      <c r="I1192" s="12" t="b">
        <v>1</v>
      </c>
      <c r="J1192" s="12" t="s">
        <v>1784</v>
      </c>
      <c r="K1192" s="12"/>
      <c r="L1192" s="12"/>
      <c r="M1192" s="12"/>
      <c r="O1192" s="12">
        <v>7.0</v>
      </c>
      <c r="P1192" s="16" t="s">
        <v>6285</v>
      </c>
      <c r="Q1192" s="12" t="b">
        <v>1</v>
      </c>
      <c r="R1192" s="12"/>
    </row>
    <row r="1193">
      <c r="A1193" s="12" t="s">
        <v>6046</v>
      </c>
      <c r="B1193" s="12" t="s">
        <v>54</v>
      </c>
      <c r="C1193" s="14">
        <v>46237.0</v>
      </c>
      <c r="D1193" s="12"/>
      <c r="E1193" s="12"/>
      <c r="F1193" s="12" t="s">
        <v>6286</v>
      </c>
      <c r="G1193" s="12"/>
      <c r="H1193" s="12" t="s">
        <v>6286</v>
      </c>
      <c r="I1193" s="12"/>
      <c r="J1193" s="12" t="s">
        <v>621</v>
      </c>
      <c r="K1193" s="12" t="s">
        <v>78</v>
      </c>
      <c r="L1193" s="12"/>
      <c r="M1193" s="12"/>
      <c r="O1193" s="12">
        <v>1129.32</v>
      </c>
      <c r="P1193" s="12"/>
      <c r="Q1193" s="12" t="b">
        <v>1</v>
      </c>
      <c r="R1193" s="12" t="b">
        <v>0</v>
      </c>
    </row>
    <row r="1194">
      <c r="A1194" s="12">
        <v>1617.0</v>
      </c>
      <c r="B1194" s="12" t="s">
        <v>54</v>
      </c>
      <c r="C1194" s="14">
        <v>46237.0</v>
      </c>
      <c r="D1194" s="12" t="s">
        <v>4420</v>
      </c>
      <c r="E1194" s="12"/>
      <c r="F1194" s="12" t="s">
        <v>5970</v>
      </c>
      <c r="G1194" s="12"/>
      <c r="H1194" s="12" t="s">
        <v>5970</v>
      </c>
      <c r="I1194" s="12"/>
      <c r="J1194" s="12" t="s">
        <v>621</v>
      </c>
      <c r="K1194" s="12"/>
      <c r="L1194" s="12"/>
      <c r="M1194" s="12"/>
      <c r="O1194" s="12">
        <v>715.2</v>
      </c>
      <c r="P1194" s="12"/>
      <c r="Q1194" s="12" t="b">
        <v>1</v>
      </c>
      <c r="R1194" s="12" t="b">
        <v>0</v>
      </c>
    </row>
    <row r="1195">
      <c r="A1195" s="12">
        <v>1635.0</v>
      </c>
      <c r="B1195" s="12" t="s">
        <v>54</v>
      </c>
      <c r="C1195" s="14">
        <v>46237.0</v>
      </c>
      <c r="D1195" s="12" t="s">
        <v>1484</v>
      </c>
      <c r="E1195" s="12"/>
      <c r="F1195" s="12" t="s">
        <v>6288</v>
      </c>
      <c r="G1195" s="12"/>
      <c r="H1195" s="12" t="s">
        <v>6288</v>
      </c>
      <c r="I1195" s="12"/>
      <c r="J1195" s="12" t="s">
        <v>621</v>
      </c>
      <c r="K1195" s="12"/>
      <c r="L1195" s="12"/>
      <c r="M1195" s="12"/>
      <c r="O1195" s="12">
        <v>20.0</v>
      </c>
      <c r="P1195" s="12"/>
      <c r="Q1195" s="12" t="b">
        <v>1</v>
      </c>
      <c r="R1195" s="12" t="b">
        <v>0</v>
      </c>
    </row>
    <row r="1196">
      <c r="A1196" s="12">
        <v>1644.0</v>
      </c>
      <c r="B1196" s="12" t="s">
        <v>54</v>
      </c>
      <c r="C1196" s="14">
        <v>46237.0</v>
      </c>
      <c r="D1196" s="12"/>
      <c r="E1196" s="12"/>
      <c r="F1196" s="12" t="s">
        <v>1644</v>
      </c>
      <c r="G1196" s="12"/>
      <c r="H1196" s="12" t="s">
        <v>1644</v>
      </c>
      <c r="I1196" s="12"/>
      <c r="J1196" s="12" t="s">
        <v>621</v>
      </c>
      <c r="K1196" s="12" t="s">
        <v>727</v>
      </c>
      <c r="L1196" s="12"/>
      <c r="M1196" s="12"/>
      <c r="O1196" s="12">
        <v>1576.19</v>
      </c>
      <c r="P1196" s="12"/>
      <c r="Q1196" s="12" t="b">
        <v>1</v>
      </c>
      <c r="R1196" s="12" t="b">
        <v>0</v>
      </c>
    </row>
    <row r="1197">
      <c r="A1197" s="12">
        <v>1645.0</v>
      </c>
      <c r="B1197" s="12" t="s">
        <v>54</v>
      </c>
      <c r="C1197" s="14">
        <v>46237.0</v>
      </c>
      <c r="D1197" s="12"/>
      <c r="E1197" s="12"/>
      <c r="F1197" s="12" t="s">
        <v>1884</v>
      </c>
      <c r="G1197" s="12"/>
      <c r="H1197" s="12" t="s">
        <v>1884</v>
      </c>
      <c r="I1197" s="12"/>
      <c r="J1197" s="12" t="s">
        <v>621</v>
      </c>
      <c r="K1197" s="12" t="s">
        <v>727</v>
      </c>
      <c r="L1197" s="12"/>
      <c r="M1197" s="12"/>
      <c r="O1197" s="12">
        <v>1.0</v>
      </c>
      <c r="P1197" s="12"/>
      <c r="Q1197" s="12" t="b">
        <v>1</v>
      </c>
      <c r="R1197" s="12" t="b">
        <v>0</v>
      </c>
    </row>
    <row r="1198">
      <c r="A1198" s="12">
        <v>1646.0</v>
      </c>
      <c r="B1198" s="12" t="s">
        <v>54</v>
      </c>
      <c r="C1198" s="14">
        <v>46237.0</v>
      </c>
      <c r="D1198" s="12"/>
      <c r="E1198" s="12"/>
      <c r="F1198" s="12" t="s">
        <v>1884</v>
      </c>
      <c r="G1198" s="12"/>
      <c r="H1198" s="12" t="s">
        <v>1884</v>
      </c>
      <c r="I1198" s="12"/>
      <c r="J1198" s="12" t="s">
        <v>621</v>
      </c>
      <c r="K1198" s="12" t="s">
        <v>1183</v>
      </c>
      <c r="L1198" s="12"/>
      <c r="M1198" s="12"/>
      <c r="O1198" s="12">
        <v>1.0</v>
      </c>
      <c r="P1198" s="12"/>
      <c r="Q1198" s="12" t="b">
        <v>1</v>
      </c>
      <c r="R1198" s="12" t="b">
        <v>0</v>
      </c>
    </row>
    <row r="1199">
      <c r="A1199" s="12">
        <v>1647.0</v>
      </c>
      <c r="B1199" s="12" t="s">
        <v>54</v>
      </c>
      <c r="C1199" s="14">
        <v>46237.0</v>
      </c>
      <c r="D1199" s="12"/>
      <c r="E1199" s="12"/>
      <c r="F1199" s="12" t="s">
        <v>1884</v>
      </c>
      <c r="G1199" s="12"/>
      <c r="H1199" s="12" t="s">
        <v>1884</v>
      </c>
      <c r="I1199" s="12"/>
      <c r="J1199" s="12" t="s">
        <v>621</v>
      </c>
      <c r="K1199" s="12" t="s">
        <v>62</v>
      </c>
      <c r="L1199" s="12"/>
      <c r="M1199" s="12"/>
      <c r="O1199" s="12">
        <v>863.3</v>
      </c>
      <c r="P1199" s="12"/>
      <c r="Q1199" s="12" t="b">
        <v>1</v>
      </c>
      <c r="R1199" s="12" t="b">
        <v>0</v>
      </c>
    </row>
    <row r="1200">
      <c r="A1200" s="12">
        <v>1648.0</v>
      </c>
      <c r="B1200" s="12" t="s">
        <v>54</v>
      </c>
      <c r="C1200" s="14">
        <v>46237.0</v>
      </c>
      <c r="D1200" s="12"/>
      <c r="E1200" s="12"/>
      <c r="F1200" s="12" t="s">
        <v>1884</v>
      </c>
      <c r="G1200" s="12"/>
      <c r="H1200" s="12" t="s">
        <v>1884</v>
      </c>
      <c r="I1200" s="12"/>
      <c r="J1200" s="12" t="s">
        <v>621</v>
      </c>
      <c r="K1200" s="12" t="s">
        <v>78</v>
      </c>
      <c r="L1200" s="12"/>
      <c r="M1200" s="12"/>
      <c r="O1200" s="12">
        <v>1129.32</v>
      </c>
      <c r="P1200" s="12"/>
      <c r="Q1200" s="12" t="b">
        <v>1</v>
      </c>
      <c r="R1200" s="12" t="b">
        <v>0</v>
      </c>
    </row>
    <row r="1201">
      <c r="A1201" s="12">
        <v>1649.0</v>
      </c>
      <c r="B1201" s="12" t="s">
        <v>54</v>
      </c>
      <c r="C1201" s="14">
        <v>46237.0</v>
      </c>
      <c r="D1201" s="12"/>
      <c r="E1201" s="12"/>
      <c r="F1201" s="12" t="s">
        <v>1884</v>
      </c>
      <c r="G1201" s="12"/>
      <c r="H1201" s="12" t="s">
        <v>1884</v>
      </c>
      <c r="I1201" s="12"/>
      <c r="J1201" s="12" t="s">
        <v>621</v>
      </c>
      <c r="K1201" s="12" t="s">
        <v>152</v>
      </c>
      <c r="L1201" s="12"/>
      <c r="M1201" s="12"/>
      <c r="O1201" s="12">
        <v>1536.6</v>
      </c>
      <c r="P1201" s="12"/>
      <c r="Q1201" s="12" t="b">
        <v>1</v>
      </c>
      <c r="R1201" s="12" t="b">
        <v>0</v>
      </c>
    </row>
    <row r="1202">
      <c r="A1202" s="12">
        <v>1658.0</v>
      </c>
      <c r="B1202" s="12" t="s">
        <v>54</v>
      </c>
      <c r="C1202" s="14">
        <v>46237.0</v>
      </c>
      <c r="D1202" s="12" t="s">
        <v>1668</v>
      </c>
      <c r="E1202" s="12"/>
      <c r="F1202" s="12" t="s">
        <v>1671</v>
      </c>
      <c r="G1202" s="12"/>
      <c r="H1202" s="12" t="s">
        <v>1671</v>
      </c>
      <c r="I1202" s="12"/>
      <c r="J1202" s="12" t="s">
        <v>621</v>
      </c>
      <c r="K1202" s="12"/>
      <c r="L1202" s="12"/>
      <c r="M1202" s="12"/>
      <c r="O1202" s="12">
        <v>125.0</v>
      </c>
      <c r="P1202" s="12"/>
      <c r="Q1202" s="12" t="b">
        <v>1</v>
      </c>
      <c r="R1202" s="12" t="b">
        <v>0</v>
      </c>
    </row>
    <row r="1203">
      <c r="A1203" s="12">
        <v>1660.0</v>
      </c>
      <c r="B1203" s="12" t="s">
        <v>54</v>
      </c>
      <c r="C1203" s="14">
        <v>46237.0</v>
      </c>
      <c r="D1203" s="12" t="s">
        <v>897</v>
      </c>
      <c r="E1203" s="12"/>
      <c r="F1203" s="12" t="s">
        <v>909</v>
      </c>
      <c r="G1203" s="12"/>
      <c r="H1203" s="12" t="s">
        <v>909</v>
      </c>
      <c r="I1203" s="12"/>
      <c r="J1203" s="12" t="s">
        <v>621</v>
      </c>
      <c r="K1203" s="12"/>
      <c r="L1203" s="12"/>
      <c r="M1203" s="12"/>
      <c r="O1203" s="12">
        <v>0.0</v>
      </c>
      <c r="P1203" s="12"/>
      <c r="Q1203" s="12" t="b">
        <v>1</v>
      </c>
      <c r="R1203" s="12" t="b">
        <v>0</v>
      </c>
    </row>
    <row r="1204">
      <c r="A1204" s="12">
        <v>1661.0</v>
      </c>
      <c r="B1204" s="12" t="s">
        <v>54</v>
      </c>
      <c r="C1204" s="14">
        <v>46237.0</v>
      </c>
      <c r="D1204" s="12" t="s">
        <v>933</v>
      </c>
      <c r="E1204" s="12"/>
      <c r="F1204" s="12" t="s">
        <v>1346</v>
      </c>
      <c r="G1204" s="12"/>
      <c r="H1204" s="12" t="s">
        <v>1346</v>
      </c>
      <c r="I1204" s="12"/>
      <c r="J1204" s="12" t="s">
        <v>621</v>
      </c>
      <c r="K1204" s="12"/>
      <c r="L1204" s="12"/>
      <c r="M1204" s="12"/>
      <c r="O1204" s="12">
        <v>523.0</v>
      </c>
      <c r="P1204" s="12"/>
      <c r="Q1204" s="12" t="b">
        <v>1</v>
      </c>
      <c r="R1204" s="12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21" t="s">
        <v>4</v>
      </c>
      <c r="B1" s="21" t="s">
        <v>12</v>
      </c>
      <c r="C1" s="21" t="s">
        <v>1725</v>
      </c>
      <c r="D1" s="21" t="s">
        <v>1726</v>
      </c>
      <c r="E1" s="21" t="s">
        <v>41</v>
      </c>
      <c r="F1" s="21" t="s">
        <v>1727</v>
      </c>
    </row>
    <row r="2">
      <c r="A2" s="12" t="s">
        <v>1728</v>
      </c>
      <c r="B2" s="12" t="s">
        <v>1640</v>
      </c>
      <c r="C2" s="12" t="s">
        <v>820</v>
      </c>
      <c r="D2" s="12">
        <v>1.0</v>
      </c>
      <c r="E2" s="12">
        <v>0.0</v>
      </c>
      <c r="F2" s="12">
        <v>0.0</v>
      </c>
    </row>
    <row r="3">
      <c r="A3" s="12" t="s">
        <v>1732</v>
      </c>
      <c r="B3" s="12" t="s">
        <v>1642</v>
      </c>
      <c r="C3" s="12" t="s">
        <v>1196</v>
      </c>
      <c r="D3" s="12">
        <v>1.0</v>
      </c>
      <c r="E3" s="12">
        <v>3500.0</v>
      </c>
      <c r="F3" s="12">
        <v>3500.0</v>
      </c>
    </row>
    <row r="4">
      <c r="A4" s="12" t="s">
        <v>1735</v>
      </c>
      <c r="B4" s="12" t="s">
        <v>1645</v>
      </c>
      <c r="C4" s="12" t="s">
        <v>1196</v>
      </c>
      <c r="D4" s="12">
        <v>1.0</v>
      </c>
      <c r="E4" s="12">
        <v>3721.04</v>
      </c>
      <c r="F4" s="12">
        <v>3721.04</v>
      </c>
    </row>
    <row r="5">
      <c r="A5" s="12" t="s">
        <v>1739</v>
      </c>
      <c r="B5" s="12" t="s">
        <v>1648</v>
      </c>
      <c r="C5" s="12" t="s">
        <v>1196</v>
      </c>
      <c r="D5" s="12">
        <v>1.0</v>
      </c>
      <c r="E5" s="12">
        <v>1955.22</v>
      </c>
      <c r="F5" s="12">
        <v>1955.22</v>
      </c>
    </row>
    <row r="6">
      <c r="A6" s="12" t="s">
        <v>1741</v>
      </c>
      <c r="B6" s="12" t="s">
        <v>1650</v>
      </c>
      <c r="C6" s="12" t="s">
        <v>1196</v>
      </c>
      <c r="D6" s="12">
        <v>1.0</v>
      </c>
      <c r="E6" s="12">
        <v>2136.9</v>
      </c>
      <c r="F6" s="12">
        <v>2136.9</v>
      </c>
    </row>
    <row r="7">
      <c r="A7" s="12" t="s">
        <v>1744</v>
      </c>
      <c r="B7" s="12" t="s">
        <v>1651</v>
      </c>
      <c r="C7" s="12" t="s">
        <v>1196</v>
      </c>
      <c r="D7" s="12">
        <v>1.0</v>
      </c>
      <c r="E7" s="12">
        <v>1415.4</v>
      </c>
      <c r="F7" s="12">
        <v>1415.4</v>
      </c>
    </row>
    <row r="8">
      <c r="A8" s="12" t="s">
        <v>1748</v>
      </c>
      <c r="B8" s="12" t="s">
        <v>1654</v>
      </c>
      <c r="C8" s="12" t="s">
        <v>852</v>
      </c>
      <c r="D8" s="12">
        <v>1.0</v>
      </c>
      <c r="E8" s="12">
        <v>4000.0</v>
      </c>
      <c r="F8" s="12">
        <v>4000.0</v>
      </c>
    </row>
    <row r="9">
      <c r="A9" s="12" t="s">
        <v>1750</v>
      </c>
      <c r="B9" s="12" t="s">
        <v>1658</v>
      </c>
      <c r="C9" s="12" t="s">
        <v>1082</v>
      </c>
      <c r="D9" s="12">
        <v>1.0</v>
      </c>
      <c r="E9" s="12">
        <v>600.0</v>
      </c>
      <c r="F9" s="12">
        <v>600.0</v>
      </c>
    </row>
    <row r="10">
      <c r="A10" s="12" t="s">
        <v>1755</v>
      </c>
      <c r="B10" s="12" t="s">
        <v>1661</v>
      </c>
      <c r="C10" s="12" t="s">
        <v>1756</v>
      </c>
      <c r="D10" s="12">
        <v>1.0</v>
      </c>
      <c r="E10" s="12">
        <v>914.16</v>
      </c>
      <c r="F10" s="12">
        <v>914.16</v>
      </c>
    </row>
    <row r="11">
      <c r="A11" s="12" t="s">
        <v>1758</v>
      </c>
      <c r="B11" s="12" t="s">
        <v>1665</v>
      </c>
      <c r="C11" s="12" t="s">
        <v>836</v>
      </c>
      <c r="D11" s="12">
        <v>1.0</v>
      </c>
      <c r="E11" s="12">
        <v>2031.41</v>
      </c>
      <c r="F11" s="12">
        <v>2031.41</v>
      </c>
    </row>
    <row r="12">
      <c r="A12" s="12" t="s">
        <v>1763</v>
      </c>
      <c r="B12" s="12" t="s">
        <v>1667</v>
      </c>
      <c r="C12" s="12" t="s">
        <v>874</v>
      </c>
      <c r="D12" s="12">
        <v>1.0</v>
      </c>
      <c r="E12" s="12">
        <v>125.0</v>
      </c>
      <c r="F12" s="12">
        <v>125.0</v>
      </c>
    </row>
    <row r="13">
      <c r="A13" s="12" t="s">
        <v>1767</v>
      </c>
      <c r="B13" s="12" t="s">
        <v>1674</v>
      </c>
      <c r="C13" s="12" t="s">
        <v>936</v>
      </c>
      <c r="D13" s="12">
        <v>1.0</v>
      </c>
      <c r="E13" s="12">
        <v>500.0</v>
      </c>
      <c r="F13" s="12">
        <v>500.0</v>
      </c>
    </row>
    <row r="14">
      <c r="A14" s="12" t="s">
        <v>1772</v>
      </c>
      <c r="B14" s="12" t="s">
        <v>1676</v>
      </c>
      <c r="C14" s="12" t="s">
        <v>911</v>
      </c>
      <c r="D14" s="12">
        <v>1.0</v>
      </c>
      <c r="E14" s="12">
        <v>0.0</v>
      </c>
      <c r="F14" s="12">
        <v>0.0</v>
      </c>
    </row>
    <row r="15">
      <c r="A15" s="12" t="s">
        <v>1775</v>
      </c>
      <c r="B15" s="12" t="s">
        <v>1679</v>
      </c>
      <c r="C15" s="12" t="s">
        <v>618</v>
      </c>
      <c r="D15" s="12">
        <v>1.0</v>
      </c>
      <c r="E15" s="12">
        <v>3000.0</v>
      </c>
      <c r="F15" s="12">
        <v>3000.0</v>
      </c>
    </row>
    <row r="16">
      <c r="A16" s="12" t="s">
        <v>1779</v>
      </c>
      <c r="B16" s="12" t="s">
        <v>1682</v>
      </c>
      <c r="C16" s="12" t="s">
        <v>797</v>
      </c>
      <c r="D16" s="12">
        <v>1.0</v>
      </c>
      <c r="E16" s="12">
        <v>2062.0</v>
      </c>
      <c r="F16" s="12">
        <v>2062.0</v>
      </c>
    </row>
    <row r="17">
      <c r="A17" s="12" t="s">
        <v>1780</v>
      </c>
      <c r="B17" s="12" t="s">
        <v>1686</v>
      </c>
      <c r="C17" s="12" t="s">
        <v>1113</v>
      </c>
      <c r="D17" s="12">
        <v>1.0</v>
      </c>
      <c r="E17" s="12">
        <v>500.0</v>
      </c>
      <c r="F17" s="12">
        <v>500.0</v>
      </c>
    </row>
    <row r="18">
      <c r="A18" s="12" t="s">
        <v>1782</v>
      </c>
      <c r="B18" s="12" t="s">
        <v>1689</v>
      </c>
      <c r="C18" s="12" t="s">
        <v>693</v>
      </c>
      <c r="D18" s="12">
        <v>1.0</v>
      </c>
      <c r="E18" s="12">
        <v>5000.0</v>
      </c>
      <c r="F18" s="12">
        <v>5000.0</v>
      </c>
    </row>
    <row r="19">
      <c r="A19" s="12" t="s">
        <v>1786</v>
      </c>
      <c r="B19" s="12" t="s">
        <v>1691</v>
      </c>
      <c r="C19" s="12" t="s">
        <v>797</v>
      </c>
      <c r="D19" s="12">
        <v>1.0</v>
      </c>
      <c r="E19" s="12">
        <v>758.81</v>
      </c>
      <c r="F19" s="12">
        <v>758.81</v>
      </c>
    </row>
    <row r="20">
      <c r="A20" s="12" t="s">
        <v>1789</v>
      </c>
      <c r="B20" s="12" t="s">
        <v>956</v>
      </c>
      <c r="C20" s="12" t="s">
        <v>693</v>
      </c>
      <c r="D20" s="12">
        <v>1.0</v>
      </c>
      <c r="E20" s="12">
        <v>5000.0</v>
      </c>
      <c r="F20" s="12">
        <v>5000.0</v>
      </c>
    </row>
    <row r="21">
      <c r="A21" s="12" t="s">
        <v>1792</v>
      </c>
      <c r="B21" s="12" t="s">
        <v>1695</v>
      </c>
      <c r="C21" s="12" t="s">
        <v>786</v>
      </c>
      <c r="D21" s="12">
        <v>1.0</v>
      </c>
      <c r="E21" s="12">
        <v>3930.17</v>
      </c>
      <c r="F21" s="12">
        <v>3930.17</v>
      </c>
    </row>
    <row r="22">
      <c r="A22" s="12" t="s">
        <v>1795</v>
      </c>
      <c r="B22" s="12">
        <v>1140.0</v>
      </c>
      <c r="C22" s="12" t="s">
        <v>1040</v>
      </c>
      <c r="D22" s="12">
        <v>1.0</v>
      </c>
      <c r="E22" s="12">
        <v>8086.0</v>
      </c>
      <c r="F22" s="12">
        <v>8086.0</v>
      </c>
    </row>
    <row r="23">
      <c r="A23" s="12" t="s">
        <v>1799</v>
      </c>
      <c r="B23" s="12">
        <v>1141.0</v>
      </c>
      <c r="C23" s="12" t="s">
        <v>1056</v>
      </c>
      <c r="D23" s="12">
        <v>1.0</v>
      </c>
      <c r="E23" s="12">
        <v>1445.21</v>
      </c>
      <c r="F23" s="12">
        <v>1445.21</v>
      </c>
    </row>
    <row r="24">
      <c r="A24" s="12" t="s">
        <v>1802</v>
      </c>
      <c r="B24" s="12">
        <v>1142.0</v>
      </c>
      <c r="C24" s="12" t="s">
        <v>741</v>
      </c>
      <c r="D24" s="12">
        <v>1.0</v>
      </c>
      <c r="E24" s="12">
        <v>807.71</v>
      </c>
      <c r="F24" s="12">
        <v>807.71</v>
      </c>
    </row>
    <row r="25">
      <c r="A25" s="12" t="s">
        <v>1806</v>
      </c>
      <c r="B25" s="12">
        <v>1143.0</v>
      </c>
      <c r="C25" s="12" t="s">
        <v>1486</v>
      </c>
      <c r="D25" s="12">
        <v>1.0</v>
      </c>
      <c r="E25" s="12">
        <v>0.0</v>
      </c>
      <c r="F25" s="12">
        <v>0.0</v>
      </c>
    </row>
    <row r="26">
      <c r="A26" s="12" t="s">
        <v>1810</v>
      </c>
      <c r="B26" s="12" t="s">
        <v>1703</v>
      </c>
      <c r="C26" s="12" t="s">
        <v>1416</v>
      </c>
      <c r="D26" s="12">
        <v>1.0</v>
      </c>
      <c r="E26" s="12">
        <v>2020.0</v>
      </c>
      <c r="F26" s="12">
        <v>2020.0</v>
      </c>
    </row>
    <row r="27">
      <c r="A27" s="12" t="s">
        <v>1813</v>
      </c>
      <c r="B27" s="12" t="s">
        <v>1707</v>
      </c>
      <c r="C27" s="12" t="s">
        <v>1113</v>
      </c>
      <c r="D27" s="12">
        <v>1.0</v>
      </c>
      <c r="E27" s="12">
        <v>100.0</v>
      </c>
      <c r="F27" s="12">
        <v>100.0</v>
      </c>
    </row>
    <row r="28">
      <c r="A28" s="12" t="s">
        <v>1816</v>
      </c>
      <c r="B28" s="12">
        <v>1144.0</v>
      </c>
      <c r="C28" s="12" t="s">
        <v>820</v>
      </c>
      <c r="D28" s="12">
        <v>1.0</v>
      </c>
      <c r="E28" s="12">
        <v>0.0</v>
      </c>
      <c r="F28" s="12">
        <v>0.0</v>
      </c>
    </row>
    <row r="29">
      <c r="A29" s="12" t="s">
        <v>1817</v>
      </c>
      <c r="B29" s="12" t="s">
        <v>1711</v>
      </c>
      <c r="C29" s="12" t="s">
        <v>1818</v>
      </c>
      <c r="D29" s="12">
        <v>1.0</v>
      </c>
      <c r="E29" s="12">
        <v>394.85</v>
      </c>
      <c r="F29" s="12">
        <v>394.85</v>
      </c>
    </row>
    <row r="30">
      <c r="A30" s="12" t="s">
        <v>1820</v>
      </c>
      <c r="B30" s="12" t="s">
        <v>1714</v>
      </c>
      <c r="C30" s="12" t="s">
        <v>1818</v>
      </c>
      <c r="D30" s="12">
        <v>1.0</v>
      </c>
      <c r="E30" s="12">
        <v>462.29</v>
      </c>
      <c r="F30" s="12">
        <v>462.29</v>
      </c>
    </row>
    <row r="31">
      <c r="A31" s="12" t="s">
        <v>1822</v>
      </c>
      <c r="B31" s="12" t="s">
        <v>1717</v>
      </c>
      <c r="C31" s="12" t="s">
        <v>1823</v>
      </c>
      <c r="D31" s="12">
        <v>1.0</v>
      </c>
      <c r="E31" s="12">
        <v>224.96</v>
      </c>
      <c r="F31" s="12">
        <v>224.96</v>
      </c>
    </row>
    <row r="32">
      <c r="A32" s="12" t="s">
        <v>1826</v>
      </c>
      <c r="B32" s="12">
        <v>1147.0</v>
      </c>
      <c r="C32" s="12" t="s">
        <v>1818</v>
      </c>
      <c r="D32" s="12">
        <v>1.0</v>
      </c>
      <c r="E32" s="12">
        <v>236.83</v>
      </c>
      <c r="F32" s="12">
        <v>236.83</v>
      </c>
    </row>
    <row r="33">
      <c r="A33" s="12" t="s">
        <v>1829</v>
      </c>
      <c r="B33" s="12">
        <v>1148.0</v>
      </c>
      <c r="C33" s="12" t="s">
        <v>1818</v>
      </c>
      <c r="D33" s="12">
        <v>1.0</v>
      </c>
      <c r="E33" s="12">
        <v>65.15</v>
      </c>
      <c r="F33" s="12">
        <v>65.15</v>
      </c>
    </row>
    <row r="34">
      <c r="A34" s="12" t="s">
        <v>1833</v>
      </c>
      <c r="B34" s="12" t="s">
        <v>1721</v>
      </c>
      <c r="C34" s="12" t="s">
        <v>797</v>
      </c>
      <c r="D34" s="12">
        <v>1.0</v>
      </c>
      <c r="E34" s="12">
        <v>2676.92</v>
      </c>
      <c r="F34" s="12">
        <v>2676.92</v>
      </c>
    </row>
    <row r="35">
      <c r="A35" s="12" t="s">
        <v>1835</v>
      </c>
      <c r="B35" s="12" t="s">
        <v>1724</v>
      </c>
      <c r="C35" s="12" t="s">
        <v>1113</v>
      </c>
      <c r="D35" s="12">
        <v>1.0</v>
      </c>
      <c r="E35" s="12">
        <v>80.0</v>
      </c>
      <c r="F35" s="12">
        <v>80.0</v>
      </c>
    </row>
    <row r="36">
      <c r="A36" s="12" t="s">
        <v>1840</v>
      </c>
      <c r="B36" s="12" t="s">
        <v>1729</v>
      </c>
      <c r="C36" s="12" t="s">
        <v>1823</v>
      </c>
      <c r="D36" s="12">
        <v>1.0</v>
      </c>
      <c r="E36" s="12">
        <v>205.91</v>
      </c>
      <c r="F36" s="12">
        <v>205.91</v>
      </c>
    </row>
    <row r="37">
      <c r="A37" s="12" t="s">
        <v>1842</v>
      </c>
      <c r="B37" s="12" t="s">
        <v>1733</v>
      </c>
      <c r="C37" s="12" t="s">
        <v>1236</v>
      </c>
      <c r="D37" s="12">
        <v>1.0</v>
      </c>
      <c r="E37" s="12">
        <v>226.8</v>
      </c>
      <c r="F37" s="12">
        <v>226.8</v>
      </c>
    </row>
    <row r="38">
      <c r="A38" s="12" t="s">
        <v>1845</v>
      </c>
      <c r="B38" s="12" t="s">
        <v>1736</v>
      </c>
      <c r="C38" s="12" t="s">
        <v>1236</v>
      </c>
      <c r="D38" s="12">
        <v>1.0</v>
      </c>
      <c r="E38" s="12">
        <v>281.25</v>
      </c>
      <c r="F38" s="12">
        <v>281.25</v>
      </c>
    </row>
    <row r="39">
      <c r="A39" s="12" t="s">
        <v>1849</v>
      </c>
      <c r="B39" s="12">
        <v>1154.0</v>
      </c>
      <c r="C39" s="12" t="s">
        <v>852</v>
      </c>
      <c r="D39" s="12">
        <v>1.0</v>
      </c>
      <c r="E39" s="12">
        <v>4000.0</v>
      </c>
      <c r="F39" s="12">
        <v>4000.0</v>
      </c>
    </row>
    <row r="40">
      <c r="A40" s="12" t="s">
        <v>1853</v>
      </c>
      <c r="B40" s="12" t="s">
        <v>1740</v>
      </c>
      <c r="C40" s="12" t="s">
        <v>1416</v>
      </c>
      <c r="D40" s="12">
        <v>1.0</v>
      </c>
      <c r="E40" s="12">
        <v>2144.0</v>
      </c>
      <c r="F40" s="12">
        <v>2144.0</v>
      </c>
    </row>
    <row r="41">
      <c r="A41" s="12" t="s">
        <v>1856</v>
      </c>
      <c r="B41" s="12" t="s">
        <v>1745</v>
      </c>
      <c r="C41" s="12" t="s">
        <v>618</v>
      </c>
      <c r="D41" s="12">
        <v>1.0</v>
      </c>
      <c r="E41" s="12">
        <v>3000.0</v>
      </c>
      <c r="F41" s="12">
        <v>3000.0</v>
      </c>
    </row>
    <row r="42">
      <c r="A42" s="12" t="s">
        <v>1859</v>
      </c>
      <c r="B42" s="12" t="s">
        <v>1749</v>
      </c>
      <c r="C42" s="12" t="s">
        <v>1416</v>
      </c>
      <c r="D42" s="12">
        <v>1.0</v>
      </c>
      <c r="E42" s="12">
        <v>1555.0</v>
      </c>
      <c r="F42" s="12">
        <v>1555.0</v>
      </c>
    </row>
    <row r="43">
      <c r="A43" s="12" t="s">
        <v>1861</v>
      </c>
      <c r="B43" s="12">
        <v>1161.0</v>
      </c>
      <c r="C43" s="12" t="s">
        <v>874</v>
      </c>
      <c r="D43" s="12">
        <v>1.0</v>
      </c>
      <c r="E43" s="12">
        <v>125.0</v>
      </c>
      <c r="F43" s="12">
        <v>125.0</v>
      </c>
    </row>
    <row r="44">
      <c r="A44" s="12" t="s">
        <v>1866</v>
      </c>
      <c r="B44" s="12" t="s">
        <v>1781</v>
      </c>
      <c r="C44" s="12" t="s">
        <v>1551</v>
      </c>
      <c r="D44" s="12">
        <v>1.0</v>
      </c>
      <c r="E44" s="12">
        <v>10.0</v>
      </c>
      <c r="F44" s="12">
        <v>10.0</v>
      </c>
    </row>
    <row r="45">
      <c r="A45" s="12" t="s">
        <v>1868</v>
      </c>
      <c r="B45" s="12" t="s">
        <v>1785</v>
      </c>
      <c r="C45" s="12" t="s">
        <v>786</v>
      </c>
      <c r="D45" s="12">
        <v>1.0</v>
      </c>
      <c r="E45" s="12">
        <v>2151.98</v>
      </c>
      <c r="F45" s="12">
        <v>2151.98</v>
      </c>
    </row>
    <row r="46">
      <c r="A46" s="12" t="s">
        <v>1873</v>
      </c>
      <c r="B46" s="12" t="s">
        <v>1788</v>
      </c>
      <c r="C46" s="12" t="s">
        <v>1236</v>
      </c>
      <c r="D46" s="12">
        <v>1.0</v>
      </c>
      <c r="E46" s="12">
        <v>733.49</v>
      </c>
      <c r="F46" s="12">
        <v>733.49</v>
      </c>
    </row>
    <row r="47">
      <c r="A47" s="12" t="s">
        <v>1875</v>
      </c>
      <c r="B47" s="12" t="s">
        <v>1812</v>
      </c>
      <c r="C47" s="12" t="s">
        <v>1196</v>
      </c>
      <c r="D47" s="12">
        <v>1.0</v>
      </c>
      <c r="E47" s="12">
        <v>585.0</v>
      </c>
      <c r="F47" s="12">
        <v>585.0</v>
      </c>
    </row>
    <row r="48">
      <c r="A48" s="12" t="s">
        <v>1877</v>
      </c>
      <c r="B48" s="12">
        <v>1166.0</v>
      </c>
      <c r="C48" s="12" t="s">
        <v>911</v>
      </c>
      <c r="D48" s="12">
        <v>1.0</v>
      </c>
      <c r="E48" s="12">
        <v>0.0</v>
      </c>
      <c r="F48" s="12">
        <v>0.0</v>
      </c>
    </row>
    <row r="49">
      <c r="A49" s="12" t="s">
        <v>1880</v>
      </c>
      <c r="B49" s="12">
        <v>1167.0</v>
      </c>
      <c r="C49" s="12" t="s">
        <v>936</v>
      </c>
      <c r="D49" s="12">
        <v>1.0</v>
      </c>
      <c r="E49" s="12">
        <v>500.0</v>
      </c>
      <c r="F49" s="12">
        <v>500.0</v>
      </c>
    </row>
    <row r="50">
      <c r="A50" s="12" t="s">
        <v>1883</v>
      </c>
      <c r="B50" s="12" t="s">
        <v>1874</v>
      </c>
      <c r="C50" s="12" t="s">
        <v>1113</v>
      </c>
      <c r="D50" s="12">
        <v>1.0</v>
      </c>
      <c r="E50" s="12">
        <v>100.0</v>
      </c>
      <c r="F50" s="12">
        <v>100.0</v>
      </c>
    </row>
    <row r="51">
      <c r="A51" s="12" t="s">
        <v>1885</v>
      </c>
      <c r="B51" s="12" t="s">
        <v>1878</v>
      </c>
      <c r="C51" s="12" t="s">
        <v>1082</v>
      </c>
      <c r="D51" s="12">
        <v>1.0</v>
      </c>
      <c r="E51" s="12">
        <v>600.0</v>
      </c>
      <c r="F51" s="12">
        <v>600.0</v>
      </c>
    </row>
    <row r="52">
      <c r="A52" s="12" t="s">
        <v>1887</v>
      </c>
      <c r="B52" s="12" t="s">
        <v>1882</v>
      </c>
      <c r="C52" s="12" t="s">
        <v>1196</v>
      </c>
      <c r="D52" s="12">
        <v>1.0</v>
      </c>
      <c r="E52" s="12">
        <v>1469.15</v>
      </c>
      <c r="F52" s="12">
        <v>1469.15</v>
      </c>
    </row>
    <row r="53">
      <c r="A53" s="12" t="s">
        <v>1890</v>
      </c>
      <c r="B53" s="12" t="s">
        <v>1886</v>
      </c>
      <c r="C53" s="12" t="s">
        <v>1196</v>
      </c>
      <c r="D53" s="12">
        <v>1.0</v>
      </c>
      <c r="E53" s="12">
        <v>3500.0</v>
      </c>
      <c r="F53" s="12">
        <v>3500.0</v>
      </c>
    </row>
    <row r="54">
      <c r="A54" s="12" t="s">
        <v>1891</v>
      </c>
      <c r="B54" s="12" t="s">
        <v>1889</v>
      </c>
      <c r="C54" s="12" t="s">
        <v>1196</v>
      </c>
      <c r="D54" s="12">
        <v>1.0</v>
      </c>
      <c r="E54" s="12">
        <v>3684.76</v>
      </c>
      <c r="F54" s="12">
        <v>3684.76</v>
      </c>
    </row>
    <row r="55">
      <c r="A55" s="12" t="s">
        <v>1894</v>
      </c>
      <c r="B55" s="12" t="s">
        <v>1892</v>
      </c>
      <c r="C55" s="12" t="s">
        <v>1196</v>
      </c>
      <c r="D55" s="12">
        <v>1.0</v>
      </c>
      <c r="E55" s="12">
        <v>1950.82</v>
      </c>
      <c r="F55" s="12">
        <v>1950.82</v>
      </c>
    </row>
    <row r="56">
      <c r="A56" s="12" t="s">
        <v>1896</v>
      </c>
      <c r="B56" s="12" t="s">
        <v>1895</v>
      </c>
      <c r="C56" s="12" t="s">
        <v>1196</v>
      </c>
      <c r="D56" s="12">
        <v>1.0</v>
      </c>
      <c r="E56" s="12">
        <v>2224.16</v>
      </c>
      <c r="F56" s="12">
        <v>2224.16</v>
      </c>
    </row>
    <row r="57">
      <c r="A57" s="12" t="s">
        <v>1898</v>
      </c>
      <c r="B57" s="12" t="s">
        <v>1897</v>
      </c>
      <c r="C57" s="12" t="s">
        <v>1196</v>
      </c>
      <c r="D57" s="12">
        <v>1.0</v>
      </c>
      <c r="E57" s="12">
        <v>2257.26</v>
      </c>
      <c r="F57" s="12">
        <v>2257.26</v>
      </c>
    </row>
    <row r="58">
      <c r="A58" s="12" t="s">
        <v>1901</v>
      </c>
      <c r="B58" s="12">
        <v>1176.0</v>
      </c>
      <c r="C58" s="12" t="s">
        <v>693</v>
      </c>
      <c r="D58" s="12">
        <v>1.0</v>
      </c>
      <c r="E58" s="12">
        <v>5000.0</v>
      </c>
      <c r="F58" s="12">
        <v>5000.0</v>
      </c>
    </row>
    <row r="59">
      <c r="A59" s="12" t="s">
        <v>1902</v>
      </c>
      <c r="B59" s="12">
        <v>1177.0</v>
      </c>
      <c r="C59" s="12" t="s">
        <v>1082</v>
      </c>
      <c r="D59" s="12">
        <v>1.0</v>
      </c>
      <c r="E59" s="12">
        <v>625.0</v>
      </c>
      <c r="F59" s="12">
        <v>625.0</v>
      </c>
    </row>
    <row r="60">
      <c r="A60" s="12" t="s">
        <v>1904</v>
      </c>
      <c r="B60" s="12">
        <v>1178.0</v>
      </c>
      <c r="C60" s="12" t="s">
        <v>1906</v>
      </c>
      <c r="D60" s="12">
        <v>1.0</v>
      </c>
      <c r="E60" s="12">
        <v>375.0</v>
      </c>
      <c r="F60" s="12">
        <v>375.0</v>
      </c>
    </row>
    <row r="61">
      <c r="A61" s="12" t="s">
        <v>1907</v>
      </c>
      <c r="B61" s="12">
        <v>1179.0</v>
      </c>
      <c r="C61" s="12" t="s">
        <v>1908</v>
      </c>
      <c r="D61" s="12">
        <v>1.0</v>
      </c>
      <c r="E61" s="12">
        <v>1110.0</v>
      </c>
      <c r="F61" s="12">
        <v>1110.0</v>
      </c>
    </row>
    <row r="62">
      <c r="A62" s="12" t="s">
        <v>1910</v>
      </c>
      <c r="B62" s="12" t="s">
        <v>1911</v>
      </c>
      <c r="C62" s="12" t="s">
        <v>1912</v>
      </c>
      <c r="D62" s="12">
        <v>1.0</v>
      </c>
      <c r="E62" s="12">
        <v>1299.9</v>
      </c>
      <c r="F62" s="12">
        <v>1299.9</v>
      </c>
    </row>
    <row r="63">
      <c r="A63" s="12" t="s">
        <v>1915</v>
      </c>
      <c r="B63" s="12" t="s">
        <v>1917</v>
      </c>
      <c r="C63" s="12" t="s">
        <v>1823</v>
      </c>
      <c r="D63" s="12">
        <v>1.0</v>
      </c>
      <c r="E63" s="12">
        <v>700.0</v>
      </c>
      <c r="F63" s="12">
        <v>700.0</v>
      </c>
    </row>
    <row r="64">
      <c r="A64" s="12" t="s">
        <v>1919</v>
      </c>
      <c r="B64" s="12" t="s">
        <v>1920</v>
      </c>
      <c r="C64" s="12" t="s">
        <v>1823</v>
      </c>
      <c r="D64" s="12">
        <v>1.0</v>
      </c>
      <c r="E64" s="12">
        <v>2161.6</v>
      </c>
      <c r="F64" s="12">
        <v>2161.6</v>
      </c>
    </row>
    <row r="65">
      <c r="A65" s="12" t="s">
        <v>1925</v>
      </c>
      <c r="B65" s="12" t="s">
        <v>1927</v>
      </c>
      <c r="C65" s="12" t="s">
        <v>1113</v>
      </c>
      <c r="D65" s="12">
        <v>1.0</v>
      </c>
      <c r="E65" s="12">
        <v>200.0</v>
      </c>
      <c r="F65" s="12">
        <v>200.0</v>
      </c>
    </row>
    <row r="66">
      <c r="A66" s="12" t="s">
        <v>1929</v>
      </c>
      <c r="B66" s="12" t="s">
        <v>1930</v>
      </c>
      <c r="C66" s="12" t="s">
        <v>1113</v>
      </c>
      <c r="D66" s="12">
        <v>1.0</v>
      </c>
      <c r="E66" s="12">
        <v>500.0</v>
      </c>
      <c r="F66" s="12">
        <v>500.0</v>
      </c>
    </row>
    <row r="67">
      <c r="A67" s="12" t="s">
        <v>1933</v>
      </c>
      <c r="B67" s="12" t="s">
        <v>1935</v>
      </c>
      <c r="C67" s="12" t="s">
        <v>1936</v>
      </c>
      <c r="D67" s="12">
        <v>1.0</v>
      </c>
      <c r="E67" s="12">
        <v>621.53</v>
      </c>
      <c r="F67" s="12">
        <v>621.53</v>
      </c>
    </row>
    <row r="68">
      <c r="A68" s="12" t="s">
        <v>1938</v>
      </c>
      <c r="B68" s="12">
        <v>1186.0</v>
      </c>
      <c r="C68" s="12" t="s">
        <v>1040</v>
      </c>
      <c r="D68" s="12">
        <v>1.0</v>
      </c>
      <c r="E68" s="12">
        <v>0.0</v>
      </c>
      <c r="F68" s="12">
        <v>0.0</v>
      </c>
    </row>
    <row r="69">
      <c r="A69" s="12" t="s">
        <v>1941</v>
      </c>
      <c r="B69" s="12">
        <v>1187.0</v>
      </c>
      <c r="C69" s="12" t="s">
        <v>1056</v>
      </c>
      <c r="D69" s="12">
        <v>1.0</v>
      </c>
      <c r="E69" s="12">
        <v>0.0</v>
      </c>
      <c r="F69" s="12">
        <v>0.0</v>
      </c>
    </row>
    <row r="70">
      <c r="A70" s="12" t="s">
        <v>1942</v>
      </c>
      <c r="B70" s="12">
        <v>1188.0</v>
      </c>
      <c r="C70" s="12" t="s">
        <v>741</v>
      </c>
      <c r="D70" s="12">
        <v>1.0</v>
      </c>
      <c r="E70" s="12">
        <v>0.0</v>
      </c>
      <c r="F70" s="12">
        <v>0.0</v>
      </c>
    </row>
    <row r="71">
      <c r="A71" s="12" t="s">
        <v>1945</v>
      </c>
      <c r="B71" s="12">
        <v>1189.0</v>
      </c>
      <c r="C71" s="12" t="s">
        <v>1486</v>
      </c>
      <c r="D71" s="12">
        <v>1.0</v>
      </c>
      <c r="E71" s="12">
        <v>0.0</v>
      </c>
      <c r="F71" s="12">
        <v>0.0</v>
      </c>
    </row>
    <row r="72">
      <c r="A72" s="12" t="s">
        <v>1946</v>
      </c>
      <c r="B72" s="12" t="s">
        <v>1947</v>
      </c>
      <c r="C72" s="12" t="s">
        <v>1318</v>
      </c>
      <c r="D72" s="12">
        <v>1.0</v>
      </c>
      <c r="E72" s="12">
        <v>534.69</v>
      </c>
      <c r="F72" s="12">
        <v>534.69</v>
      </c>
    </row>
    <row r="73">
      <c r="A73" s="12" t="s">
        <v>1950</v>
      </c>
      <c r="B73" s="12" t="s">
        <v>1951</v>
      </c>
      <c r="C73" s="12" t="s">
        <v>786</v>
      </c>
      <c r="D73" s="12">
        <v>1.0</v>
      </c>
      <c r="E73" s="12">
        <v>111.0</v>
      </c>
      <c r="F73" s="12">
        <v>111.0</v>
      </c>
    </row>
    <row r="74">
      <c r="A74" s="12" t="s">
        <v>1954</v>
      </c>
      <c r="B74" s="12" t="s">
        <v>1955</v>
      </c>
      <c r="C74" s="12" t="s">
        <v>786</v>
      </c>
      <c r="D74" s="12">
        <v>1.0</v>
      </c>
      <c r="E74" s="12">
        <v>4296.0</v>
      </c>
      <c r="F74" s="12">
        <v>4296.0</v>
      </c>
    </row>
    <row r="75">
      <c r="A75" s="12" t="s">
        <v>1957</v>
      </c>
      <c r="B75" s="12" t="s">
        <v>1958</v>
      </c>
      <c r="C75" s="12" t="s">
        <v>1432</v>
      </c>
      <c r="D75" s="12">
        <v>1.0</v>
      </c>
      <c r="E75" s="12">
        <v>272.06</v>
      </c>
      <c r="F75" s="12">
        <v>272.06</v>
      </c>
    </row>
    <row r="76">
      <c r="A76" s="12" t="s">
        <v>1960</v>
      </c>
      <c r="B76" s="12" t="s">
        <v>1961</v>
      </c>
      <c r="C76" s="12" t="s">
        <v>1962</v>
      </c>
      <c r="D76" s="12">
        <v>1.0</v>
      </c>
      <c r="E76" s="12">
        <v>50.0</v>
      </c>
      <c r="F76" s="12">
        <v>50.0</v>
      </c>
    </row>
    <row r="77">
      <c r="A77" s="12" t="s">
        <v>1964</v>
      </c>
      <c r="B77" s="12">
        <v>1.83758287E8</v>
      </c>
      <c r="C77" s="12" t="s">
        <v>1113</v>
      </c>
      <c r="D77" s="12">
        <v>1.0</v>
      </c>
      <c r="E77" s="12">
        <v>500.0</v>
      </c>
      <c r="F77" s="12">
        <v>500.0</v>
      </c>
    </row>
    <row r="78">
      <c r="A78" s="12" t="s">
        <v>1966</v>
      </c>
      <c r="B78" s="12" t="s">
        <v>1967</v>
      </c>
      <c r="C78" s="12" t="s">
        <v>1968</v>
      </c>
      <c r="D78" s="12">
        <v>1.0</v>
      </c>
      <c r="E78" s="12">
        <v>34.9</v>
      </c>
      <c r="F78" s="12">
        <v>34.9</v>
      </c>
    </row>
    <row r="79">
      <c r="A79" s="12" t="s">
        <v>1971</v>
      </c>
      <c r="B79" s="12" t="s">
        <v>1972</v>
      </c>
      <c r="C79" s="12" t="s">
        <v>1823</v>
      </c>
      <c r="D79" s="12">
        <v>1.0</v>
      </c>
      <c r="E79" s="12">
        <v>389.97</v>
      </c>
      <c r="F79" s="12">
        <v>389.97</v>
      </c>
    </row>
    <row r="80">
      <c r="A80" s="12" t="s">
        <v>1975</v>
      </c>
      <c r="B80" s="12" t="s">
        <v>1976</v>
      </c>
      <c r="C80" s="12" t="s">
        <v>1823</v>
      </c>
      <c r="D80" s="12">
        <v>1.0</v>
      </c>
      <c r="E80" s="12">
        <v>486.77</v>
      </c>
      <c r="F80" s="12">
        <v>486.77</v>
      </c>
    </row>
    <row r="81">
      <c r="A81" s="12" t="s">
        <v>1981</v>
      </c>
      <c r="B81" s="12">
        <v>1204.0</v>
      </c>
      <c r="C81" s="12" t="s">
        <v>820</v>
      </c>
      <c r="D81" s="12">
        <v>1.0</v>
      </c>
      <c r="E81" s="12">
        <v>0.0</v>
      </c>
      <c r="F81" s="12">
        <v>0.0</v>
      </c>
    </row>
    <row r="82">
      <c r="A82" s="12" t="s">
        <v>1983</v>
      </c>
      <c r="B82" s="12" t="s">
        <v>1984</v>
      </c>
      <c r="C82" s="12" t="s">
        <v>1986</v>
      </c>
      <c r="D82" s="12">
        <v>1.0</v>
      </c>
      <c r="E82" s="12">
        <v>782.75</v>
      </c>
      <c r="F82" s="12">
        <v>782.75</v>
      </c>
    </row>
    <row r="83">
      <c r="A83" s="12" t="s">
        <v>1989</v>
      </c>
      <c r="B83" s="12">
        <v>1206.0</v>
      </c>
      <c r="C83" s="12" t="s">
        <v>1818</v>
      </c>
      <c r="D83" s="12">
        <v>1.0</v>
      </c>
      <c r="E83" s="12">
        <v>236.83</v>
      </c>
      <c r="F83" s="12">
        <v>236.83</v>
      </c>
    </row>
    <row r="84">
      <c r="A84" s="12" t="s">
        <v>1990</v>
      </c>
      <c r="B84" s="12">
        <v>1207.0</v>
      </c>
      <c r="C84" s="12" t="s">
        <v>1818</v>
      </c>
      <c r="D84" s="12">
        <v>1.0</v>
      </c>
      <c r="E84" s="12">
        <v>65.15</v>
      </c>
      <c r="F84" s="12">
        <v>65.15</v>
      </c>
    </row>
    <row r="85">
      <c r="A85" s="12" t="s">
        <v>1992</v>
      </c>
      <c r="B85" s="12" t="s">
        <v>1993</v>
      </c>
      <c r="C85" s="12" t="s">
        <v>1236</v>
      </c>
      <c r="D85" s="12">
        <v>1.0</v>
      </c>
      <c r="E85" s="12">
        <v>1586.28</v>
      </c>
      <c r="F85" s="12">
        <v>1586.28</v>
      </c>
    </row>
    <row r="86">
      <c r="A86" s="12" t="s">
        <v>1994</v>
      </c>
      <c r="B86" s="12" t="s">
        <v>1995</v>
      </c>
      <c r="C86" s="12" t="s">
        <v>1113</v>
      </c>
      <c r="D86" s="12">
        <v>1.0</v>
      </c>
      <c r="E86" s="12">
        <v>100.0</v>
      </c>
      <c r="F86" s="12">
        <v>100.0</v>
      </c>
    </row>
    <row r="87">
      <c r="A87" s="12" t="s">
        <v>1996</v>
      </c>
      <c r="B87" s="12" t="s">
        <v>1997</v>
      </c>
      <c r="C87" s="12" t="s">
        <v>1113</v>
      </c>
      <c r="D87" s="12">
        <v>1.0</v>
      </c>
      <c r="E87" s="12">
        <v>1.0</v>
      </c>
      <c r="F87" s="12">
        <v>1.0</v>
      </c>
    </row>
    <row r="88">
      <c r="A88" s="12" t="s">
        <v>1999</v>
      </c>
      <c r="B88" s="12" t="s">
        <v>2000</v>
      </c>
      <c r="C88" s="12" t="s">
        <v>1113</v>
      </c>
      <c r="D88" s="12">
        <v>1.0</v>
      </c>
      <c r="E88" s="12">
        <v>50.0</v>
      </c>
      <c r="F88" s="12">
        <v>50.0</v>
      </c>
    </row>
    <row r="89">
      <c r="A89" s="12" t="s">
        <v>2002</v>
      </c>
      <c r="B89" s="12" t="s">
        <v>2004</v>
      </c>
      <c r="C89" s="12" t="s">
        <v>2005</v>
      </c>
      <c r="D89" s="12">
        <v>1.0</v>
      </c>
      <c r="E89" s="12">
        <v>134.0</v>
      </c>
      <c r="F89" s="12">
        <v>134.0</v>
      </c>
    </row>
    <row r="90">
      <c r="A90" s="12" t="s">
        <v>2008</v>
      </c>
      <c r="B90" s="12" t="s">
        <v>2009</v>
      </c>
      <c r="C90" s="12" t="s">
        <v>2010</v>
      </c>
      <c r="D90" s="12">
        <v>1.0</v>
      </c>
      <c r="E90" s="12">
        <v>198.0</v>
      </c>
      <c r="F90" s="12">
        <v>198.0</v>
      </c>
    </row>
    <row r="91">
      <c r="A91" s="12" t="s">
        <v>2013</v>
      </c>
      <c r="B91" s="12" t="s">
        <v>2015</v>
      </c>
      <c r="C91" s="12" t="s">
        <v>1986</v>
      </c>
      <c r="D91" s="12">
        <v>1.0</v>
      </c>
      <c r="E91" s="12">
        <v>620.0</v>
      </c>
      <c r="F91" s="12">
        <v>620.0</v>
      </c>
    </row>
    <row r="92">
      <c r="A92" s="12" t="s">
        <v>2018</v>
      </c>
      <c r="B92" s="12" t="s">
        <v>2019</v>
      </c>
      <c r="C92" s="12" t="s">
        <v>1196</v>
      </c>
      <c r="D92" s="12">
        <v>1.0</v>
      </c>
      <c r="E92" s="12">
        <v>0.01</v>
      </c>
      <c r="F92" s="12">
        <v>0.01</v>
      </c>
    </row>
    <row r="93">
      <c r="A93" s="12" t="s">
        <v>2022</v>
      </c>
      <c r="B93" s="12" t="s">
        <v>2024</v>
      </c>
      <c r="C93" s="12" t="s">
        <v>1196</v>
      </c>
      <c r="D93" s="12">
        <v>1.0</v>
      </c>
      <c r="E93" s="12">
        <v>0.01</v>
      </c>
      <c r="F93" s="12">
        <v>0.01</v>
      </c>
    </row>
    <row r="94">
      <c r="A94" s="12" t="s">
        <v>2026</v>
      </c>
      <c r="B94" s="12" t="s">
        <v>2027</v>
      </c>
      <c r="C94" s="12" t="s">
        <v>1196</v>
      </c>
      <c r="D94" s="12">
        <v>1.0</v>
      </c>
      <c r="E94" s="12">
        <v>0.01</v>
      </c>
      <c r="F94" s="12">
        <v>0.01</v>
      </c>
    </row>
    <row r="95">
      <c r="A95" s="12" t="s">
        <v>2029</v>
      </c>
      <c r="B95" s="12" t="s">
        <v>2031</v>
      </c>
      <c r="C95" s="12" t="s">
        <v>1196</v>
      </c>
      <c r="D95" s="12">
        <v>1.0</v>
      </c>
      <c r="E95" s="12">
        <v>0.01</v>
      </c>
      <c r="F95" s="12">
        <v>0.01</v>
      </c>
    </row>
    <row r="96">
      <c r="A96" s="12" t="s">
        <v>2034</v>
      </c>
      <c r="B96" s="12" t="s">
        <v>2035</v>
      </c>
      <c r="C96" s="12" t="s">
        <v>1196</v>
      </c>
      <c r="D96" s="12">
        <v>1.0</v>
      </c>
      <c r="E96" s="12">
        <v>0.01</v>
      </c>
      <c r="F96" s="12">
        <v>0.01</v>
      </c>
    </row>
    <row r="97">
      <c r="A97" s="12" t="s">
        <v>2039</v>
      </c>
      <c r="B97" s="12" t="s">
        <v>2041</v>
      </c>
      <c r="C97" s="12" t="s">
        <v>1196</v>
      </c>
      <c r="D97" s="12">
        <v>1.0</v>
      </c>
      <c r="E97" s="12">
        <v>0.01</v>
      </c>
      <c r="F97" s="12">
        <v>0.01</v>
      </c>
    </row>
    <row r="98">
      <c r="A98" s="12" t="s">
        <v>2042</v>
      </c>
      <c r="B98" s="12" t="s">
        <v>2044</v>
      </c>
      <c r="C98" s="12" t="s">
        <v>1196</v>
      </c>
      <c r="D98" s="12">
        <v>1.0</v>
      </c>
      <c r="E98" s="12">
        <v>0.01</v>
      </c>
      <c r="F98" s="12">
        <v>0.01</v>
      </c>
    </row>
    <row r="99">
      <c r="A99" s="12" t="s">
        <v>2047</v>
      </c>
      <c r="B99" s="12" t="s">
        <v>2049</v>
      </c>
      <c r="C99" s="12" t="s">
        <v>1196</v>
      </c>
      <c r="D99" s="12">
        <v>1.0</v>
      </c>
      <c r="E99" s="12">
        <v>0.01</v>
      </c>
      <c r="F99" s="12">
        <v>0.01</v>
      </c>
    </row>
    <row r="100">
      <c r="A100" s="12" t="s">
        <v>2051</v>
      </c>
      <c r="B100" s="12" t="s">
        <v>2053</v>
      </c>
      <c r="C100" s="12" t="s">
        <v>1196</v>
      </c>
      <c r="D100" s="12">
        <v>1.0</v>
      </c>
      <c r="E100" s="12">
        <v>0.01</v>
      </c>
      <c r="F100" s="12">
        <v>0.01</v>
      </c>
    </row>
    <row r="101">
      <c r="A101" s="12" t="s">
        <v>2056</v>
      </c>
      <c r="B101" s="12" t="s">
        <v>2057</v>
      </c>
      <c r="C101" s="12" t="s">
        <v>1196</v>
      </c>
      <c r="D101" s="12">
        <v>1.0</v>
      </c>
      <c r="E101" s="12">
        <v>0.01</v>
      </c>
      <c r="F101" s="12">
        <v>0.01</v>
      </c>
    </row>
    <row r="102">
      <c r="A102" s="12" t="s">
        <v>2060</v>
      </c>
      <c r="B102" s="12" t="s">
        <v>2061</v>
      </c>
      <c r="C102" s="12" t="s">
        <v>1196</v>
      </c>
      <c r="D102" s="12">
        <v>1.0</v>
      </c>
      <c r="E102" s="12">
        <v>292.5</v>
      </c>
      <c r="F102" s="12">
        <v>292.5</v>
      </c>
    </row>
    <row r="103">
      <c r="A103" s="12" t="s">
        <v>2064</v>
      </c>
      <c r="B103" s="12" t="s">
        <v>2066</v>
      </c>
      <c r="C103" s="12" t="s">
        <v>1196</v>
      </c>
      <c r="D103" s="12">
        <v>1.0</v>
      </c>
      <c r="E103" s="12">
        <v>292.5</v>
      </c>
      <c r="F103" s="12">
        <v>292.5</v>
      </c>
    </row>
    <row r="104">
      <c r="A104" s="12" t="s">
        <v>2069</v>
      </c>
      <c r="B104" s="12">
        <v>1230.0</v>
      </c>
      <c r="C104" s="12" t="s">
        <v>1196</v>
      </c>
      <c r="D104" s="12">
        <v>1.0</v>
      </c>
      <c r="E104" s="12">
        <v>3500.0</v>
      </c>
      <c r="F104" s="12">
        <v>3500.0</v>
      </c>
    </row>
    <row r="105">
      <c r="A105" s="12" t="s">
        <v>2072</v>
      </c>
      <c r="B105" s="12">
        <v>1231.0</v>
      </c>
      <c r="C105" s="12" t="s">
        <v>1196</v>
      </c>
      <c r="D105" s="12">
        <v>1.0</v>
      </c>
      <c r="E105" s="12">
        <v>1.0</v>
      </c>
      <c r="F105" s="12">
        <v>1.0</v>
      </c>
    </row>
    <row r="106">
      <c r="A106" s="12" t="s">
        <v>2073</v>
      </c>
      <c r="B106" s="12">
        <v>1232.0</v>
      </c>
      <c r="C106" s="12" t="s">
        <v>1196</v>
      </c>
      <c r="D106" s="12">
        <v>1.0</v>
      </c>
      <c r="E106" s="12">
        <v>1.0</v>
      </c>
      <c r="F106" s="12">
        <v>1.0</v>
      </c>
    </row>
    <row r="107">
      <c r="A107" s="12" t="s">
        <v>2075</v>
      </c>
      <c r="B107" s="12">
        <v>1233.0</v>
      </c>
      <c r="C107" s="12" t="s">
        <v>1196</v>
      </c>
      <c r="D107" s="12">
        <v>1.0</v>
      </c>
      <c r="E107" s="12">
        <v>1.0</v>
      </c>
      <c r="F107" s="12">
        <v>1.0</v>
      </c>
    </row>
    <row r="108">
      <c r="A108" s="12" t="s">
        <v>2076</v>
      </c>
      <c r="B108" s="12">
        <v>1234.0</v>
      </c>
      <c r="C108" s="12" t="s">
        <v>1196</v>
      </c>
      <c r="D108" s="12">
        <v>1.0</v>
      </c>
      <c r="E108" s="12">
        <v>1.0</v>
      </c>
      <c r="F108" s="12">
        <v>1.0</v>
      </c>
    </row>
    <row r="109">
      <c r="A109" s="12" t="s">
        <v>2077</v>
      </c>
      <c r="B109" s="12">
        <v>1235.0</v>
      </c>
      <c r="C109" s="12" t="s">
        <v>1196</v>
      </c>
      <c r="D109" s="12">
        <v>1.0</v>
      </c>
      <c r="E109" s="12">
        <v>1.0</v>
      </c>
      <c r="F109" s="12">
        <v>1.0</v>
      </c>
    </row>
    <row r="110">
      <c r="A110" s="12" t="s">
        <v>2078</v>
      </c>
      <c r="B110" s="12" t="s">
        <v>2079</v>
      </c>
      <c r="C110" s="12" t="s">
        <v>786</v>
      </c>
      <c r="D110" s="12">
        <v>1.0</v>
      </c>
      <c r="E110" s="12">
        <v>111.0</v>
      </c>
      <c r="F110" s="12">
        <v>111.0</v>
      </c>
    </row>
    <row r="111">
      <c r="A111" s="12" t="s">
        <v>2080</v>
      </c>
      <c r="B111" s="12" t="s">
        <v>2081</v>
      </c>
      <c r="C111" s="12" t="s">
        <v>786</v>
      </c>
      <c r="D111" s="12">
        <v>1.0</v>
      </c>
      <c r="E111" s="12">
        <v>4296.0</v>
      </c>
      <c r="F111" s="12">
        <v>4296.0</v>
      </c>
    </row>
    <row r="112">
      <c r="A112" s="12" t="s">
        <v>2083</v>
      </c>
      <c r="B112" s="12" t="s">
        <v>2084</v>
      </c>
      <c r="C112" s="12" t="s">
        <v>1196</v>
      </c>
      <c r="D112" s="12">
        <v>1.0</v>
      </c>
      <c r="E112" s="12">
        <v>585.0</v>
      </c>
      <c r="F112" s="12">
        <v>585.0</v>
      </c>
    </row>
    <row r="113">
      <c r="A113" s="12" t="s">
        <v>2085</v>
      </c>
      <c r="B113" s="12" t="s">
        <v>2086</v>
      </c>
      <c r="C113" s="12" t="s">
        <v>2087</v>
      </c>
      <c r="D113" s="12">
        <v>1.0</v>
      </c>
      <c r="E113" s="12">
        <v>83.75</v>
      </c>
      <c r="F113" s="12">
        <v>83.75</v>
      </c>
    </row>
    <row r="114">
      <c r="A114" s="12" t="s">
        <v>2090</v>
      </c>
      <c r="B114" s="12" t="s">
        <v>2091</v>
      </c>
      <c r="C114" s="12" t="s">
        <v>2092</v>
      </c>
      <c r="D114" s="12">
        <v>1.0</v>
      </c>
      <c r="E114" s="12">
        <v>1932.0</v>
      </c>
      <c r="F114" s="12">
        <v>1932.0</v>
      </c>
    </row>
    <row r="115">
      <c r="A115" s="12" t="s">
        <v>2094</v>
      </c>
      <c r="B115" s="12" t="s">
        <v>2095</v>
      </c>
      <c r="C115" s="12" t="s">
        <v>1113</v>
      </c>
      <c r="D115" s="12">
        <v>1.0</v>
      </c>
      <c r="E115" s="12">
        <v>150.0</v>
      </c>
      <c r="F115" s="12">
        <v>150.0</v>
      </c>
    </row>
    <row r="116">
      <c r="A116" s="12" t="s">
        <v>2098</v>
      </c>
      <c r="B116" s="12" t="s">
        <v>2100</v>
      </c>
      <c r="C116" s="12" t="s">
        <v>1113</v>
      </c>
      <c r="D116" s="12">
        <v>1.0</v>
      </c>
      <c r="E116" s="12">
        <v>500.0</v>
      </c>
      <c r="F116" s="12">
        <v>500.0</v>
      </c>
    </row>
    <row r="117">
      <c r="A117" s="12" t="s">
        <v>2103</v>
      </c>
      <c r="B117" s="12" t="s">
        <v>2104</v>
      </c>
      <c r="C117" s="12" t="s">
        <v>1113</v>
      </c>
      <c r="D117" s="12">
        <v>1.0</v>
      </c>
      <c r="E117" s="12">
        <v>150.0</v>
      </c>
      <c r="F117" s="12">
        <v>150.0</v>
      </c>
    </row>
    <row r="118">
      <c r="A118" s="12" t="s">
        <v>2106</v>
      </c>
      <c r="B118" s="12" t="s">
        <v>2108</v>
      </c>
      <c r="C118" s="12" t="s">
        <v>1113</v>
      </c>
      <c r="D118" s="12">
        <v>1.0</v>
      </c>
      <c r="E118" s="12">
        <v>300.0</v>
      </c>
      <c r="F118" s="12">
        <v>300.0</v>
      </c>
    </row>
    <row r="119">
      <c r="A119" s="12" t="s">
        <v>2110</v>
      </c>
      <c r="B119" s="12" t="s">
        <v>2112</v>
      </c>
      <c r="C119" s="12" t="s">
        <v>1912</v>
      </c>
      <c r="D119" s="12">
        <v>1.0</v>
      </c>
      <c r="E119" s="12">
        <v>291.0</v>
      </c>
      <c r="F119" s="12">
        <v>291.0</v>
      </c>
    </row>
    <row r="120">
      <c r="A120" s="12" t="s">
        <v>2113</v>
      </c>
      <c r="B120" s="12" t="s">
        <v>2114</v>
      </c>
      <c r="C120" s="12" t="s">
        <v>1113</v>
      </c>
      <c r="D120" s="12">
        <v>1.0</v>
      </c>
      <c r="E120" s="12">
        <v>100.0</v>
      </c>
      <c r="F120" s="12">
        <v>100.0</v>
      </c>
    </row>
    <row r="121">
      <c r="A121" s="12" t="s">
        <v>2116</v>
      </c>
      <c r="B121" s="12">
        <v>1241.0</v>
      </c>
      <c r="C121" s="12" t="s">
        <v>852</v>
      </c>
      <c r="D121" s="12">
        <v>1.0</v>
      </c>
      <c r="E121" s="12">
        <v>4000.0</v>
      </c>
      <c r="F121" s="12">
        <v>4000.0</v>
      </c>
    </row>
    <row r="122">
      <c r="A122" s="12" t="s">
        <v>2117</v>
      </c>
      <c r="B122" s="12" t="s">
        <v>2119</v>
      </c>
      <c r="C122" s="12" t="s">
        <v>1196</v>
      </c>
      <c r="D122" s="12">
        <v>1.0</v>
      </c>
      <c r="E122" s="12">
        <v>5000.0</v>
      </c>
      <c r="F122" s="12">
        <v>5000.0</v>
      </c>
    </row>
    <row r="123">
      <c r="A123" s="12" t="s">
        <v>2120</v>
      </c>
      <c r="B123" s="12" t="s">
        <v>2121</v>
      </c>
      <c r="C123" s="12" t="s">
        <v>1113</v>
      </c>
      <c r="D123" s="12">
        <v>1.0</v>
      </c>
      <c r="E123" s="12">
        <v>200.0</v>
      </c>
      <c r="F123" s="12">
        <v>200.0</v>
      </c>
    </row>
    <row r="124">
      <c r="A124" s="12" t="s">
        <v>2123</v>
      </c>
      <c r="B124" s="12" t="s">
        <v>2124</v>
      </c>
      <c r="C124" s="12" t="s">
        <v>786</v>
      </c>
      <c r="D124" s="12">
        <v>1.0</v>
      </c>
      <c r="E124" s="12">
        <v>2636.0</v>
      </c>
      <c r="F124" s="12">
        <v>2636.0</v>
      </c>
    </row>
    <row r="125">
      <c r="A125" s="12" t="s">
        <v>2126</v>
      </c>
      <c r="B125" s="12" t="s">
        <v>2128</v>
      </c>
      <c r="C125" s="12" t="s">
        <v>2129</v>
      </c>
      <c r="D125" s="12">
        <v>1.0</v>
      </c>
      <c r="E125" s="12">
        <v>193.8</v>
      </c>
      <c r="F125" s="12">
        <v>193.8</v>
      </c>
    </row>
    <row r="126">
      <c r="A126" s="12" t="s">
        <v>2130</v>
      </c>
      <c r="B126" s="12">
        <v>1251.0</v>
      </c>
      <c r="C126" s="12" t="s">
        <v>874</v>
      </c>
      <c r="D126" s="12">
        <v>1.0</v>
      </c>
      <c r="E126" s="12">
        <v>125.0</v>
      </c>
      <c r="F126" s="12">
        <v>125.0</v>
      </c>
    </row>
    <row r="127">
      <c r="A127" s="12" t="s">
        <v>2131</v>
      </c>
      <c r="B127" s="12">
        <v>1253.0</v>
      </c>
      <c r="C127" s="12" t="s">
        <v>911</v>
      </c>
      <c r="D127" s="12">
        <v>1.0</v>
      </c>
      <c r="E127" s="12">
        <v>0.0</v>
      </c>
      <c r="F127" s="12">
        <v>0.0</v>
      </c>
    </row>
    <row r="128">
      <c r="A128" s="12" t="s">
        <v>2132</v>
      </c>
      <c r="B128" s="12">
        <v>1254.0</v>
      </c>
      <c r="C128" s="12" t="s">
        <v>936</v>
      </c>
      <c r="D128" s="12">
        <v>1.0</v>
      </c>
      <c r="E128" s="12">
        <v>1000.0</v>
      </c>
      <c r="F128" s="12">
        <v>1000.0</v>
      </c>
    </row>
    <row r="129">
      <c r="A129" s="12" t="s">
        <v>2134</v>
      </c>
      <c r="B129" s="12" t="s">
        <v>2135</v>
      </c>
      <c r="C129" s="12" t="s">
        <v>1236</v>
      </c>
      <c r="D129" s="12">
        <v>1.0</v>
      </c>
      <c r="E129" s="12">
        <v>159.94</v>
      </c>
      <c r="F129" s="12">
        <v>159.94</v>
      </c>
    </row>
    <row r="130">
      <c r="A130" s="12" t="s">
        <v>2138</v>
      </c>
      <c r="B130" s="12" t="s">
        <v>2139</v>
      </c>
      <c r="C130" s="12" t="s">
        <v>1236</v>
      </c>
      <c r="D130" s="12">
        <v>1.0</v>
      </c>
      <c r="E130" s="12">
        <v>1401.11</v>
      </c>
      <c r="F130" s="12">
        <v>1401.11</v>
      </c>
    </row>
    <row r="131">
      <c r="A131" s="12" t="s">
        <v>2140</v>
      </c>
      <c r="B131" s="12" t="s">
        <v>2141</v>
      </c>
      <c r="C131" s="12" t="s">
        <v>1236</v>
      </c>
      <c r="D131" s="12">
        <v>1.0</v>
      </c>
      <c r="E131" s="12">
        <v>901.61</v>
      </c>
      <c r="F131" s="12">
        <v>901.61</v>
      </c>
    </row>
    <row r="132">
      <c r="A132" s="12" t="s">
        <v>2142</v>
      </c>
      <c r="B132" s="12" t="s">
        <v>2143</v>
      </c>
      <c r="C132" s="12" t="s">
        <v>2144</v>
      </c>
      <c r="D132" s="12">
        <v>1.0</v>
      </c>
      <c r="E132" s="12">
        <v>950.0</v>
      </c>
      <c r="F132" s="12">
        <v>950.0</v>
      </c>
    </row>
    <row r="133">
      <c r="A133" s="12" t="s">
        <v>2146</v>
      </c>
      <c r="B133" s="12" t="s">
        <v>2147</v>
      </c>
      <c r="C133" s="12" t="s">
        <v>1082</v>
      </c>
      <c r="D133" s="12">
        <v>1.0</v>
      </c>
      <c r="E133" s="12">
        <v>612.8</v>
      </c>
      <c r="F133" s="12">
        <v>612.8</v>
      </c>
    </row>
    <row r="134">
      <c r="A134" s="12" t="s">
        <v>2150</v>
      </c>
      <c r="B134" s="12" t="s">
        <v>2151</v>
      </c>
      <c r="C134" s="12" t="s">
        <v>1113</v>
      </c>
      <c r="D134" s="12">
        <v>1.0</v>
      </c>
      <c r="E134" s="12">
        <v>200.0</v>
      </c>
      <c r="F134" s="12">
        <v>200.0</v>
      </c>
    </row>
    <row r="135">
      <c r="A135" s="12" t="s">
        <v>2153</v>
      </c>
      <c r="B135" s="12" t="s">
        <v>2154</v>
      </c>
      <c r="C135" s="12" t="s">
        <v>1040</v>
      </c>
      <c r="D135" s="12">
        <v>1.0</v>
      </c>
      <c r="E135" s="12">
        <v>386.33</v>
      </c>
      <c r="F135" s="12">
        <v>386.33</v>
      </c>
    </row>
    <row r="136">
      <c r="A136" s="12" t="s">
        <v>2157</v>
      </c>
      <c r="B136" s="12" t="s">
        <v>2158</v>
      </c>
      <c r="C136" s="12" t="s">
        <v>2159</v>
      </c>
      <c r="D136" s="12">
        <v>1.0</v>
      </c>
      <c r="E136" s="12">
        <v>650.0</v>
      </c>
      <c r="F136" s="12">
        <v>650.0</v>
      </c>
    </row>
    <row r="137">
      <c r="A137" s="12" t="s">
        <v>2160</v>
      </c>
      <c r="B137" s="12" t="s">
        <v>2162</v>
      </c>
      <c r="C137" s="12">
        <v>7.4814016E7</v>
      </c>
      <c r="D137" s="12">
        <v>1.0</v>
      </c>
      <c r="E137" s="12">
        <v>724.0</v>
      </c>
      <c r="F137" s="12">
        <v>724.0</v>
      </c>
    </row>
    <row r="138">
      <c r="A138" s="12" t="s">
        <v>2165</v>
      </c>
      <c r="B138" s="12" t="s">
        <v>2167</v>
      </c>
      <c r="C138" s="12">
        <v>7.4814016E7</v>
      </c>
      <c r="D138" s="12">
        <v>1.0</v>
      </c>
      <c r="E138" s="12">
        <v>851.61</v>
      </c>
      <c r="F138" s="12">
        <v>851.61</v>
      </c>
    </row>
    <row r="139">
      <c r="A139" s="12" t="s">
        <v>2169</v>
      </c>
      <c r="B139" s="12" t="s">
        <v>2170</v>
      </c>
      <c r="C139" s="12" t="s">
        <v>1236</v>
      </c>
      <c r="D139" s="12">
        <v>1.0</v>
      </c>
      <c r="E139" s="12">
        <v>60.31</v>
      </c>
      <c r="F139" s="12">
        <v>60.31</v>
      </c>
    </row>
    <row r="140">
      <c r="A140" s="12" t="s">
        <v>2173</v>
      </c>
      <c r="B140" s="12">
        <v>1267.0</v>
      </c>
      <c r="C140" s="12" t="s">
        <v>693</v>
      </c>
      <c r="D140" s="12">
        <v>1.0</v>
      </c>
      <c r="E140" s="12">
        <v>5000.0</v>
      </c>
      <c r="F140" s="12">
        <v>5000.0</v>
      </c>
    </row>
    <row r="141">
      <c r="A141" s="12" t="s">
        <v>2174</v>
      </c>
      <c r="B141" s="12">
        <v>1269.0</v>
      </c>
      <c r="C141" s="12" t="s">
        <v>1906</v>
      </c>
      <c r="D141" s="12">
        <v>1.0</v>
      </c>
      <c r="E141" s="12">
        <v>375.0</v>
      </c>
      <c r="F141" s="12">
        <v>375.0</v>
      </c>
    </row>
    <row r="142">
      <c r="A142" s="12" t="s">
        <v>2175</v>
      </c>
      <c r="B142" s="12">
        <v>1270.0</v>
      </c>
      <c r="C142" s="12" t="s">
        <v>1908</v>
      </c>
      <c r="D142" s="12">
        <v>1.0</v>
      </c>
      <c r="E142" s="12">
        <v>1110.0</v>
      </c>
      <c r="F142" s="12">
        <v>1110.0</v>
      </c>
    </row>
    <row r="143">
      <c r="A143" s="12" t="s">
        <v>2176</v>
      </c>
      <c r="B143" s="12">
        <v>1277.0</v>
      </c>
      <c r="C143" s="12" t="s">
        <v>1040</v>
      </c>
      <c r="D143" s="12">
        <v>1.0</v>
      </c>
      <c r="E143" s="12">
        <v>11150.48</v>
      </c>
      <c r="F143" s="12">
        <v>11150.48</v>
      </c>
    </row>
    <row r="144">
      <c r="A144" s="12" t="s">
        <v>2177</v>
      </c>
      <c r="B144" s="12">
        <v>1278.0</v>
      </c>
      <c r="C144" s="12" t="s">
        <v>1056</v>
      </c>
      <c r="D144" s="12">
        <v>1.0</v>
      </c>
      <c r="E144" s="12">
        <v>0.0</v>
      </c>
      <c r="F144" s="12">
        <v>0.0</v>
      </c>
    </row>
    <row r="145">
      <c r="A145" s="12" t="s">
        <v>2179</v>
      </c>
      <c r="B145" s="12">
        <v>1279.0</v>
      </c>
      <c r="C145" s="12" t="s">
        <v>741</v>
      </c>
      <c r="D145" s="12">
        <v>1.0</v>
      </c>
      <c r="E145" s="12">
        <v>0.0</v>
      </c>
      <c r="F145" s="12">
        <v>0.0</v>
      </c>
    </row>
    <row r="146">
      <c r="A146" s="12" t="s">
        <v>2180</v>
      </c>
      <c r="B146" s="12">
        <v>1280.0</v>
      </c>
      <c r="C146" s="12" t="s">
        <v>1486</v>
      </c>
      <c r="D146" s="12">
        <v>1.0</v>
      </c>
      <c r="E146" s="12">
        <v>20.0</v>
      </c>
      <c r="F146" s="12">
        <v>20.0</v>
      </c>
    </row>
    <row r="147">
      <c r="A147" s="12" t="s">
        <v>2181</v>
      </c>
      <c r="B147" s="12" t="s">
        <v>2183</v>
      </c>
      <c r="C147" s="12" t="s">
        <v>1056</v>
      </c>
      <c r="D147" s="12">
        <v>1.0</v>
      </c>
      <c r="E147" s="12">
        <v>396.99</v>
      </c>
      <c r="F147" s="12">
        <v>396.99</v>
      </c>
    </row>
    <row r="148">
      <c r="A148" s="12" t="s">
        <v>2185</v>
      </c>
      <c r="B148" s="12" t="s">
        <v>2186</v>
      </c>
      <c r="C148" s="12" t="s">
        <v>741</v>
      </c>
      <c r="D148" s="12">
        <v>1.0</v>
      </c>
      <c r="E148" s="12">
        <v>1222.47</v>
      </c>
      <c r="F148" s="12">
        <v>1222.47</v>
      </c>
    </row>
    <row r="149">
      <c r="A149" s="12" t="s">
        <v>2189</v>
      </c>
      <c r="B149" s="12" t="s">
        <v>2190</v>
      </c>
      <c r="C149" s="12" t="s">
        <v>1056</v>
      </c>
      <c r="D149" s="12">
        <v>1.0</v>
      </c>
      <c r="E149" s="12">
        <v>1536.96</v>
      </c>
      <c r="F149" s="12">
        <v>1536.96</v>
      </c>
    </row>
    <row r="150">
      <c r="A150" s="12" t="s">
        <v>2193</v>
      </c>
      <c r="B150" s="12" t="s">
        <v>2194</v>
      </c>
      <c r="C150" s="12" t="s">
        <v>786</v>
      </c>
      <c r="D150" s="12">
        <v>1.0</v>
      </c>
      <c r="E150" s="12">
        <v>3845.6</v>
      </c>
      <c r="F150" s="12">
        <v>3845.6</v>
      </c>
    </row>
    <row r="151">
      <c r="A151" s="12" t="s">
        <v>2197</v>
      </c>
      <c r="B151" s="12">
        <v>1293.0</v>
      </c>
      <c r="C151" s="12" t="s">
        <v>820</v>
      </c>
      <c r="D151" s="12">
        <v>1.0</v>
      </c>
      <c r="E151" s="12">
        <v>185.0</v>
      </c>
      <c r="F151" s="12">
        <v>185.0</v>
      </c>
    </row>
    <row r="152">
      <c r="A152" s="12" t="s">
        <v>2199</v>
      </c>
      <c r="B152" s="12" t="s">
        <v>2200</v>
      </c>
      <c r="C152" s="12" t="s">
        <v>1936</v>
      </c>
      <c r="D152" s="12">
        <v>1.0</v>
      </c>
      <c r="E152" s="12">
        <v>832.09</v>
      </c>
      <c r="F152" s="12">
        <v>832.09</v>
      </c>
    </row>
    <row r="153">
      <c r="A153" s="12" t="s">
        <v>2204</v>
      </c>
      <c r="B153" s="12" t="s">
        <v>2206</v>
      </c>
      <c r="C153" s="12" t="s">
        <v>1236</v>
      </c>
      <c r="D153" s="12">
        <v>1.0</v>
      </c>
      <c r="E153" s="12">
        <v>3740.06</v>
      </c>
      <c r="F153" s="12">
        <v>3740.06</v>
      </c>
    </row>
    <row r="154">
      <c r="A154" s="12" t="s">
        <v>2207</v>
      </c>
      <c r="B154" s="12" t="s">
        <v>2208</v>
      </c>
      <c r="C154" s="12">
        <v>7.9792017E7</v>
      </c>
      <c r="D154" s="12">
        <v>1.0</v>
      </c>
      <c r="E154" s="12">
        <v>1406.16</v>
      </c>
      <c r="F154" s="12">
        <v>1406.16</v>
      </c>
    </row>
    <row r="155">
      <c r="A155" s="12" t="s">
        <v>2209</v>
      </c>
      <c r="B155" s="12">
        <v>1297.0</v>
      </c>
      <c r="C155" s="12" t="s">
        <v>1818</v>
      </c>
      <c r="D155" s="12">
        <v>1.0</v>
      </c>
      <c r="E155" s="12">
        <v>236.83</v>
      </c>
      <c r="F155" s="12">
        <v>236.83</v>
      </c>
    </row>
    <row r="156">
      <c r="A156" s="12" t="s">
        <v>2211</v>
      </c>
      <c r="B156" s="12">
        <v>1298.0</v>
      </c>
      <c r="C156" s="12" t="s">
        <v>1818</v>
      </c>
      <c r="D156" s="12">
        <v>1.0</v>
      </c>
      <c r="E156" s="12">
        <v>65.15</v>
      </c>
      <c r="F156" s="12">
        <v>65.15</v>
      </c>
    </row>
    <row r="157">
      <c r="A157" s="12" t="s">
        <v>2214</v>
      </c>
      <c r="B157" s="12" t="s">
        <v>2216</v>
      </c>
      <c r="C157" s="12" t="s">
        <v>1113</v>
      </c>
      <c r="D157" s="12">
        <v>1.0</v>
      </c>
      <c r="E157" s="12">
        <v>2000.0</v>
      </c>
      <c r="F157" s="12">
        <v>2000.0</v>
      </c>
    </row>
    <row r="158">
      <c r="A158" s="12" t="s">
        <v>2217</v>
      </c>
      <c r="B158" s="12" t="s">
        <v>2218</v>
      </c>
      <c r="C158" s="12" t="s">
        <v>1113</v>
      </c>
      <c r="D158" s="12">
        <v>1.0</v>
      </c>
      <c r="E158" s="12">
        <v>500.0</v>
      </c>
      <c r="F158" s="12">
        <v>500.0</v>
      </c>
    </row>
    <row r="159">
      <c r="A159" s="12" t="s">
        <v>2220</v>
      </c>
      <c r="B159" s="12" t="s">
        <v>2221</v>
      </c>
      <c r="C159" s="12" t="s">
        <v>1113</v>
      </c>
      <c r="D159" s="12">
        <v>1.0</v>
      </c>
      <c r="E159" s="12">
        <v>100.0</v>
      </c>
      <c r="F159" s="12">
        <v>100.0</v>
      </c>
    </row>
    <row r="160">
      <c r="A160" s="12" t="s">
        <v>2225</v>
      </c>
      <c r="B160" s="12">
        <v>1268.0</v>
      </c>
      <c r="C160" s="12" t="s">
        <v>1082</v>
      </c>
      <c r="D160" s="12">
        <v>1.0</v>
      </c>
      <c r="E160" s="12">
        <v>625.0</v>
      </c>
      <c r="F160" s="12">
        <v>625.0</v>
      </c>
    </row>
    <row r="161">
      <c r="A161" s="12" t="s">
        <v>2227</v>
      </c>
      <c r="B161" s="12">
        <v>1309.0</v>
      </c>
      <c r="C161" s="12" t="s">
        <v>1196</v>
      </c>
      <c r="D161" s="12">
        <v>1.0</v>
      </c>
      <c r="E161" s="12">
        <v>585.0</v>
      </c>
      <c r="F161" s="12">
        <v>585.0</v>
      </c>
    </row>
    <row r="162">
      <c r="A162" s="12" t="s">
        <v>2230</v>
      </c>
      <c r="B162" s="12" t="s">
        <v>2232</v>
      </c>
      <c r="C162" s="12" t="s">
        <v>1318</v>
      </c>
      <c r="D162" s="12">
        <v>1.0</v>
      </c>
      <c r="E162" s="12">
        <v>932.04</v>
      </c>
      <c r="F162" s="12">
        <v>932.04</v>
      </c>
    </row>
    <row r="163">
      <c r="A163" s="12" t="s">
        <v>2234</v>
      </c>
      <c r="B163" s="12" t="s">
        <v>2235</v>
      </c>
      <c r="C163" s="12" t="s">
        <v>2236</v>
      </c>
      <c r="D163" s="12">
        <v>1.0</v>
      </c>
      <c r="E163" s="12">
        <v>7500.0</v>
      </c>
      <c r="F163" s="12">
        <v>7500.0</v>
      </c>
    </row>
    <row r="164">
      <c r="A164" s="12" t="s">
        <v>2239</v>
      </c>
      <c r="B164" s="12" t="s">
        <v>2241</v>
      </c>
      <c r="C164" s="12" t="s">
        <v>1113</v>
      </c>
      <c r="D164" s="12">
        <v>1.0</v>
      </c>
      <c r="E164" s="12">
        <v>350.0</v>
      </c>
      <c r="F164" s="12">
        <v>350.0</v>
      </c>
    </row>
    <row r="165">
      <c r="A165" s="12" t="s">
        <v>2242</v>
      </c>
      <c r="B165" s="12" t="s">
        <v>2243</v>
      </c>
      <c r="C165" s="12" t="s">
        <v>1113</v>
      </c>
      <c r="D165" s="12">
        <v>1.0</v>
      </c>
      <c r="E165" s="12">
        <v>150.0</v>
      </c>
      <c r="F165" s="12">
        <v>150.0</v>
      </c>
    </row>
    <row r="166">
      <c r="A166" s="12" t="s">
        <v>2244</v>
      </c>
      <c r="B166" s="12">
        <v>1303.0</v>
      </c>
      <c r="C166" s="12" t="s">
        <v>1196</v>
      </c>
      <c r="D166" s="12">
        <v>1.0</v>
      </c>
      <c r="E166" s="12">
        <v>3500.0</v>
      </c>
      <c r="F166" s="12">
        <v>3500.0</v>
      </c>
    </row>
    <row r="167">
      <c r="A167" s="12" t="s">
        <v>2246</v>
      </c>
      <c r="B167" s="12">
        <v>1304.0</v>
      </c>
      <c r="C167" s="12" t="s">
        <v>1196</v>
      </c>
      <c r="D167" s="12">
        <v>1.0</v>
      </c>
      <c r="E167" s="12">
        <v>4272.55</v>
      </c>
      <c r="F167" s="12">
        <v>4272.55</v>
      </c>
    </row>
    <row r="168">
      <c r="A168" s="12" t="s">
        <v>2248</v>
      </c>
      <c r="B168" s="12">
        <v>1305.0</v>
      </c>
      <c r="C168" s="12" t="s">
        <v>1196</v>
      </c>
      <c r="D168" s="12">
        <v>1.0</v>
      </c>
      <c r="E168" s="12">
        <v>1805.05</v>
      </c>
      <c r="F168" s="12">
        <v>1805.05</v>
      </c>
    </row>
    <row r="169">
      <c r="A169" s="12" t="s">
        <v>2251</v>
      </c>
      <c r="B169" s="12">
        <v>1306.0</v>
      </c>
      <c r="C169" s="12" t="s">
        <v>1196</v>
      </c>
      <c r="D169" s="12">
        <v>1.0</v>
      </c>
      <c r="E169" s="12">
        <v>2140.44</v>
      </c>
      <c r="F169" s="12">
        <v>2140.44</v>
      </c>
    </row>
    <row r="170">
      <c r="A170" s="12" t="s">
        <v>2254</v>
      </c>
      <c r="B170" s="12">
        <v>1307.0</v>
      </c>
      <c r="C170" s="12" t="s">
        <v>1196</v>
      </c>
      <c r="D170" s="12">
        <v>1.0</v>
      </c>
      <c r="E170" s="12">
        <v>1755.94</v>
      </c>
      <c r="F170" s="12">
        <v>1755.94</v>
      </c>
    </row>
    <row r="171">
      <c r="A171" s="12" t="s">
        <v>2258</v>
      </c>
      <c r="B171" s="12">
        <v>1308.0</v>
      </c>
      <c r="C171" s="12" t="s">
        <v>1196</v>
      </c>
      <c r="D171" s="12">
        <v>1.0</v>
      </c>
      <c r="E171" s="12">
        <v>1616.58</v>
      </c>
      <c r="F171" s="12">
        <v>1616.58</v>
      </c>
    </row>
    <row r="172">
      <c r="A172" s="12" t="s">
        <v>2260</v>
      </c>
      <c r="B172" s="12" t="s">
        <v>2261</v>
      </c>
      <c r="C172" s="12" t="s">
        <v>1113</v>
      </c>
      <c r="D172" s="12">
        <v>1.0</v>
      </c>
      <c r="E172" s="12">
        <v>350.0</v>
      </c>
      <c r="F172" s="12">
        <v>350.0</v>
      </c>
    </row>
    <row r="173">
      <c r="A173" s="12" t="s">
        <v>2263</v>
      </c>
      <c r="B173" s="12" t="s">
        <v>2264</v>
      </c>
      <c r="C173" s="12" t="s">
        <v>786</v>
      </c>
      <c r="D173" s="12">
        <v>1.0</v>
      </c>
      <c r="E173" s="12">
        <v>3316.87</v>
      </c>
      <c r="F173" s="12">
        <v>3316.87</v>
      </c>
    </row>
    <row r="174">
      <c r="A174" s="12" t="s">
        <v>2266</v>
      </c>
      <c r="B174" s="12">
        <v>1316.0</v>
      </c>
      <c r="C174" s="12" t="s">
        <v>852</v>
      </c>
      <c r="D174" s="12">
        <v>1.0</v>
      </c>
      <c r="E174" s="12">
        <v>4000.0</v>
      </c>
      <c r="F174" s="12">
        <v>4000.0</v>
      </c>
    </row>
    <row r="175">
      <c r="A175" s="12" t="s">
        <v>2267</v>
      </c>
      <c r="B175" s="12" t="s">
        <v>2269</v>
      </c>
      <c r="C175" s="12" t="s">
        <v>1236</v>
      </c>
      <c r="D175" s="12">
        <v>1.0</v>
      </c>
      <c r="E175" s="12">
        <v>1558.79</v>
      </c>
      <c r="F175" s="12">
        <v>1558.79</v>
      </c>
    </row>
    <row r="176">
      <c r="A176" s="12" t="s">
        <v>2270</v>
      </c>
      <c r="B176" s="12" t="s">
        <v>2271</v>
      </c>
      <c r="C176" s="12" t="s">
        <v>1113</v>
      </c>
      <c r="D176" s="12">
        <v>1.0</v>
      </c>
      <c r="E176" s="12">
        <v>50.0</v>
      </c>
      <c r="F176" s="12">
        <v>50.0</v>
      </c>
    </row>
    <row r="177">
      <c r="A177" s="12" t="s">
        <v>2273</v>
      </c>
      <c r="B177" s="12" t="s">
        <v>2274</v>
      </c>
      <c r="C177" s="12" t="s">
        <v>741</v>
      </c>
      <c r="D177" s="12">
        <v>1.0</v>
      </c>
      <c r="E177" s="12">
        <v>256.73</v>
      </c>
      <c r="F177" s="12">
        <v>256.73</v>
      </c>
    </row>
    <row r="178">
      <c r="A178" s="12" t="s">
        <v>2276</v>
      </c>
      <c r="B178" s="12" t="s">
        <v>2277</v>
      </c>
      <c r="C178" s="12" t="s">
        <v>741</v>
      </c>
      <c r="D178" s="12">
        <v>1.0</v>
      </c>
      <c r="E178" s="12">
        <v>256.73</v>
      </c>
      <c r="F178" s="12">
        <v>256.73</v>
      </c>
    </row>
    <row r="179">
      <c r="A179" s="12" t="s">
        <v>2278</v>
      </c>
      <c r="B179" s="12">
        <v>1321.0</v>
      </c>
      <c r="C179" s="12" t="s">
        <v>874</v>
      </c>
      <c r="D179" s="12">
        <v>1.0</v>
      </c>
      <c r="E179" s="12">
        <v>125.0</v>
      </c>
      <c r="F179" s="12">
        <v>125.0</v>
      </c>
    </row>
    <row r="180">
      <c r="A180" s="12" t="s">
        <v>2279</v>
      </c>
      <c r="B180" s="12">
        <v>1322.0</v>
      </c>
      <c r="C180" s="12" t="s">
        <v>1756</v>
      </c>
      <c r="D180" s="12">
        <v>1.0</v>
      </c>
      <c r="E180" s="12">
        <v>786.26</v>
      </c>
      <c r="F180" s="12">
        <v>786.26</v>
      </c>
    </row>
    <row r="181">
      <c r="A181" s="12" t="s">
        <v>2280</v>
      </c>
      <c r="B181" s="12">
        <v>1323.0</v>
      </c>
      <c r="C181" s="12" t="s">
        <v>936</v>
      </c>
      <c r="D181" s="12">
        <v>1.0</v>
      </c>
      <c r="E181" s="12">
        <v>500.0</v>
      </c>
      <c r="F181" s="12">
        <v>500.0</v>
      </c>
    </row>
    <row r="182">
      <c r="A182" s="12" t="s">
        <v>2281</v>
      </c>
      <c r="B182" s="12">
        <v>1324.0</v>
      </c>
      <c r="C182" s="12" t="s">
        <v>693</v>
      </c>
      <c r="D182" s="12">
        <v>1.0</v>
      </c>
      <c r="E182" s="12">
        <v>5000.0</v>
      </c>
      <c r="F182" s="12">
        <v>5000.0</v>
      </c>
    </row>
    <row r="183">
      <c r="A183" s="12" t="s">
        <v>2282</v>
      </c>
      <c r="B183" s="12">
        <v>1325.0</v>
      </c>
      <c r="C183" s="12" t="s">
        <v>1082</v>
      </c>
      <c r="D183" s="12">
        <v>1.0</v>
      </c>
      <c r="E183" s="12">
        <v>625.0</v>
      </c>
      <c r="F183" s="12">
        <v>625.0</v>
      </c>
    </row>
    <row r="184">
      <c r="A184" s="12" t="s">
        <v>2283</v>
      </c>
      <c r="B184" s="12" t="s">
        <v>2284</v>
      </c>
      <c r="C184" s="12" t="s">
        <v>1936</v>
      </c>
      <c r="D184" s="12">
        <v>1.0</v>
      </c>
      <c r="E184" s="12">
        <v>813.22</v>
      </c>
      <c r="F184" s="12">
        <v>813.22</v>
      </c>
    </row>
    <row r="185">
      <c r="A185" s="12" t="s">
        <v>2285</v>
      </c>
      <c r="B185" s="12">
        <v>1338.0</v>
      </c>
      <c r="C185" s="12" t="s">
        <v>1040</v>
      </c>
      <c r="D185" s="12">
        <v>1.0</v>
      </c>
      <c r="E185" s="12">
        <v>11803.0</v>
      </c>
      <c r="F185" s="12">
        <v>11803.0</v>
      </c>
    </row>
    <row r="186">
      <c r="A186" s="12" t="s">
        <v>2286</v>
      </c>
      <c r="B186" s="12">
        <v>1339.0</v>
      </c>
      <c r="C186" s="12" t="s">
        <v>1056</v>
      </c>
      <c r="D186" s="12">
        <v>1.0</v>
      </c>
      <c r="E186" s="12">
        <v>1486.39</v>
      </c>
      <c r="F186" s="12">
        <v>1486.39</v>
      </c>
    </row>
    <row r="187">
      <c r="A187" s="12" t="s">
        <v>2287</v>
      </c>
      <c r="B187" s="12">
        <v>1340.0</v>
      </c>
      <c r="C187" s="12" t="s">
        <v>741</v>
      </c>
      <c r="D187" s="12">
        <v>1.0</v>
      </c>
      <c r="E187" s="12">
        <v>938.22</v>
      </c>
      <c r="F187" s="12">
        <v>938.22</v>
      </c>
    </row>
    <row r="188">
      <c r="A188" s="12" t="s">
        <v>2288</v>
      </c>
      <c r="B188" s="12">
        <v>1341.0</v>
      </c>
      <c r="C188" s="12" t="s">
        <v>1486</v>
      </c>
      <c r="D188" s="12">
        <v>1.0</v>
      </c>
      <c r="E188" s="12">
        <v>20.0</v>
      </c>
      <c r="F188" s="12">
        <v>20.0</v>
      </c>
    </row>
    <row r="189">
      <c r="A189" s="12" t="s">
        <v>2289</v>
      </c>
      <c r="B189" s="12" t="s">
        <v>2290</v>
      </c>
      <c r="C189" s="12" t="s">
        <v>786</v>
      </c>
      <c r="D189" s="12">
        <v>1.0</v>
      </c>
      <c r="E189" s="12">
        <v>4145.0</v>
      </c>
      <c r="F189" s="12">
        <v>4145.0</v>
      </c>
    </row>
    <row r="190">
      <c r="A190" s="12" t="s">
        <v>2291</v>
      </c>
      <c r="B190" s="12">
        <v>1345.0</v>
      </c>
      <c r="C190" s="12" t="s">
        <v>1818</v>
      </c>
      <c r="D190" s="12">
        <v>1.0</v>
      </c>
      <c r="E190" s="12">
        <v>236.83</v>
      </c>
      <c r="F190" s="12">
        <v>236.83</v>
      </c>
    </row>
    <row r="191">
      <c r="A191" s="12" t="s">
        <v>2292</v>
      </c>
      <c r="B191" s="12">
        <v>1346.0</v>
      </c>
      <c r="C191" s="12" t="s">
        <v>1818</v>
      </c>
      <c r="D191" s="12">
        <v>1.0</v>
      </c>
      <c r="E191" s="12">
        <v>65.15</v>
      </c>
      <c r="F191" s="12">
        <v>65.15</v>
      </c>
    </row>
    <row r="192">
      <c r="A192" s="12" t="s">
        <v>2294</v>
      </c>
      <c r="B192" s="12">
        <v>1343.0</v>
      </c>
      <c r="C192" s="12" t="s">
        <v>820</v>
      </c>
      <c r="D192" s="12">
        <v>1.0</v>
      </c>
      <c r="E192" s="12">
        <v>185.0</v>
      </c>
      <c r="F192" s="12">
        <v>185.0</v>
      </c>
    </row>
    <row r="193">
      <c r="A193" s="12" t="s">
        <v>2298</v>
      </c>
      <c r="B193" s="12" t="s">
        <v>2299</v>
      </c>
      <c r="C193" s="12" t="s">
        <v>1432</v>
      </c>
      <c r="D193" s="12">
        <v>1.0</v>
      </c>
      <c r="E193" s="12">
        <v>215.0</v>
      </c>
      <c r="F193" s="12">
        <v>215.0</v>
      </c>
    </row>
    <row r="194">
      <c r="A194" s="12" t="s">
        <v>2301</v>
      </c>
      <c r="B194" s="12" t="s">
        <v>2302</v>
      </c>
      <c r="C194" s="12" t="s">
        <v>2303</v>
      </c>
      <c r="D194" s="12">
        <v>1.0</v>
      </c>
      <c r="E194" s="12">
        <v>95.0</v>
      </c>
      <c r="F194" s="12">
        <v>95.0</v>
      </c>
    </row>
    <row r="195">
      <c r="A195" s="12" t="s">
        <v>2306</v>
      </c>
      <c r="B195" s="12" t="s">
        <v>2307</v>
      </c>
      <c r="C195" s="12" t="s">
        <v>1113</v>
      </c>
      <c r="D195" s="12">
        <v>1.0</v>
      </c>
      <c r="E195" s="12">
        <v>500.0</v>
      </c>
      <c r="F195" s="12">
        <v>500.0</v>
      </c>
    </row>
    <row r="196">
      <c r="A196" s="12" t="s">
        <v>2309</v>
      </c>
      <c r="B196" s="12" t="s">
        <v>2310</v>
      </c>
      <c r="C196" s="12" t="s">
        <v>1113</v>
      </c>
      <c r="D196" s="12">
        <v>1.0</v>
      </c>
      <c r="E196" s="12">
        <v>500.0</v>
      </c>
      <c r="F196" s="12">
        <v>500.0</v>
      </c>
    </row>
    <row r="197">
      <c r="A197" s="12" t="s">
        <v>2313</v>
      </c>
      <c r="B197" s="12" t="s">
        <v>2314</v>
      </c>
      <c r="C197" s="12" t="s">
        <v>1113</v>
      </c>
      <c r="D197" s="12">
        <v>1.0</v>
      </c>
      <c r="E197" s="12">
        <v>100.0</v>
      </c>
      <c r="F197" s="12">
        <v>100.0</v>
      </c>
    </row>
    <row r="198">
      <c r="A198" s="12" t="s">
        <v>2315</v>
      </c>
      <c r="B198" s="12">
        <v>1353.0</v>
      </c>
      <c r="C198" s="12" t="s">
        <v>1196</v>
      </c>
      <c r="D198" s="12">
        <v>1.0</v>
      </c>
      <c r="E198" s="12">
        <v>585.0</v>
      </c>
      <c r="F198" s="12">
        <v>585.0</v>
      </c>
    </row>
    <row r="199">
      <c r="A199" s="12" t="s">
        <v>2316</v>
      </c>
      <c r="B199" s="12" t="s">
        <v>2317</v>
      </c>
      <c r="C199" s="12" t="s">
        <v>1113</v>
      </c>
      <c r="D199" s="12">
        <v>1.0</v>
      </c>
      <c r="E199" s="12">
        <v>500.0</v>
      </c>
      <c r="F199" s="12">
        <v>500.0</v>
      </c>
    </row>
    <row r="200">
      <c r="A200" s="12" t="s">
        <v>2318</v>
      </c>
      <c r="B200" s="12">
        <v>1347.0</v>
      </c>
      <c r="C200" s="12" t="s">
        <v>1196</v>
      </c>
      <c r="D200" s="12">
        <v>1.0</v>
      </c>
      <c r="E200" s="12">
        <v>3500.0</v>
      </c>
      <c r="F200" s="12">
        <v>3500.0</v>
      </c>
    </row>
    <row r="201">
      <c r="A201" s="12" t="s">
        <v>2319</v>
      </c>
      <c r="B201" s="12">
        <v>1348.0</v>
      </c>
      <c r="C201" s="12" t="s">
        <v>1196</v>
      </c>
      <c r="D201" s="12">
        <v>1.0</v>
      </c>
      <c r="E201" s="12">
        <v>3683.36</v>
      </c>
      <c r="F201" s="12">
        <v>3683.36</v>
      </c>
    </row>
    <row r="202">
      <c r="A202" s="12" t="s">
        <v>2320</v>
      </c>
      <c r="B202" s="12">
        <v>1349.0</v>
      </c>
      <c r="C202" s="12" t="s">
        <v>1196</v>
      </c>
      <c r="D202" s="12">
        <v>1.0</v>
      </c>
      <c r="E202" s="12">
        <v>1228.6</v>
      </c>
      <c r="F202" s="12">
        <v>1228.6</v>
      </c>
    </row>
    <row r="203">
      <c r="A203" s="12" t="s">
        <v>2321</v>
      </c>
      <c r="B203" s="12">
        <v>1350.0</v>
      </c>
      <c r="C203" s="12" t="s">
        <v>1196</v>
      </c>
      <c r="D203" s="12">
        <v>1.0</v>
      </c>
      <c r="E203" s="12">
        <v>1264.63</v>
      </c>
      <c r="F203" s="12">
        <v>1264.63</v>
      </c>
    </row>
    <row r="204">
      <c r="A204" s="12" t="s">
        <v>2322</v>
      </c>
      <c r="B204" s="12">
        <v>1351.0</v>
      </c>
      <c r="C204" s="12" t="s">
        <v>1196</v>
      </c>
      <c r="D204" s="12">
        <v>1.0</v>
      </c>
      <c r="E204" s="12">
        <v>1316.27</v>
      </c>
      <c r="F204" s="12">
        <v>1316.27</v>
      </c>
    </row>
    <row r="205">
      <c r="A205" s="12" t="s">
        <v>2323</v>
      </c>
      <c r="B205" s="12">
        <v>1352.0</v>
      </c>
      <c r="C205" s="12" t="s">
        <v>1196</v>
      </c>
      <c r="D205" s="12">
        <v>1.0</v>
      </c>
      <c r="E205" s="12">
        <v>1718.87</v>
      </c>
      <c r="F205" s="12">
        <v>1718.87</v>
      </c>
    </row>
    <row r="206">
      <c r="A206" s="12" t="s">
        <v>2324</v>
      </c>
      <c r="B206" s="12" t="s">
        <v>2325</v>
      </c>
      <c r="C206" s="12" t="s">
        <v>2326</v>
      </c>
      <c r="D206" s="12">
        <v>1.0</v>
      </c>
      <c r="E206" s="12">
        <v>16.75</v>
      </c>
      <c r="F206" s="12">
        <v>16.75</v>
      </c>
    </row>
    <row r="207">
      <c r="A207" s="12" t="s">
        <v>2328</v>
      </c>
      <c r="B207" s="12" t="s">
        <v>2329</v>
      </c>
      <c r="C207" s="12" t="s">
        <v>1113</v>
      </c>
      <c r="D207" s="12">
        <v>1.0</v>
      </c>
      <c r="E207" s="12">
        <v>50.0</v>
      </c>
      <c r="F207" s="12">
        <v>50.0</v>
      </c>
    </row>
    <row r="208">
      <c r="A208" s="12" t="s">
        <v>2330</v>
      </c>
      <c r="B208" s="12">
        <v>1362.0</v>
      </c>
      <c r="C208" s="12" t="s">
        <v>852</v>
      </c>
      <c r="D208" s="12">
        <v>1.0</v>
      </c>
      <c r="E208" s="12">
        <v>4000.0</v>
      </c>
      <c r="F208" s="12">
        <v>4000.0</v>
      </c>
    </row>
    <row r="209">
      <c r="A209" s="12" t="s">
        <v>2332</v>
      </c>
      <c r="B209" s="12">
        <v>1366.0</v>
      </c>
      <c r="C209" s="12" t="s">
        <v>874</v>
      </c>
      <c r="D209" s="12">
        <v>1.0</v>
      </c>
      <c r="E209" s="12">
        <v>125.0</v>
      </c>
      <c r="F209" s="12">
        <v>125.0</v>
      </c>
    </row>
    <row r="210">
      <c r="A210" s="12" t="s">
        <v>2335</v>
      </c>
      <c r="B210" s="12">
        <v>1368.0</v>
      </c>
      <c r="C210" s="12" t="s">
        <v>911</v>
      </c>
      <c r="D210" s="12">
        <v>1.0</v>
      </c>
      <c r="E210" s="12">
        <v>0.0</v>
      </c>
      <c r="F210" s="12">
        <v>0.0</v>
      </c>
    </row>
    <row r="211">
      <c r="A211" s="12" t="s">
        <v>2337</v>
      </c>
      <c r="B211" s="12">
        <v>1369.0</v>
      </c>
      <c r="C211" s="12" t="s">
        <v>936</v>
      </c>
      <c r="D211" s="12">
        <v>1.0</v>
      </c>
      <c r="E211" s="12">
        <v>533.95</v>
      </c>
      <c r="F211" s="12">
        <v>533.95</v>
      </c>
    </row>
    <row r="212">
      <c r="A212" s="12" t="s">
        <v>2341</v>
      </c>
      <c r="B212" s="12" t="s">
        <v>2342</v>
      </c>
      <c r="C212" s="12" t="s">
        <v>2343</v>
      </c>
      <c r="D212" s="12">
        <v>1.0</v>
      </c>
      <c r="E212" s="12">
        <v>957.0</v>
      </c>
      <c r="F212" s="12">
        <v>957.0</v>
      </c>
    </row>
    <row r="213">
      <c r="A213" s="12" t="s">
        <v>2344</v>
      </c>
      <c r="B213" s="12">
        <v>1374.0</v>
      </c>
      <c r="C213" s="12" t="s">
        <v>693</v>
      </c>
      <c r="D213" s="12">
        <v>1.0</v>
      </c>
      <c r="E213" s="12">
        <v>5000.0</v>
      </c>
      <c r="F213" s="12">
        <v>5000.0</v>
      </c>
    </row>
    <row r="214">
      <c r="A214" s="12" t="s">
        <v>2348</v>
      </c>
      <c r="B214" s="12">
        <v>1382.0</v>
      </c>
      <c r="C214" s="12" t="s">
        <v>741</v>
      </c>
      <c r="D214" s="12">
        <v>1.0</v>
      </c>
      <c r="E214" s="12">
        <v>851.18</v>
      </c>
      <c r="F214" s="12">
        <v>851.18</v>
      </c>
    </row>
    <row r="215">
      <c r="A215" s="12" t="s">
        <v>2350</v>
      </c>
      <c r="B215" s="12">
        <v>1380.0</v>
      </c>
      <c r="C215" s="12" t="s">
        <v>1040</v>
      </c>
      <c r="D215" s="12">
        <v>1.0</v>
      </c>
      <c r="E215" s="12">
        <v>9636.43</v>
      </c>
      <c r="F215" s="12">
        <v>9636.43</v>
      </c>
    </row>
    <row r="216">
      <c r="A216" s="12" t="s">
        <v>2353</v>
      </c>
      <c r="B216" s="12">
        <v>1381.0</v>
      </c>
      <c r="C216" s="12" t="s">
        <v>1056</v>
      </c>
      <c r="D216" s="12">
        <v>1.0</v>
      </c>
      <c r="E216" s="12">
        <v>1194.82</v>
      </c>
      <c r="F216" s="12">
        <v>1194.82</v>
      </c>
    </row>
    <row r="217">
      <c r="A217" s="12" t="s">
        <v>2355</v>
      </c>
      <c r="B217" s="12">
        <v>1383.0</v>
      </c>
      <c r="C217" s="12" t="s">
        <v>1486</v>
      </c>
      <c r="D217" s="12">
        <v>1.0</v>
      </c>
      <c r="E217" s="12">
        <v>20.0</v>
      </c>
      <c r="F217" s="12">
        <v>20.0</v>
      </c>
    </row>
    <row r="218">
      <c r="A218" s="12" t="s">
        <v>2359</v>
      </c>
      <c r="B218" s="12" t="s">
        <v>2361</v>
      </c>
      <c r="C218" s="12" t="s">
        <v>1936</v>
      </c>
      <c r="D218" s="12">
        <v>1.0</v>
      </c>
      <c r="E218" s="12">
        <v>1036.58</v>
      </c>
      <c r="F218" s="12">
        <v>1036.58</v>
      </c>
    </row>
    <row r="219">
      <c r="A219" s="12" t="s">
        <v>2362</v>
      </c>
      <c r="B219" s="12">
        <v>1388.0</v>
      </c>
      <c r="C219" s="12" t="s">
        <v>820</v>
      </c>
      <c r="D219" s="12">
        <v>1.0</v>
      </c>
      <c r="E219" s="12">
        <v>185.29</v>
      </c>
      <c r="F219" s="12">
        <v>185.29</v>
      </c>
    </row>
    <row r="220">
      <c r="A220" s="12" t="s">
        <v>2366</v>
      </c>
      <c r="B220" s="12">
        <v>1326.0</v>
      </c>
      <c r="C220" s="12" t="s">
        <v>1906</v>
      </c>
      <c r="D220" s="12">
        <v>1.0</v>
      </c>
      <c r="E220" s="12">
        <v>375.0</v>
      </c>
      <c r="F220" s="12">
        <v>375.0</v>
      </c>
    </row>
    <row r="221">
      <c r="A221" s="12" t="s">
        <v>2369</v>
      </c>
      <c r="B221" s="12">
        <v>1327.0</v>
      </c>
      <c r="C221" s="12" t="s">
        <v>1908</v>
      </c>
      <c r="D221" s="12">
        <v>1.0</v>
      </c>
      <c r="E221" s="12">
        <v>1110.0</v>
      </c>
      <c r="F221" s="12">
        <v>1110.0</v>
      </c>
    </row>
    <row r="222">
      <c r="A222" s="12" t="s">
        <v>2370</v>
      </c>
      <c r="B222" s="12" t="s">
        <v>2371</v>
      </c>
      <c r="C222" s="12" t="s">
        <v>786</v>
      </c>
      <c r="D222" s="12">
        <v>1.0</v>
      </c>
      <c r="E222" s="12">
        <v>2246.96</v>
      </c>
      <c r="F222" s="12">
        <v>2246.96</v>
      </c>
    </row>
    <row r="223">
      <c r="A223" s="12" t="s">
        <v>2373</v>
      </c>
      <c r="B223" s="12" t="s">
        <v>2375</v>
      </c>
      <c r="C223" s="12" t="s">
        <v>1236</v>
      </c>
      <c r="D223" s="12">
        <v>1.0</v>
      </c>
      <c r="E223" s="12">
        <v>808.64</v>
      </c>
      <c r="F223" s="12">
        <v>808.64</v>
      </c>
    </row>
    <row r="224">
      <c r="A224" s="12" t="s">
        <v>2377</v>
      </c>
      <c r="B224" s="12" t="s">
        <v>2378</v>
      </c>
      <c r="C224" s="12" t="s">
        <v>1236</v>
      </c>
      <c r="D224" s="12">
        <v>1.0</v>
      </c>
      <c r="E224" s="12">
        <v>234.86</v>
      </c>
      <c r="F224" s="12">
        <v>234.86</v>
      </c>
    </row>
    <row r="225">
      <c r="A225" s="12" t="s">
        <v>2381</v>
      </c>
      <c r="B225" s="12">
        <v>1392.0</v>
      </c>
      <c r="C225" s="12" t="s">
        <v>1818</v>
      </c>
      <c r="D225" s="12">
        <v>1.0</v>
      </c>
      <c r="E225" s="12">
        <v>236.83</v>
      </c>
      <c r="F225" s="12">
        <v>236.83</v>
      </c>
    </row>
    <row r="226">
      <c r="A226" s="12" t="s">
        <v>2385</v>
      </c>
      <c r="B226" s="12">
        <v>1393.0</v>
      </c>
      <c r="C226" s="12" t="s">
        <v>1818</v>
      </c>
      <c r="D226" s="12">
        <v>1.0</v>
      </c>
      <c r="E226" s="12">
        <v>65.15</v>
      </c>
      <c r="F226" s="12">
        <v>65.15</v>
      </c>
    </row>
    <row r="227">
      <c r="A227" s="12" t="s">
        <v>2388</v>
      </c>
      <c r="B227" s="12">
        <v>1400.0</v>
      </c>
      <c r="C227" s="12" t="s">
        <v>1196</v>
      </c>
      <c r="D227" s="12">
        <v>1.0</v>
      </c>
      <c r="E227" s="12">
        <v>585.0</v>
      </c>
      <c r="F227" s="12">
        <v>585.0</v>
      </c>
    </row>
    <row r="228">
      <c r="A228" s="12" t="s">
        <v>2394</v>
      </c>
      <c r="B228" s="12" t="s">
        <v>2395</v>
      </c>
      <c r="C228" s="12" t="s">
        <v>1236</v>
      </c>
      <c r="D228" s="12">
        <v>1.0</v>
      </c>
      <c r="E228" s="12">
        <v>1646.14</v>
      </c>
      <c r="F228" s="12">
        <v>1646.14</v>
      </c>
    </row>
    <row r="229">
      <c r="A229" s="12" t="s">
        <v>2398</v>
      </c>
      <c r="B229" s="12" t="s">
        <v>2399</v>
      </c>
      <c r="C229" s="12" t="s">
        <v>786</v>
      </c>
      <c r="D229" s="12">
        <v>1.0</v>
      </c>
      <c r="E229" s="12">
        <v>116.0</v>
      </c>
      <c r="F229" s="12">
        <v>116.0</v>
      </c>
    </row>
    <row r="230">
      <c r="A230" s="12" t="s">
        <v>2403</v>
      </c>
      <c r="B230" s="12" t="s">
        <v>2405</v>
      </c>
      <c r="C230" s="12" t="s">
        <v>786</v>
      </c>
      <c r="D230" s="12">
        <v>1.0</v>
      </c>
      <c r="E230" s="12">
        <v>2379.0</v>
      </c>
      <c r="F230" s="12">
        <v>2379.0</v>
      </c>
    </row>
    <row r="231">
      <c r="A231" s="12" t="s">
        <v>2408</v>
      </c>
      <c r="B231" s="12" t="s">
        <v>2410</v>
      </c>
      <c r="C231" s="12" t="s">
        <v>786</v>
      </c>
      <c r="D231" s="12">
        <v>1.0</v>
      </c>
      <c r="E231" s="12">
        <v>116.0</v>
      </c>
      <c r="F231" s="12">
        <v>116.0</v>
      </c>
    </row>
    <row r="232">
      <c r="A232" s="12" t="s">
        <v>2412</v>
      </c>
      <c r="B232" s="12" t="s">
        <v>2413</v>
      </c>
      <c r="C232" s="12" t="s">
        <v>1416</v>
      </c>
      <c r="D232" s="12">
        <v>1.0</v>
      </c>
      <c r="E232" s="12">
        <v>250.0</v>
      </c>
      <c r="F232" s="12">
        <v>250.0</v>
      </c>
    </row>
    <row r="233">
      <c r="A233" s="12" t="s">
        <v>2416</v>
      </c>
      <c r="B233" s="12" t="s">
        <v>2417</v>
      </c>
      <c r="C233" s="12" t="s">
        <v>1113</v>
      </c>
      <c r="D233" s="12">
        <v>1.0</v>
      </c>
      <c r="E233" s="12">
        <v>500.0</v>
      </c>
      <c r="F233" s="12">
        <v>500.0</v>
      </c>
    </row>
    <row r="234">
      <c r="A234" s="12" t="s">
        <v>2420</v>
      </c>
      <c r="B234" s="12" t="s">
        <v>2422</v>
      </c>
      <c r="C234" s="12" t="s">
        <v>1113</v>
      </c>
      <c r="D234" s="12">
        <v>1.0</v>
      </c>
      <c r="E234" s="12">
        <v>100.0</v>
      </c>
      <c r="F234" s="12">
        <v>100.0</v>
      </c>
    </row>
    <row r="235">
      <c r="A235" s="12" t="s">
        <v>2425</v>
      </c>
      <c r="B235" s="12" t="s">
        <v>2427</v>
      </c>
      <c r="C235" s="12" t="s">
        <v>1113</v>
      </c>
      <c r="D235" s="12">
        <v>1.0</v>
      </c>
      <c r="E235" s="12">
        <v>200.0</v>
      </c>
      <c r="F235" s="12">
        <v>200.0</v>
      </c>
    </row>
    <row r="236">
      <c r="A236" s="12" t="s">
        <v>2430</v>
      </c>
      <c r="B236" s="12" t="s">
        <v>2431</v>
      </c>
      <c r="C236" s="12" t="s">
        <v>1113</v>
      </c>
      <c r="D236" s="12">
        <v>1.0</v>
      </c>
      <c r="E236" s="12">
        <v>150.0</v>
      </c>
      <c r="F236" s="12">
        <v>150.0</v>
      </c>
    </row>
    <row r="237">
      <c r="A237" s="12" t="s">
        <v>2435</v>
      </c>
      <c r="B237" s="12" t="s">
        <v>2436</v>
      </c>
      <c r="C237" s="12" t="s">
        <v>1113</v>
      </c>
      <c r="D237" s="12">
        <v>1.0</v>
      </c>
      <c r="E237" s="12">
        <v>150.0</v>
      </c>
      <c r="F237" s="12">
        <v>150.0</v>
      </c>
    </row>
    <row r="238">
      <c r="A238" s="12" t="s">
        <v>2438</v>
      </c>
      <c r="B238" s="12" t="s">
        <v>2440</v>
      </c>
      <c r="C238" s="12" t="s">
        <v>1196</v>
      </c>
      <c r="D238" s="12">
        <v>1.0</v>
      </c>
      <c r="E238" s="12">
        <v>5000.0</v>
      </c>
      <c r="F238" s="12">
        <v>5000.0</v>
      </c>
    </row>
    <row r="239">
      <c r="A239" s="12" t="s">
        <v>2443</v>
      </c>
      <c r="B239" s="12" t="s">
        <v>2444</v>
      </c>
      <c r="C239" s="12" t="s">
        <v>1113</v>
      </c>
      <c r="D239" s="12">
        <v>1.0</v>
      </c>
      <c r="E239" s="12">
        <v>300.0</v>
      </c>
      <c r="F239" s="12">
        <v>300.0</v>
      </c>
    </row>
    <row r="240">
      <c r="A240" s="12" t="s">
        <v>2447</v>
      </c>
      <c r="B240" s="12" t="s">
        <v>2448</v>
      </c>
      <c r="C240" s="12" t="s">
        <v>1113</v>
      </c>
      <c r="D240" s="12">
        <v>1.0</v>
      </c>
      <c r="E240" s="12">
        <v>500.0</v>
      </c>
      <c r="F240" s="12">
        <v>500.0</v>
      </c>
    </row>
    <row r="241">
      <c r="A241" s="12" t="s">
        <v>2449</v>
      </c>
      <c r="B241" s="12">
        <v>1394.0</v>
      </c>
      <c r="C241" s="12" t="s">
        <v>1196</v>
      </c>
      <c r="D241" s="12">
        <v>1.0</v>
      </c>
      <c r="E241" s="12">
        <v>3500.0</v>
      </c>
      <c r="F241" s="12">
        <v>3500.0</v>
      </c>
    </row>
    <row r="242">
      <c r="A242" s="12" t="s">
        <v>2450</v>
      </c>
      <c r="B242" s="12">
        <v>1395.0</v>
      </c>
      <c r="C242" s="12" t="s">
        <v>1196</v>
      </c>
      <c r="D242" s="12">
        <v>1.0</v>
      </c>
      <c r="E242" s="12">
        <v>1.0</v>
      </c>
      <c r="F242" s="12">
        <v>1.0</v>
      </c>
    </row>
    <row r="243">
      <c r="A243" s="12" t="s">
        <v>2452</v>
      </c>
      <c r="B243" s="12">
        <v>1396.0</v>
      </c>
      <c r="C243" s="12" t="s">
        <v>1196</v>
      </c>
      <c r="D243" s="12">
        <v>1.0</v>
      </c>
      <c r="E243" s="12">
        <v>1.0</v>
      </c>
      <c r="F243" s="12">
        <v>1.0</v>
      </c>
    </row>
    <row r="244">
      <c r="A244" s="12" t="s">
        <v>2453</v>
      </c>
      <c r="B244" s="12">
        <v>1397.0</v>
      </c>
      <c r="C244" s="12" t="s">
        <v>1196</v>
      </c>
      <c r="D244" s="12">
        <v>1.0</v>
      </c>
      <c r="E244" s="12">
        <v>1.0</v>
      </c>
      <c r="F244" s="12">
        <v>1.0</v>
      </c>
    </row>
    <row r="245">
      <c r="A245" s="12" t="s">
        <v>2454</v>
      </c>
      <c r="B245" s="12">
        <v>1398.0</v>
      </c>
      <c r="C245" s="12" t="s">
        <v>1196</v>
      </c>
      <c r="D245" s="12">
        <v>1.0</v>
      </c>
      <c r="E245" s="12">
        <v>1.0</v>
      </c>
      <c r="F245" s="12">
        <v>1.0</v>
      </c>
    </row>
    <row r="246">
      <c r="A246" s="12" t="s">
        <v>2455</v>
      </c>
      <c r="B246" s="12">
        <v>1399.0</v>
      </c>
      <c r="C246" s="12" t="s">
        <v>1196</v>
      </c>
      <c r="D246" s="12">
        <v>1.0</v>
      </c>
      <c r="E246" s="12">
        <v>1.0</v>
      </c>
      <c r="F246" s="12">
        <v>1.0</v>
      </c>
    </row>
    <row r="247">
      <c r="A247" s="12" t="s">
        <v>2457</v>
      </c>
      <c r="B247" s="12" t="s">
        <v>2459</v>
      </c>
      <c r="C247" s="12" t="s">
        <v>786</v>
      </c>
      <c r="D247" s="12">
        <v>1.0</v>
      </c>
      <c r="E247" s="12">
        <v>2341.92</v>
      </c>
      <c r="F247" s="12">
        <v>2341.92</v>
      </c>
    </row>
    <row r="248">
      <c r="A248" s="12" t="s">
        <v>2463</v>
      </c>
      <c r="B248" s="12">
        <v>1406.0</v>
      </c>
      <c r="C248" s="12" t="s">
        <v>852</v>
      </c>
      <c r="D248" s="12">
        <v>1.0</v>
      </c>
      <c r="E248" s="12">
        <v>4000.0</v>
      </c>
      <c r="F248" s="12">
        <v>4000.0</v>
      </c>
    </row>
    <row r="249">
      <c r="A249" s="12" t="s">
        <v>2464</v>
      </c>
      <c r="B249" s="12" t="s">
        <v>2465</v>
      </c>
      <c r="C249" s="12" t="s">
        <v>1196</v>
      </c>
      <c r="D249" s="12">
        <v>1.0</v>
      </c>
      <c r="E249" s="12">
        <v>82.46</v>
      </c>
      <c r="F249" s="12">
        <v>82.46</v>
      </c>
    </row>
    <row r="250">
      <c r="A250" s="12" t="s">
        <v>2468</v>
      </c>
      <c r="B250" s="12">
        <v>1422.0</v>
      </c>
      <c r="C250" s="12" t="s">
        <v>874</v>
      </c>
      <c r="D250" s="12">
        <v>1.0</v>
      </c>
      <c r="E250" s="12">
        <v>125.0</v>
      </c>
      <c r="F250" s="12">
        <v>125.0</v>
      </c>
    </row>
    <row r="251">
      <c r="A251" s="12" t="s">
        <v>2471</v>
      </c>
      <c r="B251" s="12">
        <v>1424.0</v>
      </c>
      <c r="C251" s="12" t="s">
        <v>911</v>
      </c>
      <c r="D251" s="12">
        <v>1.0</v>
      </c>
      <c r="E251" s="12">
        <v>0.0</v>
      </c>
      <c r="F251" s="12">
        <v>0.0</v>
      </c>
    </row>
    <row r="252">
      <c r="A252" s="12" t="s">
        <v>2473</v>
      </c>
      <c r="B252" s="12">
        <v>1425.0</v>
      </c>
      <c r="C252" s="12" t="s">
        <v>936</v>
      </c>
      <c r="D252" s="12">
        <v>1.0</v>
      </c>
      <c r="E252" s="12">
        <v>533.95</v>
      </c>
      <c r="F252" s="12">
        <v>533.95</v>
      </c>
    </row>
    <row r="253">
      <c r="A253" s="12" t="s">
        <v>2478</v>
      </c>
      <c r="B253" s="12" t="s">
        <v>2479</v>
      </c>
      <c r="C253" s="12" t="s">
        <v>1936</v>
      </c>
      <c r="D253" s="12">
        <v>1.0</v>
      </c>
      <c r="E253" s="12">
        <v>677.37</v>
      </c>
      <c r="F253" s="12">
        <v>677.37</v>
      </c>
    </row>
    <row r="254">
      <c r="A254" s="12" t="s">
        <v>2481</v>
      </c>
      <c r="B254" s="12" t="s">
        <v>2482</v>
      </c>
      <c r="C254" s="12" t="s">
        <v>1756</v>
      </c>
      <c r="D254" s="12">
        <v>1.0</v>
      </c>
      <c r="E254" s="12">
        <v>801.21</v>
      </c>
      <c r="F254" s="12">
        <v>801.21</v>
      </c>
    </row>
    <row r="255">
      <c r="A255" s="12" t="s">
        <v>2484</v>
      </c>
      <c r="B255" s="12" t="s">
        <v>2486</v>
      </c>
      <c r="C255" s="12" t="s">
        <v>1318</v>
      </c>
      <c r="D255" s="12">
        <v>1.0</v>
      </c>
      <c r="E255" s="12">
        <v>1052.47</v>
      </c>
      <c r="F255" s="12">
        <v>1052.47</v>
      </c>
    </row>
    <row r="256">
      <c r="A256" s="12" t="s">
        <v>2488</v>
      </c>
      <c r="B256" s="12">
        <v>1375.0</v>
      </c>
      <c r="C256" s="12" t="s">
        <v>1082</v>
      </c>
      <c r="D256" s="12">
        <v>1.0</v>
      </c>
      <c r="E256" s="12">
        <v>625.0</v>
      </c>
      <c r="F256" s="12">
        <v>625.0</v>
      </c>
    </row>
    <row r="257">
      <c r="A257" s="12" t="s">
        <v>2490</v>
      </c>
      <c r="B257" s="12">
        <v>1376.0</v>
      </c>
      <c r="C257" s="12" t="s">
        <v>1906</v>
      </c>
      <c r="D257" s="12">
        <v>1.0</v>
      </c>
      <c r="E257" s="12">
        <v>375.0</v>
      </c>
      <c r="F257" s="12">
        <v>375.0</v>
      </c>
    </row>
    <row r="258">
      <c r="A258" s="12" t="s">
        <v>2493</v>
      </c>
      <c r="B258" s="12">
        <v>1377.0</v>
      </c>
      <c r="C258" s="12" t="s">
        <v>1908</v>
      </c>
      <c r="D258" s="12">
        <v>1.0</v>
      </c>
      <c r="E258" s="12">
        <v>1110.0</v>
      </c>
      <c r="F258" s="12">
        <v>1110.0</v>
      </c>
    </row>
    <row r="259">
      <c r="A259" s="12" t="s">
        <v>2494</v>
      </c>
      <c r="B259" s="12">
        <v>1432.0</v>
      </c>
      <c r="C259" s="12" t="s">
        <v>693</v>
      </c>
      <c r="D259" s="12">
        <v>1.0</v>
      </c>
      <c r="E259" s="12">
        <v>5000.0</v>
      </c>
      <c r="F259" s="12">
        <v>5000.0</v>
      </c>
    </row>
    <row r="260">
      <c r="A260" s="12" t="s">
        <v>2496</v>
      </c>
      <c r="B260" s="12" t="s">
        <v>2497</v>
      </c>
      <c r="C260" s="12" t="s">
        <v>786</v>
      </c>
      <c r="D260" s="12">
        <v>1.0</v>
      </c>
      <c r="E260" s="12">
        <v>1206.96</v>
      </c>
      <c r="F260" s="12">
        <v>1206.96</v>
      </c>
    </row>
    <row r="261">
      <c r="A261" s="12" t="s">
        <v>2499</v>
      </c>
      <c r="B261" s="12">
        <v>1440.0</v>
      </c>
      <c r="C261" s="12" t="s">
        <v>741</v>
      </c>
      <c r="D261" s="12">
        <v>1.0</v>
      </c>
      <c r="E261" s="12">
        <v>837.41</v>
      </c>
      <c r="F261" s="12">
        <v>837.41</v>
      </c>
    </row>
    <row r="262">
      <c r="A262" s="12" t="s">
        <v>2503</v>
      </c>
      <c r="B262" s="12" t="s">
        <v>2504</v>
      </c>
      <c r="C262" s="12" t="s">
        <v>1236</v>
      </c>
      <c r="D262" s="12">
        <v>1.0</v>
      </c>
      <c r="E262" s="12">
        <v>1687.01</v>
      </c>
      <c r="F262" s="12">
        <v>1687.01</v>
      </c>
    </row>
    <row r="263">
      <c r="A263" s="12" t="s">
        <v>2506</v>
      </c>
      <c r="B263" s="12" t="s">
        <v>2507</v>
      </c>
      <c r="C263" s="12" t="s">
        <v>1236</v>
      </c>
      <c r="D263" s="12">
        <v>1.0</v>
      </c>
      <c r="E263" s="12">
        <v>280.66</v>
      </c>
      <c r="F263" s="12">
        <v>280.66</v>
      </c>
    </row>
    <row r="264">
      <c r="A264" s="12" t="s">
        <v>2510</v>
      </c>
      <c r="B264" s="12" t="s">
        <v>2512</v>
      </c>
      <c r="C264" s="12" t="s">
        <v>786</v>
      </c>
      <c r="D264" s="12">
        <v>1.0</v>
      </c>
      <c r="E264" s="12">
        <v>1270.0</v>
      </c>
      <c r="F264" s="12">
        <v>1270.0</v>
      </c>
    </row>
    <row r="265">
      <c r="A265" s="12" t="s">
        <v>2516</v>
      </c>
      <c r="B265" s="12" t="s">
        <v>2517</v>
      </c>
      <c r="C265" s="12" t="s">
        <v>1236</v>
      </c>
      <c r="D265" s="12">
        <v>1.0</v>
      </c>
      <c r="E265" s="12">
        <v>61.83</v>
      </c>
      <c r="F265" s="12">
        <v>61.83</v>
      </c>
    </row>
    <row r="266">
      <c r="A266" s="12" t="s">
        <v>2518</v>
      </c>
      <c r="B266" s="12">
        <v>1439.0</v>
      </c>
      <c r="C266" s="12" t="s">
        <v>1056</v>
      </c>
      <c r="D266" s="12">
        <v>1.0</v>
      </c>
      <c r="E266" s="12">
        <v>1181.1</v>
      </c>
      <c r="F266" s="12">
        <v>1181.1</v>
      </c>
    </row>
    <row r="267">
      <c r="A267" s="12" t="s">
        <v>2521</v>
      </c>
      <c r="B267" s="12">
        <v>1441.0</v>
      </c>
      <c r="C267" s="12" t="s">
        <v>1486</v>
      </c>
      <c r="D267" s="12">
        <v>1.0</v>
      </c>
      <c r="E267" s="12">
        <v>20.0</v>
      </c>
      <c r="F267" s="12">
        <v>20.0</v>
      </c>
    </row>
    <row r="268">
      <c r="A268" s="12" t="s">
        <v>2524</v>
      </c>
      <c r="B268" s="12" t="s">
        <v>2525</v>
      </c>
      <c r="C268" s="12" t="s">
        <v>1236</v>
      </c>
      <c r="D268" s="12">
        <v>1.0</v>
      </c>
      <c r="E268" s="12">
        <v>1054.29</v>
      </c>
      <c r="F268" s="12">
        <v>1054.29</v>
      </c>
    </row>
    <row r="269">
      <c r="A269" s="12" t="s">
        <v>2527</v>
      </c>
      <c r="B269" s="12" t="s">
        <v>2528</v>
      </c>
      <c r="C269" s="12" t="s">
        <v>1236</v>
      </c>
      <c r="D269" s="12">
        <v>1.0</v>
      </c>
      <c r="E269" s="12">
        <v>3.6</v>
      </c>
      <c r="F269" s="12">
        <v>3.6</v>
      </c>
    </row>
    <row r="270">
      <c r="A270" s="12" t="s">
        <v>2531</v>
      </c>
      <c r="B270" s="12" t="s">
        <v>2533</v>
      </c>
      <c r="C270" s="12" t="s">
        <v>1236</v>
      </c>
      <c r="D270" s="12">
        <v>1.0</v>
      </c>
      <c r="E270" s="12">
        <v>1097.04</v>
      </c>
      <c r="F270" s="12">
        <v>1097.04</v>
      </c>
    </row>
    <row r="271">
      <c r="A271" s="12" t="s">
        <v>2535</v>
      </c>
      <c r="B271" s="12">
        <v>1448.0</v>
      </c>
      <c r="C271" s="12" t="s">
        <v>820</v>
      </c>
      <c r="D271" s="12">
        <v>1.0</v>
      </c>
      <c r="E271" s="12">
        <v>185.0</v>
      </c>
      <c r="F271" s="12">
        <v>185.0</v>
      </c>
    </row>
    <row r="272">
      <c r="A272" s="12" t="s">
        <v>2539</v>
      </c>
      <c r="B272" s="12" t="s">
        <v>2541</v>
      </c>
      <c r="C272" s="12" t="s">
        <v>2543</v>
      </c>
      <c r="D272" s="12">
        <v>1.0</v>
      </c>
      <c r="E272" s="12">
        <v>372.0</v>
      </c>
      <c r="F272" s="12">
        <v>372.0</v>
      </c>
    </row>
    <row r="273">
      <c r="A273" s="12" t="s">
        <v>2544</v>
      </c>
      <c r="B273" s="12">
        <v>1433.0</v>
      </c>
      <c r="C273" s="12" t="s">
        <v>1082</v>
      </c>
      <c r="D273" s="12">
        <v>1.0</v>
      </c>
      <c r="E273" s="12">
        <v>700.0</v>
      </c>
      <c r="F273" s="12">
        <v>700.0</v>
      </c>
    </row>
    <row r="274">
      <c r="A274" s="12" t="s">
        <v>2545</v>
      </c>
      <c r="B274" s="12">
        <v>1434.0</v>
      </c>
      <c r="C274" s="12" t="s">
        <v>1906</v>
      </c>
      <c r="D274" s="12">
        <v>1.0</v>
      </c>
      <c r="E274" s="12">
        <v>396.0</v>
      </c>
      <c r="F274" s="12">
        <v>396.0</v>
      </c>
    </row>
    <row r="275">
      <c r="A275" s="12" t="s">
        <v>2546</v>
      </c>
      <c r="B275" s="12">
        <v>1435.0</v>
      </c>
      <c r="C275" s="12" t="s">
        <v>1908</v>
      </c>
      <c r="D275" s="12">
        <v>1.0</v>
      </c>
      <c r="E275" s="12">
        <v>1110.0</v>
      </c>
      <c r="F275" s="12">
        <v>1110.0</v>
      </c>
    </row>
    <row r="276">
      <c r="A276" s="12" t="s">
        <v>2548</v>
      </c>
      <c r="B276" s="12">
        <v>1438.0</v>
      </c>
      <c r="C276" s="12" t="s">
        <v>1040</v>
      </c>
      <c r="D276" s="12">
        <v>1.0</v>
      </c>
      <c r="E276" s="12">
        <v>10166.51</v>
      </c>
      <c r="F276" s="12">
        <v>10166.51</v>
      </c>
    </row>
    <row r="277">
      <c r="A277" s="12" t="s">
        <v>2549</v>
      </c>
      <c r="B277" s="12">
        <v>1449.0</v>
      </c>
      <c r="C277" s="12" t="s">
        <v>1818</v>
      </c>
      <c r="D277" s="12">
        <v>1.0</v>
      </c>
      <c r="E277" s="12">
        <v>236.83</v>
      </c>
      <c r="F277" s="12">
        <v>236.83</v>
      </c>
    </row>
    <row r="278">
      <c r="A278" s="12" t="s">
        <v>2550</v>
      </c>
      <c r="B278" s="12">
        <v>1450.0</v>
      </c>
      <c r="C278" s="12" t="s">
        <v>1818</v>
      </c>
      <c r="D278" s="12">
        <v>1.0</v>
      </c>
      <c r="E278" s="12">
        <v>65.15</v>
      </c>
      <c r="F278" s="12">
        <v>65.15</v>
      </c>
    </row>
    <row r="279">
      <c r="A279" s="12" t="s">
        <v>2552</v>
      </c>
      <c r="B279" s="12" t="s">
        <v>2553</v>
      </c>
      <c r="C279" s="12" t="s">
        <v>786</v>
      </c>
      <c r="D279" s="12">
        <v>1.0</v>
      </c>
      <c r="E279" s="12">
        <v>2415.0</v>
      </c>
      <c r="F279" s="12">
        <v>2415.0</v>
      </c>
    </row>
    <row r="280">
      <c r="A280" s="12" t="s">
        <v>2554</v>
      </c>
      <c r="B280" s="12" t="s">
        <v>2555</v>
      </c>
      <c r="C280" s="12" t="s">
        <v>1236</v>
      </c>
      <c r="D280" s="12">
        <v>1.0</v>
      </c>
      <c r="E280" s="12">
        <v>1367.33</v>
      </c>
      <c r="F280" s="12">
        <v>1367.33</v>
      </c>
    </row>
    <row r="281">
      <c r="A281" s="12" t="s">
        <v>2557</v>
      </c>
      <c r="B281" s="12">
        <v>1461.0</v>
      </c>
      <c r="C281" s="12" t="s">
        <v>1196</v>
      </c>
      <c r="D281" s="12">
        <v>1.0</v>
      </c>
      <c r="E281" s="12">
        <v>585.0</v>
      </c>
      <c r="F281" s="12">
        <v>585.0</v>
      </c>
    </row>
    <row r="282">
      <c r="A282" s="12" t="s">
        <v>2561</v>
      </c>
      <c r="B282" s="12" t="s">
        <v>2562</v>
      </c>
      <c r="C282" s="12" t="s">
        <v>1113</v>
      </c>
      <c r="D282" s="12">
        <v>1.0</v>
      </c>
      <c r="E282" s="12">
        <v>200.0</v>
      </c>
      <c r="F282" s="12">
        <v>200.0</v>
      </c>
    </row>
    <row r="283">
      <c r="A283" s="12" t="s">
        <v>2563</v>
      </c>
      <c r="B283" s="12" t="s">
        <v>2565</v>
      </c>
      <c r="C283" s="12" t="s">
        <v>1196</v>
      </c>
      <c r="D283" s="12">
        <v>1.0</v>
      </c>
      <c r="E283" s="12">
        <v>1.0</v>
      </c>
      <c r="F283" s="12">
        <v>1.0</v>
      </c>
    </row>
    <row r="284">
      <c r="A284" s="12" t="s">
        <v>2567</v>
      </c>
      <c r="B284" s="12" t="s">
        <v>2569</v>
      </c>
      <c r="C284" s="12" t="s">
        <v>1113</v>
      </c>
      <c r="D284" s="12">
        <v>1.0</v>
      </c>
      <c r="E284" s="12">
        <v>400.0</v>
      </c>
      <c r="F284" s="12">
        <v>400.0</v>
      </c>
    </row>
    <row r="285">
      <c r="A285" s="12" t="s">
        <v>2571</v>
      </c>
      <c r="B285" s="12">
        <v>1455.0</v>
      </c>
      <c r="C285" s="12" t="s">
        <v>1196</v>
      </c>
      <c r="D285" s="12">
        <v>1.0</v>
      </c>
      <c r="E285" s="12">
        <v>3500.0</v>
      </c>
      <c r="F285" s="12">
        <v>3500.0</v>
      </c>
    </row>
    <row r="286">
      <c r="A286" s="12" t="s">
        <v>2572</v>
      </c>
      <c r="B286" s="12">
        <v>1456.0</v>
      </c>
      <c r="C286" s="12" t="s">
        <v>1196</v>
      </c>
      <c r="D286" s="12">
        <v>1.0</v>
      </c>
      <c r="E286" s="12">
        <v>3348.36</v>
      </c>
      <c r="F286" s="12">
        <v>3348.36</v>
      </c>
    </row>
    <row r="287">
      <c r="A287" s="12" t="s">
        <v>2574</v>
      </c>
      <c r="B287" s="12">
        <v>1457.0</v>
      </c>
      <c r="C287" s="12" t="s">
        <v>1196</v>
      </c>
      <c r="D287" s="12">
        <v>1.0</v>
      </c>
      <c r="E287" s="12">
        <v>1347.47</v>
      </c>
      <c r="F287" s="12">
        <v>1347.47</v>
      </c>
    </row>
    <row r="288">
      <c r="A288" s="12" t="s">
        <v>2577</v>
      </c>
      <c r="B288" s="12">
        <v>1458.0</v>
      </c>
      <c r="C288" s="12" t="s">
        <v>1196</v>
      </c>
      <c r="D288" s="12">
        <v>1.0</v>
      </c>
      <c r="E288" s="12">
        <v>1426.12</v>
      </c>
      <c r="F288" s="12">
        <v>1426.12</v>
      </c>
    </row>
    <row r="289">
      <c r="A289" s="12" t="s">
        <v>2580</v>
      </c>
      <c r="B289" s="12">
        <v>1459.0</v>
      </c>
      <c r="C289" s="12" t="s">
        <v>1196</v>
      </c>
      <c r="D289" s="12">
        <v>1.0</v>
      </c>
      <c r="E289" s="12">
        <v>1514.02</v>
      </c>
      <c r="F289" s="12">
        <v>1514.02</v>
      </c>
    </row>
    <row r="290">
      <c r="A290" s="12" t="s">
        <v>2582</v>
      </c>
      <c r="B290" s="12">
        <v>1460.0</v>
      </c>
      <c r="C290" s="12" t="s">
        <v>1196</v>
      </c>
      <c r="D290" s="12">
        <v>1.0</v>
      </c>
      <c r="E290" s="12">
        <v>1318.34</v>
      </c>
      <c r="F290" s="12">
        <v>1318.34</v>
      </c>
    </row>
    <row r="291">
      <c r="A291" s="12" t="s">
        <v>2585</v>
      </c>
      <c r="B291" s="12">
        <v>1468.0</v>
      </c>
      <c r="C291" s="12" t="s">
        <v>874</v>
      </c>
      <c r="D291" s="12">
        <v>1.0</v>
      </c>
      <c r="E291" s="12">
        <v>125.0</v>
      </c>
      <c r="F291" s="12">
        <v>125.0</v>
      </c>
    </row>
    <row r="292">
      <c r="A292" s="12" t="s">
        <v>2588</v>
      </c>
      <c r="B292" s="12">
        <v>1471.0</v>
      </c>
      <c r="C292" s="12" t="s">
        <v>911</v>
      </c>
      <c r="D292" s="12">
        <v>1.0</v>
      </c>
      <c r="E292" s="12">
        <v>0.0</v>
      </c>
      <c r="F292" s="12">
        <v>0.0</v>
      </c>
    </row>
    <row r="293">
      <c r="A293" s="12" t="s">
        <v>2590</v>
      </c>
      <c r="B293" s="12">
        <v>1472.0</v>
      </c>
      <c r="C293" s="12" t="s">
        <v>936</v>
      </c>
      <c r="D293" s="12">
        <v>1.0</v>
      </c>
      <c r="E293" s="12">
        <v>533.0</v>
      </c>
      <c r="F293" s="12">
        <v>533.0</v>
      </c>
    </row>
    <row r="294">
      <c r="A294" s="12" t="s">
        <v>2593</v>
      </c>
      <c r="B294" s="12" t="s">
        <v>2595</v>
      </c>
      <c r="C294" s="12" t="s">
        <v>1756</v>
      </c>
      <c r="D294" s="12">
        <v>1.0</v>
      </c>
      <c r="E294" s="12">
        <v>854.96</v>
      </c>
      <c r="F294" s="12">
        <v>854.96</v>
      </c>
    </row>
    <row r="295">
      <c r="A295" s="12" t="s">
        <v>2598</v>
      </c>
      <c r="B295" s="12" t="s">
        <v>2599</v>
      </c>
      <c r="C295" s="12" t="s">
        <v>741</v>
      </c>
      <c r="D295" s="12">
        <v>1.0</v>
      </c>
      <c r="E295" s="12">
        <v>515.61</v>
      </c>
      <c r="F295" s="12">
        <v>515.61</v>
      </c>
    </row>
    <row r="296">
      <c r="A296" s="12" t="s">
        <v>2601</v>
      </c>
      <c r="B296" s="12" t="s">
        <v>2603</v>
      </c>
      <c r="C296" s="12" t="s">
        <v>2604</v>
      </c>
      <c r="D296" s="12">
        <v>1.0</v>
      </c>
      <c r="E296" s="12">
        <v>1569.56</v>
      </c>
      <c r="F296" s="12">
        <v>1569.56</v>
      </c>
    </row>
    <row r="297">
      <c r="A297" s="12" t="s">
        <v>2607</v>
      </c>
      <c r="B297" s="12" t="s">
        <v>2609</v>
      </c>
      <c r="C297" s="12" t="s">
        <v>2610</v>
      </c>
      <c r="D297" s="12">
        <v>1.0</v>
      </c>
      <c r="E297" s="12">
        <v>263.25</v>
      </c>
      <c r="F297" s="12">
        <v>263.25</v>
      </c>
    </row>
    <row r="298">
      <c r="A298" s="12" t="s">
        <v>2612</v>
      </c>
      <c r="B298" s="12" t="s">
        <v>2613</v>
      </c>
      <c r="C298" s="12" t="s">
        <v>786</v>
      </c>
      <c r="D298" s="12">
        <v>1.0</v>
      </c>
      <c r="E298" s="12">
        <v>4071.0</v>
      </c>
      <c r="F298" s="12">
        <v>4071.0</v>
      </c>
    </row>
    <row r="299">
      <c r="A299" s="12" t="s">
        <v>2616</v>
      </c>
      <c r="B299" s="12" t="s">
        <v>2618</v>
      </c>
      <c r="C299" s="12" t="s">
        <v>1236</v>
      </c>
      <c r="D299" s="12">
        <v>1.0</v>
      </c>
      <c r="E299" s="12">
        <v>1786.6</v>
      </c>
      <c r="F299" s="12">
        <v>1786.6</v>
      </c>
    </row>
    <row r="300">
      <c r="A300" s="12" t="s">
        <v>2620</v>
      </c>
      <c r="B300" s="12">
        <v>1478.0</v>
      </c>
      <c r="C300" s="12" t="s">
        <v>693</v>
      </c>
      <c r="D300" s="12">
        <v>1.0</v>
      </c>
      <c r="E300" s="12">
        <v>5000.0</v>
      </c>
      <c r="F300" s="12">
        <v>5000.0</v>
      </c>
    </row>
    <row r="301">
      <c r="A301" s="12" t="s">
        <v>2623</v>
      </c>
      <c r="B301" s="12">
        <v>1479.0</v>
      </c>
      <c r="C301" s="12" t="s">
        <v>1082</v>
      </c>
      <c r="D301" s="12">
        <v>1.0</v>
      </c>
      <c r="E301" s="12">
        <v>625.0</v>
      </c>
      <c r="F301" s="12">
        <v>625.0</v>
      </c>
    </row>
    <row r="302">
      <c r="A302" s="12" t="s">
        <v>2626</v>
      </c>
      <c r="B302" s="12">
        <v>1480.0</v>
      </c>
      <c r="C302" s="12" t="s">
        <v>1906</v>
      </c>
      <c r="D302" s="12">
        <v>1.0</v>
      </c>
      <c r="E302" s="12">
        <v>375.0</v>
      </c>
      <c r="F302" s="12">
        <v>375.0</v>
      </c>
    </row>
    <row r="303">
      <c r="A303" s="12" t="s">
        <v>2631</v>
      </c>
      <c r="B303" s="12">
        <v>1481.0</v>
      </c>
      <c r="C303" s="12" t="s">
        <v>1908</v>
      </c>
      <c r="D303" s="12">
        <v>1.0</v>
      </c>
      <c r="E303" s="12">
        <v>1110.0</v>
      </c>
      <c r="F303" s="12">
        <v>1110.0</v>
      </c>
    </row>
    <row r="304">
      <c r="A304" s="12" t="s">
        <v>2633</v>
      </c>
      <c r="B304" s="12" t="s">
        <v>2634</v>
      </c>
      <c r="C304" s="12" t="s">
        <v>1936</v>
      </c>
      <c r="D304" s="12">
        <v>1.0</v>
      </c>
      <c r="E304" s="12">
        <v>616.71</v>
      </c>
      <c r="F304" s="12">
        <v>616.71</v>
      </c>
    </row>
    <row r="305">
      <c r="A305" s="12" t="s">
        <v>2638</v>
      </c>
      <c r="B305" s="12">
        <v>1493.0</v>
      </c>
      <c r="C305" s="12" t="s">
        <v>1056</v>
      </c>
      <c r="D305" s="12">
        <v>1.0</v>
      </c>
      <c r="E305" s="12">
        <v>1193.68</v>
      </c>
      <c r="F305" s="12">
        <v>1193.68</v>
      </c>
    </row>
    <row r="306">
      <c r="A306" s="12" t="s">
        <v>2640</v>
      </c>
      <c r="B306" s="12">
        <v>1494.0</v>
      </c>
      <c r="C306" s="12" t="s">
        <v>741</v>
      </c>
      <c r="D306" s="12">
        <v>1.0</v>
      </c>
      <c r="E306" s="12">
        <v>849.11</v>
      </c>
      <c r="F306" s="12">
        <v>849.11</v>
      </c>
    </row>
    <row r="307">
      <c r="A307" s="12" t="s">
        <v>2643</v>
      </c>
      <c r="B307" s="12">
        <v>1495.0</v>
      </c>
      <c r="C307" s="12" t="s">
        <v>1486</v>
      </c>
      <c r="D307" s="12">
        <v>1.0</v>
      </c>
      <c r="E307" s="12">
        <v>20.0</v>
      </c>
      <c r="F307" s="12">
        <v>20.0</v>
      </c>
    </row>
    <row r="308">
      <c r="A308" s="12" t="s">
        <v>2645</v>
      </c>
      <c r="B308" s="12" t="s">
        <v>2646</v>
      </c>
      <c r="C308" s="12" t="s">
        <v>820</v>
      </c>
      <c r="D308" s="12">
        <v>1.0</v>
      </c>
      <c r="E308" s="12">
        <v>185.0</v>
      </c>
      <c r="F308" s="12">
        <v>185.0</v>
      </c>
    </row>
    <row r="309">
      <c r="A309" s="12" t="s">
        <v>2649</v>
      </c>
      <c r="B309" s="12" t="s">
        <v>2650</v>
      </c>
      <c r="C309" s="12" t="s">
        <v>768</v>
      </c>
      <c r="D309" s="12">
        <v>1.0</v>
      </c>
      <c r="E309" s="12">
        <v>50.0</v>
      </c>
      <c r="F309" s="12">
        <v>50.0</v>
      </c>
    </row>
    <row r="310">
      <c r="A310" s="12" t="s">
        <v>2652</v>
      </c>
      <c r="B310" s="12" t="s">
        <v>2653</v>
      </c>
      <c r="C310" s="12" t="s">
        <v>1113</v>
      </c>
      <c r="D310" s="12">
        <v>1.0</v>
      </c>
      <c r="E310" s="12">
        <v>300.0</v>
      </c>
      <c r="F310" s="12">
        <v>300.0</v>
      </c>
    </row>
    <row r="311">
      <c r="A311" s="12" t="s">
        <v>2656</v>
      </c>
      <c r="B311" s="12">
        <v>1504.0</v>
      </c>
      <c r="C311" s="12" t="s">
        <v>820</v>
      </c>
      <c r="D311" s="12">
        <v>1.0</v>
      </c>
      <c r="E311" s="12">
        <v>0.0</v>
      </c>
      <c r="F311" s="12">
        <v>0.0</v>
      </c>
    </row>
    <row r="312">
      <c r="A312" s="12" t="s">
        <v>2657</v>
      </c>
      <c r="B312" s="12" t="s">
        <v>2658</v>
      </c>
      <c r="C312" s="12" t="s">
        <v>1113</v>
      </c>
      <c r="D312" s="12">
        <v>1.0</v>
      </c>
      <c r="E312" s="12">
        <v>500.0</v>
      </c>
      <c r="F312" s="12">
        <v>500.0</v>
      </c>
    </row>
    <row r="313">
      <c r="A313" s="12" t="s">
        <v>2659</v>
      </c>
      <c r="B313" s="12" t="s">
        <v>2661</v>
      </c>
      <c r="C313" s="12" t="s">
        <v>1113</v>
      </c>
      <c r="D313" s="12">
        <v>1.0</v>
      </c>
      <c r="E313" s="12">
        <v>500.0</v>
      </c>
      <c r="F313" s="12">
        <v>500.0</v>
      </c>
    </row>
    <row r="314">
      <c r="A314" s="12" t="s">
        <v>2663</v>
      </c>
      <c r="B314" s="12">
        <v>1492.0</v>
      </c>
      <c r="C314" s="12" t="s">
        <v>1040</v>
      </c>
      <c r="D314" s="12">
        <v>1.0</v>
      </c>
      <c r="E314" s="12">
        <v>9721.53</v>
      </c>
      <c r="F314" s="12">
        <v>9721.53</v>
      </c>
    </row>
    <row r="315">
      <c r="A315" s="12" t="s">
        <v>2665</v>
      </c>
      <c r="B315" s="12" t="s">
        <v>2667</v>
      </c>
      <c r="C315" s="12" t="s">
        <v>786</v>
      </c>
      <c r="D315" s="12">
        <v>1.0</v>
      </c>
      <c r="E315" s="12">
        <v>2758.0</v>
      </c>
      <c r="F315" s="12">
        <v>2758.0</v>
      </c>
    </row>
    <row r="316">
      <c r="A316" s="12" t="s">
        <v>2670</v>
      </c>
      <c r="B316" s="12" t="s">
        <v>2671</v>
      </c>
      <c r="C316" s="12" t="s">
        <v>1236</v>
      </c>
      <c r="D316" s="12">
        <v>1.0</v>
      </c>
      <c r="E316" s="12">
        <v>1444.95</v>
      </c>
      <c r="F316" s="12">
        <v>1444.95</v>
      </c>
    </row>
    <row r="317">
      <c r="A317" s="12" t="s">
        <v>2673</v>
      </c>
      <c r="B317" s="12">
        <v>1510.0</v>
      </c>
      <c r="C317" s="12" t="s">
        <v>1818</v>
      </c>
      <c r="D317" s="12">
        <v>1.0</v>
      </c>
      <c r="E317" s="12">
        <v>236.83</v>
      </c>
      <c r="F317" s="12">
        <v>236.83</v>
      </c>
    </row>
    <row r="318">
      <c r="A318" s="12" t="s">
        <v>2676</v>
      </c>
      <c r="B318" s="12">
        <v>1511.0</v>
      </c>
      <c r="C318" s="12" t="s">
        <v>1818</v>
      </c>
      <c r="D318" s="12">
        <v>1.0</v>
      </c>
      <c r="E318" s="12">
        <v>65.15</v>
      </c>
      <c r="F318" s="12">
        <v>65.15</v>
      </c>
    </row>
    <row r="319">
      <c r="A319" s="12" t="s">
        <v>2679</v>
      </c>
      <c r="B319" s="12">
        <v>1513.0</v>
      </c>
      <c r="C319" s="12" t="s">
        <v>1196</v>
      </c>
      <c r="D319" s="12">
        <v>1.0</v>
      </c>
      <c r="E319" s="12">
        <v>3500.0</v>
      </c>
      <c r="F319" s="12">
        <v>3500.0</v>
      </c>
    </row>
    <row r="320">
      <c r="A320" s="12" t="s">
        <v>2682</v>
      </c>
      <c r="B320" s="12">
        <v>1514.0</v>
      </c>
      <c r="C320" s="12" t="s">
        <v>1196</v>
      </c>
      <c r="D320" s="12">
        <v>1.0</v>
      </c>
      <c r="E320" s="12">
        <v>3870.73</v>
      </c>
      <c r="F320" s="12">
        <v>3870.73</v>
      </c>
    </row>
    <row r="321">
      <c r="A321" s="12" t="s">
        <v>2685</v>
      </c>
      <c r="B321" s="12">
        <v>1515.0</v>
      </c>
      <c r="C321" s="12" t="s">
        <v>1196</v>
      </c>
      <c r="D321" s="12">
        <v>1.0</v>
      </c>
      <c r="E321" s="12">
        <v>1726.18</v>
      </c>
      <c r="F321" s="12">
        <v>1726.18</v>
      </c>
    </row>
    <row r="322">
      <c r="A322" s="12" t="s">
        <v>2688</v>
      </c>
      <c r="B322" s="12">
        <v>1516.0</v>
      </c>
      <c r="C322" s="12" t="s">
        <v>1196</v>
      </c>
      <c r="D322" s="12">
        <v>1.0</v>
      </c>
      <c r="E322" s="12">
        <v>1410.31</v>
      </c>
      <c r="F322" s="12">
        <v>1410.31</v>
      </c>
    </row>
    <row r="323">
      <c r="A323" s="12" t="s">
        <v>2691</v>
      </c>
      <c r="B323" s="12">
        <v>1517.0</v>
      </c>
      <c r="C323" s="12" t="s">
        <v>1196</v>
      </c>
      <c r="D323" s="12">
        <v>1.0</v>
      </c>
      <c r="E323" s="12">
        <v>1439.45</v>
      </c>
      <c r="F323" s="12">
        <v>1439.45</v>
      </c>
    </row>
    <row r="324">
      <c r="A324" s="12" t="s">
        <v>2697</v>
      </c>
      <c r="B324" s="12">
        <v>1518.0</v>
      </c>
      <c r="C324" s="12" t="s">
        <v>1196</v>
      </c>
      <c r="D324" s="12">
        <v>1.0</v>
      </c>
      <c r="E324" s="12">
        <v>1278.08</v>
      </c>
      <c r="F324" s="12">
        <v>1278.08</v>
      </c>
    </row>
    <row r="325">
      <c r="A325" s="12" t="s">
        <v>2700</v>
      </c>
      <c r="B325" s="12">
        <v>1519.0</v>
      </c>
      <c r="C325" s="12" t="s">
        <v>1196</v>
      </c>
      <c r="D325" s="12">
        <v>1.0</v>
      </c>
      <c r="E325" s="12">
        <v>585.0</v>
      </c>
      <c r="F325" s="12">
        <v>585.0</v>
      </c>
    </row>
    <row r="326">
      <c r="A326" s="12" t="s">
        <v>2703</v>
      </c>
      <c r="B326" s="12">
        <v>1520.0</v>
      </c>
      <c r="C326" s="12" t="s">
        <v>852</v>
      </c>
      <c r="D326" s="12">
        <v>1.0</v>
      </c>
      <c r="E326" s="12">
        <v>1.0</v>
      </c>
      <c r="F326" s="12">
        <v>1.0</v>
      </c>
    </row>
    <row r="327">
      <c r="A327" s="12" t="s">
        <v>2706</v>
      </c>
      <c r="B327" s="12">
        <v>1524.0</v>
      </c>
      <c r="C327" s="12" t="s">
        <v>874</v>
      </c>
      <c r="D327" s="12">
        <v>1.0</v>
      </c>
      <c r="E327" s="12">
        <v>125.0</v>
      </c>
      <c r="F327" s="12">
        <v>125.0</v>
      </c>
    </row>
    <row r="328">
      <c r="A328" s="12" t="s">
        <v>2709</v>
      </c>
      <c r="B328" s="12">
        <v>1525.0</v>
      </c>
      <c r="C328" s="12" t="s">
        <v>911</v>
      </c>
      <c r="D328" s="12">
        <v>1.0</v>
      </c>
      <c r="E328" s="12">
        <v>0.0</v>
      </c>
      <c r="F328" s="12">
        <v>0.0</v>
      </c>
    </row>
    <row r="329">
      <c r="A329" s="12" t="s">
        <v>2714</v>
      </c>
      <c r="B329" s="12">
        <v>1526.0</v>
      </c>
      <c r="C329" s="12" t="s">
        <v>936</v>
      </c>
      <c r="D329" s="12">
        <v>1.0</v>
      </c>
      <c r="E329" s="12">
        <v>533.95</v>
      </c>
      <c r="F329" s="12">
        <v>533.95</v>
      </c>
    </row>
    <row r="330">
      <c r="A330" s="12" t="s">
        <v>2716</v>
      </c>
      <c r="B330" s="12" t="s">
        <v>2718</v>
      </c>
      <c r="C330" s="12" t="s">
        <v>1236</v>
      </c>
      <c r="D330" s="12">
        <v>1.0</v>
      </c>
      <c r="E330" s="12">
        <v>1.75</v>
      </c>
      <c r="F330" s="12">
        <v>1.75</v>
      </c>
    </row>
    <row r="331">
      <c r="A331" s="12" t="s">
        <v>2720</v>
      </c>
      <c r="B331" s="12" t="s">
        <v>2721</v>
      </c>
      <c r="C331" s="12" t="s">
        <v>786</v>
      </c>
      <c r="D331" s="12">
        <v>1.0</v>
      </c>
      <c r="E331" s="12">
        <v>30.0</v>
      </c>
      <c r="F331" s="12">
        <v>30.0</v>
      </c>
    </row>
    <row r="332">
      <c r="A332" s="12" t="s">
        <v>2725</v>
      </c>
      <c r="B332" s="12" t="s">
        <v>2727</v>
      </c>
      <c r="C332" s="12" t="s">
        <v>786</v>
      </c>
      <c r="D332" s="12">
        <v>1.0</v>
      </c>
      <c r="E332" s="12">
        <v>2082.0</v>
      </c>
      <c r="F332" s="12">
        <v>2082.0</v>
      </c>
    </row>
    <row r="333">
      <c r="A333" s="12" t="s">
        <v>2730</v>
      </c>
      <c r="B333" s="12" t="s">
        <v>2731</v>
      </c>
      <c r="C333" s="12" t="s">
        <v>1236</v>
      </c>
      <c r="D333" s="12">
        <v>1.0</v>
      </c>
      <c r="E333" s="12">
        <v>1148.42</v>
      </c>
      <c r="F333" s="12">
        <v>1148.42</v>
      </c>
    </row>
    <row r="334">
      <c r="A334" s="12" t="s">
        <v>2734</v>
      </c>
      <c r="B334" s="12" t="s">
        <v>2735</v>
      </c>
      <c r="C334" s="12" t="s">
        <v>1113</v>
      </c>
      <c r="D334" s="12">
        <v>1.0</v>
      </c>
      <c r="E334" s="12">
        <v>500.0</v>
      </c>
      <c r="F334" s="12">
        <v>500.0</v>
      </c>
    </row>
    <row r="335">
      <c r="A335" s="12" t="s">
        <v>2736</v>
      </c>
      <c r="B335" s="12" t="s">
        <v>2737</v>
      </c>
      <c r="C335" s="12" t="s">
        <v>1113</v>
      </c>
      <c r="D335" s="12">
        <v>1.0</v>
      </c>
      <c r="E335" s="12">
        <v>500.0</v>
      </c>
      <c r="F335" s="12">
        <v>500.0</v>
      </c>
    </row>
    <row r="336">
      <c r="A336" s="12" t="s">
        <v>2740</v>
      </c>
      <c r="B336" s="12" t="s">
        <v>2741</v>
      </c>
      <c r="C336" s="12" t="s">
        <v>1113</v>
      </c>
      <c r="D336" s="12">
        <v>1.0</v>
      </c>
      <c r="E336" s="12">
        <v>500.0</v>
      </c>
      <c r="F336" s="12">
        <v>500.0</v>
      </c>
    </row>
    <row r="337">
      <c r="A337" s="12" t="s">
        <v>2744</v>
      </c>
      <c r="B337" s="12" t="s">
        <v>2746</v>
      </c>
      <c r="C337" s="12" t="s">
        <v>1113</v>
      </c>
      <c r="D337" s="12">
        <v>1.0</v>
      </c>
      <c r="E337" s="12">
        <v>500.0</v>
      </c>
      <c r="F337" s="12">
        <v>500.0</v>
      </c>
    </row>
    <row r="338">
      <c r="A338" s="12" t="s">
        <v>2747</v>
      </c>
      <c r="B338" s="12">
        <v>1533.0</v>
      </c>
      <c r="C338" s="12" t="s">
        <v>1082</v>
      </c>
      <c r="D338" s="12">
        <v>1.0</v>
      </c>
      <c r="E338" s="12">
        <v>625.0</v>
      </c>
      <c r="F338" s="12">
        <v>625.0</v>
      </c>
    </row>
    <row r="339">
      <c r="A339" s="12" t="s">
        <v>2750</v>
      </c>
      <c r="B339" s="12">
        <v>1534.0</v>
      </c>
      <c r="C339" s="12" t="s">
        <v>1906</v>
      </c>
      <c r="D339" s="12">
        <v>1.0</v>
      </c>
      <c r="E339" s="12">
        <v>396.0</v>
      </c>
      <c r="F339" s="12">
        <v>396.0</v>
      </c>
    </row>
    <row r="340">
      <c r="A340" s="12" t="s">
        <v>2753</v>
      </c>
      <c r="B340" s="12">
        <v>1535.0</v>
      </c>
      <c r="C340" s="12" t="s">
        <v>1908</v>
      </c>
      <c r="D340" s="12">
        <v>1.0</v>
      </c>
      <c r="E340" s="12">
        <v>1110.0</v>
      </c>
      <c r="F340" s="12">
        <v>1110.0</v>
      </c>
    </row>
    <row r="341">
      <c r="A341" s="12" t="s">
        <v>2756</v>
      </c>
      <c r="B341" s="12">
        <v>1532.0</v>
      </c>
      <c r="C341" s="12" t="s">
        <v>693</v>
      </c>
      <c r="D341" s="12">
        <v>1.0</v>
      </c>
      <c r="E341" s="12">
        <v>5300.0</v>
      </c>
      <c r="F341" s="12">
        <v>5300.0</v>
      </c>
    </row>
    <row r="342">
      <c r="A342" s="12" t="s">
        <v>2758</v>
      </c>
      <c r="B342" s="12">
        <v>1537.0</v>
      </c>
      <c r="C342" s="12" t="s">
        <v>1040</v>
      </c>
      <c r="D342" s="12">
        <v>1.0</v>
      </c>
      <c r="E342" s="12">
        <v>6336.67</v>
      </c>
      <c r="F342" s="12">
        <v>6336.67</v>
      </c>
    </row>
    <row r="343">
      <c r="A343" s="12" t="s">
        <v>2759</v>
      </c>
      <c r="B343" s="12">
        <v>1538.0</v>
      </c>
      <c r="C343" s="12" t="s">
        <v>1056</v>
      </c>
      <c r="D343" s="12">
        <v>1.0</v>
      </c>
      <c r="E343" s="12">
        <v>1314.21</v>
      </c>
      <c r="F343" s="12">
        <v>1314.21</v>
      </c>
    </row>
    <row r="344">
      <c r="A344" s="12" t="s">
        <v>2760</v>
      </c>
      <c r="B344" s="12">
        <v>1539.0</v>
      </c>
      <c r="C344" s="12" t="s">
        <v>741</v>
      </c>
      <c r="D344" s="12">
        <v>1.0</v>
      </c>
      <c r="E344" s="12">
        <v>1040.0</v>
      </c>
      <c r="F344" s="12">
        <v>1040.0</v>
      </c>
    </row>
    <row r="345">
      <c r="A345" s="12" t="s">
        <v>2763</v>
      </c>
      <c r="B345" s="12">
        <v>1540.0</v>
      </c>
      <c r="C345" s="12" t="s">
        <v>1486</v>
      </c>
      <c r="D345" s="12">
        <v>1.0</v>
      </c>
      <c r="E345" s="12">
        <v>20.0</v>
      </c>
      <c r="F345" s="12">
        <v>20.0</v>
      </c>
    </row>
    <row r="346">
      <c r="A346" s="12" t="s">
        <v>2765</v>
      </c>
      <c r="B346" s="12" t="s">
        <v>2766</v>
      </c>
      <c r="C346" s="12" t="s">
        <v>1936</v>
      </c>
      <c r="D346" s="12">
        <v>1.0</v>
      </c>
      <c r="E346" s="12">
        <v>588.5</v>
      </c>
      <c r="F346" s="12">
        <v>588.5</v>
      </c>
    </row>
    <row r="347">
      <c r="A347" s="12" t="s">
        <v>2769</v>
      </c>
      <c r="B347" s="12">
        <v>1554.0</v>
      </c>
      <c r="C347" s="12" t="s">
        <v>820</v>
      </c>
      <c r="D347" s="12">
        <v>1.0</v>
      </c>
      <c r="E347" s="12">
        <v>185.29</v>
      </c>
      <c r="F347" s="12">
        <v>185.29</v>
      </c>
    </row>
    <row r="348">
      <c r="A348" s="12" t="s">
        <v>2770</v>
      </c>
      <c r="B348" s="12" t="s">
        <v>2771</v>
      </c>
      <c r="C348" s="12" t="s">
        <v>1756</v>
      </c>
      <c r="D348" s="12">
        <v>1.0</v>
      </c>
      <c r="E348" s="12">
        <v>1292.72</v>
      </c>
      <c r="F348" s="12">
        <v>1292.72</v>
      </c>
    </row>
    <row r="349">
      <c r="A349" s="12" t="s">
        <v>2773</v>
      </c>
      <c r="B349" s="12" t="s">
        <v>2775</v>
      </c>
      <c r="C349" s="12" t="s">
        <v>786</v>
      </c>
      <c r="D349" s="12">
        <v>1.0</v>
      </c>
      <c r="E349" s="12">
        <v>166.87</v>
      </c>
      <c r="F349" s="12">
        <v>166.87</v>
      </c>
    </row>
    <row r="350">
      <c r="A350" s="12" t="s">
        <v>2777</v>
      </c>
      <c r="B350" s="12" t="s">
        <v>2778</v>
      </c>
      <c r="C350" s="12" t="s">
        <v>786</v>
      </c>
      <c r="D350" s="12">
        <v>1.0</v>
      </c>
      <c r="E350" s="12">
        <v>60.0</v>
      </c>
      <c r="F350" s="12">
        <v>60.0</v>
      </c>
    </row>
    <row r="351">
      <c r="A351" s="12" t="s">
        <v>2779</v>
      </c>
      <c r="B351" s="12">
        <v>1.44845451E8</v>
      </c>
      <c r="C351" s="12" t="s">
        <v>786</v>
      </c>
      <c r="D351" s="12">
        <v>1.0</v>
      </c>
      <c r="E351" s="12">
        <v>1673.2</v>
      </c>
      <c r="F351" s="12">
        <v>1673.2</v>
      </c>
    </row>
    <row r="352">
      <c r="A352" s="12" t="s">
        <v>2781</v>
      </c>
      <c r="B352" s="12" t="s">
        <v>2782</v>
      </c>
      <c r="C352" s="12" t="s">
        <v>1236</v>
      </c>
      <c r="D352" s="12">
        <v>1.0</v>
      </c>
      <c r="E352" s="12">
        <v>338.2</v>
      </c>
      <c r="F352" s="12">
        <v>338.2</v>
      </c>
    </row>
    <row r="353">
      <c r="A353" s="12" t="s">
        <v>2783</v>
      </c>
      <c r="B353" s="12">
        <v>1557.0</v>
      </c>
      <c r="C353" s="12" t="s">
        <v>1818</v>
      </c>
      <c r="D353" s="12">
        <v>1.0</v>
      </c>
      <c r="E353" s="12">
        <v>236.83</v>
      </c>
      <c r="F353" s="12">
        <v>236.83</v>
      </c>
    </row>
    <row r="354">
      <c r="A354" s="12" t="s">
        <v>2784</v>
      </c>
      <c r="B354" s="12" t="s">
        <v>2786</v>
      </c>
      <c r="C354" s="12" t="s">
        <v>1236</v>
      </c>
      <c r="D354" s="12">
        <v>1.0</v>
      </c>
      <c r="E354" s="12">
        <v>1573.9</v>
      </c>
      <c r="F354" s="12">
        <v>1573.9</v>
      </c>
    </row>
    <row r="355">
      <c r="A355" s="12" t="s">
        <v>2788</v>
      </c>
      <c r="B355" s="12">
        <v>1561.0</v>
      </c>
      <c r="C355" s="12" t="s">
        <v>1196</v>
      </c>
      <c r="D355" s="12">
        <v>1.0</v>
      </c>
      <c r="E355" s="12">
        <v>3500.0</v>
      </c>
      <c r="F355" s="12">
        <v>3500.0</v>
      </c>
    </row>
    <row r="356">
      <c r="A356" s="12" t="s">
        <v>2790</v>
      </c>
      <c r="B356" s="12">
        <v>1562.0</v>
      </c>
      <c r="C356" s="12" t="s">
        <v>1196</v>
      </c>
      <c r="D356" s="12">
        <v>1.0</v>
      </c>
      <c r="E356" s="12">
        <v>3411.66</v>
      </c>
      <c r="F356" s="12">
        <v>3411.66</v>
      </c>
    </row>
    <row r="357">
      <c r="A357" s="12" t="s">
        <v>2791</v>
      </c>
      <c r="B357" s="12">
        <v>1563.0</v>
      </c>
      <c r="C357" s="12" t="s">
        <v>1196</v>
      </c>
      <c r="D357" s="12">
        <v>1.0</v>
      </c>
      <c r="E357" s="12">
        <v>1504.79</v>
      </c>
      <c r="F357" s="12">
        <v>1504.79</v>
      </c>
    </row>
    <row r="358">
      <c r="A358" s="12" t="s">
        <v>2794</v>
      </c>
      <c r="B358" s="12">
        <v>1564.0</v>
      </c>
      <c r="C358" s="12" t="s">
        <v>1196</v>
      </c>
      <c r="D358" s="12">
        <v>1.0</v>
      </c>
      <c r="E358" s="12">
        <v>1315.46</v>
      </c>
      <c r="F358" s="12">
        <v>1315.46</v>
      </c>
    </row>
    <row r="359">
      <c r="A359" s="12" t="s">
        <v>2796</v>
      </c>
      <c r="B359" s="12">
        <v>1565.0</v>
      </c>
      <c r="C359" s="12" t="s">
        <v>1196</v>
      </c>
      <c r="D359" s="12">
        <v>1.0</v>
      </c>
      <c r="E359" s="12">
        <v>1040.31</v>
      </c>
      <c r="F359" s="12">
        <v>1040.31</v>
      </c>
    </row>
    <row r="360">
      <c r="A360" s="12" t="s">
        <v>2798</v>
      </c>
      <c r="B360" s="12">
        <v>1566.0</v>
      </c>
      <c r="C360" s="12" t="s">
        <v>1196</v>
      </c>
      <c r="D360" s="12">
        <v>1.0</v>
      </c>
      <c r="E360" s="12">
        <v>1816.11</v>
      </c>
      <c r="F360" s="12">
        <v>1816.11</v>
      </c>
    </row>
    <row r="361">
      <c r="A361" s="12" t="s">
        <v>2800</v>
      </c>
      <c r="B361" s="12" t="s">
        <v>2801</v>
      </c>
      <c r="C361" s="12" t="s">
        <v>1196</v>
      </c>
      <c r="D361" s="12">
        <v>1.0</v>
      </c>
      <c r="E361" s="12">
        <v>8378.4</v>
      </c>
      <c r="F361" s="12">
        <v>8378.4</v>
      </c>
    </row>
    <row r="362">
      <c r="A362" s="12" t="s">
        <v>2804</v>
      </c>
      <c r="B362" s="12">
        <v>1567.0</v>
      </c>
      <c r="C362" s="12" t="s">
        <v>1196</v>
      </c>
      <c r="D362" s="12">
        <v>1.0</v>
      </c>
      <c r="E362" s="12">
        <v>585.0</v>
      </c>
      <c r="F362" s="12">
        <v>585.0</v>
      </c>
    </row>
    <row r="363">
      <c r="A363" s="12" t="s">
        <v>2806</v>
      </c>
      <c r="B363" s="12">
        <v>1568.0</v>
      </c>
      <c r="C363" s="12" t="s">
        <v>2807</v>
      </c>
      <c r="D363" s="12">
        <v>1.0</v>
      </c>
      <c r="E363" s="12">
        <v>855.0</v>
      </c>
      <c r="F363" s="12">
        <v>855.0</v>
      </c>
    </row>
    <row r="364">
      <c r="A364" s="12" t="s">
        <v>2808</v>
      </c>
      <c r="B364" s="12" t="s">
        <v>2809</v>
      </c>
      <c r="C364" s="12" t="s">
        <v>786</v>
      </c>
      <c r="D364" s="12">
        <v>1.0</v>
      </c>
      <c r="E364" s="12">
        <v>351.0</v>
      </c>
      <c r="F364" s="12">
        <v>351.0</v>
      </c>
    </row>
    <row r="365">
      <c r="A365" s="12" t="s">
        <v>2813</v>
      </c>
      <c r="B365" s="12">
        <v>1577.0</v>
      </c>
      <c r="C365" s="12" t="s">
        <v>911</v>
      </c>
      <c r="D365" s="12">
        <v>1.0</v>
      </c>
      <c r="E365" s="12">
        <v>0.0</v>
      </c>
      <c r="F365" s="12">
        <v>0.0</v>
      </c>
    </row>
    <row r="366">
      <c r="A366" s="12" t="s">
        <v>2815</v>
      </c>
      <c r="B366" s="12">
        <v>1575.0</v>
      </c>
      <c r="C366" s="12" t="s">
        <v>874</v>
      </c>
      <c r="D366" s="12">
        <v>1.0</v>
      </c>
      <c r="E366" s="12">
        <v>125.0</v>
      </c>
      <c r="F366" s="12">
        <v>125.0</v>
      </c>
    </row>
    <row r="367">
      <c r="A367" s="12" t="s">
        <v>2818</v>
      </c>
      <c r="B367" s="12">
        <v>1578.0</v>
      </c>
      <c r="C367" s="12" t="s">
        <v>936</v>
      </c>
      <c r="D367" s="12">
        <v>1.0</v>
      </c>
      <c r="E367" s="12">
        <v>523.0</v>
      </c>
      <c r="F367" s="12">
        <v>523.0</v>
      </c>
    </row>
    <row r="368">
      <c r="A368" s="12" t="s">
        <v>2822</v>
      </c>
      <c r="B368" s="12" t="s">
        <v>2824</v>
      </c>
      <c r="C368" s="12" t="s">
        <v>1113</v>
      </c>
      <c r="D368" s="12">
        <v>1.0</v>
      </c>
      <c r="E368" s="12">
        <v>500.0</v>
      </c>
      <c r="F368" s="12">
        <v>500.0</v>
      </c>
    </row>
    <row r="369">
      <c r="A369" s="12" t="s">
        <v>2826</v>
      </c>
      <c r="B369" s="12" t="s">
        <v>2827</v>
      </c>
      <c r="C369" s="12" t="s">
        <v>1113</v>
      </c>
      <c r="D369" s="12">
        <v>1.0</v>
      </c>
      <c r="E369" s="12">
        <v>500.0</v>
      </c>
      <c r="F369" s="12">
        <v>500.0</v>
      </c>
    </row>
    <row r="370">
      <c r="A370" s="12" t="s">
        <v>2831</v>
      </c>
      <c r="B370" s="12" t="s">
        <v>2832</v>
      </c>
      <c r="C370" s="12" t="s">
        <v>1113</v>
      </c>
      <c r="D370" s="12">
        <v>1.0</v>
      </c>
      <c r="E370" s="12">
        <v>500.0</v>
      </c>
      <c r="F370" s="12">
        <v>500.0</v>
      </c>
    </row>
    <row r="371">
      <c r="A371" s="12" t="s">
        <v>2834</v>
      </c>
      <c r="B371" s="12" t="s">
        <v>2835</v>
      </c>
      <c r="C371" s="12" t="s">
        <v>1113</v>
      </c>
      <c r="D371" s="12">
        <v>1.0</v>
      </c>
      <c r="E371" s="12">
        <v>500.0</v>
      </c>
      <c r="F371" s="12">
        <v>500.0</v>
      </c>
    </row>
    <row r="372">
      <c r="A372" s="12" t="s">
        <v>2839</v>
      </c>
      <c r="B372" s="12" t="s">
        <v>2840</v>
      </c>
      <c r="C372" s="12" t="s">
        <v>693</v>
      </c>
      <c r="D372" s="12">
        <v>1.0</v>
      </c>
      <c r="E372" s="12">
        <v>5300.0</v>
      </c>
      <c r="F372" s="12">
        <v>5300.0</v>
      </c>
    </row>
    <row r="373">
      <c r="A373" s="12" t="s">
        <v>2842</v>
      </c>
      <c r="B373" s="12">
        <v>1581.0</v>
      </c>
      <c r="C373" s="12" t="s">
        <v>1040</v>
      </c>
      <c r="D373" s="12">
        <v>1.0</v>
      </c>
      <c r="E373" s="12">
        <v>3949.05</v>
      </c>
      <c r="F373" s="12">
        <v>3949.05</v>
      </c>
    </row>
    <row r="374">
      <c r="A374" s="12" t="s">
        <v>2846</v>
      </c>
      <c r="B374" s="12">
        <v>1582.0</v>
      </c>
      <c r="C374" s="12" t="s">
        <v>1056</v>
      </c>
      <c r="D374" s="12">
        <v>1.0</v>
      </c>
      <c r="E374" s="12">
        <v>1324.89</v>
      </c>
      <c r="F374" s="12">
        <v>1324.89</v>
      </c>
    </row>
    <row r="375">
      <c r="A375" s="12" t="s">
        <v>2848</v>
      </c>
      <c r="B375" s="12">
        <v>1583.0</v>
      </c>
      <c r="C375" s="12" t="s">
        <v>741</v>
      </c>
      <c r="D375" s="12">
        <v>1.0</v>
      </c>
      <c r="E375" s="12">
        <v>1096.14</v>
      </c>
      <c r="F375" s="12">
        <v>1096.14</v>
      </c>
    </row>
    <row r="376">
      <c r="A376" s="12" t="s">
        <v>2851</v>
      </c>
      <c r="B376" s="12">
        <v>1584.0</v>
      </c>
      <c r="C376" s="12" t="s">
        <v>1486</v>
      </c>
      <c r="D376" s="12">
        <v>1.0</v>
      </c>
      <c r="E376" s="12">
        <v>0.0</v>
      </c>
      <c r="F376" s="12">
        <v>0.0</v>
      </c>
    </row>
    <row r="377">
      <c r="A377" s="12" t="s">
        <v>2852</v>
      </c>
      <c r="B377" s="12" t="s">
        <v>2853</v>
      </c>
      <c r="C377" s="12" t="s">
        <v>2855</v>
      </c>
      <c r="D377" s="12">
        <v>1.0</v>
      </c>
      <c r="E377" s="12">
        <v>306.0</v>
      </c>
      <c r="F377" s="12">
        <v>306.0</v>
      </c>
    </row>
    <row r="378">
      <c r="A378" s="12" t="s">
        <v>2857</v>
      </c>
      <c r="B378" s="12" t="s">
        <v>2858</v>
      </c>
      <c r="C378" s="12" t="s">
        <v>1196</v>
      </c>
      <c r="D378" s="12">
        <v>1.0</v>
      </c>
      <c r="E378" s="12">
        <v>2212.33</v>
      </c>
      <c r="F378" s="12">
        <v>2212.33</v>
      </c>
    </row>
    <row r="379">
      <c r="A379" s="12" t="s">
        <v>2860</v>
      </c>
      <c r="B379" s="12" t="s">
        <v>2862</v>
      </c>
      <c r="C379" s="12" t="s">
        <v>1196</v>
      </c>
      <c r="D379" s="12">
        <v>1.0</v>
      </c>
      <c r="E379" s="12">
        <v>0.01</v>
      </c>
      <c r="F379" s="12">
        <v>0.01</v>
      </c>
    </row>
    <row r="380">
      <c r="A380" s="12" t="s">
        <v>2863</v>
      </c>
      <c r="B380" s="12">
        <v>1576.0</v>
      </c>
      <c r="C380" s="12" t="s">
        <v>1756</v>
      </c>
      <c r="D380" s="12">
        <v>1.0</v>
      </c>
      <c r="E380" s="12">
        <v>1078.68</v>
      </c>
      <c r="F380" s="12">
        <v>1078.68</v>
      </c>
    </row>
    <row r="381">
      <c r="A381" s="12" t="s">
        <v>2866</v>
      </c>
      <c r="B381" s="12">
        <v>1591.0</v>
      </c>
      <c r="C381" s="12" t="s">
        <v>820</v>
      </c>
      <c r="D381" s="12">
        <v>1.0</v>
      </c>
      <c r="E381" s="12">
        <v>185.0</v>
      </c>
      <c r="F381" s="12">
        <v>185.0</v>
      </c>
    </row>
    <row r="382">
      <c r="A382" s="12" t="s">
        <v>2868</v>
      </c>
      <c r="B382" s="12" t="s">
        <v>2870</v>
      </c>
      <c r="C382" s="12">
        <v>7.9792017E7</v>
      </c>
      <c r="D382" s="12">
        <v>1.0</v>
      </c>
      <c r="E382" s="12">
        <v>1057.0</v>
      </c>
      <c r="F382" s="12">
        <v>1057.0</v>
      </c>
    </row>
    <row r="383">
      <c r="A383" s="12" t="s">
        <v>2872</v>
      </c>
      <c r="B383" s="12">
        <v>1596.0</v>
      </c>
      <c r="C383" s="12" t="s">
        <v>1818</v>
      </c>
      <c r="D383" s="12">
        <v>1.0</v>
      </c>
      <c r="E383" s="12">
        <v>236.83</v>
      </c>
      <c r="F383" s="12">
        <v>236.83</v>
      </c>
    </row>
    <row r="384">
      <c r="A384" s="12" t="s">
        <v>2877</v>
      </c>
      <c r="B384" s="12" t="s">
        <v>2878</v>
      </c>
      <c r="C384" s="12" t="s">
        <v>1908</v>
      </c>
      <c r="D384" s="12">
        <v>1.0</v>
      </c>
      <c r="E384" s="12">
        <v>1117.77</v>
      </c>
      <c r="F384" s="12">
        <v>1117.77</v>
      </c>
    </row>
    <row r="385">
      <c r="A385" s="12" t="s">
        <v>2880</v>
      </c>
      <c r="B385" s="12" t="s">
        <v>2882</v>
      </c>
      <c r="C385" s="12" t="s">
        <v>1082</v>
      </c>
      <c r="D385" s="12">
        <v>1.0</v>
      </c>
      <c r="E385" s="12">
        <v>1110.0</v>
      </c>
      <c r="F385" s="12">
        <v>1110.0</v>
      </c>
    </row>
    <row r="386">
      <c r="A386" s="12" t="s">
        <v>2885</v>
      </c>
      <c r="B386" s="12" t="s">
        <v>2886</v>
      </c>
      <c r="C386" s="12" t="s">
        <v>1906</v>
      </c>
      <c r="D386" s="12">
        <v>1.0</v>
      </c>
      <c r="E386" s="12">
        <v>398.8</v>
      </c>
      <c r="F386" s="12">
        <v>398.8</v>
      </c>
    </row>
    <row r="387">
      <c r="A387" s="12" t="s">
        <v>2890</v>
      </c>
      <c r="B387" s="12" t="s">
        <v>2891</v>
      </c>
      <c r="C387" s="12" t="s">
        <v>1936</v>
      </c>
      <c r="D387" s="12">
        <v>1.0</v>
      </c>
      <c r="E387" s="12">
        <v>593.12</v>
      </c>
      <c r="F387" s="12">
        <v>593.12</v>
      </c>
    </row>
    <row r="388">
      <c r="A388" s="12" t="s">
        <v>2893</v>
      </c>
      <c r="B388" s="12" t="s">
        <v>2894</v>
      </c>
      <c r="C388" s="12" t="s">
        <v>2895</v>
      </c>
      <c r="D388" s="12">
        <v>1.0</v>
      </c>
      <c r="E388" s="12">
        <v>394.83</v>
      </c>
      <c r="F388" s="12">
        <v>394.83</v>
      </c>
    </row>
    <row r="389">
      <c r="A389" s="12" t="s">
        <v>2900</v>
      </c>
      <c r="B389" s="12" t="s">
        <v>2901</v>
      </c>
      <c r="C389" s="12" t="s">
        <v>2902</v>
      </c>
      <c r="D389" s="12">
        <v>1.0</v>
      </c>
      <c r="E389" s="12">
        <v>134.0</v>
      </c>
      <c r="F389" s="12">
        <v>134.0</v>
      </c>
    </row>
    <row r="390">
      <c r="A390" s="12" t="s">
        <v>2903</v>
      </c>
      <c r="B390" s="12" t="s">
        <v>2904</v>
      </c>
      <c r="C390" s="12" t="s">
        <v>2905</v>
      </c>
      <c r="D390" s="12">
        <v>1.0</v>
      </c>
      <c r="E390" s="12">
        <v>19.99</v>
      </c>
      <c r="F390" s="12">
        <v>19.99</v>
      </c>
    </row>
    <row r="391">
      <c r="A391" s="12" t="s">
        <v>2906</v>
      </c>
      <c r="B391" s="12" t="s">
        <v>2904</v>
      </c>
      <c r="C391" s="12" t="s">
        <v>2907</v>
      </c>
      <c r="D391" s="12">
        <v>0.646</v>
      </c>
      <c r="E391" s="12">
        <v>11.99</v>
      </c>
      <c r="F391" s="12">
        <v>7.75</v>
      </c>
    </row>
    <row r="392">
      <c r="A392" s="12" t="s">
        <v>2908</v>
      </c>
      <c r="B392" s="12" t="s">
        <v>2909</v>
      </c>
      <c r="C392" s="16" t="s">
        <v>2910</v>
      </c>
      <c r="D392" s="12">
        <v>11.0</v>
      </c>
      <c r="E392" s="12">
        <v>30.0</v>
      </c>
      <c r="F392" s="12">
        <v>330.0</v>
      </c>
    </row>
    <row r="393">
      <c r="A393" s="12" t="s">
        <v>2911</v>
      </c>
      <c r="B393" s="12" t="s">
        <v>2912</v>
      </c>
      <c r="C393" s="16" t="s">
        <v>2910</v>
      </c>
      <c r="D393" s="12">
        <v>15.0</v>
      </c>
      <c r="E393" s="12">
        <v>20.0</v>
      </c>
      <c r="F393" s="12">
        <v>300.0</v>
      </c>
    </row>
    <row r="394">
      <c r="A394" s="12" t="s">
        <v>2914</v>
      </c>
      <c r="B394" s="12" t="s">
        <v>2915</v>
      </c>
      <c r="C394" s="12" t="s">
        <v>2916</v>
      </c>
      <c r="D394" s="12">
        <v>3.0</v>
      </c>
      <c r="E394" s="12">
        <v>14.99</v>
      </c>
      <c r="F394" s="12">
        <v>44.97</v>
      </c>
    </row>
    <row r="395">
      <c r="A395" s="12" t="s">
        <v>2919</v>
      </c>
      <c r="B395" s="12" t="s">
        <v>2915</v>
      </c>
      <c r="C395" s="12" t="s">
        <v>661</v>
      </c>
      <c r="D395" s="12">
        <v>1.455</v>
      </c>
      <c r="E395" s="12">
        <v>5.99</v>
      </c>
      <c r="F395" s="12">
        <v>8.72</v>
      </c>
    </row>
    <row r="396">
      <c r="A396" s="12" t="s">
        <v>2922</v>
      </c>
      <c r="B396" s="12" t="s">
        <v>2915</v>
      </c>
      <c r="C396" s="12" t="s">
        <v>661</v>
      </c>
      <c r="D396" s="12">
        <v>1.475</v>
      </c>
      <c r="E396" s="12">
        <v>5.99</v>
      </c>
      <c r="F396" s="12">
        <v>8.84</v>
      </c>
    </row>
    <row r="397">
      <c r="A397" s="12" t="s">
        <v>2925</v>
      </c>
      <c r="B397" s="12" t="s">
        <v>2915</v>
      </c>
      <c r="C397" s="12" t="s">
        <v>2926</v>
      </c>
      <c r="D397" s="12">
        <v>5.495</v>
      </c>
      <c r="E397" s="12">
        <v>29.9</v>
      </c>
      <c r="F397" s="12">
        <v>164.3</v>
      </c>
    </row>
    <row r="398">
      <c r="A398" s="12" t="s">
        <v>2928</v>
      </c>
      <c r="B398" s="12" t="s">
        <v>2915</v>
      </c>
      <c r="C398" s="12" t="s">
        <v>2929</v>
      </c>
      <c r="D398" s="12">
        <v>4.0</v>
      </c>
      <c r="E398" s="12">
        <v>9.49</v>
      </c>
      <c r="F398" s="12">
        <v>37.96</v>
      </c>
    </row>
    <row r="399">
      <c r="A399" s="12" t="s">
        <v>2933</v>
      </c>
      <c r="B399" s="12" t="s">
        <v>2934</v>
      </c>
      <c r="C399" s="12" t="s">
        <v>2907</v>
      </c>
      <c r="D399" s="12">
        <v>0.566</v>
      </c>
      <c r="E399" s="12">
        <v>11.99</v>
      </c>
      <c r="F399" s="12">
        <v>6.79</v>
      </c>
    </row>
    <row r="400">
      <c r="A400" s="12" t="s">
        <v>2936</v>
      </c>
      <c r="B400" s="12" t="s">
        <v>2934</v>
      </c>
      <c r="C400" s="12" t="s">
        <v>2938</v>
      </c>
      <c r="D400" s="12">
        <v>1.0</v>
      </c>
      <c r="E400" s="12">
        <v>13.99</v>
      </c>
      <c r="F400" s="12">
        <v>13.99</v>
      </c>
    </row>
    <row r="401">
      <c r="A401" s="12" t="s">
        <v>2940</v>
      </c>
      <c r="B401" s="12" t="s">
        <v>2934</v>
      </c>
      <c r="C401" s="12" t="s">
        <v>2941</v>
      </c>
      <c r="D401" s="12">
        <v>2.0</v>
      </c>
      <c r="E401" s="12">
        <v>8.99</v>
      </c>
      <c r="F401" s="12">
        <v>17.98</v>
      </c>
    </row>
    <row r="402">
      <c r="A402" s="12" t="s">
        <v>2943</v>
      </c>
      <c r="B402" s="12" t="s">
        <v>2944</v>
      </c>
      <c r="C402" s="12" t="s">
        <v>2941</v>
      </c>
      <c r="D402" s="12">
        <v>1.0</v>
      </c>
      <c r="E402" s="12">
        <v>6.99</v>
      </c>
      <c r="F402" s="12">
        <v>6.99</v>
      </c>
    </row>
    <row r="403">
      <c r="A403" s="12" t="s">
        <v>2947</v>
      </c>
      <c r="B403" s="12" t="s">
        <v>2944</v>
      </c>
      <c r="C403" s="12" t="s">
        <v>2941</v>
      </c>
      <c r="D403" s="12">
        <v>1.0</v>
      </c>
      <c r="E403" s="12">
        <v>6.99</v>
      </c>
      <c r="F403" s="12">
        <v>6.99</v>
      </c>
    </row>
    <row r="404">
      <c r="A404" s="12" t="s">
        <v>2950</v>
      </c>
      <c r="B404" s="12" t="s">
        <v>2944</v>
      </c>
      <c r="C404" s="12" t="s">
        <v>2907</v>
      </c>
      <c r="D404" s="12">
        <v>0.61</v>
      </c>
      <c r="E404" s="12">
        <v>11.99</v>
      </c>
      <c r="F404" s="12">
        <v>7.31</v>
      </c>
    </row>
    <row r="405">
      <c r="A405" s="12" t="s">
        <v>2953</v>
      </c>
      <c r="B405" s="12" t="s">
        <v>2944</v>
      </c>
      <c r="C405" s="12" t="s">
        <v>2926</v>
      </c>
      <c r="D405" s="12">
        <v>3.49</v>
      </c>
      <c r="E405" s="12">
        <v>29.9</v>
      </c>
      <c r="F405" s="12">
        <v>104.35</v>
      </c>
    </row>
    <row r="406">
      <c r="A406" s="12" t="s">
        <v>2955</v>
      </c>
      <c r="B406" s="12" t="s">
        <v>2957</v>
      </c>
      <c r="C406" s="12" t="s">
        <v>2958</v>
      </c>
      <c r="D406" s="12">
        <v>2.0</v>
      </c>
      <c r="E406" s="12">
        <v>234.51</v>
      </c>
      <c r="F406" s="12">
        <v>469.02</v>
      </c>
    </row>
    <row r="407">
      <c r="A407" s="12" t="s">
        <v>2960</v>
      </c>
      <c r="B407" s="12" t="s">
        <v>2957</v>
      </c>
      <c r="C407" s="12" t="s">
        <v>2961</v>
      </c>
      <c r="D407" s="12">
        <v>1.0</v>
      </c>
      <c r="E407" s="12">
        <v>73.51</v>
      </c>
      <c r="F407" s="12">
        <v>73.51</v>
      </c>
    </row>
    <row r="408">
      <c r="A408" s="12" t="s">
        <v>2962</v>
      </c>
      <c r="B408" s="12" t="s">
        <v>2957</v>
      </c>
      <c r="C408" s="12" t="s">
        <v>2965</v>
      </c>
      <c r="D408" s="12">
        <v>5.0</v>
      </c>
      <c r="E408" s="12">
        <v>89.69</v>
      </c>
      <c r="F408" s="12">
        <v>448.45</v>
      </c>
    </row>
    <row r="409">
      <c r="A409" s="12" t="s">
        <v>2966</v>
      </c>
      <c r="B409" s="12" t="s">
        <v>2967</v>
      </c>
      <c r="C409" s="12" t="s">
        <v>2969</v>
      </c>
      <c r="D409" s="12">
        <v>4.0</v>
      </c>
      <c r="E409" s="12">
        <v>4.75</v>
      </c>
      <c r="F409" s="12">
        <v>19.0</v>
      </c>
    </row>
    <row r="410">
      <c r="A410" s="12" t="s">
        <v>2970</v>
      </c>
      <c r="B410" s="12" t="s">
        <v>2971</v>
      </c>
      <c r="C410" s="12" t="s">
        <v>786</v>
      </c>
      <c r="D410" s="12">
        <v>1.0</v>
      </c>
      <c r="E410" s="12">
        <v>17616.25</v>
      </c>
      <c r="F410" s="12">
        <v>17616.25</v>
      </c>
    </row>
    <row r="411">
      <c r="A411" s="12" t="s">
        <v>2975</v>
      </c>
      <c r="B411" s="12" t="s">
        <v>2971</v>
      </c>
      <c r="C411" s="12" t="s">
        <v>925</v>
      </c>
      <c r="D411" s="12">
        <v>1.0</v>
      </c>
      <c r="E411" s="12">
        <v>1673.54</v>
      </c>
      <c r="F411" s="12">
        <v>1673.54</v>
      </c>
    </row>
    <row r="412">
      <c r="A412" s="12" t="s">
        <v>2980</v>
      </c>
      <c r="B412" s="12" t="s">
        <v>2971</v>
      </c>
      <c r="C412" s="12" t="s">
        <v>2982</v>
      </c>
      <c r="D412" s="12">
        <v>1.0</v>
      </c>
      <c r="E412" s="12">
        <v>303.7</v>
      </c>
      <c r="F412" s="12">
        <v>303.7</v>
      </c>
    </row>
    <row r="413">
      <c r="A413" s="12" t="s">
        <v>2983</v>
      </c>
      <c r="B413" s="16" t="s">
        <v>2985</v>
      </c>
      <c r="C413" s="16" t="s">
        <v>2910</v>
      </c>
      <c r="D413" s="12">
        <v>8.0</v>
      </c>
      <c r="E413" s="12">
        <v>33.0</v>
      </c>
      <c r="F413" s="12">
        <v>264.0</v>
      </c>
    </row>
    <row r="414">
      <c r="A414" s="12" t="s">
        <v>2986</v>
      </c>
      <c r="B414" s="12" t="s">
        <v>2989</v>
      </c>
      <c r="C414" s="16" t="s">
        <v>2910</v>
      </c>
      <c r="D414" s="12">
        <v>15.0</v>
      </c>
      <c r="E414" s="12">
        <v>20.0</v>
      </c>
      <c r="F414" s="12">
        <v>300.0</v>
      </c>
    </row>
    <row r="415">
      <c r="A415" s="12" t="s">
        <v>2991</v>
      </c>
      <c r="B415" s="12">
        <v>1605.0</v>
      </c>
      <c r="C415" s="12" t="s">
        <v>1196</v>
      </c>
      <c r="D415" s="17">
        <v>1.0</v>
      </c>
      <c r="E415" s="17">
        <v>585.0</v>
      </c>
      <c r="F415" s="17">
        <v>585.0</v>
      </c>
    </row>
    <row r="416">
      <c r="A416" s="12" t="s">
        <v>2995</v>
      </c>
      <c r="B416" s="12">
        <v>1606.0</v>
      </c>
      <c r="C416" s="12" t="s">
        <v>2807</v>
      </c>
      <c r="D416" s="17">
        <v>1.0</v>
      </c>
      <c r="E416" s="17">
        <v>855.0</v>
      </c>
      <c r="F416" s="17">
        <v>855.0</v>
      </c>
    </row>
    <row r="417">
      <c r="A417" s="12" t="s">
        <v>3000</v>
      </c>
      <c r="B417" s="12" t="s">
        <v>3001</v>
      </c>
      <c r="C417" s="16" t="s">
        <v>3002</v>
      </c>
      <c r="D417" s="12">
        <v>1.0</v>
      </c>
      <c r="E417" s="12">
        <v>20.94</v>
      </c>
      <c r="F417" s="12">
        <v>20.94</v>
      </c>
    </row>
    <row r="418">
      <c r="A418" s="16" t="s">
        <v>3003</v>
      </c>
      <c r="B418" s="12" t="s">
        <v>3001</v>
      </c>
      <c r="C418" s="12" t="s">
        <v>3004</v>
      </c>
      <c r="D418" s="12">
        <v>1.0</v>
      </c>
      <c r="E418" s="12">
        <v>20.94</v>
      </c>
      <c r="F418" s="12">
        <v>20.94</v>
      </c>
    </row>
    <row r="419">
      <c r="A419" s="12" t="s">
        <v>3005</v>
      </c>
      <c r="B419" s="12" t="s">
        <v>3001</v>
      </c>
      <c r="C419" s="12" t="s">
        <v>3006</v>
      </c>
      <c r="D419" s="12">
        <v>1.0</v>
      </c>
      <c r="E419" s="12">
        <v>20.94</v>
      </c>
      <c r="F419" s="12">
        <v>20.94</v>
      </c>
    </row>
    <row r="420">
      <c r="A420" s="12" t="s">
        <v>3007</v>
      </c>
      <c r="B420" s="12" t="s">
        <v>3001</v>
      </c>
      <c r="C420" s="12" t="s">
        <v>3008</v>
      </c>
      <c r="D420" s="12">
        <v>3.0</v>
      </c>
      <c r="E420" s="12">
        <v>41.88</v>
      </c>
      <c r="F420" s="12">
        <v>125.64</v>
      </c>
    </row>
    <row r="421">
      <c r="A421" s="12" t="s">
        <v>3009</v>
      </c>
      <c r="B421" s="12" t="s">
        <v>3001</v>
      </c>
      <c r="C421" s="12" t="s">
        <v>3010</v>
      </c>
      <c r="D421" s="12">
        <v>2.0</v>
      </c>
      <c r="E421" s="12">
        <v>41.88</v>
      </c>
      <c r="F421" s="12">
        <v>83.76</v>
      </c>
    </row>
    <row r="422">
      <c r="A422" s="12" t="s">
        <v>3011</v>
      </c>
      <c r="B422" s="12" t="s">
        <v>3012</v>
      </c>
      <c r="C422" s="12" t="s">
        <v>3013</v>
      </c>
      <c r="D422" s="12">
        <v>2.0</v>
      </c>
      <c r="E422" s="12">
        <v>10.98</v>
      </c>
      <c r="F422" s="12">
        <v>21.96</v>
      </c>
    </row>
    <row r="423">
      <c r="A423" s="12" t="s">
        <v>3014</v>
      </c>
      <c r="B423" s="12" t="s">
        <v>3012</v>
      </c>
      <c r="C423" s="12" t="s">
        <v>3015</v>
      </c>
      <c r="D423" s="12">
        <v>2.0</v>
      </c>
      <c r="E423" s="12">
        <v>24.99</v>
      </c>
      <c r="F423" s="12">
        <v>49.98</v>
      </c>
    </row>
    <row r="424">
      <c r="A424" s="12" t="s">
        <v>3016</v>
      </c>
      <c r="B424" s="12" t="s">
        <v>3012</v>
      </c>
      <c r="C424" s="12" t="s">
        <v>3015</v>
      </c>
      <c r="D424" s="12">
        <v>2.0</v>
      </c>
      <c r="E424" s="12">
        <v>34.9</v>
      </c>
      <c r="F424" s="12">
        <v>69.8</v>
      </c>
    </row>
    <row r="425">
      <c r="A425" s="12" t="s">
        <v>3017</v>
      </c>
      <c r="B425" s="12" t="s">
        <v>3012</v>
      </c>
      <c r="C425" s="12" t="s">
        <v>3019</v>
      </c>
      <c r="D425" s="12">
        <v>2.11</v>
      </c>
      <c r="E425" s="12">
        <v>6.99</v>
      </c>
      <c r="F425" s="12">
        <v>14.75</v>
      </c>
    </row>
    <row r="426">
      <c r="A426" s="12" t="s">
        <v>3020</v>
      </c>
      <c r="B426" s="12" t="s">
        <v>3012</v>
      </c>
      <c r="C426" s="12" t="s">
        <v>3021</v>
      </c>
      <c r="D426" s="12">
        <v>2.0</v>
      </c>
      <c r="E426" s="12">
        <v>12.79</v>
      </c>
      <c r="F426" s="12">
        <v>25.58</v>
      </c>
    </row>
    <row r="427">
      <c r="A427" s="12" t="s">
        <v>3022</v>
      </c>
      <c r="B427" s="12" t="s">
        <v>3012</v>
      </c>
      <c r="C427" s="12" t="s">
        <v>3021</v>
      </c>
      <c r="D427" s="12">
        <v>1.0</v>
      </c>
      <c r="E427" s="12">
        <v>11.99</v>
      </c>
      <c r="F427" s="12">
        <v>11.99</v>
      </c>
    </row>
    <row r="428">
      <c r="A428" s="12" t="s">
        <v>3023</v>
      </c>
      <c r="B428" s="12" t="s">
        <v>3012</v>
      </c>
      <c r="C428" s="12" t="s">
        <v>3021</v>
      </c>
      <c r="D428" s="12">
        <v>1.0</v>
      </c>
      <c r="E428" s="12">
        <v>11.79</v>
      </c>
      <c r="F428" s="12">
        <v>11.79</v>
      </c>
    </row>
    <row r="429">
      <c r="A429" s="12" t="s">
        <v>3025</v>
      </c>
      <c r="B429" s="12" t="s">
        <v>3012</v>
      </c>
      <c r="C429" s="12" t="s">
        <v>2303</v>
      </c>
      <c r="D429" s="12">
        <v>1.0</v>
      </c>
      <c r="E429" s="12">
        <v>9.29</v>
      </c>
      <c r="F429" s="12">
        <v>9.29</v>
      </c>
    </row>
    <row r="430">
      <c r="A430" s="12" t="s">
        <v>3026</v>
      </c>
      <c r="B430" s="12" t="s">
        <v>3012</v>
      </c>
      <c r="C430" s="12" t="s">
        <v>3027</v>
      </c>
      <c r="D430" s="12">
        <v>1.0</v>
      </c>
      <c r="E430" s="12">
        <v>7.99</v>
      </c>
      <c r="F430" s="12">
        <v>7.99</v>
      </c>
    </row>
    <row r="431">
      <c r="A431" s="12" t="s">
        <v>3029</v>
      </c>
      <c r="B431" s="12" t="s">
        <v>3012</v>
      </c>
      <c r="C431" s="12" t="s">
        <v>3030</v>
      </c>
      <c r="D431" s="12">
        <v>6.0</v>
      </c>
      <c r="E431" s="12">
        <v>6.49</v>
      </c>
      <c r="F431" s="12">
        <v>38.94</v>
      </c>
    </row>
    <row r="432">
      <c r="A432" s="12" t="s">
        <v>3031</v>
      </c>
      <c r="B432" s="12" t="s">
        <v>3012</v>
      </c>
      <c r="C432" s="12" t="s">
        <v>3033</v>
      </c>
      <c r="D432" s="12">
        <v>1.0</v>
      </c>
      <c r="E432" s="12">
        <v>11.99</v>
      </c>
      <c r="F432" s="12">
        <v>11.99</v>
      </c>
    </row>
    <row r="433">
      <c r="A433" s="12" t="s">
        <v>3034</v>
      </c>
      <c r="B433" s="12" t="s">
        <v>3012</v>
      </c>
      <c r="C433" s="12" t="s">
        <v>3035</v>
      </c>
      <c r="D433" s="12">
        <v>1.0</v>
      </c>
      <c r="E433" s="12">
        <v>22.49</v>
      </c>
      <c r="F433" s="12">
        <v>22.49</v>
      </c>
    </row>
    <row r="434">
      <c r="A434" s="12" t="s">
        <v>3037</v>
      </c>
      <c r="B434" s="12" t="s">
        <v>3038</v>
      </c>
      <c r="C434" s="12" t="s">
        <v>3039</v>
      </c>
      <c r="D434" s="12">
        <v>1.052</v>
      </c>
      <c r="E434" s="12">
        <v>3.99</v>
      </c>
      <c r="F434" s="12">
        <v>4.2</v>
      </c>
    </row>
    <row r="435">
      <c r="A435" s="12" t="s">
        <v>3043</v>
      </c>
      <c r="B435" s="12" t="s">
        <v>3038</v>
      </c>
      <c r="C435" s="12" t="s">
        <v>3019</v>
      </c>
      <c r="D435" s="12">
        <v>1.832</v>
      </c>
      <c r="E435" s="12">
        <v>7.99</v>
      </c>
      <c r="F435" s="12">
        <v>14.64</v>
      </c>
    </row>
    <row r="436">
      <c r="A436" s="12" t="s">
        <v>3046</v>
      </c>
      <c r="B436" s="12" t="s">
        <v>3038</v>
      </c>
      <c r="C436" s="12" t="s">
        <v>2941</v>
      </c>
      <c r="D436" s="12">
        <v>2.0</v>
      </c>
      <c r="E436" s="12">
        <v>8.99</v>
      </c>
      <c r="F436" s="12">
        <v>17.98</v>
      </c>
    </row>
    <row r="437">
      <c r="A437" s="12" t="s">
        <v>3047</v>
      </c>
      <c r="B437" s="12" t="s">
        <v>3048</v>
      </c>
      <c r="C437" s="12" t="s">
        <v>717</v>
      </c>
      <c r="D437" s="12">
        <v>1.0</v>
      </c>
      <c r="E437" s="12">
        <v>2475.0</v>
      </c>
      <c r="F437" s="12">
        <v>2475.0</v>
      </c>
    </row>
    <row r="438">
      <c r="A438" s="12" t="s">
        <v>3049</v>
      </c>
      <c r="B438" s="12" t="s">
        <v>3048</v>
      </c>
      <c r="C438" s="12" t="s">
        <v>2982</v>
      </c>
      <c r="D438" s="12">
        <v>1.0</v>
      </c>
      <c r="E438" s="12">
        <v>241.31</v>
      </c>
      <c r="F438" s="12">
        <v>241.31</v>
      </c>
    </row>
    <row r="439">
      <c r="A439" s="12" t="s">
        <v>3051</v>
      </c>
      <c r="B439" s="12" t="s">
        <v>3052</v>
      </c>
      <c r="C439" s="12" t="s">
        <v>1756</v>
      </c>
      <c r="D439" s="12">
        <v>1.0</v>
      </c>
      <c r="E439" s="12">
        <v>2599.84</v>
      </c>
      <c r="F439" s="12">
        <v>2599.84</v>
      </c>
    </row>
    <row r="440">
      <c r="A440" s="12" t="s">
        <v>3053</v>
      </c>
      <c r="B440" s="12" t="s">
        <v>3054</v>
      </c>
      <c r="C440" s="12" t="s">
        <v>3055</v>
      </c>
      <c r="D440" s="12">
        <v>4.0</v>
      </c>
      <c r="E440" s="12">
        <v>10.0</v>
      </c>
      <c r="F440" s="12">
        <v>40.0</v>
      </c>
    </row>
    <row r="441">
      <c r="A441" s="12" t="s">
        <v>3058</v>
      </c>
      <c r="B441" s="12" t="s">
        <v>3059</v>
      </c>
      <c r="C441" s="12" t="s">
        <v>3019</v>
      </c>
      <c r="D441" s="12">
        <v>3.265</v>
      </c>
      <c r="E441" s="12">
        <v>5.99</v>
      </c>
      <c r="F441" s="12">
        <v>19.56</v>
      </c>
    </row>
    <row r="442">
      <c r="A442" s="12" t="s">
        <v>3061</v>
      </c>
      <c r="B442" s="12" t="s">
        <v>3062</v>
      </c>
      <c r="C442" s="12" t="s">
        <v>3064</v>
      </c>
      <c r="D442" s="12">
        <v>9.0</v>
      </c>
      <c r="E442" s="12">
        <v>8.99</v>
      </c>
      <c r="F442" s="12">
        <v>80.91</v>
      </c>
    </row>
    <row r="443">
      <c r="A443" s="12" t="s">
        <v>3066</v>
      </c>
      <c r="B443" s="12" t="s">
        <v>3062</v>
      </c>
      <c r="C443" s="12" t="s">
        <v>3071</v>
      </c>
      <c r="D443" s="12">
        <v>1.0</v>
      </c>
      <c r="E443" s="12">
        <v>9.9</v>
      </c>
      <c r="F443" s="12">
        <v>9.9</v>
      </c>
    </row>
    <row r="444">
      <c r="A444" s="12" t="s">
        <v>3072</v>
      </c>
      <c r="B444" s="12" t="s">
        <v>3062</v>
      </c>
      <c r="C444" s="12" t="s">
        <v>3074</v>
      </c>
      <c r="D444" s="12">
        <v>1.0</v>
      </c>
      <c r="E444" s="12">
        <v>6.99</v>
      </c>
      <c r="F444" s="12">
        <v>6.99</v>
      </c>
    </row>
    <row r="445">
      <c r="A445" s="12" t="s">
        <v>3075</v>
      </c>
      <c r="B445" s="12" t="s">
        <v>3062</v>
      </c>
      <c r="C445" s="12" t="s">
        <v>3076</v>
      </c>
      <c r="D445" s="12">
        <v>2.0</v>
      </c>
      <c r="E445" s="12">
        <v>8.49</v>
      </c>
      <c r="F445" s="12">
        <v>16.98</v>
      </c>
    </row>
    <row r="446">
      <c r="A446" s="12" t="s">
        <v>3078</v>
      </c>
      <c r="B446" s="12" t="s">
        <v>3062</v>
      </c>
      <c r="C446" s="12" t="s">
        <v>3071</v>
      </c>
      <c r="D446" s="12">
        <v>1.0</v>
      </c>
      <c r="E446" s="12">
        <v>9.9</v>
      </c>
      <c r="F446" s="12">
        <v>9.9</v>
      </c>
    </row>
    <row r="447">
      <c r="A447" s="12" t="s">
        <v>3079</v>
      </c>
      <c r="B447" s="12" t="s">
        <v>3062</v>
      </c>
      <c r="C447" s="12" t="s">
        <v>3080</v>
      </c>
      <c r="D447" s="12">
        <v>1.0</v>
      </c>
      <c r="E447" s="12">
        <v>19.49</v>
      </c>
      <c r="F447" s="12">
        <v>19.49</v>
      </c>
    </row>
    <row r="448">
      <c r="A448" s="12" t="s">
        <v>3081</v>
      </c>
      <c r="B448" s="12" t="s">
        <v>3062</v>
      </c>
      <c r="C448" s="12" t="s">
        <v>3039</v>
      </c>
      <c r="D448" s="12">
        <v>1.195</v>
      </c>
      <c r="E448" s="12">
        <v>5.99</v>
      </c>
      <c r="F448" s="12">
        <v>7.16</v>
      </c>
    </row>
    <row r="449">
      <c r="A449" s="12" t="s">
        <v>3084</v>
      </c>
      <c r="B449" s="12" t="s">
        <v>3062</v>
      </c>
      <c r="C449" s="12" t="s">
        <v>3039</v>
      </c>
      <c r="D449" s="12">
        <v>1.225</v>
      </c>
      <c r="E449" s="12">
        <v>5.99</v>
      </c>
      <c r="F449" s="12">
        <v>7.34</v>
      </c>
    </row>
    <row r="450">
      <c r="A450" s="12" t="s">
        <v>3087</v>
      </c>
      <c r="B450" s="12" t="s">
        <v>3062</v>
      </c>
      <c r="C450" s="12" t="s">
        <v>3039</v>
      </c>
      <c r="D450" s="12">
        <v>1.45</v>
      </c>
      <c r="E450" s="12">
        <v>5.99</v>
      </c>
      <c r="F450" s="12">
        <v>8.69</v>
      </c>
    </row>
    <row r="451">
      <c r="A451" s="12" t="s">
        <v>3090</v>
      </c>
      <c r="B451" s="12" t="s">
        <v>3062</v>
      </c>
      <c r="C451" s="12" t="s">
        <v>3039</v>
      </c>
      <c r="D451" s="12">
        <v>1.245</v>
      </c>
      <c r="E451" s="12">
        <v>5.99</v>
      </c>
      <c r="F451" s="12">
        <v>7.46</v>
      </c>
    </row>
    <row r="452">
      <c r="A452" s="12" t="s">
        <v>3094</v>
      </c>
      <c r="B452" s="12" t="s">
        <v>3062</v>
      </c>
      <c r="C452" s="12" t="s">
        <v>2941</v>
      </c>
      <c r="D452" s="12">
        <v>3.0</v>
      </c>
      <c r="E452" s="12">
        <v>6.99</v>
      </c>
      <c r="F452" s="12">
        <v>20.97</v>
      </c>
    </row>
    <row r="453">
      <c r="A453" s="12" t="s">
        <v>3096</v>
      </c>
      <c r="B453" s="12" t="s">
        <v>3098</v>
      </c>
      <c r="C453" s="12" t="s">
        <v>3100</v>
      </c>
      <c r="D453" s="12">
        <v>1.0</v>
      </c>
      <c r="E453" s="12">
        <v>35.0</v>
      </c>
      <c r="F453" s="12">
        <v>35.0</v>
      </c>
    </row>
    <row r="454">
      <c r="A454" s="12" t="s">
        <v>3101</v>
      </c>
      <c r="B454" s="12" t="s">
        <v>3102</v>
      </c>
      <c r="C454" s="12" t="s">
        <v>3103</v>
      </c>
      <c r="D454" s="12">
        <v>2.0</v>
      </c>
      <c r="E454" s="12">
        <v>17.5</v>
      </c>
      <c r="F454" s="12">
        <v>35.0</v>
      </c>
    </row>
    <row r="455">
      <c r="A455" s="12" t="s">
        <v>3104</v>
      </c>
      <c r="B455" s="12" t="s">
        <v>3105</v>
      </c>
      <c r="C455" s="12" t="s">
        <v>3106</v>
      </c>
      <c r="D455" s="12">
        <v>1.0</v>
      </c>
      <c r="E455" s="12">
        <v>6996.08</v>
      </c>
      <c r="F455" s="12">
        <v>6996.08</v>
      </c>
    </row>
    <row r="456">
      <c r="A456" s="16" t="s">
        <v>3107</v>
      </c>
      <c r="B456" s="12" t="s">
        <v>3105</v>
      </c>
      <c r="C456" s="12" t="s">
        <v>925</v>
      </c>
      <c r="D456" s="12">
        <v>1.0</v>
      </c>
      <c r="E456" s="12">
        <v>664.63</v>
      </c>
      <c r="F456" s="12">
        <v>664.63</v>
      </c>
    </row>
    <row r="457">
      <c r="A457" s="12" t="s">
        <v>3109</v>
      </c>
      <c r="B457" s="12" t="s">
        <v>3110</v>
      </c>
      <c r="C457" s="12" t="s">
        <v>3111</v>
      </c>
      <c r="D457" s="12">
        <v>10.0</v>
      </c>
      <c r="E457" s="12">
        <v>14.28</v>
      </c>
      <c r="F457" s="12">
        <v>142.8</v>
      </c>
    </row>
    <row r="458">
      <c r="A458" s="12" t="s">
        <v>3113</v>
      </c>
      <c r="B458" s="12" t="s">
        <v>3110</v>
      </c>
      <c r="C458" s="12" t="s">
        <v>3114</v>
      </c>
      <c r="D458" s="12">
        <v>10.0</v>
      </c>
      <c r="E458" s="12">
        <v>12.48</v>
      </c>
      <c r="F458" s="12">
        <v>124.8</v>
      </c>
    </row>
    <row r="459">
      <c r="A459" s="12" t="s">
        <v>3116</v>
      </c>
      <c r="B459" s="16" t="s">
        <v>3118</v>
      </c>
      <c r="C459" s="12" t="s">
        <v>3120</v>
      </c>
      <c r="D459" s="12">
        <v>1.0</v>
      </c>
      <c r="E459" s="12">
        <v>7.0</v>
      </c>
      <c r="F459" s="12">
        <v>7.0</v>
      </c>
    </row>
    <row r="460">
      <c r="A460" s="12" t="s">
        <v>3122</v>
      </c>
      <c r="B460" s="16" t="s">
        <v>3118</v>
      </c>
      <c r="C460" s="12" t="s">
        <v>3123</v>
      </c>
      <c r="D460" s="12">
        <v>2.6</v>
      </c>
      <c r="E460" s="12">
        <v>16.5</v>
      </c>
      <c r="F460" s="12">
        <v>42.9</v>
      </c>
    </row>
    <row r="461">
      <c r="A461" s="12" t="s">
        <v>3125</v>
      </c>
      <c r="B461" s="16" t="s">
        <v>3118</v>
      </c>
      <c r="C461" s="12" t="s">
        <v>3126</v>
      </c>
      <c r="D461" s="12">
        <v>1.0</v>
      </c>
      <c r="E461" s="12">
        <v>27.9</v>
      </c>
      <c r="F461" s="12">
        <v>27.9</v>
      </c>
    </row>
    <row r="462">
      <c r="A462" s="12" t="s">
        <v>3127</v>
      </c>
      <c r="B462" s="12" t="s">
        <v>3129</v>
      </c>
      <c r="C462" s="12" t="s">
        <v>3130</v>
      </c>
      <c r="D462" s="12">
        <v>1.0</v>
      </c>
      <c r="E462" s="12">
        <v>9.0</v>
      </c>
      <c r="F462" s="12">
        <v>9.0</v>
      </c>
    </row>
    <row r="463">
      <c r="A463" s="12" t="s">
        <v>3131</v>
      </c>
      <c r="B463" s="12" t="s">
        <v>3129</v>
      </c>
      <c r="C463" s="12" t="s">
        <v>3132</v>
      </c>
      <c r="D463" s="12">
        <v>1.0</v>
      </c>
      <c r="E463" s="12">
        <v>12.9</v>
      </c>
      <c r="F463" s="12">
        <v>12.9</v>
      </c>
    </row>
    <row r="464">
      <c r="A464" s="12" t="s">
        <v>3133</v>
      </c>
      <c r="B464" s="12" t="s">
        <v>3134</v>
      </c>
      <c r="C464" s="12" t="s">
        <v>2907</v>
      </c>
      <c r="D464" s="12">
        <v>0.686</v>
      </c>
      <c r="E464" s="12">
        <v>13.99</v>
      </c>
      <c r="F464" s="12">
        <v>9.6</v>
      </c>
    </row>
    <row r="465">
      <c r="A465" s="12" t="s">
        <v>3136</v>
      </c>
      <c r="B465" s="12" t="s">
        <v>3134</v>
      </c>
      <c r="C465" s="12" t="s">
        <v>2926</v>
      </c>
      <c r="D465" s="12">
        <v>6.245</v>
      </c>
      <c r="E465" s="12">
        <v>32.49</v>
      </c>
      <c r="F465" s="12">
        <v>202.9</v>
      </c>
    </row>
    <row r="466">
      <c r="A466" s="12" t="s">
        <v>3141</v>
      </c>
      <c r="B466" s="12" t="s">
        <v>3134</v>
      </c>
      <c r="C466" s="12" t="s">
        <v>2941</v>
      </c>
      <c r="D466" s="12">
        <v>2.0</v>
      </c>
      <c r="E466" s="12">
        <v>9.99</v>
      </c>
      <c r="F466" s="12">
        <v>19.98</v>
      </c>
    </row>
    <row r="467">
      <c r="A467" s="12" t="s">
        <v>3142</v>
      </c>
      <c r="B467" s="12" t="s">
        <v>3134</v>
      </c>
      <c r="C467" s="12" t="s">
        <v>3064</v>
      </c>
      <c r="D467" s="12">
        <v>20.0</v>
      </c>
      <c r="E467" s="12">
        <v>9.99</v>
      </c>
      <c r="F467" s="12">
        <v>199.8</v>
      </c>
    </row>
    <row r="468">
      <c r="A468" s="12" t="s">
        <v>3145</v>
      </c>
      <c r="B468" s="12" t="s">
        <v>3147</v>
      </c>
      <c r="C468" s="12" t="s">
        <v>3039</v>
      </c>
      <c r="D468" s="12">
        <v>2.055</v>
      </c>
      <c r="E468" s="12">
        <v>5.99</v>
      </c>
      <c r="F468" s="12">
        <v>12.31</v>
      </c>
    </row>
    <row r="469">
      <c r="A469" s="12" t="s">
        <v>3149</v>
      </c>
      <c r="B469" s="12" t="s">
        <v>3151</v>
      </c>
      <c r="C469" s="12" t="s">
        <v>2938</v>
      </c>
      <c r="D469" s="12">
        <v>12.0</v>
      </c>
      <c r="E469" s="12">
        <v>4.9</v>
      </c>
      <c r="F469" s="12">
        <v>58.8</v>
      </c>
    </row>
    <row r="470">
      <c r="A470" s="12" t="s">
        <v>3155</v>
      </c>
      <c r="B470" s="12" t="s">
        <v>3151</v>
      </c>
      <c r="C470" s="12" t="s">
        <v>3157</v>
      </c>
      <c r="D470" s="12">
        <v>12.0</v>
      </c>
      <c r="E470" s="12">
        <v>5.2</v>
      </c>
      <c r="F470" s="12">
        <v>62.4</v>
      </c>
    </row>
    <row r="471">
      <c r="A471" s="12" t="s">
        <v>3160</v>
      </c>
      <c r="B471" s="16" t="s">
        <v>3161</v>
      </c>
      <c r="C471" s="12" t="s">
        <v>3010</v>
      </c>
      <c r="D471" s="12">
        <v>1.0</v>
      </c>
      <c r="E471" s="12">
        <v>41.88</v>
      </c>
      <c r="F471" s="12">
        <v>41.88</v>
      </c>
    </row>
    <row r="472">
      <c r="A472" s="12" t="s">
        <v>3163</v>
      </c>
      <c r="B472" s="16" t="s">
        <v>3161</v>
      </c>
      <c r="C472" s="12" t="s">
        <v>3008</v>
      </c>
      <c r="D472" s="12">
        <v>3.0</v>
      </c>
      <c r="E472" s="12">
        <v>41.88</v>
      </c>
      <c r="F472" s="12">
        <v>125.64</v>
      </c>
    </row>
    <row r="473">
      <c r="A473" s="12" t="s">
        <v>3167</v>
      </c>
      <c r="B473" s="16" t="s">
        <v>3161</v>
      </c>
      <c r="C473" s="12" t="s">
        <v>3169</v>
      </c>
      <c r="D473" s="12">
        <v>1.0</v>
      </c>
      <c r="E473" s="12">
        <v>37.8</v>
      </c>
      <c r="F473" s="12">
        <v>37.8</v>
      </c>
    </row>
    <row r="474">
      <c r="A474" s="12" t="s">
        <v>3171</v>
      </c>
      <c r="B474" s="12" t="s">
        <v>3172</v>
      </c>
      <c r="C474" s="12" t="s">
        <v>3039</v>
      </c>
      <c r="D474" s="12">
        <v>2.3</v>
      </c>
      <c r="E474" s="12">
        <v>2.99</v>
      </c>
      <c r="F474" s="12">
        <v>6.88</v>
      </c>
    </row>
    <row r="475">
      <c r="A475" s="12" t="s">
        <v>3173</v>
      </c>
      <c r="B475" s="12" t="s">
        <v>3172</v>
      </c>
      <c r="C475" s="12" t="s">
        <v>3174</v>
      </c>
      <c r="D475" s="12">
        <v>1.0</v>
      </c>
      <c r="E475" s="12">
        <v>8.49</v>
      </c>
      <c r="F475" s="12">
        <v>8.49</v>
      </c>
    </row>
    <row r="476">
      <c r="A476" s="12" t="s">
        <v>3175</v>
      </c>
      <c r="B476" s="12" t="s">
        <v>3172</v>
      </c>
      <c r="C476" s="12" t="s">
        <v>2929</v>
      </c>
      <c r="D476" s="12">
        <v>3.0</v>
      </c>
      <c r="E476" s="12">
        <v>9.49</v>
      </c>
      <c r="F476" s="12">
        <v>28.47</v>
      </c>
    </row>
    <row r="477">
      <c r="A477" s="12" t="s">
        <v>3176</v>
      </c>
      <c r="B477" s="12" t="s">
        <v>3172</v>
      </c>
      <c r="C477" s="12" t="s">
        <v>3177</v>
      </c>
      <c r="D477" s="12">
        <v>1.0</v>
      </c>
      <c r="E477" s="12">
        <v>16.99</v>
      </c>
      <c r="F477" s="12">
        <v>16.99</v>
      </c>
    </row>
    <row r="478">
      <c r="A478" s="12" t="s">
        <v>3178</v>
      </c>
      <c r="B478" s="12" t="s">
        <v>3172</v>
      </c>
      <c r="C478" s="12" t="s">
        <v>3019</v>
      </c>
      <c r="D478" s="12">
        <v>1.57</v>
      </c>
      <c r="E478" s="12">
        <v>4.99</v>
      </c>
      <c r="F478" s="12">
        <v>7.83</v>
      </c>
    </row>
    <row r="479">
      <c r="A479" s="12" t="s">
        <v>3179</v>
      </c>
      <c r="B479" s="12" t="s">
        <v>3172</v>
      </c>
      <c r="C479" s="12" t="s">
        <v>3180</v>
      </c>
      <c r="D479" s="12">
        <v>1.0</v>
      </c>
      <c r="E479" s="12">
        <v>16.99</v>
      </c>
      <c r="F479" s="12">
        <v>16.99</v>
      </c>
    </row>
    <row r="480">
      <c r="A480" s="12" t="s">
        <v>3181</v>
      </c>
      <c r="B480" s="12" t="s">
        <v>3172</v>
      </c>
      <c r="C480" s="12" t="s">
        <v>2916</v>
      </c>
      <c r="D480" s="12">
        <v>2.0</v>
      </c>
      <c r="E480" s="12">
        <v>12.99</v>
      </c>
      <c r="F480" s="12">
        <v>25.98</v>
      </c>
    </row>
    <row r="481">
      <c r="A481" s="12" t="s">
        <v>3184</v>
      </c>
      <c r="B481" s="12" t="s">
        <v>3172</v>
      </c>
      <c r="C481" s="12" t="s">
        <v>2941</v>
      </c>
      <c r="D481" s="12">
        <v>2.0</v>
      </c>
      <c r="E481" s="12">
        <v>4.99</v>
      </c>
      <c r="F481" s="12">
        <v>9.98</v>
      </c>
    </row>
    <row r="482">
      <c r="A482" s="12" t="s">
        <v>3187</v>
      </c>
      <c r="B482" s="12" t="s">
        <v>3188</v>
      </c>
      <c r="C482" s="12" t="s">
        <v>786</v>
      </c>
      <c r="D482" s="12">
        <v>1.0</v>
      </c>
      <c r="E482" s="12">
        <v>493.0</v>
      </c>
      <c r="F482" s="12">
        <v>493.0</v>
      </c>
    </row>
    <row r="483">
      <c r="A483" s="12" t="s">
        <v>3191</v>
      </c>
      <c r="B483" s="12" t="s">
        <v>3188</v>
      </c>
      <c r="C483" s="12" t="s">
        <v>925</v>
      </c>
      <c r="D483" s="12">
        <v>1.0</v>
      </c>
      <c r="E483" s="12">
        <v>46.84</v>
      </c>
      <c r="F483" s="12">
        <v>46.84</v>
      </c>
    </row>
    <row r="484">
      <c r="A484" s="12" t="s">
        <v>3194</v>
      </c>
      <c r="B484" s="12" t="s">
        <v>3195</v>
      </c>
      <c r="C484" s="16" t="s">
        <v>2910</v>
      </c>
      <c r="D484" s="12">
        <v>10.0</v>
      </c>
      <c r="E484" s="12">
        <v>33.0</v>
      </c>
      <c r="F484" s="12">
        <v>330.0</v>
      </c>
    </row>
    <row r="485">
      <c r="A485" s="12" t="s">
        <v>3196</v>
      </c>
      <c r="B485" s="12" t="s">
        <v>3197</v>
      </c>
      <c r="C485" s="16" t="s">
        <v>2910</v>
      </c>
      <c r="D485" s="12">
        <v>18.0</v>
      </c>
      <c r="E485" s="12">
        <v>25.0</v>
      </c>
      <c r="F485" s="12">
        <v>450.0</v>
      </c>
    </row>
    <row r="486">
      <c r="A486" s="12" t="s">
        <v>3201</v>
      </c>
      <c r="B486" s="12" t="s">
        <v>3202</v>
      </c>
      <c r="C486" s="12" t="s">
        <v>3203</v>
      </c>
      <c r="D486" s="12">
        <v>3.0</v>
      </c>
      <c r="E486" s="12">
        <v>3.0</v>
      </c>
      <c r="F486" s="12">
        <v>9.0</v>
      </c>
    </row>
    <row r="487">
      <c r="A487" s="12" t="s">
        <v>3205</v>
      </c>
      <c r="B487" s="12" t="s">
        <v>3202</v>
      </c>
      <c r="C487" s="12" t="s">
        <v>2303</v>
      </c>
      <c r="D487" s="12">
        <v>2.0</v>
      </c>
      <c r="E487" s="12">
        <v>7.0</v>
      </c>
      <c r="F487" s="12">
        <v>14.0</v>
      </c>
    </row>
    <row r="488">
      <c r="A488" s="12" t="s">
        <v>3208</v>
      </c>
      <c r="B488" s="12" t="s">
        <v>3209</v>
      </c>
      <c r="C488" s="12" t="s">
        <v>2926</v>
      </c>
      <c r="D488" s="12">
        <v>4.305</v>
      </c>
      <c r="E488" s="12">
        <v>32.49</v>
      </c>
      <c r="F488" s="12">
        <v>139.87</v>
      </c>
    </row>
    <row r="489">
      <c r="A489" s="12" t="s">
        <v>3210</v>
      </c>
      <c r="B489" s="12" t="s">
        <v>3209</v>
      </c>
      <c r="C489" s="12" t="s">
        <v>2926</v>
      </c>
      <c r="D489" s="12">
        <v>4.13</v>
      </c>
      <c r="E489" s="12">
        <v>32.49</v>
      </c>
      <c r="F489" s="12">
        <v>134.18</v>
      </c>
    </row>
    <row r="490">
      <c r="A490" s="12" t="s">
        <v>3214</v>
      </c>
      <c r="B490" s="12" t="s">
        <v>3209</v>
      </c>
      <c r="C490" s="12" t="s">
        <v>3064</v>
      </c>
      <c r="D490" s="12">
        <v>20.0</v>
      </c>
      <c r="E490" s="12">
        <v>9.99</v>
      </c>
      <c r="F490" s="12">
        <v>199.8</v>
      </c>
    </row>
    <row r="491">
      <c r="A491" s="12" t="s">
        <v>3216</v>
      </c>
      <c r="B491" s="12" t="s">
        <v>3217</v>
      </c>
      <c r="C491" s="12" t="s">
        <v>3019</v>
      </c>
      <c r="D491" s="12">
        <v>1.585</v>
      </c>
      <c r="E491" s="12">
        <v>6.99</v>
      </c>
      <c r="F491" s="12">
        <v>11.08</v>
      </c>
    </row>
    <row r="492">
      <c r="A492" s="12" t="s">
        <v>3219</v>
      </c>
      <c r="B492" s="12" t="s">
        <v>3217</v>
      </c>
      <c r="C492" s="12" t="s">
        <v>2941</v>
      </c>
      <c r="D492" s="12">
        <v>2.0</v>
      </c>
      <c r="E492" s="12">
        <v>7.99</v>
      </c>
      <c r="F492" s="12">
        <v>15.98</v>
      </c>
    </row>
    <row r="493">
      <c r="A493" s="12" t="s">
        <v>3223</v>
      </c>
      <c r="B493" s="12" t="s">
        <v>3217</v>
      </c>
      <c r="C493" s="12" t="s">
        <v>3039</v>
      </c>
      <c r="D493" s="12">
        <v>1.9</v>
      </c>
      <c r="E493" s="12">
        <v>5.99</v>
      </c>
      <c r="F493" s="12">
        <v>11.38</v>
      </c>
    </row>
    <row r="494">
      <c r="A494" s="12" t="s">
        <v>3225</v>
      </c>
      <c r="B494" s="12" t="s">
        <v>3227</v>
      </c>
      <c r="C494" s="12" t="s">
        <v>3039</v>
      </c>
      <c r="D494" s="12">
        <v>3.005</v>
      </c>
      <c r="E494" s="12">
        <v>5.99</v>
      </c>
      <c r="F494" s="12">
        <v>18.0</v>
      </c>
    </row>
    <row r="495">
      <c r="A495" s="12" t="s">
        <v>3229</v>
      </c>
      <c r="B495" s="12" t="s">
        <v>3227</v>
      </c>
      <c r="C495" s="12" t="s">
        <v>2941</v>
      </c>
      <c r="D495" s="12">
        <v>2.0</v>
      </c>
      <c r="E495" s="12">
        <v>8.99</v>
      </c>
      <c r="F495" s="12">
        <v>17.98</v>
      </c>
    </row>
    <row r="496">
      <c r="A496" s="12" t="s">
        <v>3231</v>
      </c>
      <c r="B496" s="12" t="s">
        <v>3227</v>
      </c>
      <c r="C496" s="12" t="s">
        <v>3019</v>
      </c>
      <c r="D496" s="12">
        <v>1.89</v>
      </c>
      <c r="E496" s="12">
        <v>6.99</v>
      </c>
      <c r="F496" s="12">
        <v>13.21</v>
      </c>
    </row>
    <row r="497">
      <c r="A497" s="12" t="s">
        <v>3233</v>
      </c>
      <c r="B497" s="12" t="s">
        <v>3227</v>
      </c>
      <c r="C497" s="12" t="s">
        <v>2907</v>
      </c>
      <c r="D497" s="12">
        <v>0.42</v>
      </c>
      <c r="E497" s="12">
        <v>11.99</v>
      </c>
      <c r="F497" s="12">
        <v>5.04</v>
      </c>
    </row>
    <row r="498">
      <c r="A498" s="12" t="s">
        <v>3235</v>
      </c>
      <c r="B498" s="12" t="s">
        <v>3227</v>
      </c>
      <c r="C498" s="12" t="s">
        <v>2938</v>
      </c>
      <c r="D498" s="12">
        <v>1.0</v>
      </c>
      <c r="E498" s="12">
        <v>10.99</v>
      </c>
      <c r="F498" s="12">
        <v>10.99</v>
      </c>
    </row>
    <row r="499">
      <c r="A499" s="12" t="s">
        <v>3236</v>
      </c>
      <c r="B499" s="12" t="s">
        <v>3227</v>
      </c>
      <c r="C499" s="12" t="s">
        <v>3238</v>
      </c>
      <c r="D499" s="12">
        <v>0.496</v>
      </c>
      <c r="E499" s="12">
        <v>44.9</v>
      </c>
      <c r="F499" s="12">
        <v>22.27</v>
      </c>
    </row>
    <row r="500">
      <c r="A500" s="12" t="s">
        <v>3239</v>
      </c>
      <c r="B500" s="12" t="s">
        <v>3227</v>
      </c>
      <c r="C500" s="12" t="s">
        <v>3076</v>
      </c>
      <c r="D500" s="12">
        <v>1.0</v>
      </c>
      <c r="E500" s="12">
        <v>8.49</v>
      </c>
      <c r="F500" s="12">
        <v>8.49</v>
      </c>
    </row>
    <row r="501">
      <c r="A501" s="12" t="s">
        <v>3240</v>
      </c>
      <c r="B501" s="12" t="s">
        <v>3227</v>
      </c>
      <c r="C501" s="12" t="s">
        <v>3071</v>
      </c>
      <c r="D501" s="12">
        <v>2.0</v>
      </c>
      <c r="E501" s="12">
        <v>12.99</v>
      </c>
      <c r="F501" s="12">
        <v>25.98</v>
      </c>
    </row>
    <row r="502">
      <c r="A502" s="12" t="s">
        <v>3244</v>
      </c>
      <c r="B502" s="12" t="s">
        <v>3227</v>
      </c>
      <c r="C502" s="12" t="s">
        <v>3245</v>
      </c>
      <c r="D502" s="12">
        <v>2.0</v>
      </c>
      <c r="E502" s="12">
        <v>9.79</v>
      </c>
      <c r="F502" s="12">
        <v>19.58</v>
      </c>
    </row>
    <row r="503">
      <c r="A503" s="12" t="s">
        <v>3248</v>
      </c>
      <c r="B503" s="12" t="s">
        <v>3249</v>
      </c>
      <c r="C503" s="12" t="s">
        <v>2907</v>
      </c>
      <c r="D503" s="12">
        <v>0.626</v>
      </c>
      <c r="E503" s="12">
        <v>11.99</v>
      </c>
      <c r="F503" s="12">
        <v>7.51</v>
      </c>
    </row>
    <row r="504">
      <c r="A504" s="12" t="s">
        <v>3250</v>
      </c>
      <c r="B504" s="12" t="s">
        <v>3249</v>
      </c>
      <c r="C504" s="12" t="s">
        <v>3074</v>
      </c>
      <c r="D504" s="12">
        <v>1.0</v>
      </c>
      <c r="E504" s="12">
        <v>10.99</v>
      </c>
      <c r="F504" s="12">
        <v>10.99</v>
      </c>
    </row>
    <row r="505">
      <c r="A505" s="12" t="s">
        <v>3254</v>
      </c>
      <c r="B505" s="12" t="s">
        <v>3249</v>
      </c>
      <c r="C505" s="12" t="s">
        <v>3039</v>
      </c>
      <c r="D505" s="12">
        <v>1.42</v>
      </c>
      <c r="E505" s="12">
        <v>2.99</v>
      </c>
      <c r="F505" s="12">
        <v>4.25</v>
      </c>
    </row>
    <row r="506">
      <c r="A506" s="12" t="s">
        <v>3256</v>
      </c>
      <c r="B506" s="12" t="s">
        <v>3258</v>
      </c>
      <c r="C506" s="12" t="s">
        <v>3100</v>
      </c>
      <c r="D506" s="12">
        <v>1.0</v>
      </c>
      <c r="E506" s="12">
        <v>27.0</v>
      </c>
      <c r="F506" s="12">
        <v>27.0</v>
      </c>
    </row>
    <row r="507">
      <c r="A507" s="12" t="s">
        <v>3260</v>
      </c>
      <c r="B507" s="12" t="s">
        <v>3261</v>
      </c>
      <c r="C507" s="12" t="s">
        <v>3262</v>
      </c>
      <c r="D507" s="12">
        <v>1.0</v>
      </c>
      <c r="E507" s="12">
        <v>37.5</v>
      </c>
      <c r="F507" s="12">
        <v>37.5</v>
      </c>
    </row>
    <row r="508">
      <c r="A508" s="12" t="s">
        <v>3263</v>
      </c>
      <c r="B508" s="12" t="s">
        <v>3265</v>
      </c>
      <c r="C508" s="12" t="s">
        <v>3267</v>
      </c>
      <c r="D508" s="12">
        <v>2.0</v>
      </c>
      <c r="E508" s="12">
        <v>33.45</v>
      </c>
      <c r="F508" s="12">
        <v>66.9</v>
      </c>
    </row>
    <row r="509">
      <c r="A509" s="12" t="s">
        <v>3269</v>
      </c>
      <c r="B509" s="12" t="s">
        <v>3265</v>
      </c>
      <c r="C509" s="12" t="s">
        <v>3039</v>
      </c>
      <c r="D509" s="12">
        <v>1.755</v>
      </c>
      <c r="E509" s="12">
        <v>5.49</v>
      </c>
      <c r="F509" s="12">
        <v>9.63</v>
      </c>
    </row>
    <row r="510">
      <c r="A510" s="12" t="s">
        <v>3272</v>
      </c>
      <c r="B510" s="12" t="s">
        <v>3265</v>
      </c>
      <c r="C510" s="12" t="s">
        <v>2916</v>
      </c>
      <c r="D510" s="12">
        <v>6.0</v>
      </c>
      <c r="E510" s="12">
        <v>16.99</v>
      </c>
      <c r="F510" s="12">
        <v>101.94</v>
      </c>
    </row>
    <row r="511">
      <c r="A511" s="12" t="s">
        <v>3274</v>
      </c>
      <c r="B511" s="12" t="s">
        <v>3265</v>
      </c>
      <c r="C511" s="12" t="s">
        <v>3064</v>
      </c>
      <c r="D511" s="12">
        <v>12.0</v>
      </c>
      <c r="E511" s="12">
        <v>7.99</v>
      </c>
      <c r="F511" s="12">
        <v>95.88</v>
      </c>
    </row>
    <row r="512">
      <c r="A512" s="12" t="s">
        <v>3277</v>
      </c>
      <c r="B512" s="12" t="s">
        <v>3265</v>
      </c>
      <c r="C512" s="12" t="s">
        <v>2926</v>
      </c>
      <c r="D512" s="12">
        <v>2.8</v>
      </c>
      <c r="E512" s="12">
        <v>29.9</v>
      </c>
      <c r="F512" s="12">
        <v>83.72</v>
      </c>
    </row>
    <row r="513">
      <c r="A513" s="12" t="s">
        <v>3281</v>
      </c>
      <c r="B513" s="12" t="s">
        <v>3282</v>
      </c>
      <c r="C513" s="12" t="s">
        <v>3284</v>
      </c>
      <c r="D513" s="12">
        <v>6.0</v>
      </c>
      <c r="E513" s="12">
        <v>5.99</v>
      </c>
      <c r="F513" s="12">
        <v>35.94</v>
      </c>
    </row>
    <row r="514">
      <c r="A514" s="12" t="s">
        <v>3289</v>
      </c>
      <c r="B514" s="12" t="s">
        <v>3282</v>
      </c>
      <c r="C514" s="12" t="s">
        <v>3290</v>
      </c>
      <c r="D514" s="12">
        <v>1.0</v>
      </c>
      <c r="E514" s="12">
        <v>6.99</v>
      </c>
      <c r="F514" s="12">
        <v>6.99</v>
      </c>
    </row>
    <row r="515">
      <c r="A515" s="12" t="s">
        <v>3292</v>
      </c>
      <c r="B515" s="12" t="s">
        <v>3282</v>
      </c>
      <c r="C515" s="12" t="s">
        <v>3295</v>
      </c>
      <c r="D515" s="12">
        <v>2.0</v>
      </c>
      <c r="E515" s="12">
        <v>11.99</v>
      </c>
      <c r="F515" s="12">
        <v>23.98</v>
      </c>
    </row>
    <row r="516">
      <c r="A516" s="12" t="s">
        <v>3297</v>
      </c>
      <c r="B516" s="12" t="s">
        <v>3298</v>
      </c>
      <c r="C516" s="12" t="s">
        <v>3300</v>
      </c>
      <c r="D516" s="12">
        <v>1.0</v>
      </c>
      <c r="E516" s="12">
        <v>65.0</v>
      </c>
      <c r="F516" s="12">
        <v>65.0</v>
      </c>
    </row>
    <row r="517">
      <c r="A517" s="12" t="s">
        <v>3303</v>
      </c>
      <c r="B517" s="12" t="s">
        <v>3305</v>
      </c>
      <c r="C517" s="12" t="s">
        <v>786</v>
      </c>
      <c r="D517" s="12">
        <v>1.0</v>
      </c>
      <c r="E517" s="12">
        <v>10110.75</v>
      </c>
      <c r="F517" s="12">
        <v>10110.75</v>
      </c>
    </row>
    <row r="518">
      <c r="A518" s="12" t="s">
        <v>3307</v>
      </c>
      <c r="B518" s="12" t="s">
        <v>3305</v>
      </c>
      <c r="C518" s="12" t="s">
        <v>925</v>
      </c>
      <c r="D518" s="12">
        <v>1.0</v>
      </c>
      <c r="E518" s="12">
        <v>960.52</v>
      </c>
      <c r="F518" s="12">
        <v>960.52</v>
      </c>
    </row>
    <row r="519">
      <c r="A519" s="12" t="s">
        <v>3310</v>
      </c>
      <c r="B519" s="12" t="s">
        <v>3305</v>
      </c>
      <c r="C519" s="12" t="s">
        <v>2982</v>
      </c>
      <c r="D519" s="12">
        <v>1.0</v>
      </c>
      <c r="E519" s="12">
        <v>223.85</v>
      </c>
      <c r="F519" s="12">
        <v>223.85</v>
      </c>
    </row>
    <row r="520">
      <c r="A520" s="12" t="s">
        <v>3312</v>
      </c>
      <c r="B520" s="12" t="s">
        <v>3313</v>
      </c>
      <c r="C520" s="12" t="s">
        <v>786</v>
      </c>
      <c r="D520" s="12">
        <v>1.0</v>
      </c>
      <c r="E520" s="12">
        <v>493.0</v>
      </c>
      <c r="F520" s="12">
        <v>493.0</v>
      </c>
    </row>
    <row r="521">
      <c r="A521" s="12" t="s">
        <v>3318</v>
      </c>
      <c r="B521" s="12" t="s">
        <v>3313</v>
      </c>
      <c r="C521" s="12" t="s">
        <v>925</v>
      </c>
      <c r="D521" s="12">
        <v>1.0</v>
      </c>
      <c r="E521" s="12">
        <v>46.84</v>
      </c>
      <c r="F521" s="12">
        <v>46.84</v>
      </c>
    </row>
    <row r="522">
      <c r="A522" s="12" t="s">
        <v>3320</v>
      </c>
      <c r="B522" s="12" t="s">
        <v>3321</v>
      </c>
      <c r="C522" s="12" t="s">
        <v>3322</v>
      </c>
      <c r="D522" s="12">
        <v>1.0</v>
      </c>
      <c r="E522" s="12">
        <v>150.0</v>
      </c>
      <c r="F522" s="12">
        <v>150.0</v>
      </c>
    </row>
    <row r="523">
      <c r="A523" s="12" t="s">
        <v>3326</v>
      </c>
      <c r="B523" s="16" t="s">
        <v>3327</v>
      </c>
      <c r="C523" s="12" t="s">
        <v>3106</v>
      </c>
      <c r="D523" s="12">
        <v>1.0</v>
      </c>
      <c r="E523" s="12">
        <v>4662.42</v>
      </c>
      <c r="F523" s="12">
        <v>4662.42</v>
      </c>
    </row>
    <row r="524">
      <c r="A524" s="12" t="s">
        <v>3329</v>
      </c>
      <c r="B524" s="16" t="s">
        <v>3327</v>
      </c>
      <c r="C524" s="12" t="s">
        <v>925</v>
      </c>
      <c r="D524" s="12">
        <v>1.0</v>
      </c>
      <c r="E524" s="12">
        <v>442.93</v>
      </c>
      <c r="F524" s="12">
        <v>442.93</v>
      </c>
    </row>
    <row r="525">
      <c r="A525" s="12" t="s">
        <v>3332</v>
      </c>
      <c r="B525" s="12" t="s">
        <v>3333</v>
      </c>
      <c r="C525" s="12" t="s">
        <v>3008</v>
      </c>
      <c r="D525" s="12">
        <v>1.0</v>
      </c>
      <c r="E525" s="12">
        <v>41.88</v>
      </c>
      <c r="F525" s="12">
        <v>41.88</v>
      </c>
    </row>
    <row r="526">
      <c r="A526" s="12" t="s">
        <v>3334</v>
      </c>
      <c r="B526" s="12" t="s">
        <v>3333</v>
      </c>
      <c r="C526" s="16" t="s">
        <v>3002</v>
      </c>
      <c r="D526" s="12">
        <v>1.0</v>
      </c>
      <c r="E526" s="12">
        <v>41.88</v>
      </c>
      <c r="F526" s="12">
        <v>41.88</v>
      </c>
    </row>
    <row r="527">
      <c r="A527" s="12" t="s">
        <v>3337</v>
      </c>
      <c r="B527" s="12" t="s">
        <v>3333</v>
      </c>
      <c r="C527" s="12" t="s">
        <v>3169</v>
      </c>
      <c r="D527" s="12">
        <v>2.0</v>
      </c>
      <c r="E527" s="12">
        <v>37.8</v>
      </c>
      <c r="F527" s="12">
        <v>75.6</v>
      </c>
    </row>
    <row r="528">
      <c r="A528" s="12" t="s">
        <v>3338</v>
      </c>
      <c r="B528" s="12" t="s">
        <v>3333</v>
      </c>
      <c r="C528" s="12" t="s">
        <v>3010</v>
      </c>
      <c r="D528" s="12">
        <v>1.0</v>
      </c>
      <c r="E528" s="12">
        <v>41.88</v>
      </c>
      <c r="F528" s="12">
        <v>41.88</v>
      </c>
    </row>
    <row r="529">
      <c r="A529" s="12" t="s">
        <v>3341</v>
      </c>
      <c r="B529" s="12" t="s">
        <v>3333</v>
      </c>
      <c r="C529" s="12" t="s">
        <v>3114</v>
      </c>
      <c r="D529" s="12">
        <v>10.0</v>
      </c>
      <c r="E529" s="12">
        <v>12.48</v>
      </c>
      <c r="F529" s="12">
        <v>124.8</v>
      </c>
    </row>
    <row r="530">
      <c r="A530" s="12" t="s">
        <v>3342</v>
      </c>
      <c r="B530" s="12" t="s">
        <v>3343</v>
      </c>
      <c r="C530" s="12" t="s">
        <v>3019</v>
      </c>
      <c r="D530" s="12">
        <v>1.43</v>
      </c>
      <c r="E530" s="12">
        <v>4.99</v>
      </c>
      <c r="F530" s="12">
        <v>7.14</v>
      </c>
    </row>
    <row r="531">
      <c r="A531" s="12" t="s">
        <v>3347</v>
      </c>
      <c r="B531" s="12" t="s">
        <v>3343</v>
      </c>
      <c r="C531" s="12" t="s">
        <v>3039</v>
      </c>
      <c r="D531" s="12">
        <v>0.912</v>
      </c>
      <c r="E531" s="12">
        <v>1.99</v>
      </c>
      <c r="F531" s="12">
        <v>1.81</v>
      </c>
    </row>
    <row r="532">
      <c r="A532" s="12" t="s">
        <v>3348</v>
      </c>
      <c r="B532" s="12" t="s">
        <v>3349</v>
      </c>
      <c r="C532" s="12" t="s">
        <v>3245</v>
      </c>
      <c r="D532" s="12">
        <v>2.0</v>
      </c>
      <c r="E532" s="12">
        <v>9.79</v>
      </c>
      <c r="F532" s="12">
        <v>19.58</v>
      </c>
    </row>
    <row r="533">
      <c r="A533" s="12" t="s">
        <v>3352</v>
      </c>
      <c r="B533" s="12" t="s">
        <v>3349</v>
      </c>
      <c r="C533" s="12" t="s">
        <v>3039</v>
      </c>
      <c r="D533" s="12">
        <v>2.425</v>
      </c>
      <c r="E533" s="12">
        <v>4.99</v>
      </c>
      <c r="F533" s="12">
        <v>12.1</v>
      </c>
    </row>
    <row r="534">
      <c r="A534" s="12" t="s">
        <v>3354</v>
      </c>
      <c r="B534" s="12" t="s">
        <v>3349</v>
      </c>
      <c r="C534" s="12" t="s">
        <v>3039</v>
      </c>
      <c r="D534" s="12">
        <v>1.655</v>
      </c>
      <c r="E534" s="12">
        <v>4.99</v>
      </c>
      <c r="F534" s="12">
        <v>8.26</v>
      </c>
    </row>
    <row r="535">
      <c r="A535" s="12" t="s">
        <v>3358</v>
      </c>
      <c r="B535" s="12" t="s">
        <v>3349</v>
      </c>
      <c r="C535" s="12" t="s">
        <v>2926</v>
      </c>
      <c r="D535" s="12">
        <v>6.02</v>
      </c>
      <c r="E535" s="12">
        <v>26.9</v>
      </c>
      <c r="F535" s="12">
        <v>161.94</v>
      </c>
    </row>
    <row r="536">
      <c r="A536" s="12" t="s">
        <v>3360</v>
      </c>
      <c r="B536" s="12" t="s">
        <v>3349</v>
      </c>
      <c r="C536" s="12" t="s">
        <v>2926</v>
      </c>
      <c r="D536" s="12">
        <v>4.4</v>
      </c>
      <c r="E536" s="12">
        <v>26.9</v>
      </c>
      <c r="F536" s="12">
        <v>118.36</v>
      </c>
    </row>
    <row r="537">
      <c r="A537" s="12" t="s">
        <v>3364</v>
      </c>
      <c r="B537" s="12" t="s">
        <v>3349</v>
      </c>
      <c r="C537" s="12" t="s">
        <v>3019</v>
      </c>
      <c r="D537" s="12">
        <v>2.875</v>
      </c>
      <c r="E537" s="12">
        <v>6.99</v>
      </c>
      <c r="F537" s="12">
        <v>20.1</v>
      </c>
    </row>
    <row r="538">
      <c r="A538" s="12" t="s">
        <v>3365</v>
      </c>
      <c r="B538" s="12" t="s">
        <v>3349</v>
      </c>
      <c r="C538" s="12" t="s">
        <v>3071</v>
      </c>
      <c r="D538" s="12">
        <v>2.0</v>
      </c>
      <c r="E538" s="12">
        <v>9.99</v>
      </c>
      <c r="F538" s="12">
        <v>19.98</v>
      </c>
    </row>
    <row r="539">
      <c r="A539" s="12" t="s">
        <v>3367</v>
      </c>
      <c r="B539" s="12" t="s">
        <v>3349</v>
      </c>
      <c r="C539" s="12" t="s">
        <v>3074</v>
      </c>
      <c r="D539" s="12">
        <v>1.0</v>
      </c>
      <c r="E539" s="12">
        <v>8.99</v>
      </c>
      <c r="F539" s="12">
        <v>8.99</v>
      </c>
    </row>
    <row r="540">
      <c r="A540" s="12" t="s">
        <v>3368</v>
      </c>
      <c r="B540" s="12" t="s">
        <v>3349</v>
      </c>
      <c r="C540" s="12" t="s">
        <v>3076</v>
      </c>
      <c r="D540" s="12">
        <v>2.0</v>
      </c>
      <c r="E540" s="12">
        <v>8.99</v>
      </c>
      <c r="F540" s="12">
        <v>17.98</v>
      </c>
    </row>
    <row r="541">
      <c r="A541" s="12" t="s">
        <v>3371</v>
      </c>
      <c r="B541" s="12" t="s">
        <v>3349</v>
      </c>
      <c r="C541" s="12" t="s">
        <v>2907</v>
      </c>
      <c r="D541" s="12">
        <v>0.5</v>
      </c>
      <c r="E541" s="12">
        <v>11.99</v>
      </c>
      <c r="F541" s="12">
        <v>6.0</v>
      </c>
    </row>
    <row r="542">
      <c r="A542" s="12" t="s">
        <v>3372</v>
      </c>
      <c r="B542" s="12" t="s">
        <v>3349</v>
      </c>
      <c r="C542" s="12" t="s">
        <v>3373</v>
      </c>
      <c r="D542" s="12">
        <v>12.0</v>
      </c>
      <c r="E542" s="12">
        <v>3.99</v>
      </c>
      <c r="F542" s="12">
        <v>47.88</v>
      </c>
    </row>
    <row r="543">
      <c r="A543" s="12" t="s">
        <v>3374</v>
      </c>
      <c r="B543" s="12" t="s">
        <v>3375</v>
      </c>
      <c r="C543" s="16" t="s">
        <v>2910</v>
      </c>
      <c r="D543" s="12">
        <v>10.0</v>
      </c>
      <c r="E543" s="12">
        <v>33.0</v>
      </c>
      <c r="F543" s="12">
        <v>330.0</v>
      </c>
    </row>
    <row r="544">
      <c r="A544" s="12" t="s">
        <v>3376</v>
      </c>
      <c r="B544" s="12" t="s">
        <v>3377</v>
      </c>
      <c r="C544" s="16" t="s">
        <v>2910</v>
      </c>
      <c r="D544" s="12">
        <v>10.0</v>
      </c>
      <c r="E544" s="12">
        <v>25.0</v>
      </c>
      <c r="F544" s="12">
        <v>250.0</v>
      </c>
    </row>
    <row r="545">
      <c r="A545" s="12" t="s">
        <v>3381</v>
      </c>
      <c r="B545" s="12" t="s">
        <v>3382</v>
      </c>
      <c r="C545" s="16" t="s">
        <v>2910</v>
      </c>
      <c r="D545" s="12">
        <v>5.0</v>
      </c>
      <c r="E545" s="12">
        <v>20.0</v>
      </c>
      <c r="F545" s="12">
        <v>100.0</v>
      </c>
    </row>
    <row r="546">
      <c r="A546" s="12" t="s">
        <v>3383</v>
      </c>
      <c r="B546" s="12" t="s">
        <v>3384</v>
      </c>
      <c r="C546" s="12" t="s">
        <v>2941</v>
      </c>
      <c r="D546" s="12">
        <v>1.0</v>
      </c>
      <c r="E546" s="12">
        <v>13.54</v>
      </c>
      <c r="F546" s="12">
        <v>13.54</v>
      </c>
    </row>
    <row r="547">
      <c r="A547" s="12" t="s">
        <v>3387</v>
      </c>
      <c r="B547" s="12" t="s">
        <v>3384</v>
      </c>
      <c r="C547" s="12" t="s">
        <v>2941</v>
      </c>
      <c r="D547" s="12">
        <v>2.0</v>
      </c>
      <c r="E547" s="12">
        <v>5.82</v>
      </c>
      <c r="F547" s="12">
        <v>11.64</v>
      </c>
    </row>
    <row r="548">
      <c r="A548" s="12" t="s">
        <v>3389</v>
      </c>
      <c r="B548" s="12" t="s">
        <v>3384</v>
      </c>
      <c r="C548" s="12" t="s">
        <v>2907</v>
      </c>
      <c r="D548" s="12">
        <v>1.042</v>
      </c>
      <c r="E548" s="12">
        <v>11.63</v>
      </c>
      <c r="F548" s="12">
        <v>12.12</v>
      </c>
    </row>
    <row r="549">
      <c r="A549" s="12" t="s">
        <v>3392</v>
      </c>
      <c r="B549" s="12" t="s">
        <v>3384</v>
      </c>
      <c r="C549" s="12" t="s">
        <v>3074</v>
      </c>
      <c r="D549" s="12">
        <v>1.0</v>
      </c>
      <c r="E549" s="12">
        <v>9.7</v>
      </c>
      <c r="F549" s="12">
        <v>9.7</v>
      </c>
    </row>
    <row r="550">
      <c r="A550" s="12" t="s">
        <v>3395</v>
      </c>
      <c r="B550" s="12" t="s">
        <v>3396</v>
      </c>
      <c r="C550" s="12" t="s">
        <v>3397</v>
      </c>
      <c r="D550" s="12">
        <v>2.0</v>
      </c>
      <c r="E550" s="12">
        <v>5.82</v>
      </c>
      <c r="F550" s="12">
        <v>11.64</v>
      </c>
    </row>
    <row r="551">
      <c r="A551" s="12" t="s">
        <v>3400</v>
      </c>
      <c r="B551" s="12" t="s">
        <v>3396</v>
      </c>
      <c r="C551" s="12" t="s">
        <v>2907</v>
      </c>
      <c r="D551" s="12">
        <v>0.564</v>
      </c>
      <c r="E551" s="12">
        <v>11.63</v>
      </c>
      <c r="F551" s="12">
        <v>6.56</v>
      </c>
    </row>
    <row r="552">
      <c r="A552" s="12" t="s">
        <v>3401</v>
      </c>
      <c r="B552" s="12" t="s">
        <v>3396</v>
      </c>
      <c r="C552" s="12" t="s">
        <v>3039</v>
      </c>
      <c r="D552" s="12">
        <v>2.345</v>
      </c>
      <c r="E552" s="12">
        <v>6.77</v>
      </c>
      <c r="F552" s="12">
        <v>15.88</v>
      </c>
    </row>
    <row r="553">
      <c r="A553" s="12" t="s">
        <v>3402</v>
      </c>
      <c r="B553" s="12" t="s">
        <v>3403</v>
      </c>
      <c r="C553" s="12" t="s">
        <v>3157</v>
      </c>
      <c r="D553" s="12">
        <v>12.0</v>
      </c>
      <c r="E553" s="12">
        <v>5.2</v>
      </c>
      <c r="F553" s="12">
        <v>62.4</v>
      </c>
    </row>
    <row r="554">
      <c r="A554" s="12" t="s">
        <v>3404</v>
      </c>
      <c r="B554" s="12" t="s">
        <v>3405</v>
      </c>
      <c r="C554" s="12" t="s">
        <v>3013</v>
      </c>
      <c r="D554" s="12">
        <v>2.0</v>
      </c>
      <c r="E554" s="12">
        <v>10.99</v>
      </c>
      <c r="F554" s="12">
        <v>21.98</v>
      </c>
    </row>
    <row r="555">
      <c r="A555" s="12" t="s">
        <v>3408</v>
      </c>
      <c r="B555" s="12" t="s">
        <v>3405</v>
      </c>
      <c r="C555" s="12" t="s">
        <v>3030</v>
      </c>
      <c r="D555" s="12">
        <v>6.0</v>
      </c>
      <c r="E555" s="12">
        <v>6.49</v>
      </c>
      <c r="F555" s="12">
        <v>38.94</v>
      </c>
    </row>
    <row r="556">
      <c r="A556" s="12" t="s">
        <v>3410</v>
      </c>
      <c r="B556" s="12" t="s">
        <v>3405</v>
      </c>
      <c r="C556" s="12" t="s">
        <v>2929</v>
      </c>
      <c r="D556" s="12">
        <v>3.0</v>
      </c>
      <c r="E556" s="12">
        <v>8.99</v>
      </c>
      <c r="F556" s="12">
        <v>26.97</v>
      </c>
    </row>
    <row r="557">
      <c r="A557" s="12" t="s">
        <v>3413</v>
      </c>
      <c r="B557" s="12" t="s">
        <v>3405</v>
      </c>
      <c r="C557" s="12" t="s">
        <v>2929</v>
      </c>
      <c r="D557" s="12">
        <v>1.0</v>
      </c>
      <c r="E557" s="12">
        <v>8.99</v>
      </c>
      <c r="F557" s="12">
        <v>8.99</v>
      </c>
    </row>
    <row r="558">
      <c r="A558" s="12" t="s">
        <v>3414</v>
      </c>
      <c r="B558" s="12" t="s">
        <v>3405</v>
      </c>
      <c r="C558" s="12" t="s">
        <v>3039</v>
      </c>
      <c r="D558" s="12">
        <v>3.26</v>
      </c>
      <c r="E558" s="12">
        <v>2.49</v>
      </c>
      <c r="F558" s="12">
        <v>8.12</v>
      </c>
    </row>
    <row r="559">
      <c r="A559" s="12" t="s">
        <v>3418</v>
      </c>
      <c r="B559" s="12" t="s">
        <v>3405</v>
      </c>
      <c r="C559" s="12" t="s">
        <v>2941</v>
      </c>
      <c r="D559" s="12">
        <v>4.0</v>
      </c>
      <c r="E559" s="12">
        <v>5.99</v>
      </c>
      <c r="F559" s="12">
        <v>23.96</v>
      </c>
    </row>
    <row r="560">
      <c r="A560" s="12" t="s">
        <v>3420</v>
      </c>
      <c r="B560" s="12" t="s">
        <v>3405</v>
      </c>
      <c r="C560" s="12" t="s">
        <v>2926</v>
      </c>
      <c r="D560" s="12">
        <v>5.51</v>
      </c>
      <c r="E560" s="12">
        <v>24.9</v>
      </c>
      <c r="F560" s="12">
        <v>137.2</v>
      </c>
    </row>
    <row r="561">
      <c r="A561" s="12" t="s">
        <v>3423</v>
      </c>
      <c r="B561" s="12" t="s">
        <v>3405</v>
      </c>
      <c r="C561" s="12" t="s">
        <v>3019</v>
      </c>
      <c r="D561" s="12">
        <v>1.17</v>
      </c>
      <c r="E561" s="12">
        <v>4.99</v>
      </c>
      <c r="F561" s="12">
        <v>5.84</v>
      </c>
    </row>
    <row r="562">
      <c r="A562" s="16" t="s">
        <v>3424</v>
      </c>
      <c r="B562" s="12" t="s">
        <v>3405</v>
      </c>
      <c r="C562" s="12" t="s">
        <v>3064</v>
      </c>
      <c r="D562" s="12">
        <v>15.0</v>
      </c>
      <c r="E562" s="12">
        <v>7.99</v>
      </c>
      <c r="F562" s="12">
        <v>119.85</v>
      </c>
    </row>
    <row r="563">
      <c r="A563" s="12" t="s">
        <v>3428</v>
      </c>
      <c r="B563" s="12" t="s">
        <v>3429</v>
      </c>
      <c r="C563" s="12" t="s">
        <v>3019</v>
      </c>
      <c r="D563" s="12">
        <v>1.79</v>
      </c>
      <c r="E563" s="12">
        <v>3.98</v>
      </c>
      <c r="F563" s="12">
        <v>7.12</v>
      </c>
    </row>
    <row r="564">
      <c r="A564" s="12" t="s">
        <v>3430</v>
      </c>
      <c r="B564" s="12" t="s">
        <v>3429</v>
      </c>
      <c r="C564" s="12" t="s">
        <v>2941</v>
      </c>
      <c r="D564" s="12">
        <v>3.0</v>
      </c>
      <c r="E564" s="12">
        <v>7.99</v>
      </c>
      <c r="F564" s="12">
        <v>23.97</v>
      </c>
    </row>
    <row r="565">
      <c r="A565" s="12" t="s">
        <v>3433</v>
      </c>
      <c r="B565" s="12" t="s">
        <v>3429</v>
      </c>
      <c r="C565" s="12" t="s">
        <v>3039</v>
      </c>
      <c r="D565" s="12">
        <v>1.345</v>
      </c>
      <c r="E565" s="12">
        <v>1.99</v>
      </c>
      <c r="F565" s="12">
        <v>2.68</v>
      </c>
    </row>
    <row r="566">
      <c r="A566" s="12" t="s">
        <v>3436</v>
      </c>
      <c r="B566" s="12" t="s">
        <v>3437</v>
      </c>
      <c r="C566" s="16" t="s">
        <v>2910</v>
      </c>
      <c r="D566" s="12">
        <v>10.0</v>
      </c>
      <c r="E566" s="12">
        <v>33.0</v>
      </c>
      <c r="F566" s="12">
        <v>330.0</v>
      </c>
    </row>
    <row r="567">
      <c r="A567" s="12" t="s">
        <v>3440</v>
      </c>
      <c r="B567" s="12" t="s">
        <v>3442</v>
      </c>
      <c r="C567" s="12" t="s">
        <v>2907</v>
      </c>
      <c r="D567" s="12">
        <v>0.994</v>
      </c>
      <c r="E567" s="12">
        <v>11.99</v>
      </c>
      <c r="F567" s="12">
        <v>11.92</v>
      </c>
    </row>
    <row r="568">
      <c r="A568" s="12" t="s">
        <v>3444</v>
      </c>
      <c r="B568" s="12" t="s">
        <v>3442</v>
      </c>
      <c r="C568" s="12" t="s">
        <v>2907</v>
      </c>
      <c r="D568" s="12">
        <v>0.294</v>
      </c>
      <c r="E568" s="12">
        <v>11.99</v>
      </c>
      <c r="F568" s="12">
        <v>3.53</v>
      </c>
    </row>
    <row r="569">
      <c r="A569" s="12" t="s">
        <v>3445</v>
      </c>
      <c r="B569" s="12" t="s">
        <v>3446</v>
      </c>
      <c r="C569" s="12" t="s">
        <v>3039</v>
      </c>
      <c r="D569" s="12">
        <v>1.225</v>
      </c>
      <c r="E569" s="12">
        <v>2.48</v>
      </c>
      <c r="F569" s="12">
        <v>3.04</v>
      </c>
    </row>
    <row r="570">
      <c r="A570" s="12" t="s">
        <v>3447</v>
      </c>
      <c r="B570" s="12" t="s">
        <v>3446</v>
      </c>
      <c r="C570" s="12" t="s">
        <v>3039</v>
      </c>
      <c r="D570" s="12">
        <v>0.805</v>
      </c>
      <c r="E570" s="12">
        <v>2.48</v>
      </c>
      <c r="F570" s="12">
        <v>2.0</v>
      </c>
    </row>
    <row r="571">
      <c r="A571" s="12" t="s">
        <v>3448</v>
      </c>
      <c r="B571" s="12" t="s">
        <v>3446</v>
      </c>
      <c r="C571" s="12" t="s">
        <v>2938</v>
      </c>
      <c r="D571" s="12">
        <v>1.0</v>
      </c>
      <c r="E571" s="12">
        <v>14.99</v>
      </c>
      <c r="F571" s="12">
        <v>14.99</v>
      </c>
    </row>
    <row r="572">
      <c r="A572" s="12" t="s">
        <v>3451</v>
      </c>
      <c r="B572" s="12" t="s">
        <v>3446</v>
      </c>
      <c r="C572" s="12" t="s">
        <v>3074</v>
      </c>
      <c r="D572" s="12">
        <v>1.0</v>
      </c>
      <c r="E572" s="12">
        <v>11.99</v>
      </c>
      <c r="F572" s="12">
        <v>11.99</v>
      </c>
    </row>
    <row r="573">
      <c r="A573" s="12" t="s">
        <v>3453</v>
      </c>
      <c r="B573" s="12" t="s">
        <v>3446</v>
      </c>
      <c r="C573" s="12" t="s">
        <v>2907</v>
      </c>
      <c r="D573" s="12">
        <v>0.498</v>
      </c>
      <c r="E573" s="12">
        <v>11.99</v>
      </c>
      <c r="F573" s="12">
        <v>5.97</v>
      </c>
    </row>
    <row r="574">
      <c r="A574" s="12" t="s">
        <v>3454</v>
      </c>
      <c r="B574" s="12" t="s">
        <v>3456</v>
      </c>
      <c r="C574" s="12" t="s">
        <v>3100</v>
      </c>
      <c r="D574" s="12">
        <v>1.0</v>
      </c>
      <c r="E574" s="12">
        <v>4.0</v>
      </c>
      <c r="F574" s="12">
        <v>4.0</v>
      </c>
    </row>
    <row r="575">
      <c r="A575" s="12" t="s">
        <v>3459</v>
      </c>
      <c r="B575" s="12" t="s">
        <v>3460</v>
      </c>
      <c r="C575" s="12" t="s">
        <v>3064</v>
      </c>
      <c r="D575" s="12">
        <v>10.0</v>
      </c>
      <c r="E575" s="12">
        <v>7.99</v>
      </c>
      <c r="F575" s="12">
        <v>79.9</v>
      </c>
    </row>
    <row r="576">
      <c r="A576" s="12" t="s">
        <v>3461</v>
      </c>
      <c r="B576" s="12" t="s">
        <v>3460</v>
      </c>
      <c r="C576" s="12" t="s">
        <v>3039</v>
      </c>
      <c r="D576" s="12">
        <v>2.67</v>
      </c>
      <c r="E576" s="12">
        <v>4.99</v>
      </c>
      <c r="F576" s="12">
        <v>13.32</v>
      </c>
    </row>
    <row r="577">
      <c r="A577" s="12" t="s">
        <v>3465</v>
      </c>
      <c r="B577" s="12" t="s">
        <v>3460</v>
      </c>
      <c r="C577" s="12" t="s">
        <v>3039</v>
      </c>
      <c r="D577" s="12">
        <v>3.2</v>
      </c>
      <c r="E577" s="12">
        <v>4.99</v>
      </c>
      <c r="F577" s="12">
        <v>15.97</v>
      </c>
    </row>
    <row r="578">
      <c r="A578" s="12" t="s">
        <v>3468</v>
      </c>
      <c r="B578" s="12" t="s">
        <v>3460</v>
      </c>
      <c r="C578" s="12" t="s">
        <v>2926</v>
      </c>
      <c r="D578" s="12">
        <v>4.775</v>
      </c>
      <c r="E578" s="12">
        <v>24.9</v>
      </c>
      <c r="F578" s="12">
        <v>118.9</v>
      </c>
    </row>
    <row r="579">
      <c r="A579" s="16" t="s">
        <v>3473</v>
      </c>
      <c r="B579" s="12" t="s">
        <v>3460</v>
      </c>
      <c r="C579" s="12" t="s">
        <v>2926</v>
      </c>
      <c r="D579" s="12">
        <v>5.0</v>
      </c>
      <c r="E579" s="12">
        <v>24.9</v>
      </c>
      <c r="F579" s="12">
        <v>124.5</v>
      </c>
    </row>
    <row r="580">
      <c r="A580" s="12" t="s">
        <v>3474</v>
      </c>
      <c r="B580" s="12" t="s">
        <v>3460</v>
      </c>
      <c r="C580" s="12" t="s">
        <v>3019</v>
      </c>
      <c r="D580" s="12">
        <v>2.18</v>
      </c>
      <c r="E580" s="12">
        <v>6.99</v>
      </c>
      <c r="F580" s="12">
        <v>15.24</v>
      </c>
    </row>
    <row r="581">
      <c r="A581" s="12" t="s">
        <v>3478</v>
      </c>
      <c r="B581" s="12" t="s">
        <v>3460</v>
      </c>
      <c r="C581" s="12" t="s">
        <v>3479</v>
      </c>
      <c r="D581" s="12">
        <v>1.0</v>
      </c>
      <c r="E581" s="12">
        <v>14.79</v>
      </c>
      <c r="F581" s="12">
        <v>14.79</v>
      </c>
    </row>
    <row r="582">
      <c r="A582" s="12" t="s">
        <v>3480</v>
      </c>
      <c r="B582" s="12" t="s">
        <v>3460</v>
      </c>
      <c r="C582" s="12" t="s">
        <v>2905</v>
      </c>
      <c r="D582" s="12">
        <v>1.0</v>
      </c>
      <c r="E582" s="12">
        <v>15.99</v>
      </c>
      <c r="F582" s="12">
        <v>15.99</v>
      </c>
    </row>
    <row r="583">
      <c r="A583" s="12" t="s">
        <v>3481</v>
      </c>
      <c r="B583" s="12" t="s">
        <v>3460</v>
      </c>
      <c r="C583" s="12" t="s">
        <v>3074</v>
      </c>
      <c r="D583" s="12">
        <v>1.0</v>
      </c>
      <c r="E583" s="12">
        <v>8.99</v>
      </c>
      <c r="F583" s="12">
        <v>8.99</v>
      </c>
    </row>
    <row r="584">
      <c r="A584" s="12" t="s">
        <v>3482</v>
      </c>
      <c r="B584" s="12" t="s">
        <v>3460</v>
      </c>
      <c r="C584" s="12" t="s">
        <v>3076</v>
      </c>
      <c r="D584" s="12">
        <v>1.0</v>
      </c>
      <c r="E584" s="12">
        <v>8.99</v>
      </c>
      <c r="F584" s="12">
        <v>8.99</v>
      </c>
    </row>
    <row r="585">
      <c r="A585" s="12" t="s">
        <v>3483</v>
      </c>
      <c r="B585" s="12" t="s">
        <v>3460</v>
      </c>
      <c r="C585" s="12" t="s">
        <v>3071</v>
      </c>
      <c r="D585" s="12">
        <v>2.0</v>
      </c>
      <c r="E585" s="12">
        <v>9.98</v>
      </c>
      <c r="F585" s="12">
        <v>19.96</v>
      </c>
    </row>
    <row r="586">
      <c r="A586" s="12" t="s">
        <v>3485</v>
      </c>
      <c r="B586" s="12" t="s">
        <v>3460</v>
      </c>
      <c r="C586" s="12" t="s">
        <v>2941</v>
      </c>
      <c r="D586" s="12">
        <v>5.0</v>
      </c>
      <c r="E586" s="12">
        <v>8.99</v>
      </c>
      <c r="F586" s="12">
        <v>44.95</v>
      </c>
    </row>
    <row r="587">
      <c r="A587" s="12" t="s">
        <v>3486</v>
      </c>
      <c r="B587" s="12" t="s">
        <v>3487</v>
      </c>
      <c r="C587" s="12" t="s">
        <v>717</v>
      </c>
      <c r="D587" s="12">
        <v>1.0</v>
      </c>
      <c r="E587" s="12">
        <v>2587.5</v>
      </c>
      <c r="F587" s="12">
        <v>2587.5</v>
      </c>
    </row>
    <row r="588">
      <c r="A588" s="12" t="s">
        <v>3490</v>
      </c>
      <c r="B588" s="12" t="s">
        <v>3487</v>
      </c>
      <c r="C588" s="12" t="s">
        <v>2982</v>
      </c>
      <c r="D588" s="12">
        <v>1.0</v>
      </c>
      <c r="E588" s="12">
        <v>178.03</v>
      </c>
      <c r="F588" s="12">
        <v>178.03</v>
      </c>
    </row>
    <row r="589">
      <c r="A589" s="12" t="s">
        <v>3493</v>
      </c>
      <c r="B589" s="12" t="s">
        <v>3494</v>
      </c>
      <c r="C589" s="12" t="s">
        <v>786</v>
      </c>
      <c r="D589" s="12">
        <v>1.0</v>
      </c>
      <c r="E589" s="12">
        <v>9549.59</v>
      </c>
      <c r="F589" s="12">
        <v>9549.59</v>
      </c>
    </row>
    <row r="590">
      <c r="A590" s="12" t="s">
        <v>3496</v>
      </c>
      <c r="B590" s="12" t="s">
        <v>3494</v>
      </c>
      <c r="C590" s="12" t="s">
        <v>925</v>
      </c>
      <c r="D590" s="12">
        <v>1.0</v>
      </c>
      <c r="E590" s="12">
        <v>907.21</v>
      </c>
      <c r="F590" s="12">
        <v>907.21</v>
      </c>
    </row>
    <row r="591">
      <c r="A591" s="12" t="s">
        <v>3501</v>
      </c>
      <c r="B591" s="12" t="s">
        <v>3494</v>
      </c>
      <c r="C591" s="12" t="s">
        <v>2982</v>
      </c>
      <c r="D591" s="12">
        <v>1.0</v>
      </c>
      <c r="E591" s="12">
        <v>116.16</v>
      </c>
      <c r="F591" s="12">
        <v>116.16</v>
      </c>
    </row>
    <row r="592">
      <c r="A592" s="12" t="s">
        <v>3503</v>
      </c>
      <c r="B592" s="12" t="s">
        <v>3504</v>
      </c>
      <c r="C592" s="12" t="s">
        <v>3169</v>
      </c>
      <c r="D592" s="12">
        <v>2.0</v>
      </c>
      <c r="E592" s="12">
        <v>41.0</v>
      </c>
      <c r="F592" s="12">
        <v>82.0</v>
      </c>
    </row>
    <row r="593">
      <c r="A593" s="12" t="s">
        <v>3508</v>
      </c>
      <c r="B593" s="12" t="s">
        <v>3504</v>
      </c>
      <c r="C593" s="12" t="s">
        <v>3006</v>
      </c>
      <c r="D593" s="12">
        <v>1.0</v>
      </c>
      <c r="E593" s="12">
        <v>20.94</v>
      </c>
      <c r="F593" s="12">
        <v>20.94</v>
      </c>
    </row>
    <row r="594">
      <c r="A594" s="12" t="s">
        <v>3510</v>
      </c>
      <c r="B594" s="12" t="s">
        <v>3504</v>
      </c>
      <c r="C594" s="12" t="s">
        <v>3511</v>
      </c>
      <c r="D594" s="12">
        <v>1.0</v>
      </c>
      <c r="E594" s="12">
        <v>41.88</v>
      </c>
      <c r="F594" s="12">
        <v>41.88</v>
      </c>
    </row>
    <row r="595">
      <c r="A595" s="12" t="s">
        <v>3514</v>
      </c>
      <c r="B595" s="12" t="s">
        <v>3504</v>
      </c>
      <c r="C595" s="12" t="s">
        <v>3004</v>
      </c>
      <c r="D595" s="12">
        <v>1.0</v>
      </c>
      <c r="E595" s="12">
        <v>20.94</v>
      </c>
      <c r="F595" s="12">
        <v>20.94</v>
      </c>
    </row>
    <row r="596">
      <c r="A596" s="12" t="s">
        <v>3516</v>
      </c>
      <c r="B596" s="12" t="s">
        <v>3504</v>
      </c>
      <c r="C596" s="16" t="s">
        <v>3002</v>
      </c>
      <c r="D596" s="12">
        <v>2.0</v>
      </c>
      <c r="E596" s="12">
        <v>20.94</v>
      </c>
      <c r="F596" s="12">
        <v>41.88</v>
      </c>
    </row>
    <row r="597">
      <c r="A597" s="12" t="s">
        <v>3521</v>
      </c>
      <c r="B597" s="12" t="s">
        <v>3522</v>
      </c>
      <c r="C597" s="16" t="s">
        <v>2910</v>
      </c>
      <c r="D597" s="12">
        <v>11.0</v>
      </c>
      <c r="E597" s="12">
        <v>20.0</v>
      </c>
      <c r="F597" s="12">
        <v>220.0</v>
      </c>
    </row>
    <row r="598">
      <c r="A598" s="12" t="s">
        <v>3524</v>
      </c>
      <c r="B598" s="12" t="s">
        <v>3299</v>
      </c>
      <c r="C598" s="12" t="s">
        <v>717</v>
      </c>
      <c r="D598" s="12">
        <v>1.0</v>
      </c>
      <c r="E598" s="12">
        <v>2475.0</v>
      </c>
      <c r="F598" s="12">
        <v>2475.0</v>
      </c>
    </row>
    <row r="599">
      <c r="A599" s="12" t="s">
        <v>3526</v>
      </c>
      <c r="B599" s="12" t="s">
        <v>3299</v>
      </c>
      <c r="C599" s="12" t="s">
        <v>2982</v>
      </c>
      <c r="D599" s="12">
        <v>1.0</v>
      </c>
      <c r="E599" s="12">
        <v>241.31</v>
      </c>
      <c r="F599" s="12">
        <v>241.31</v>
      </c>
    </row>
    <row r="600">
      <c r="A600" s="12" t="s">
        <v>3529</v>
      </c>
      <c r="B600" s="12" t="s">
        <v>3531</v>
      </c>
      <c r="C600" s="12" t="s">
        <v>3533</v>
      </c>
      <c r="D600" s="12">
        <v>1.0</v>
      </c>
      <c r="E600" s="12">
        <v>13.19</v>
      </c>
      <c r="F600" s="12">
        <v>13.19</v>
      </c>
    </row>
    <row r="601">
      <c r="A601" s="12" t="s">
        <v>3535</v>
      </c>
      <c r="B601" s="12" t="s">
        <v>3531</v>
      </c>
      <c r="C601" s="12" t="s">
        <v>3533</v>
      </c>
      <c r="D601" s="12">
        <v>1.0</v>
      </c>
      <c r="E601" s="12">
        <v>13.21</v>
      </c>
      <c r="F601" s="12">
        <v>13.21</v>
      </c>
    </row>
    <row r="602">
      <c r="A602" s="12" t="s">
        <v>3536</v>
      </c>
      <c r="B602" s="12" t="s">
        <v>3531</v>
      </c>
      <c r="C602" s="12" t="s">
        <v>3027</v>
      </c>
      <c r="D602" s="12">
        <v>1.0</v>
      </c>
      <c r="E602" s="12">
        <v>13.6</v>
      </c>
      <c r="F602" s="12">
        <v>13.6</v>
      </c>
    </row>
    <row r="603">
      <c r="A603" s="12" t="s">
        <v>3541</v>
      </c>
      <c r="B603" s="12" t="s">
        <v>3542</v>
      </c>
      <c r="C603" s="12" t="s">
        <v>3543</v>
      </c>
      <c r="D603" s="12">
        <v>1.0</v>
      </c>
      <c r="E603" s="12">
        <v>7.9</v>
      </c>
      <c r="F603" s="12">
        <v>7.9</v>
      </c>
    </row>
    <row r="604">
      <c r="A604" s="12" t="s">
        <v>3544</v>
      </c>
      <c r="B604" s="12" t="s">
        <v>3546</v>
      </c>
      <c r="C604" s="16" t="s">
        <v>2910</v>
      </c>
      <c r="D604" s="12">
        <v>10.0</v>
      </c>
      <c r="E604" s="12">
        <v>33.0</v>
      </c>
      <c r="F604" s="12">
        <v>330.0</v>
      </c>
    </row>
    <row r="605">
      <c r="A605" s="12" t="s">
        <v>3548</v>
      </c>
      <c r="B605" s="12" t="s">
        <v>3550</v>
      </c>
      <c r="C605" s="12" t="s">
        <v>3552</v>
      </c>
      <c r="D605" s="12">
        <v>12.0</v>
      </c>
      <c r="E605" s="12">
        <v>2.26</v>
      </c>
      <c r="F605" s="12">
        <v>27.12</v>
      </c>
    </row>
    <row r="606">
      <c r="A606" s="12" t="s">
        <v>3554</v>
      </c>
      <c r="B606" s="12" t="s">
        <v>3550</v>
      </c>
      <c r="C606" s="12" t="s">
        <v>3552</v>
      </c>
      <c r="D606" s="12">
        <v>48.0</v>
      </c>
      <c r="E606" s="12">
        <v>2.23</v>
      </c>
      <c r="F606" s="12">
        <v>107.04</v>
      </c>
    </row>
    <row r="607">
      <c r="A607" s="12" t="s">
        <v>3558</v>
      </c>
      <c r="B607" s="12" t="s">
        <v>3559</v>
      </c>
      <c r="C607" s="12" t="s">
        <v>3106</v>
      </c>
      <c r="D607" s="12">
        <v>1.0</v>
      </c>
      <c r="E607" s="12">
        <v>3436.73</v>
      </c>
      <c r="F607" s="12">
        <v>3436.73</v>
      </c>
    </row>
    <row r="608">
      <c r="A608" s="12" t="s">
        <v>3561</v>
      </c>
      <c r="B608" s="12" t="s">
        <v>3559</v>
      </c>
      <c r="C608" s="12" t="s">
        <v>925</v>
      </c>
      <c r="D608" s="12">
        <v>1.0</v>
      </c>
      <c r="E608" s="12">
        <v>326.49</v>
      </c>
      <c r="F608" s="12">
        <v>326.49</v>
      </c>
    </row>
    <row r="609">
      <c r="A609" s="12" t="s">
        <v>3562</v>
      </c>
      <c r="B609" s="12" t="s">
        <v>3563</v>
      </c>
      <c r="C609" s="12" t="s">
        <v>3564</v>
      </c>
      <c r="D609" s="12">
        <v>1.0</v>
      </c>
      <c r="E609" s="12">
        <v>998.16</v>
      </c>
      <c r="F609" s="12">
        <v>998.16</v>
      </c>
    </row>
    <row r="610">
      <c r="A610" s="12" t="s">
        <v>3568</v>
      </c>
      <c r="B610" s="12" t="s">
        <v>3563</v>
      </c>
      <c r="C610" s="12" t="s">
        <v>925</v>
      </c>
      <c r="D610" s="12">
        <v>1.0</v>
      </c>
      <c r="E610" s="12">
        <v>94.83</v>
      </c>
      <c r="F610" s="12">
        <v>94.83</v>
      </c>
    </row>
    <row r="611">
      <c r="A611" s="12" t="s">
        <v>3571</v>
      </c>
      <c r="B611" s="12" t="s">
        <v>3573</v>
      </c>
      <c r="C611" s="12" t="s">
        <v>3039</v>
      </c>
      <c r="D611" s="12">
        <v>0.905</v>
      </c>
      <c r="E611" s="12">
        <v>4.49</v>
      </c>
      <c r="F611" s="12">
        <v>4.06</v>
      </c>
    </row>
    <row r="612">
      <c r="A612" s="12" t="s">
        <v>3575</v>
      </c>
      <c r="B612" s="12" t="s">
        <v>3573</v>
      </c>
      <c r="C612" s="12" t="s">
        <v>3039</v>
      </c>
      <c r="D612" s="12">
        <v>1.84</v>
      </c>
      <c r="E612" s="12">
        <v>4.49</v>
      </c>
      <c r="F612" s="12">
        <v>8.26</v>
      </c>
    </row>
    <row r="613">
      <c r="A613" s="12" t="s">
        <v>3576</v>
      </c>
      <c r="B613" s="12" t="s">
        <v>3577</v>
      </c>
      <c r="C613" s="12" t="s">
        <v>3064</v>
      </c>
      <c r="D613" s="12">
        <v>20.0</v>
      </c>
      <c r="E613" s="12">
        <v>9.99</v>
      </c>
      <c r="F613" s="12">
        <v>199.8</v>
      </c>
    </row>
    <row r="614">
      <c r="A614" s="12" t="s">
        <v>3578</v>
      </c>
      <c r="B614" s="12" t="s">
        <v>3573</v>
      </c>
      <c r="C614" s="12" t="s">
        <v>3019</v>
      </c>
      <c r="D614" s="12">
        <v>2.325</v>
      </c>
      <c r="E614" s="12">
        <v>3.99</v>
      </c>
      <c r="F614" s="12">
        <v>9.28</v>
      </c>
    </row>
    <row r="615">
      <c r="A615" s="12" t="s">
        <v>3580</v>
      </c>
      <c r="B615" s="12" t="s">
        <v>3573</v>
      </c>
      <c r="C615" s="12" t="s">
        <v>2941</v>
      </c>
      <c r="D615" s="12">
        <v>3.0</v>
      </c>
      <c r="E615" s="12">
        <v>5.99</v>
      </c>
      <c r="F615" s="12">
        <v>17.97</v>
      </c>
    </row>
    <row r="616">
      <c r="A616" s="12" t="s">
        <v>3583</v>
      </c>
      <c r="B616" s="12" t="s">
        <v>3573</v>
      </c>
      <c r="C616" s="12" t="s">
        <v>2926</v>
      </c>
      <c r="D616" s="12">
        <v>4.28</v>
      </c>
      <c r="E616" s="12">
        <v>24.9</v>
      </c>
      <c r="F616" s="12">
        <v>106.57</v>
      </c>
    </row>
    <row r="617">
      <c r="A617" s="12" t="s">
        <v>3584</v>
      </c>
      <c r="B617" s="12" t="s">
        <v>3573</v>
      </c>
      <c r="C617" s="12" t="s">
        <v>2926</v>
      </c>
      <c r="D617" s="12">
        <v>2.485</v>
      </c>
      <c r="E617" s="12">
        <v>24.9</v>
      </c>
      <c r="F617" s="12">
        <v>61.88</v>
      </c>
    </row>
    <row r="618">
      <c r="A618" s="12" t="s">
        <v>3587</v>
      </c>
      <c r="B618" s="12" t="s">
        <v>3588</v>
      </c>
      <c r="C618" s="12" t="s">
        <v>2926</v>
      </c>
      <c r="D618" s="12">
        <v>4.185</v>
      </c>
      <c r="E618" s="12">
        <v>29.99</v>
      </c>
      <c r="F618" s="12">
        <v>125.51</v>
      </c>
    </row>
    <row r="619">
      <c r="A619" s="12" t="s">
        <v>3589</v>
      </c>
      <c r="B619" s="12" t="s">
        <v>3588</v>
      </c>
      <c r="C619" s="12" t="s">
        <v>2926</v>
      </c>
      <c r="D619" s="12">
        <v>2.885</v>
      </c>
      <c r="E619" s="12">
        <v>29.99</v>
      </c>
      <c r="F619" s="12">
        <v>86.52</v>
      </c>
    </row>
    <row r="620">
      <c r="A620" s="12" t="s">
        <v>3593</v>
      </c>
      <c r="B620" s="12" t="s">
        <v>3594</v>
      </c>
      <c r="C620" s="12" t="s">
        <v>2907</v>
      </c>
      <c r="D620" s="12">
        <v>0.452</v>
      </c>
      <c r="E620" s="12">
        <v>11.99</v>
      </c>
      <c r="F620" s="12">
        <v>5.42</v>
      </c>
    </row>
    <row r="621">
      <c r="A621" s="12" t="s">
        <v>3595</v>
      </c>
      <c r="B621" s="12" t="s">
        <v>3597</v>
      </c>
      <c r="C621" s="12" t="s">
        <v>3599</v>
      </c>
      <c r="D621" s="12">
        <v>1.0</v>
      </c>
      <c r="E621" s="12">
        <v>58.8</v>
      </c>
      <c r="F621" s="12">
        <v>58.8</v>
      </c>
    </row>
    <row r="622">
      <c r="A622" s="12" t="s">
        <v>3601</v>
      </c>
      <c r="B622" s="12" t="s">
        <v>3597</v>
      </c>
      <c r="C622" s="12" t="s">
        <v>3157</v>
      </c>
      <c r="D622" s="12">
        <v>12.0</v>
      </c>
      <c r="E622" s="12">
        <v>5.2</v>
      </c>
      <c r="F622" s="12">
        <v>62.4</v>
      </c>
    </row>
    <row r="623">
      <c r="A623" s="12" t="s">
        <v>3603</v>
      </c>
      <c r="B623" s="12" t="s">
        <v>3604</v>
      </c>
      <c r="C623" s="12" t="s">
        <v>3008</v>
      </c>
      <c r="D623" s="12">
        <v>3.0</v>
      </c>
      <c r="E623" s="12">
        <v>42.0</v>
      </c>
      <c r="F623" s="12">
        <v>126.0</v>
      </c>
    </row>
    <row r="624">
      <c r="A624" s="12" t="s">
        <v>3605</v>
      </c>
      <c r="B624" s="12" t="s">
        <v>3604</v>
      </c>
      <c r="C624" s="12" t="s">
        <v>3511</v>
      </c>
      <c r="D624" s="12">
        <v>2.0</v>
      </c>
      <c r="E624" s="12">
        <v>42.0</v>
      </c>
      <c r="F624" s="12">
        <v>84.0</v>
      </c>
    </row>
    <row r="625">
      <c r="A625" s="12" t="s">
        <v>3607</v>
      </c>
      <c r="B625" s="12" t="s">
        <v>3604</v>
      </c>
      <c r="C625" s="16" t="s">
        <v>3002</v>
      </c>
      <c r="D625" s="12">
        <v>2.0</v>
      </c>
      <c r="E625" s="12">
        <v>21.0</v>
      </c>
      <c r="F625" s="12">
        <v>42.0</v>
      </c>
    </row>
    <row r="626">
      <c r="A626" s="12" t="s">
        <v>3609</v>
      </c>
      <c r="B626" s="12" t="s">
        <v>3604</v>
      </c>
      <c r="C626" s="12" t="s">
        <v>3114</v>
      </c>
      <c r="D626" s="12">
        <v>10.0</v>
      </c>
      <c r="E626" s="12">
        <v>12.58</v>
      </c>
      <c r="F626" s="12">
        <v>125.8</v>
      </c>
    </row>
    <row r="627">
      <c r="A627" s="12" t="s">
        <v>3610</v>
      </c>
      <c r="B627" s="12" t="s">
        <v>3611</v>
      </c>
      <c r="C627" s="12" t="s">
        <v>3100</v>
      </c>
      <c r="D627" s="12">
        <v>0.0</v>
      </c>
      <c r="E627" s="12">
        <v>0.0</v>
      </c>
      <c r="F627" s="12">
        <v>0.0</v>
      </c>
    </row>
    <row r="628">
      <c r="A628" s="12" t="s">
        <v>3615</v>
      </c>
      <c r="B628" s="12" t="s">
        <v>3616</v>
      </c>
      <c r="C628" s="12" t="s">
        <v>3064</v>
      </c>
      <c r="D628" s="12">
        <v>20.0</v>
      </c>
      <c r="E628" s="12">
        <v>9.98</v>
      </c>
      <c r="F628" s="12">
        <v>199.6</v>
      </c>
    </row>
    <row r="629">
      <c r="A629" s="12" t="s">
        <v>3618</v>
      </c>
      <c r="B629" s="12" t="s">
        <v>3616</v>
      </c>
      <c r="C629" s="12" t="s">
        <v>3039</v>
      </c>
      <c r="D629" s="12">
        <v>3.625</v>
      </c>
      <c r="E629" s="12">
        <v>1.99</v>
      </c>
      <c r="F629" s="12">
        <v>7.21</v>
      </c>
    </row>
    <row r="630">
      <c r="A630" s="12" t="s">
        <v>3621</v>
      </c>
      <c r="B630" s="12" t="s">
        <v>3616</v>
      </c>
      <c r="C630" s="12" t="s">
        <v>3019</v>
      </c>
      <c r="D630" s="12">
        <v>2.525</v>
      </c>
      <c r="E630" s="12">
        <v>3.99</v>
      </c>
      <c r="F630" s="12">
        <v>10.07</v>
      </c>
    </row>
    <row r="631">
      <c r="A631" s="12" t="s">
        <v>3622</v>
      </c>
      <c r="B631" s="12" t="s">
        <v>3616</v>
      </c>
      <c r="C631" s="12" t="s">
        <v>2941</v>
      </c>
      <c r="D631" s="12">
        <v>3.0</v>
      </c>
      <c r="E631" s="12">
        <v>5.99</v>
      </c>
      <c r="F631" s="12">
        <v>17.97</v>
      </c>
    </row>
    <row r="632">
      <c r="A632" s="12" t="s">
        <v>3624</v>
      </c>
      <c r="B632" s="12" t="s">
        <v>3616</v>
      </c>
      <c r="C632" s="12" t="s">
        <v>3397</v>
      </c>
      <c r="D632" s="12">
        <v>5.0</v>
      </c>
      <c r="E632" s="12">
        <v>10.49</v>
      </c>
      <c r="F632" s="12">
        <v>52.45</v>
      </c>
    </row>
    <row r="633">
      <c r="A633" s="12" t="s">
        <v>3625</v>
      </c>
      <c r="B633" s="12" t="s">
        <v>3616</v>
      </c>
      <c r="C633" s="12" t="s">
        <v>3015</v>
      </c>
      <c r="D633" s="12">
        <v>2.0</v>
      </c>
      <c r="E633" s="12">
        <v>26.99</v>
      </c>
      <c r="F633" s="12">
        <v>53.98</v>
      </c>
    </row>
    <row r="634">
      <c r="A634" s="12" t="s">
        <v>3626</v>
      </c>
      <c r="B634" s="12" t="s">
        <v>3616</v>
      </c>
      <c r="C634" s="12" t="s">
        <v>3015</v>
      </c>
      <c r="D634" s="12">
        <v>2.0</v>
      </c>
      <c r="E634" s="12">
        <v>22.9</v>
      </c>
      <c r="F634" s="12">
        <v>45.8</v>
      </c>
    </row>
    <row r="635">
      <c r="A635" s="12" t="s">
        <v>3627</v>
      </c>
      <c r="B635" s="12" t="s">
        <v>3616</v>
      </c>
      <c r="C635" s="12" t="s">
        <v>3013</v>
      </c>
      <c r="D635" s="12">
        <v>2.0</v>
      </c>
      <c r="E635" s="12">
        <v>7.99</v>
      </c>
      <c r="F635" s="12">
        <v>15.98</v>
      </c>
    </row>
    <row r="636">
      <c r="A636" s="12" t="s">
        <v>3628</v>
      </c>
      <c r="B636" s="12" t="s">
        <v>3616</v>
      </c>
      <c r="C636" s="12" t="s">
        <v>3629</v>
      </c>
      <c r="D636" s="12">
        <v>1.0</v>
      </c>
      <c r="E636" s="12">
        <v>7.89</v>
      </c>
      <c r="F636" s="12">
        <v>7.89</v>
      </c>
    </row>
    <row r="637">
      <c r="A637" s="12" t="s">
        <v>3632</v>
      </c>
      <c r="B637" s="12" t="s">
        <v>3616</v>
      </c>
      <c r="C637" s="12" t="s">
        <v>3180</v>
      </c>
      <c r="D637" s="12">
        <v>1.0</v>
      </c>
      <c r="E637" s="12">
        <v>16.99</v>
      </c>
      <c r="F637" s="12">
        <v>16.99</v>
      </c>
    </row>
    <row r="638">
      <c r="A638" s="12" t="s">
        <v>3635</v>
      </c>
      <c r="B638" s="12" t="s">
        <v>3616</v>
      </c>
      <c r="C638" s="12" t="s">
        <v>3636</v>
      </c>
      <c r="D638" s="12">
        <v>1.0</v>
      </c>
      <c r="E638" s="12">
        <v>9.98</v>
      </c>
      <c r="F638" s="12">
        <v>9.98</v>
      </c>
    </row>
    <row r="639">
      <c r="A639" s="12" t="s">
        <v>3638</v>
      </c>
      <c r="B639" s="12" t="s">
        <v>3616</v>
      </c>
      <c r="C639" s="12" t="s">
        <v>3639</v>
      </c>
      <c r="D639" s="12">
        <v>1.0</v>
      </c>
      <c r="E639" s="12">
        <v>3.49</v>
      </c>
      <c r="F639" s="12">
        <v>3.49</v>
      </c>
    </row>
    <row r="640">
      <c r="A640" s="16" t="s">
        <v>3640</v>
      </c>
      <c r="B640" s="12" t="s">
        <v>3611</v>
      </c>
      <c r="C640" s="12" t="s">
        <v>3100</v>
      </c>
      <c r="D640" s="12">
        <v>1.0</v>
      </c>
      <c r="E640" s="12">
        <v>81.5</v>
      </c>
      <c r="F640" s="12">
        <v>81.5</v>
      </c>
    </row>
    <row r="641">
      <c r="A641" s="12" t="s">
        <v>3641</v>
      </c>
      <c r="B641" s="12" t="s">
        <v>3642</v>
      </c>
      <c r="C641" s="12" t="s">
        <v>2965</v>
      </c>
      <c r="D641" s="12">
        <v>5.0</v>
      </c>
      <c r="E641" s="12">
        <v>91.5</v>
      </c>
      <c r="F641" s="12">
        <v>457.5</v>
      </c>
    </row>
    <row r="642">
      <c r="A642" s="12" t="s">
        <v>3647</v>
      </c>
      <c r="B642" s="12" t="s">
        <v>3642</v>
      </c>
      <c r="C642" s="12" t="s">
        <v>2961</v>
      </c>
      <c r="D642" s="12">
        <v>1.0</v>
      </c>
      <c r="E642" s="12">
        <v>75.0</v>
      </c>
      <c r="F642" s="12">
        <v>75.0</v>
      </c>
    </row>
    <row r="643">
      <c r="A643" s="12" t="s">
        <v>3648</v>
      </c>
      <c r="B643" s="12" t="s">
        <v>3642</v>
      </c>
      <c r="C643" s="12" t="s">
        <v>2958</v>
      </c>
      <c r="D643" s="12">
        <v>1.0</v>
      </c>
      <c r="E643" s="12">
        <v>35.0</v>
      </c>
      <c r="F643" s="12">
        <v>35.0</v>
      </c>
    </row>
    <row r="644">
      <c r="A644" s="12" t="s">
        <v>3651</v>
      </c>
      <c r="B644" s="12" t="s">
        <v>3642</v>
      </c>
      <c r="C644" s="12" t="s">
        <v>3397</v>
      </c>
      <c r="D644" s="12">
        <v>2.0</v>
      </c>
      <c r="E644" s="12">
        <v>125.0</v>
      </c>
      <c r="F644" s="12">
        <v>250.0</v>
      </c>
    </row>
    <row r="645">
      <c r="A645" s="12" t="s">
        <v>3654</v>
      </c>
      <c r="B645" s="12" t="s">
        <v>3655</v>
      </c>
      <c r="C645" s="12" t="s">
        <v>3267</v>
      </c>
      <c r="D645" s="12">
        <v>1.0</v>
      </c>
      <c r="E645" s="12">
        <v>25.99</v>
      </c>
      <c r="F645" s="12">
        <v>25.99</v>
      </c>
    </row>
    <row r="646">
      <c r="A646" s="12" t="s">
        <v>3657</v>
      </c>
      <c r="B646" s="12" t="s">
        <v>3655</v>
      </c>
      <c r="C646" s="12" t="s">
        <v>3039</v>
      </c>
      <c r="D646" s="12">
        <v>1.05</v>
      </c>
      <c r="E646" s="12">
        <v>1.99</v>
      </c>
      <c r="F646" s="12">
        <v>2.09</v>
      </c>
    </row>
    <row r="647">
      <c r="A647" s="12" t="s">
        <v>3658</v>
      </c>
      <c r="B647" s="12" t="s">
        <v>3655</v>
      </c>
      <c r="C647" s="12" t="s">
        <v>3039</v>
      </c>
      <c r="D647" s="12">
        <v>0.81</v>
      </c>
      <c r="E647" s="12">
        <v>1.99</v>
      </c>
      <c r="F647" s="12">
        <v>1.61</v>
      </c>
    </row>
    <row r="648">
      <c r="A648" s="16" t="s">
        <v>3659</v>
      </c>
      <c r="B648" s="12" t="s">
        <v>3660</v>
      </c>
      <c r="C648" s="12" t="s">
        <v>3661</v>
      </c>
      <c r="D648" s="12">
        <v>3.0</v>
      </c>
      <c r="E648" s="12">
        <v>7.0</v>
      </c>
      <c r="F648" s="12">
        <v>21.0</v>
      </c>
    </row>
    <row r="649">
      <c r="A649" s="12" t="s">
        <v>3662</v>
      </c>
      <c r="B649" s="12" t="s">
        <v>3660</v>
      </c>
      <c r="C649" s="12" t="s">
        <v>3663</v>
      </c>
      <c r="D649" s="12">
        <v>2.0</v>
      </c>
      <c r="E649" s="12">
        <v>6.5</v>
      </c>
      <c r="F649" s="12">
        <v>13.0</v>
      </c>
    </row>
    <row r="650">
      <c r="A650" s="12" t="s">
        <v>3664</v>
      </c>
      <c r="B650" s="12" t="s">
        <v>3660</v>
      </c>
      <c r="C650" s="12" t="s">
        <v>3661</v>
      </c>
      <c r="D650" s="12">
        <v>1.0</v>
      </c>
      <c r="E650" s="12">
        <v>7.0</v>
      </c>
      <c r="F650" s="12">
        <v>7.0</v>
      </c>
    </row>
    <row r="651">
      <c r="A651" s="12" t="s">
        <v>3666</v>
      </c>
      <c r="B651" s="12" t="s">
        <v>3667</v>
      </c>
      <c r="C651" s="16" t="s">
        <v>2910</v>
      </c>
      <c r="D651" s="12">
        <v>10.0</v>
      </c>
      <c r="E651" s="12">
        <v>33.0</v>
      </c>
      <c r="F651" s="12">
        <v>330.0</v>
      </c>
    </row>
    <row r="652">
      <c r="A652" s="12" t="s">
        <v>3668</v>
      </c>
      <c r="B652" s="12" t="s">
        <v>3669</v>
      </c>
      <c r="C652" s="12" t="s">
        <v>2926</v>
      </c>
      <c r="D652" s="12">
        <v>3.435</v>
      </c>
      <c r="E652" s="12">
        <v>24.9</v>
      </c>
      <c r="F652" s="12">
        <v>85.53</v>
      </c>
    </row>
    <row r="653">
      <c r="A653" s="12" t="s">
        <v>3670</v>
      </c>
      <c r="B653" s="12" t="s">
        <v>3669</v>
      </c>
      <c r="C653" s="12" t="s">
        <v>2926</v>
      </c>
      <c r="D653" s="12">
        <v>3.82</v>
      </c>
      <c r="E653" s="12">
        <v>24.9</v>
      </c>
      <c r="F653" s="12">
        <v>95.12</v>
      </c>
    </row>
    <row r="654">
      <c r="A654" s="12" t="s">
        <v>3676</v>
      </c>
      <c r="B654" s="12" t="s">
        <v>3677</v>
      </c>
      <c r="C654" s="12" t="s">
        <v>3100</v>
      </c>
      <c r="D654" s="12">
        <v>1.0</v>
      </c>
      <c r="E654" s="12">
        <v>37.0</v>
      </c>
      <c r="F654" s="12">
        <v>37.0</v>
      </c>
    </row>
    <row r="655">
      <c r="A655" s="12" t="s">
        <v>3678</v>
      </c>
      <c r="B655" s="12" t="s">
        <v>3679</v>
      </c>
      <c r="C655" s="12" t="s">
        <v>3373</v>
      </c>
      <c r="D655" s="12">
        <v>6.0</v>
      </c>
      <c r="E655" s="12">
        <v>3.99</v>
      </c>
      <c r="F655" s="12">
        <v>23.94</v>
      </c>
    </row>
    <row r="656">
      <c r="A656" s="12" t="s">
        <v>3684</v>
      </c>
      <c r="B656" s="12" t="s">
        <v>3679</v>
      </c>
      <c r="C656" s="12" t="s">
        <v>3064</v>
      </c>
      <c r="D656" s="12">
        <v>15.0</v>
      </c>
      <c r="E656" s="12">
        <v>9.98</v>
      </c>
      <c r="F656" s="12">
        <v>149.7</v>
      </c>
    </row>
    <row r="657">
      <c r="A657" s="12" t="s">
        <v>3685</v>
      </c>
      <c r="B657" s="12" t="s">
        <v>3679</v>
      </c>
      <c r="C657" s="12" t="s">
        <v>3245</v>
      </c>
      <c r="D657" s="12">
        <v>2.0</v>
      </c>
      <c r="E657" s="12">
        <v>9.79</v>
      </c>
      <c r="F657" s="12">
        <v>19.58</v>
      </c>
    </row>
    <row r="658">
      <c r="A658" s="12" t="s">
        <v>3688</v>
      </c>
      <c r="B658" s="12" t="s">
        <v>3679</v>
      </c>
      <c r="C658" s="12" t="s">
        <v>3039</v>
      </c>
      <c r="D658" s="12">
        <v>2.53</v>
      </c>
      <c r="E658" s="12">
        <v>4.49</v>
      </c>
      <c r="F658" s="12">
        <v>11.36</v>
      </c>
    </row>
    <row r="659">
      <c r="A659" s="12" t="s">
        <v>3690</v>
      </c>
      <c r="B659" s="12" t="s">
        <v>3679</v>
      </c>
      <c r="C659" s="12" t="s">
        <v>3071</v>
      </c>
      <c r="D659" s="12">
        <v>2.0</v>
      </c>
      <c r="E659" s="12">
        <v>9.98</v>
      </c>
      <c r="F659" s="12">
        <v>19.96</v>
      </c>
    </row>
    <row r="660">
      <c r="A660" s="12" t="s">
        <v>3691</v>
      </c>
      <c r="B660" s="12" t="s">
        <v>3679</v>
      </c>
      <c r="C660" s="12" t="s">
        <v>3074</v>
      </c>
      <c r="D660" s="12">
        <v>2.0</v>
      </c>
      <c r="E660" s="12">
        <v>8.19</v>
      </c>
      <c r="F660" s="12">
        <v>16.38</v>
      </c>
    </row>
    <row r="661">
      <c r="A661" s="12" t="s">
        <v>3693</v>
      </c>
      <c r="B661" s="12" t="s">
        <v>3679</v>
      </c>
      <c r="C661" s="12" t="s">
        <v>2941</v>
      </c>
      <c r="D661" s="12">
        <v>3.0</v>
      </c>
      <c r="E661" s="12">
        <v>6.99</v>
      </c>
      <c r="F661" s="12">
        <v>20.97</v>
      </c>
    </row>
    <row r="662">
      <c r="A662" s="12" t="s">
        <v>3696</v>
      </c>
      <c r="B662" s="12" t="s">
        <v>3679</v>
      </c>
      <c r="C662" s="12" t="s">
        <v>3019</v>
      </c>
      <c r="D662" s="12">
        <v>2.425</v>
      </c>
      <c r="E662" s="12">
        <v>3.99</v>
      </c>
      <c r="F662" s="12">
        <v>9.68</v>
      </c>
    </row>
    <row r="663">
      <c r="A663" s="12" t="s">
        <v>3697</v>
      </c>
      <c r="B663" s="12" t="s">
        <v>3679</v>
      </c>
      <c r="C663" s="12" t="s">
        <v>3039</v>
      </c>
      <c r="D663" s="12">
        <v>2.445</v>
      </c>
      <c r="E663" s="12">
        <v>4.49</v>
      </c>
      <c r="F663" s="12">
        <v>10.98</v>
      </c>
    </row>
    <row r="664">
      <c r="A664" s="12" t="s">
        <v>3701</v>
      </c>
      <c r="B664" s="12" t="s">
        <v>3703</v>
      </c>
      <c r="C664" s="12" t="s">
        <v>2926</v>
      </c>
      <c r="D664" s="12">
        <v>6.0</v>
      </c>
      <c r="E664" s="12">
        <v>33.66</v>
      </c>
      <c r="F664" s="12">
        <v>201.96</v>
      </c>
    </row>
    <row r="665">
      <c r="A665" s="12" t="s">
        <v>3704</v>
      </c>
      <c r="B665" s="12" t="s">
        <v>3705</v>
      </c>
      <c r="C665" s="12" t="s">
        <v>3114</v>
      </c>
      <c r="D665" s="12">
        <v>10.0</v>
      </c>
      <c r="E665" s="12">
        <v>12.48</v>
      </c>
      <c r="F665" s="12">
        <v>124.8</v>
      </c>
    </row>
    <row r="666">
      <c r="A666" s="16" t="s">
        <v>3709</v>
      </c>
      <c r="B666" s="12" t="s">
        <v>3710</v>
      </c>
      <c r="C666" s="16" t="s">
        <v>2910</v>
      </c>
      <c r="D666" s="12">
        <v>10.0</v>
      </c>
      <c r="E666" s="12">
        <v>33.0</v>
      </c>
      <c r="F666" s="12">
        <v>330.0</v>
      </c>
    </row>
    <row r="667">
      <c r="A667" s="12" t="s">
        <v>3716</v>
      </c>
      <c r="B667" s="12" t="s">
        <v>3717</v>
      </c>
      <c r="C667" s="12" t="s">
        <v>3019</v>
      </c>
      <c r="D667" s="12">
        <v>1.98</v>
      </c>
      <c r="E667" s="12">
        <v>2.39</v>
      </c>
      <c r="F667" s="12">
        <v>4.73</v>
      </c>
    </row>
    <row r="668">
      <c r="A668" s="12" t="s">
        <v>3720</v>
      </c>
      <c r="B668" s="12" t="s">
        <v>3717</v>
      </c>
      <c r="C668" s="12" t="s">
        <v>3039</v>
      </c>
      <c r="D668" s="12">
        <v>1.635</v>
      </c>
      <c r="E668" s="12">
        <v>3.33</v>
      </c>
      <c r="F668" s="12">
        <v>5.44</v>
      </c>
    </row>
    <row r="669">
      <c r="A669" s="12" t="s">
        <v>3722</v>
      </c>
      <c r="B669" s="12" t="s">
        <v>3717</v>
      </c>
      <c r="C669" s="12" t="s">
        <v>2926</v>
      </c>
      <c r="D669" s="12">
        <v>5.45</v>
      </c>
      <c r="E669" s="12">
        <v>20.63</v>
      </c>
      <c r="F669" s="12">
        <v>112.43</v>
      </c>
    </row>
    <row r="670">
      <c r="A670" s="12" t="s">
        <v>3725</v>
      </c>
      <c r="B670" s="12" t="s">
        <v>3717</v>
      </c>
      <c r="C670" s="12" t="s">
        <v>2926</v>
      </c>
      <c r="D670" s="12">
        <v>2.97</v>
      </c>
      <c r="E670" s="12">
        <v>20.63</v>
      </c>
      <c r="F670" s="12">
        <v>61.27</v>
      </c>
    </row>
    <row r="671">
      <c r="A671" s="12" t="s">
        <v>3729</v>
      </c>
      <c r="B671" s="12" t="s">
        <v>3717</v>
      </c>
      <c r="C671" s="12" t="s">
        <v>2941</v>
      </c>
      <c r="D671" s="12">
        <v>3.0</v>
      </c>
      <c r="E671" s="12">
        <v>6.01</v>
      </c>
      <c r="F671" s="12">
        <v>18.03</v>
      </c>
    </row>
    <row r="672">
      <c r="A672" s="12" t="s">
        <v>3730</v>
      </c>
      <c r="B672" s="12" t="s">
        <v>3717</v>
      </c>
      <c r="C672" s="12" t="s">
        <v>3064</v>
      </c>
      <c r="D672" s="12">
        <v>4.0</v>
      </c>
      <c r="E672" s="12">
        <v>8.11</v>
      </c>
      <c r="F672" s="12">
        <v>32.44</v>
      </c>
    </row>
    <row r="673">
      <c r="A673" s="12" t="s">
        <v>3732</v>
      </c>
      <c r="B673" s="12" t="s">
        <v>3717</v>
      </c>
      <c r="C673" s="12" t="s">
        <v>3479</v>
      </c>
      <c r="D673" s="12">
        <v>1.0</v>
      </c>
      <c r="E673" s="12">
        <v>14.76</v>
      </c>
      <c r="F673" s="12">
        <v>14.76</v>
      </c>
    </row>
    <row r="674">
      <c r="A674" s="12" t="s">
        <v>3733</v>
      </c>
      <c r="B674" s="12" t="s">
        <v>3717</v>
      </c>
      <c r="C674" s="12" t="s">
        <v>3552</v>
      </c>
      <c r="D674" s="12">
        <v>72.0</v>
      </c>
      <c r="E674" s="12">
        <v>2.15</v>
      </c>
      <c r="F674" s="12">
        <v>154.8</v>
      </c>
    </row>
    <row r="675">
      <c r="A675" s="12" t="s">
        <v>3736</v>
      </c>
      <c r="B675" s="12" t="s">
        <v>3738</v>
      </c>
      <c r="C675" s="12" t="s">
        <v>786</v>
      </c>
      <c r="D675" s="12">
        <v>1.0</v>
      </c>
      <c r="E675" s="12">
        <v>9953.18</v>
      </c>
      <c r="F675" s="12">
        <v>9953.18</v>
      </c>
    </row>
    <row r="676">
      <c r="A676" s="12" t="s">
        <v>3741</v>
      </c>
      <c r="B676" s="12" t="s">
        <v>3738</v>
      </c>
      <c r="C676" s="12" t="s">
        <v>925</v>
      </c>
      <c r="D676" s="12">
        <v>1.0</v>
      </c>
      <c r="E676" s="12">
        <v>945.55</v>
      </c>
      <c r="F676" s="12">
        <v>945.55</v>
      </c>
    </row>
    <row r="677">
      <c r="A677" s="12" t="s">
        <v>3742</v>
      </c>
      <c r="B677" s="12" t="s">
        <v>3738</v>
      </c>
      <c r="C677" s="12" t="s">
        <v>2982</v>
      </c>
      <c r="D677" s="12">
        <v>1.0</v>
      </c>
      <c r="E677" s="12">
        <v>175.14</v>
      </c>
      <c r="F677" s="12">
        <v>175.14</v>
      </c>
    </row>
    <row r="678">
      <c r="A678" s="12" t="s">
        <v>3745</v>
      </c>
      <c r="B678" s="12" t="s">
        <v>3747</v>
      </c>
      <c r="C678" s="12" t="s">
        <v>3748</v>
      </c>
      <c r="D678" s="12">
        <v>1.0</v>
      </c>
      <c r="E678" s="12">
        <v>59.9</v>
      </c>
      <c r="F678" s="12">
        <v>59.9</v>
      </c>
    </row>
    <row r="679">
      <c r="A679" s="12" t="s">
        <v>3749</v>
      </c>
      <c r="B679" s="12" t="s">
        <v>3751</v>
      </c>
      <c r="C679" s="12" t="s">
        <v>3106</v>
      </c>
      <c r="D679" s="12">
        <v>1.0</v>
      </c>
      <c r="E679" s="12">
        <v>7169.8</v>
      </c>
      <c r="F679" s="12">
        <v>7169.8</v>
      </c>
    </row>
    <row r="680">
      <c r="A680" s="12" t="s">
        <v>3754</v>
      </c>
      <c r="B680" s="12" t="s">
        <v>3751</v>
      </c>
      <c r="C680" s="12" t="s">
        <v>925</v>
      </c>
      <c r="D680" s="12">
        <v>1.0</v>
      </c>
      <c r="E680" s="12">
        <v>681.13</v>
      </c>
      <c r="F680" s="12">
        <v>681.13</v>
      </c>
    </row>
    <row r="681">
      <c r="A681" s="12" t="s">
        <v>3755</v>
      </c>
      <c r="B681" s="12" t="s">
        <v>3306</v>
      </c>
      <c r="C681" s="12" t="s">
        <v>717</v>
      </c>
      <c r="D681" s="12">
        <v>1.0</v>
      </c>
      <c r="E681" s="12">
        <v>2475.0</v>
      </c>
      <c r="F681" s="12">
        <v>2475.0</v>
      </c>
    </row>
    <row r="682">
      <c r="A682" s="12" t="s">
        <v>3758</v>
      </c>
      <c r="B682" s="12" t="s">
        <v>3306</v>
      </c>
      <c r="C682" s="12" t="s">
        <v>2982</v>
      </c>
      <c r="D682" s="12">
        <v>1.0</v>
      </c>
      <c r="E682" s="12">
        <v>241.31</v>
      </c>
      <c r="F682" s="12">
        <v>241.31</v>
      </c>
    </row>
    <row r="683">
      <c r="A683" s="12" t="s">
        <v>3759</v>
      </c>
      <c r="B683" s="12" t="s">
        <v>3761</v>
      </c>
      <c r="C683" s="12" t="s">
        <v>3027</v>
      </c>
      <c r="D683" s="12">
        <v>1.0</v>
      </c>
      <c r="E683" s="12">
        <v>17.95</v>
      </c>
      <c r="F683" s="12">
        <v>17.95</v>
      </c>
    </row>
    <row r="684">
      <c r="A684" s="12" t="s">
        <v>3764</v>
      </c>
      <c r="B684" s="12" t="s">
        <v>3765</v>
      </c>
      <c r="C684" s="16" t="s">
        <v>2910</v>
      </c>
      <c r="D684" s="12">
        <v>10.0</v>
      </c>
      <c r="E684" s="12">
        <v>22.0</v>
      </c>
      <c r="F684" s="12">
        <v>220.0</v>
      </c>
    </row>
    <row r="685">
      <c r="A685" s="12" t="s">
        <v>3766</v>
      </c>
      <c r="B685" s="12" t="s">
        <v>3767</v>
      </c>
      <c r="C685" s="12" t="s">
        <v>3039</v>
      </c>
      <c r="D685" s="12">
        <v>1.78</v>
      </c>
      <c r="E685" s="12">
        <v>3.99</v>
      </c>
      <c r="F685" s="12">
        <v>7.1</v>
      </c>
    </row>
    <row r="686">
      <c r="A686" s="12" t="s">
        <v>3768</v>
      </c>
      <c r="B686" s="12" t="s">
        <v>3769</v>
      </c>
      <c r="C686" s="16" t="s">
        <v>3002</v>
      </c>
      <c r="D686" s="12">
        <v>2.0</v>
      </c>
      <c r="E686" s="12">
        <v>22.8</v>
      </c>
      <c r="F686" s="12">
        <v>45.6</v>
      </c>
    </row>
    <row r="687">
      <c r="A687" s="12" t="s">
        <v>3770</v>
      </c>
      <c r="B687" s="12" t="s">
        <v>3769</v>
      </c>
      <c r="C687" s="12" t="s">
        <v>3008</v>
      </c>
      <c r="D687" s="12">
        <v>1.0</v>
      </c>
      <c r="E687" s="12">
        <v>45.6</v>
      </c>
      <c r="F687" s="12">
        <v>45.6</v>
      </c>
    </row>
    <row r="688">
      <c r="A688" s="12" t="s">
        <v>3771</v>
      </c>
      <c r="B688" s="12" t="s">
        <v>3769</v>
      </c>
      <c r="C688" s="12" t="s">
        <v>3511</v>
      </c>
      <c r="D688" s="12">
        <v>1.0</v>
      </c>
      <c r="E688" s="12">
        <v>45.6</v>
      </c>
      <c r="F688" s="12">
        <v>45.6</v>
      </c>
    </row>
    <row r="689">
      <c r="A689" s="12" t="s">
        <v>3772</v>
      </c>
      <c r="B689" s="12" t="s">
        <v>3769</v>
      </c>
      <c r="C689" s="12" t="s">
        <v>3114</v>
      </c>
      <c r="D689" s="12">
        <v>10.0</v>
      </c>
      <c r="E689" s="12">
        <v>12.48</v>
      </c>
      <c r="F689" s="12">
        <v>124.8</v>
      </c>
    </row>
    <row r="690">
      <c r="A690" s="12" t="s">
        <v>3773</v>
      </c>
      <c r="B690" s="12" t="s">
        <v>3774</v>
      </c>
      <c r="C690" s="12" t="s">
        <v>2941</v>
      </c>
      <c r="D690" s="12">
        <v>3.0</v>
      </c>
      <c r="E690" s="12">
        <v>7.99</v>
      </c>
      <c r="F690" s="12">
        <v>23.97</v>
      </c>
    </row>
    <row r="691">
      <c r="A691" s="12" t="s">
        <v>3775</v>
      </c>
      <c r="B691" s="12" t="s">
        <v>3774</v>
      </c>
      <c r="C691" s="12" t="s">
        <v>2926</v>
      </c>
      <c r="D691" s="12">
        <v>5.45</v>
      </c>
      <c r="E691" s="12">
        <v>19.98</v>
      </c>
      <c r="F691" s="12">
        <v>108.89</v>
      </c>
    </row>
    <row r="692">
      <c r="A692" s="12" t="s">
        <v>3779</v>
      </c>
      <c r="B692" s="12" t="s">
        <v>3774</v>
      </c>
      <c r="C692" s="12" t="s">
        <v>2926</v>
      </c>
      <c r="D692" s="12">
        <v>3.415</v>
      </c>
      <c r="E692" s="12">
        <v>19.98</v>
      </c>
      <c r="F692" s="12">
        <v>68.23</v>
      </c>
    </row>
    <row r="693">
      <c r="A693" s="12" t="s">
        <v>3780</v>
      </c>
      <c r="B693" s="12" t="s">
        <v>3774</v>
      </c>
      <c r="C693" s="12" t="s">
        <v>3245</v>
      </c>
      <c r="D693" s="12">
        <v>2.0</v>
      </c>
      <c r="E693" s="12">
        <v>9.98</v>
      </c>
      <c r="F693" s="12">
        <v>19.96</v>
      </c>
    </row>
    <row r="694">
      <c r="A694" s="12" t="s">
        <v>3783</v>
      </c>
      <c r="B694" s="12" t="s">
        <v>3774</v>
      </c>
      <c r="C694" s="12" t="s">
        <v>3019</v>
      </c>
      <c r="D694" s="12">
        <v>2.185</v>
      </c>
      <c r="E694" s="12">
        <v>3.99</v>
      </c>
      <c r="F694" s="12">
        <v>8.72</v>
      </c>
    </row>
    <row r="695">
      <c r="A695" s="12" t="s">
        <v>3784</v>
      </c>
      <c r="B695" s="12" t="s">
        <v>3774</v>
      </c>
      <c r="C695" s="12" t="s">
        <v>3039</v>
      </c>
      <c r="D695" s="12">
        <v>3.27</v>
      </c>
      <c r="E695" s="12">
        <v>4.49</v>
      </c>
      <c r="F695" s="12">
        <v>14.68</v>
      </c>
    </row>
    <row r="696">
      <c r="A696" s="12" t="s">
        <v>3787</v>
      </c>
      <c r="B696" s="12" t="s">
        <v>3774</v>
      </c>
      <c r="C696" s="12" t="s">
        <v>3064</v>
      </c>
      <c r="D696" s="12">
        <v>6.0</v>
      </c>
      <c r="E696" s="12">
        <v>12.99</v>
      </c>
      <c r="F696" s="12">
        <v>77.94</v>
      </c>
    </row>
    <row r="697">
      <c r="A697" s="12" t="s">
        <v>3788</v>
      </c>
      <c r="B697" s="12" t="s">
        <v>3774</v>
      </c>
      <c r="C697" s="12" t="s">
        <v>3064</v>
      </c>
      <c r="D697" s="12">
        <v>2.0</v>
      </c>
      <c r="E697" s="12">
        <v>9.98</v>
      </c>
      <c r="F697" s="12">
        <v>19.96</v>
      </c>
    </row>
    <row r="698">
      <c r="A698" s="12" t="s">
        <v>3790</v>
      </c>
      <c r="B698" s="12" t="s">
        <v>3774</v>
      </c>
      <c r="C698" s="12" t="s">
        <v>3076</v>
      </c>
      <c r="D698" s="12">
        <v>2.0</v>
      </c>
      <c r="E698" s="12">
        <v>8.49</v>
      </c>
      <c r="F698" s="12">
        <v>16.98</v>
      </c>
    </row>
    <row r="699">
      <c r="A699" s="12" t="s">
        <v>3792</v>
      </c>
      <c r="B699" s="12" t="s">
        <v>3774</v>
      </c>
      <c r="C699" s="12" t="s">
        <v>3793</v>
      </c>
      <c r="D699" s="12">
        <v>1.0</v>
      </c>
      <c r="E699" s="12">
        <v>9.98</v>
      </c>
      <c r="F699" s="12">
        <v>9.98</v>
      </c>
    </row>
    <row r="700">
      <c r="A700" s="12" t="s">
        <v>3795</v>
      </c>
      <c r="B700" s="12" t="s">
        <v>3774</v>
      </c>
      <c r="C700" s="12" t="s">
        <v>3797</v>
      </c>
      <c r="D700" s="12">
        <v>2.0</v>
      </c>
      <c r="E700" s="12">
        <v>5.99</v>
      </c>
      <c r="F700" s="12">
        <v>11.98</v>
      </c>
    </row>
    <row r="701">
      <c r="A701" s="12" t="s">
        <v>3798</v>
      </c>
      <c r="B701" s="12" t="s">
        <v>3774</v>
      </c>
      <c r="C701" s="12" t="s">
        <v>3801</v>
      </c>
      <c r="D701" s="12">
        <v>1.0</v>
      </c>
      <c r="E701" s="12">
        <v>1.49</v>
      </c>
      <c r="F701" s="12">
        <v>1.49</v>
      </c>
    </row>
    <row r="702">
      <c r="A702" s="12" t="s">
        <v>3802</v>
      </c>
      <c r="B702" s="12" t="s">
        <v>3774</v>
      </c>
      <c r="C702" s="12" t="s">
        <v>3071</v>
      </c>
      <c r="D702" s="12">
        <v>2.0</v>
      </c>
      <c r="E702" s="12">
        <v>12.99</v>
      </c>
      <c r="F702" s="12">
        <v>25.98</v>
      </c>
    </row>
    <row r="703">
      <c r="A703" s="12" t="s">
        <v>3803</v>
      </c>
      <c r="B703" s="12" t="s">
        <v>3804</v>
      </c>
      <c r="C703" s="12" t="s">
        <v>2907</v>
      </c>
      <c r="D703" s="12">
        <v>0.416</v>
      </c>
      <c r="E703" s="12">
        <v>13.99</v>
      </c>
      <c r="F703" s="12">
        <v>5.82</v>
      </c>
    </row>
    <row r="704">
      <c r="A704" s="12" t="s">
        <v>3807</v>
      </c>
      <c r="B704" s="12" t="s">
        <v>3808</v>
      </c>
      <c r="C704" s="12" t="s">
        <v>2907</v>
      </c>
      <c r="D704" s="12">
        <v>0.994</v>
      </c>
      <c r="E704" s="12">
        <v>13.99</v>
      </c>
      <c r="F704" s="12">
        <v>13.91</v>
      </c>
    </row>
    <row r="705">
      <c r="A705" s="12" t="s">
        <v>3810</v>
      </c>
      <c r="B705" s="12" t="s">
        <v>3811</v>
      </c>
      <c r="C705" s="12" t="s">
        <v>3812</v>
      </c>
      <c r="D705" s="12">
        <v>5.0</v>
      </c>
      <c r="E705" s="12">
        <v>7.0</v>
      </c>
      <c r="F705" s="12">
        <v>35.0</v>
      </c>
    </row>
    <row r="706">
      <c r="A706" s="12" t="s">
        <v>3815</v>
      </c>
      <c r="B706" s="12" t="s">
        <v>3811</v>
      </c>
      <c r="C706" s="12" t="s">
        <v>3816</v>
      </c>
      <c r="D706" s="12">
        <v>10.0</v>
      </c>
      <c r="E706" s="12">
        <v>5.0</v>
      </c>
      <c r="F706" s="12">
        <v>50.0</v>
      </c>
    </row>
    <row r="707">
      <c r="A707" s="12" t="s">
        <v>3818</v>
      </c>
      <c r="B707" s="12" t="s">
        <v>3820</v>
      </c>
      <c r="C707" s="12" t="s">
        <v>3019</v>
      </c>
      <c r="D707" s="12">
        <v>1.08</v>
      </c>
      <c r="E707" s="12">
        <v>6.99</v>
      </c>
      <c r="F707" s="12">
        <v>7.55</v>
      </c>
    </row>
    <row r="708">
      <c r="A708" s="12" t="s">
        <v>3824</v>
      </c>
      <c r="B708" s="12" t="s">
        <v>3820</v>
      </c>
      <c r="C708" s="12" t="s">
        <v>3039</v>
      </c>
      <c r="D708" s="12">
        <v>0.88</v>
      </c>
      <c r="E708" s="12">
        <v>4.99</v>
      </c>
      <c r="F708" s="12">
        <v>4.39</v>
      </c>
    </row>
    <row r="709">
      <c r="A709" s="12" t="s">
        <v>3826</v>
      </c>
      <c r="B709" s="12" t="s">
        <v>3827</v>
      </c>
      <c r="C709" s="12" t="s">
        <v>3008</v>
      </c>
      <c r="D709" s="12">
        <v>1.0</v>
      </c>
      <c r="E709" s="12">
        <v>45.6</v>
      </c>
      <c r="F709" s="12">
        <v>45.6</v>
      </c>
    </row>
    <row r="710">
      <c r="A710" s="12" t="s">
        <v>3830</v>
      </c>
      <c r="B710" s="12" t="s">
        <v>3827</v>
      </c>
      <c r="C710" s="12" t="s">
        <v>3004</v>
      </c>
      <c r="D710" s="12">
        <v>1.0</v>
      </c>
      <c r="E710" s="12">
        <v>22.8</v>
      </c>
      <c r="F710" s="12">
        <v>22.8</v>
      </c>
    </row>
    <row r="711">
      <c r="A711" s="12" t="s">
        <v>3831</v>
      </c>
      <c r="B711" s="12" t="s">
        <v>3827</v>
      </c>
      <c r="C711" s="12" t="s">
        <v>3169</v>
      </c>
      <c r="D711" s="12">
        <v>1.0</v>
      </c>
      <c r="E711" s="12">
        <v>41.88</v>
      </c>
      <c r="F711" s="12">
        <v>41.88</v>
      </c>
    </row>
    <row r="712">
      <c r="A712" s="12" t="s">
        <v>3835</v>
      </c>
      <c r="B712" s="12" t="s">
        <v>3827</v>
      </c>
      <c r="C712" s="12" t="s">
        <v>3111</v>
      </c>
      <c r="D712" s="12">
        <v>5.0</v>
      </c>
      <c r="E712" s="12">
        <v>14.28</v>
      </c>
      <c r="F712" s="12">
        <v>71.4</v>
      </c>
    </row>
    <row r="713">
      <c r="A713" s="12" t="s">
        <v>3836</v>
      </c>
      <c r="B713" s="12" t="s">
        <v>3837</v>
      </c>
      <c r="C713" s="12" t="s">
        <v>643</v>
      </c>
      <c r="D713" s="12">
        <v>4.0</v>
      </c>
      <c r="E713" s="12">
        <v>39.0</v>
      </c>
      <c r="F713" s="12">
        <v>156.0</v>
      </c>
    </row>
    <row r="714">
      <c r="A714" s="12" t="s">
        <v>3842</v>
      </c>
      <c r="B714" s="12" t="s">
        <v>3837</v>
      </c>
      <c r="C714" s="12" t="s">
        <v>3843</v>
      </c>
      <c r="D714" s="12">
        <v>1.0</v>
      </c>
      <c r="E714" s="12">
        <v>32.0</v>
      </c>
      <c r="F714" s="12">
        <v>32.0</v>
      </c>
    </row>
    <row r="715">
      <c r="A715" s="12" t="s">
        <v>3844</v>
      </c>
      <c r="B715" s="12" t="s">
        <v>3845</v>
      </c>
      <c r="C715" s="12" t="s">
        <v>2941</v>
      </c>
      <c r="D715" s="12">
        <v>3.0</v>
      </c>
      <c r="E715" s="12">
        <v>7.99</v>
      </c>
      <c r="F715" s="12">
        <v>23.97</v>
      </c>
    </row>
    <row r="716">
      <c r="A716" s="12" t="s">
        <v>3848</v>
      </c>
      <c r="B716" s="12" t="s">
        <v>3845</v>
      </c>
      <c r="C716" s="12" t="s">
        <v>3177</v>
      </c>
      <c r="D716" s="12">
        <v>1.0</v>
      </c>
      <c r="E716" s="12">
        <v>18.99</v>
      </c>
      <c r="F716" s="12">
        <v>18.99</v>
      </c>
    </row>
    <row r="717">
      <c r="A717" s="12" t="s">
        <v>3851</v>
      </c>
      <c r="B717" s="12" t="s">
        <v>3845</v>
      </c>
      <c r="C717" s="12" t="s">
        <v>3629</v>
      </c>
      <c r="D717" s="12">
        <v>1.0</v>
      </c>
      <c r="E717" s="12">
        <v>7.89</v>
      </c>
      <c r="F717" s="12">
        <v>7.89</v>
      </c>
    </row>
    <row r="718">
      <c r="A718" s="12" t="s">
        <v>3854</v>
      </c>
      <c r="B718" s="12" t="s">
        <v>3845</v>
      </c>
      <c r="C718" s="12" t="s">
        <v>3855</v>
      </c>
      <c r="D718" s="12">
        <v>1.0</v>
      </c>
      <c r="E718" s="12">
        <v>9.98</v>
      </c>
      <c r="F718" s="12">
        <v>9.98</v>
      </c>
    </row>
    <row r="719">
      <c r="A719" s="12" t="s">
        <v>3857</v>
      </c>
      <c r="B719" s="12" t="s">
        <v>3845</v>
      </c>
      <c r="C719" s="12" t="s">
        <v>3552</v>
      </c>
      <c r="D719" s="12">
        <v>12.0</v>
      </c>
      <c r="E719" s="12">
        <v>2.89</v>
      </c>
      <c r="F719" s="12">
        <v>34.68</v>
      </c>
    </row>
    <row r="720">
      <c r="A720" s="12" t="s">
        <v>3861</v>
      </c>
      <c r="B720" s="12" t="s">
        <v>3845</v>
      </c>
      <c r="C720" s="12" t="s">
        <v>3552</v>
      </c>
      <c r="D720" s="12">
        <v>1.0</v>
      </c>
      <c r="E720" s="12">
        <v>2.89</v>
      </c>
      <c r="F720" s="12">
        <v>2.89</v>
      </c>
    </row>
    <row r="721">
      <c r="A721" s="12" t="s">
        <v>3862</v>
      </c>
      <c r="B721" s="12" t="s">
        <v>3845</v>
      </c>
      <c r="C721" s="12" t="s">
        <v>3552</v>
      </c>
      <c r="D721" s="12">
        <v>11.0</v>
      </c>
      <c r="E721" s="12">
        <v>2.89</v>
      </c>
      <c r="F721" s="12">
        <v>31.79</v>
      </c>
    </row>
    <row r="722">
      <c r="A722" s="12" t="s">
        <v>3866</v>
      </c>
      <c r="B722" s="12" t="s">
        <v>3845</v>
      </c>
      <c r="C722" s="12" t="s">
        <v>3867</v>
      </c>
      <c r="D722" s="12">
        <v>24.0</v>
      </c>
      <c r="E722" s="12">
        <v>8.49</v>
      </c>
      <c r="F722" s="12">
        <v>203.76</v>
      </c>
    </row>
    <row r="723">
      <c r="A723" s="12" t="s">
        <v>3870</v>
      </c>
      <c r="B723" s="12" t="s">
        <v>3872</v>
      </c>
      <c r="C723" s="12" t="s">
        <v>3564</v>
      </c>
      <c r="D723" s="12">
        <v>1.0</v>
      </c>
      <c r="E723" s="12">
        <v>1192.82</v>
      </c>
      <c r="F723" s="12">
        <v>1192.82</v>
      </c>
    </row>
    <row r="724">
      <c r="A724" s="12" t="s">
        <v>3875</v>
      </c>
      <c r="B724" s="12" t="s">
        <v>3872</v>
      </c>
      <c r="C724" s="12" t="s">
        <v>925</v>
      </c>
      <c r="D724" s="12">
        <v>1.0</v>
      </c>
      <c r="E724" s="12">
        <v>113.32</v>
      </c>
      <c r="F724" s="12">
        <v>113.32</v>
      </c>
    </row>
    <row r="725">
      <c r="A725" s="12" t="s">
        <v>3876</v>
      </c>
      <c r="B725" s="12" t="s">
        <v>3877</v>
      </c>
      <c r="C725" s="12" t="s">
        <v>3106</v>
      </c>
      <c r="D725" s="12">
        <v>1.0</v>
      </c>
      <c r="E725" s="12">
        <v>5397.5</v>
      </c>
      <c r="F725" s="12">
        <v>5397.5</v>
      </c>
    </row>
    <row r="726">
      <c r="A726" s="12" t="s">
        <v>3878</v>
      </c>
      <c r="B726" s="12" t="s">
        <v>3877</v>
      </c>
      <c r="C726" s="12" t="s">
        <v>925</v>
      </c>
      <c r="D726" s="12">
        <v>1.0</v>
      </c>
      <c r="E726" s="12">
        <v>512.76</v>
      </c>
      <c r="F726" s="12">
        <v>512.76</v>
      </c>
    </row>
    <row r="727">
      <c r="A727" s="12" t="s">
        <v>3879</v>
      </c>
      <c r="B727" s="12" t="s">
        <v>3877</v>
      </c>
      <c r="C727" s="12" t="s">
        <v>2982</v>
      </c>
      <c r="D727" s="12">
        <v>1.0</v>
      </c>
      <c r="E727" s="12">
        <v>84.4</v>
      </c>
      <c r="F727" s="12">
        <v>84.4</v>
      </c>
    </row>
    <row r="728">
      <c r="A728" s="12" t="s">
        <v>3880</v>
      </c>
      <c r="B728" s="12" t="s">
        <v>3882</v>
      </c>
      <c r="C728" s="12" t="s">
        <v>3019</v>
      </c>
      <c r="D728" s="12">
        <v>1.436</v>
      </c>
      <c r="E728" s="12">
        <v>5.98</v>
      </c>
      <c r="F728" s="12">
        <v>8.59</v>
      </c>
    </row>
    <row r="729">
      <c r="A729" s="12" t="s">
        <v>3884</v>
      </c>
      <c r="B729" s="12" t="s">
        <v>3882</v>
      </c>
      <c r="C729" s="12" t="s">
        <v>3039</v>
      </c>
      <c r="D729" s="12">
        <v>2.16</v>
      </c>
      <c r="E729" s="12">
        <v>2.99</v>
      </c>
      <c r="F729" s="12">
        <v>6.46</v>
      </c>
    </row>
    <row r="730">
      <c r="A730" s="12" t="s">
        <v>3886</v>
      </c>
      <c r="B730" s="12" t="s">
        <v>3882</v>
      </c>
      <c r="C730" s="12" t="s">
        <v>2941</v>
      </c>
      <c r="D730" s="12">
        <v>2.0</v>
      </c>
      <c r="E730" s="12">
        <v>9.99</v>
      </c>
      <c r="F730" s="12">
        <v>19.98</v>
      </c>
    </row>
    <row r="731">
      <c r="A731" s="12" t="s">
        <v>3891</v>
      </c>
      <c r="B731" s="12" t="s">
        <v>3892</v>
      </c>
      <c r="C731" s="12" t="s">
        <v>3064</v>
      </c>
      <c r="D731" s="12">
        <v>7.0</v>
      </c>
      <c r="E731" s="12">
        <v>12.99</v>
      </c>
      <c r="F731" s="12">
        <v>90.93</v>
      </c>
    </row>
    <row r="732">
      <c r="A732" s="12" t="s">
        <v>3894</v>
      </c>
      <c r="B732" s="12" t="s">
        <v>3892</v>
      </c>
      <c r="C732" s="12" t="s">
        <v>3064</v>
      </c>
      <c r="D732" s="12">
        <v>8.0</v>
      </c>
      <c r="E732" s="12">
        <v>8.99</v>
      </c>
      <c r="F732" s="12">
        <v>71.92</v>
      </c>
    </row>
    <row r="733">
      <c r="A733" s="12" t="s">
        <v>3895</v>
      </c>
      <c r="B733" s="12" t="s">
        <v>3892</v>
      </c>
      <c r="C733" s="12" t="s">
        <v>2938</v>
      </c>
      <c r="D733" s="12">
        <v>1.0</v>
      </c>
      <c r="E733" s="12">
        <v>11.99</v>
      </c>
      <c r="F733" s="12">
        <v>11.99</v>
      </c>
    </row>
    <row r="734">
      <c r="A734" s="12" t="s">
        <v>3896</v>
      </c>
      <c r="B734" s="12" t="s">
        <v>3892</v>
      </c>
      <c r="C734" s="12" t="s">
        <v>3245</v>
      </c>
      <c r="D734" s="12">
        <v>2.0</v>
      </c>
      <c r="E734" s="12">
        <v>9.98</v>
      </c>
      <c r="F734" s="12">
        <v>19.96</v>
      </c>
    </row>
    <row r="735">
      <c r="A735" s="12" t="s">
        <v>3898</v>
      </c>
      <c r="B735" s="12" t="s">
        <v>3892</v>
      </c>
      <c r="C735" s="12" t="s">
        <v>3039</v>
      </c>
      <c r="D735" s="12">
        <v>4.075</v>
      </c>
      <c r="E735" s="12">
        <v>4.49</v>
      </c>
      <c r="F735" s="12">
        <v>18.3</v>
      </c>
    </row>
    <row r="736">
      <c r="A736" s="12" t="s">
        <v>3900</v>
      </c>
      <c r="B736" s="12" t="s">
        <v>3892</v>
      </c>
      <c r="C736" s="12" t="s">
        <v>3071</v>
      </c>
      <c r="D736" s="12">
        <v>2.0</v>
      </c>
      <c r="E736" s="12">
        <v>10.99</v>
      </c>
      <c r="F736" s="12">
        <v>21.98</v>
      </c>
    </row>
    <row r="737">
      <c r="A737" s="12" t="s">
        <v>3902</v>
      </c>
      <c r="B737" s="12" t="s">
        <v>3892</v>
      </c>
      <c r="C737" s="12" t="s">
        <v>3076</v>
      </c>
      <c r="D737" s="12">
        <v>2.0</v>
      </c>
      <c r="E737" s="12">
        <v>8.79</v>
      </c>
      <c r="F737" s="12">
        <v>17.58</v>
      </c>
    </row>
    <row r="738">
      <c r="A738" s="12" t="s">
        <v>3904</v>
      </c>
      <c r="B738" s="12" t="s">
        <v>3892</v>
      </c>
      <c r="C738" s="12" t="s">
        <v>3074</v>
      </c>
      <c r="D738" s="12">
        <v>1.0</v>
      </c>
      <c r="E738" s="12">
        <v>8.19</v>
      </c>
      <c r="F738" s="12">
        <v>8.19</v>
      </c>
    </row>
    <row r="739">
      <c r="A739" s="12" t="s">
        <v>3905</v>
      </c>
      <c r="B739" s="12" t="s">
        <v>3892</v>
      </c>
      <c r="C739" s="12" t="s">
        <v>2929</v>
      </c>
      <c r="D739" s="12">
        <v>3.0</v>
      </c>
      <c r="E739" s="12">
        <v>8.99</v>
      </c>
      <c r="F739" s="12">
        <v>26.97</v>
      </c>
    </row>
    <row r="740">
      <c r="A740" s="12" t="s">
        <v>3906</v>
      </c>
      <c r="B740" s="12" t="s">
        <v>3892</v>
      </c>
      <c r="C740" s="12" t="s">
        <v>3019</v>
      </c>
      <c r="D740" s="12">
        <v>2.28</v>
      </c>
      <c r="E740" s="12">
        <v>4.99</v>
      </c>
      <c r="F740" s="12">
        <v>11.38</v>
      </c>
    </row>
    <row r="741">
      <c r="A741" s="12" t="s">
        <v>3908</v>
      </c>
      <c r="B741" s="12" t="s">
        <v>3892</v>
      </c>
      <c r="C741" s="12" t="s">
        <v>3909</v>
      </c>
      <c r="D741" s="12">
        <v>36.0</v>
      </c>
      <c r="E741" s="12">
        <v>1.25</v>
      </c>
      <c r="F741" s="12">
        <v>45.0</v>
      </c>
    </row>
    <row r="742">
      <c r="A742" s="12" t="s">
        <v>3911</v>
      </c>
      <c r="B742" s="12" t="s">
        <v>3892</v>
      </c>
      <c r="C742" s="12" t="s">
        <v>2941</v>
      </c>
      <c r="D742" s="12">
        <v>4.0</v>
      </c>
      <c r="E742" s="12">
        <v>6.99</v>
      </c>
      <c r="F742" s="12">
        <v>27.96</v>
      </c>
    </row>
    <row r="743">
      <c r="A743" s="12" t="s">
        <v>3912</v>
      </c>
      <c r="B743" s="12" t="s">
        <v>3913</v>
      </c>
      <c r="C743" s="12" t="s">
        <v>2926</v>
      </c>
      <c r="D743" s="12">
        <v>5.915</v>
      </c>
      <c r="E743" s="12">
        <v>34.99</v>
      </c>
      <c r="F743" s="12">
        <v>206.97</v>
      </c>
    </row>
    <row r="744">
      <c r="A744" s="12" t="s">
        <v>3915</v>
      </c>
      <c r="B744" s="12" t="s">
        <v>3913</v>
      </c>
      <c r="C744" s="12" t="s">
        <v>2926</v>
      </c>
      <c r="D744" s="12">
        <v>2.085</v>
      </c>
      <c r="E744" s="12">
        <v>34.99</v>
      </c>
      <c r="F744" s="12">
        <v>72.95</v>
      </c>
    </row>
    <row r="745">
      <c r="A745" s="12" t="s">
        <v>3918</v>
      </c>
      <c r="B745" s="12" t="s">
        <v>3919</v>
      </c>
      <c r="C745" s="12" t="s">
        <v>3920</v>
      </c>
      <c r="D745" s="12">
        <v>1.0</v>
      </c>
      <c r="E745" s="12">
        <v>262.76</v>
      </c>
      <c r="F745" s="12">
        <v>262.76</v>
      </c>
    </row>
    <row r="746">
      <c r="A746" s="12" t="s">
        <v>3922</v>
      </c>
      <c r="B746" s="12" t="s">
        <v>3919</v>
      </c>
      <c r="C746" s="12" t="s">
        <v>925</v>
      </c>
      <c r="D746" s="12">
        <v>1.0</v>
      </c>
      <c r="E746" s="12">
        <v>24.96</v>
      </c>
      <c r="F746" s="12">
        <v>24.96</v>
      </c>
    </row>
    <row r="747">
      <c r="A747" s="12" t="s">
        <v>3924</v>
      </c>
      <c r="B747" s="12" t="s">
        <v>3925</v>
      </c>
      <c r="C747" s="16" t="s">
        <v>2910</v>
      </c>
      <c r="D747" s="12">
        <v>14.0</v>
      </c>
      <c r="E747" s="12">
        <v>33.0</v>
      </c>
      <c r="F747" s="12">
        <v>462.0</v>
      </c>
    </row>
    <row r="748">
      <c r="A748" s="12" t="s">
        <v>3927</v>
      </c>
      <c r="B748" s="12" t="s">
        <v>3929</v>
      </c>
      <c r="C748" s="12" t="s">
        <v>2907</v>
      </c>
      <c r="D748" s="12">
        <v>0.584</v>
      </c>
      <c r="E748" s="12">
        <v>12.99</v>
      </c>
      <c r="F748" s="12">
        <v>7.59</v>
      </c>
    </row>
    <row r="749">
      <c r="A749" s="12" t="s">
        <v>3931</v>
      </c>
      <c r="B749" s="12" t="s">
        <v>3932</v>
      </c>
      <c r="C749" s="12" t="s">
        <v>2926</v>
      </c>
      <c r="D749" s="12">
        <v>5.335</v>
      </c>
      <c r="E749" s="12">
        <v>34.99</v>
      </c>
      <c r="F749" s="12">
        <v>186.67</v>
      </c>
    </row>
    <row r="750">
      <c r="A750" s="12" t="s">
        <v>3934</v>
      </c>
      <c r="B750" s="12" t="s">
        <v>3932</v>
      </c>
      <c r="C750" s="12" t="s">
        <v>3019</v>
      </c>
      <c r="D750" s="12">
        <v>1.585</v>
      </c>
      <c r="E750" s="12">
        <v>5.98</v>
      </c>
      <c r="F750" s="12">
        <v>9.48</v>
      </c>
    </row>
    <row r="751">
      <c r="A751" s="12" t="s">
        <v>3936</v>
      </c>
      <c r="B751" s="12" t="s">
        <v>3932</v>
      </c>
      <c r="C751" s="12" t="s">
        <v>3938</v>
      </c>
      <c r="D751" s="12">
        <v>1.0</v>
      </c>
      <c r="E751" s="12">
        <v>9.59</v>
      </c>
      <c r="F751" s="12">
        <v>9.59</v>
      </c>
    </row>
    <row r="752">
      <c r="A752" s="12" t="s">
        <v>3939</v>
      </c>
      <c r="B752" s="12" t="s">
        <v>3932</v>
      </c>
      <c r="C752" s="12" t="s">
        <v>2907</v>
      </c>
      <c r="D752" s="12">
        <v>0.51</v>
      </c>
      <c r="E752" s="12">
        <v>12.99</v>
      </c>
      <c r="F752" s="12">
        <v>6.62</v>
      </c>
    </row>
    <row r="753">
      <c r="A753" s="12" t="s">
        <v>3942</v>
      </c>
      <c r="B753" s="12" t="s">
        <v>3943</v>
      </c>
      <c r="C753" s="12" t="s">
        <v>3019</v>
      </c>
      <c r="D753" s="12">
        <v>1.87</v>
      </c>
      <c r="E753" s="12">
        <v>6.99</v>
      </c>
      <c r="F753" s="12">
        <v>13.07</v>
      </c>
    </row>
    <row r="754">
      <c r="A754" s="12" t="s">
        <v>3945</v>
      </c>
      <c r="B754" s="12" t="s">
        <v>3948</v>
      </c>
      <c r="C754" s="12" t="s">
        <v>3950</v>
      </c>
      <c r="D754" s="12">
        <v>14.0</v>
      </c>
      <c r="E754" s="12">
        <v>3.99</v>
      </c>
      <c r="F754" s="12">
        <v>55.86</v>
      </c>
    </row>
    <row r="755">
      <c r="A755" s="12" t="s">
        <v>3953</v>
      </c>
      <c r="B755" s="12" t="s">
        <v>3954</v>
      </c>
      <c r="C755" s="12" t="s">
        <v>3955</v>
      </c>
      <c r="D755" s="12">
        <v>1.0</v>
      </c>
      <c r="E755" s="12">
        <v>58.0</v>
      </c>
      <c r="F755" s="12">
        <v>58.0</v>
      </c>
    </row>
    <row r="756">
      <c r="A756" s="12" t="s">
        <v>3956</v>
      </c>
      <c r="B756" s="12">
        <v>1599.0</v>
      </c>
      <c r="C756" s="12" t="s">
        <v>1196</v>
      </c>
      <c r="D756" s="17">
        <v>1.0</v>
      </c>
      <c r="E756" s="17">
        <v>3500.0</v>
      </c>
      <c r="F756" s="17">
        <v>3500.0</v>
      </c>
    </row>
    <row r="757">
      <c r="A757" s="12" t="s">
        <v>3958</v>
      </c>
      <c r="B757" s="12">
        <v>1600.0</v>
      </c>
      <c r="C757" s="12" t="s">
        <v>1196</v>
      </c>
      <c r="D757" s="17">
        <v>1.0</v>
      </c>
      <c r="E757" s="17">
        <v>3502.66</v>
      </c>
      <c r="F757" s="17">
        <v>3502.66</v>
      </c>
    </row>
    <row r="758">
      <c r="A758" s="12" t="s">
        <v>3959</v>
      </c>
      <c r="B758" s="12">
        <v>1601.0</v>
      </c>
      <c r="C758" s="12" t="s">
        <v>1196</v>
      </c>
      <c r="D758" s="17">
        <v>1.0</v>
      </c>
      <c r="E758" s="17">
        <v>1492.01</v>
      </c>
      <c r="F758" s="17">
        <v>1492.01</v>
      </c>
    </row>
    <row r="759">
      <c r="A759" s="12" t="s">
        <v>3962</v>
      </c>
      <c r="B759" s="12">
        <v>1602.0</v>
      </c>
      <c r="C759" s="12" t="s">
        <v>1196</v>
      </c>
      <c r="D759" s="17">
        <v>1.0</v>
      </c>
      <c r="E759" s="17">
        <v>1674.03</v>
      </c>
      <c r="F759" s="17">
        <v>1674.03</v>
      </c>
    </row>
    <row r="760">
      <c r="A760" s="12" t="s">
        <v>3966</v>
      </c>
      <c r="B760" s="12">
        <v>1603.0</v>
      </c>
      <c r="C760" s="12" t="s">
        <v>1196</v>
      </c>
      <c r="D760" s="17">
        <v>1.0</v>
      </c>
      <c r="E760" s="17">
        <v>1492.88</v>
      </c>
      <c r="F760" s="17">
        <v>1492.88</v>
      </c>
    </row>
    <row r="761">
      <c r="A761" s="12" t="s">
        <v>3967</v>
      </c>
      <c r="B761" s="12">
        <v>1604.0</v>
      </c>
      <c r="C761" s="12" t="s">
        <v>1196</v>
      </c>
      <c r="D761" s="17">
        <v>1.0</v>
      </c>
      <c r="E761" s="17">
        <v>1781.27</v>
      </c>
      <c r="F761" s="17">
        <v>1781.27</v>
      </c>
    </row>
    <row r="762">
      <c r="A762" s="12" t="s">
        <v>3968</v>
      </c>
      <c r="B762" s="12" t="s">
        <v>3969</v>
      </c>
      <c r="C762" s="12" t="s">
        <v>3039</v>
      </c>
      <c r="D762" s="12">
        <v>2.216</v>
      </c>
      <c r="E762" s="12">
        <v>2.99</v>
      </c>
      <c r="F762" s="12">
        <v>6.63</v>
      </c>
    </row>
    <row r="763">
      <c r="A763" s="12" t="s">
        <v>3974</v>
      </c>
      <c r="B763" s="12" t="s">
        <v>3975</v>
      </c>
      <c r="C763" s="12" t="s">
        <v>786</v>
      </c>
      <c r="D763" s="12">
        <v>1.0</v>
      </c>
      <c r="E763" s="12">
        <v>5129.59</v>
      </c>
      <c r="F763" s="12">
        <v>5129.59</v>
      </c>
    </row>
    <row r="764">
      <c r="A764" s="12" t="s">
        <v>3976</v>
      </c>
      <c r="B764" s="12" t="s">
        <v>3975</v>
      </c>
      <c r="C764" s="12" t="s">
        <v>925</v>
      </c>
      <c r="D764" s="12">
        <v>1.0</v>
      </c>
      <c r="E764" s="12">
        <v>487.31</v>
      </c>
      <c r="F764" s="12">
        <v>487.31</v>
      </c>
    </row>
    <row r="765">
      <c r="A765" s="12" t="s">
        <v>3977</v>
      </c>
      <c r="B765" s="12" t="s">
        <v>3975</v>
      </c>
      <c r="C765" s="12" t="s">
        <v>2982</v>
      </c>
      <c r="D765" s="12">
        <v>1.0</v>
      </c>
      <c r="E765" s="12">
        <v>96.65</v>
      </c>
      <c r="F765" s="12">
        <v>96.65</v>
      </c>
    </row>
    <row r="766">
      <c r="A766" s="12" t="s">
        <v>3980</v>
      </c>
      <c r="B766" s="12" t="s">
        <v>3982</v>
      </c>
      <c r="C766" s="16" t="s">
        <v>3002</v>
      </c>
      <c r="D766" s="12">
        <v>1.0</v>
      </c>
      <c r="E766" s="12">
        <v>22.8</v>
      </c>
      <c r="F766" s="12">
        <v>22.8</v>
      </c>
    </row>
    <row r="767">
      <c r="A767" s="12" t="s">
        <v>3985</v>
      </c>
      <c r="B767" s="12" t="s">
        <v>3982</v>
      </c>
      <c r="C767" s="12" t="s">
        <v>3008</v>
      </c>
      <c r="D767" s="12">
        <v>2.0</v>
      </c>
      <c r="E767" s="12">
        <v>45.6</v>
      </c>
      <c r="F767" s="12">
        <v>91.2</v>
      </c>
    </row>
    <row r="768">
      <c r="A768" s="12" t="s">
        <v>3987</v>
      </c>
      <c r="B768" s="12" t="s">
        <v>3982</v>
      </c>
      <c r="C768" s="12" t="s">
        <v>3111</v>
      </c>
      <c r="D768" s="12">
        <v>6.0</v>
      </c>
      <c r="E768" s="12">
        <v>14.28</v>
      </c>
      <c r="F768" s="12">
        <v>85.68</v>
      </c>
    </row>
    <row r="769">
      <c r="A769" s="12" t="s">
        <v>3991</v>
      </c>
      <c r="B769" s="12" t="s">
        <v>3993</v>
      </c>
      <c r="C769" s="12" t="s">
        <v>3994</v>
      </c>
      <c r="D769" s="12">
        <v>1.0</v>
      </c>
      <c r="E769" s="12">
        <v>36.6</v>
      </c>
      <c r="F769" s="12">
        <v>36.6</v>
      </c>
    </row>
    <row r="770">
      <c r="A770" s="12" t="s">
        <v>3996</v>
      </c>
      <c r="B770" s="12" t="s">
        <v>3993</v>
      </c>
      <c r="C770" s="12" t="s">
        <v>3999</v>
      </c>
      <c r="D770" s="12">
        <v>1.0</v>
      </c>
      <c r="E770" s="12">
        <v>0.8</v>
      </c>
      <c r="F770" s="12">
        <v>0.8</v>
      </c>
    </row>
    <row r="771">
      <c r="A771" s="12" t="s">
        <v>4000</v>
      </c>
      <c r="B771" s="12" t="s">
        <v>4001</v>
      </c>
      <c r="C771" s="12" t="s">
        <v>2926</v>
      </c>
      <c r="D771" s="12">
        <v>2.965</v>
      </c>
      <c r="E771" s="12">
        <v>19.99</v>
      </c>
      <c r="F771" s="12">
        <v>59.27</v>
      </c>
    </row>
    <row r="772">
      <c r="A772" s="12" t="s">
        <v>4005</v>
      </c>
      <c r="B772" s="12" t="s">
        <v>4001</v>
      </c>
      <c r="C772" s="12" t="s">
        <v>3064</v>
      </c>
      <c r="D772" s="12">
        <v>20.0</v>
      </c>
      <c r="E772" s="12">
        <v>9.99</v>
      </c>
      <c r="F772" s="12">
        <v>199.8</v>
      </c>
    </row>
    <row r="773">
      <c r="A773" s="12" t="s">
        <v>4007</v>
      </c>
      <c r="B773" s="12" t="s">
        <v>4008</v>
      </c>
      <c r="C773" s="12" t="s">
        <v>2926</v>
      </c>
      <c r="D773" s="12">
        <v>6.562</v>
      </c>
      <c r="E773" s="12">
        <v>34.99</v>
      </c>
      <c r="F773" s="12">
        <v>229.6</v>
      </c>
    </row>
    <row r="774">
      <c r="A774" s="12" t="s">
        <v>4011</v>
      </c>
      <c r="B774" s="12" t="s">
        <v>4013</v>
      </c>
      <c r="C774" s="12" t="s">
        <v>3039</v>
      </c>
      <c r="D774" s="12">
        <v>3.9</v>
      </c>
      <c r="E774" s="12">
        <v>3.53</v>
      </c>
      <c r="F774" s="12">
        <v>13.77</v>
      </c>
    </row>
    <row r="775">
      <c r="A775" s="12" t="s">
        <v>4016</v>
      </c>
      <c r="B775" s="12" t="s">
        <v>4013</v>
      </c>
      <c r="C775" s="12" t="s">
        <v>3019</v>
      </c>
      <c r="D775" s="12">
        <v>1.33</v>
      </c>
      <c r="E775" s="12">
        <v>4.07</v>
      </c>
      <c r="F775" s="12">
        <v>5.41</v>
      </c>
    </row>
    <row r="776">
      <c r="A776" s="12" t="s">
        <v>4017</v>
      </c>
      <c r="B776" s="12" t="s">
        <v>4013</v>
      </c>
      <c r="C776" s="12" t="s">
        <v>2941</v>
      </c>
      <c r="D776" s="12">
        <v>4.0</v>
      </c>
      <c r="E776" s="12">
        <v>6.34</v>
      </c>
      <c r="F776" s="12">
        <v>25.36</v>
      </c>
    </row>
    <row r="777">
      <c r="A777" s="12" t="s">
        <v>4018</v>
      </c>
      <c r="B777" s="12" t="s">
        <v>4013</v>
      </c>
      <c r="C777" s="12" t="s">
        <v>3479</v>
      </c>
      <c r="D777" s="12">
        <v>1.0</v>
      </c>
      <c r="E777" s="12">
        <v>14.49</v>
      </c>
      <c r="F777" s="12">
        <v>14.49</v>
      </c>
    </row>
    <row r="778">
      <c r="A778" s="12" t="s">
        <v>4021</v>
      </c>
      <c r="B778" s="12" t="s">
        <v>4013</v>
      </c>
      <c r="C778" s="12" t="s">
        <v>3267</v>
      </c>
      <c r="D778" s="12">
        <v>2.0</v>
      </c>
      <c r="E778" s="12">
        <v>27.34</v>
      </c>
      <c r="F778" s="12">
        <v>54.68</v>
      </c>
    </row>
    <row r="779">
      <c r="A779" s="16" t="s">
        <v>4024</v>
      </c>
      <c r="B779" s="12" t="s">
        <v>4013</v>
      </c>
      <c r="C779" s="12" t="s">
        <v>3030</v>
      </c>
      <c r="D779" s="12">
        <v>4.0</v>
      </c>
      <c r="E779" s="12">
        <v>5.77</v>
      </c>
      <c r="F779" s="12">
        <v>23.08</v>
      </c>
    </row>
    <row r="780">
      <c r="A780" s="12" t="s">
        <v>4025</v>
      </c>
      <c r="B780" s="12" t="s">
        <v>4013</v>
      </c>
      <c r="C780" s="12" t="s">
        <v>3245</v>
      </c>
      <c r="D780" s="12">
        <v>2.0</v>
      </c>
      <c r="E780" s="12">
        <v>8.82</v>
      </c>
      <c r="F780" s="12">
        <v>17.64</v>
      </c>
    </row>
    <row r="781">
      <c r="A781" s="12" t="s">
        <v>4029</v>
      </c>
      <c r="B781" s="12" t="s">
        <v>4013</v>
      </c>
      <c r="C781" s="12" t="s">
        <v>3013</v>
      </c>
      <c r="D781" s="12">
        <v>2.0</v>
      </c>
      <c r="E781" s="12">
        <v>7.29</v>
      </c>
      <c r="F781" s="12">
        <v>14.58</v>
      </c>
    </row>
    <row r="782">
      <c r="A782" s="12" t="s">
        <v>4030</v>
      </c>
      <c r="B782" s="12" t="s">
        <v>4013</v>
      </c>
      <c r="C782" s="12" t="s">
        <v>2938</v>
      </c>
      <c r="D782" s="12">
        <v>1.0</v>
      </c>
      <c r="E782" s="12">
        <v>9.67</v>
      </c>
      <c r="F782" s="12">
        <v>9.67</v>
      </c>
    </row>
    <row r="783">
      <c r="A783" s="12" t="s">
        <v>4031</v>
      </c>
      <c r="B783" s="12" t="s">
        <v>4013</v>
      </c>
      <c r="C783" s="12" t="s">
        <v>3071</v>
      </c>
      <c r="D783" s="12">
        <v>2.0</v>
      </c>
      <c r="E783" s="12">
        <v>8.91</v>
      </c>
      <c r="F783" s="12">
        <v>17.82</v>
      </c>
    </row>
    <row r="784">
      <c r="A784" s="12" t="s">
        <v>4035</v>
      </c>
      <c r="B784" s="12" t="s">
        <v>4013</v>
      </c>
      <c r="C784" s="12" t="s">
        <v>3074</v>
      </c>
      <c r="D784" s="12">
        <v>1.0</v>
      </c>
      <c r="E784" s="12">
        <v>6.95</v>
      </c>
      <c r="F784" s="12">
        <v>6.95</v>
      </c>
    </row>
    <row r="785">
      <c r="A785" s="12" t="s">
        <v>4036</v>
      </c>
      <c r="B785" s="12" t="s">
        <v>4013</v>
      </c>
      <c r="C785" s="12" t="s">
        <v>4038</v>
      </c>
      <c r="D785" s="12">
        <v>1.0</v>
      </c>
      <c r="E785" s="12">
        <v>4.69</v>
      </c>
      <c r="F785" s="12">
        <v>4.69</v>
      </c>
    </row>
    <row r="786">
      <c r="A786" s="12" t="s">
        <v>4040</v>
      </c>
      <c r="B786" s="12" t="s">
        <v>4013</v>
      </c>
      <c r="C786" s="12" t="s">
        <v>3552</v>
      </c>
      <c r="D786" s="12">
        <v>12.0</v>
      </c>
      <c r="E786" s="12">
        <v>2.27</v>
      </c>
      <c r="F786" s="12">
        <v>27.24</v>
      </c>
    </row>
    <row r="787">
      <c r="A787" s="12" t="s">
        <v>4042</v>
      </c>
      <c r="B787" s="12" t="s">
        <v>4013</v>
      </c>
      <c r="C787" s="12" t="s">
        <v>3552</v>
      </c>
      <c r="D787" s="12">
        <v>12.0</v>
      </c>
      <c r="E787" s="12">
        <v>2.25</v>
      </c>
      <c r="F787" s="12">
        <v>27.0</v>
      </c>
    </row>
    <row r="788">
      <c r="A788" s="12" t="s">
        <v>4044</v>
      </c>
      <c r="B788" s="12" t="s">
        <v>4045</v>
      </c>
      <c r="C788" s="12" t="s">
        <v>3106</v>
      </c>
      <c r="D788" s="12">
        <v>1.0</v>
      </c>
      <c r="E788" s="12">
        <v>4480.74</v>
      </c>
      <c r="F788" s="12">
        <v>4480.74</v>
      </c>
    </row>
    <row r="789">
      <c r="A789" s="12" t="s">
        <v>4046</v>
      </c>
      <c r="B789" s="12" t="s">
        <v>4045</v>
      </c>
      <c r="C789" s="12" t="s">
        <v>925</v>
      </c>
      <c r="D789" s="12">
        <v>1.0</v>
      </c>
      <c r="E789" s="12">
        <v>425.67</v>
      </c>
      <c r="F789" s="12">
        <v>425.67</v>
      </c>
    </row>
    <row r="790">
      <c r="A790" s="12" t="s">
        <v>4048</v>
      </c>
      <c r="B790" s="12" t="s">
        <v>4049</v>
      </c>
      <c r="C790" s="12" t="s">
        <v>4050</v>
      </c>
      <c r="D790" s="12">
        <v>1.0</v>
      </c>
      <c r="E790" s="12">
        <v>16.0</v>
      </c>
      <c r="F790" s="12">
        <v>16.0</v>
      </c>
    </row>
    <row r="791">
      <c r="A791" s="12" t="s">
        <v>4051</v>
      </c>
      <c r="B791" s="12" t="s">
        <v>4052</v>
      </c>
      <c r="C791" s="12" t="s">
        <v>2958</v>
      </c>
      <c r="D791" s="12">
        <v>1.0</v>
      </c>
      <c r="E791" s="12">
        <v>29.95</v>
      </c>
      <c r="F791" s="12">
        <v>29.95</v>
      </c>
    </row>
    <row r="792">
      <c r="A792" s="12" t="s">
        <v>4053</v>
      </c>
      <c r="B792" s="12" t="s">
        <v>4054</v>
      </c>
      <c r="C792" s="12" t="s">
        <v>4055</v>
      </c>
      <c r="D792" s="12">
        <v>1.0</v>
      </c>
      <c r="E792" s="12">
        <v>193.0</v>
      </c>
      <c r="F792" s="12">
        <v>193.0</v>
      </c>
    </row>
    <row r="793">
      <c r="A793" s="12" t="s">
        <v>4056</v>
      </c>
      <c r="B793" s="12" t="s">
        <v>4057</v>
      </c>
      <c r="C793" s="12" t="s">
        <v>3100</v>
      </c>
      <c r="D793" s="12">
        <v>1.0</v>
      </c>
      <c r="E793" s="12">
        <v>36.0</v>
      </c>
      <c r="F793" s="12">
        <v>36.0</v>
      </c>
    </row>
    <row r="794">
      <c r="A794" s="12" t="s">
        <v>4059</v>
      </c>
      <c r="B794" s="12" t="s">
        <v>4060</v>
      </c>
      <c r="C794" s="12" t="s">
        <v>4061</v>
      </c>
      <c r="D794" s="12">
        <v>6.0</v>
      </c>
      <c r="E794" s="12">
        <v>7.99</v>
      </c>
      <c r="F794" s="12">
        <v>47.94</v>
      </c>
    </row>
    <row r="795">
      <c r="A795" s="12" t="s">
        <v>4062</v>
      </c>
      <c r="B795" s="12" t="s">
        <v>4064</v>
      </c>
      <c r="C795" s="12" t="s">
        <v>2907</v>
      </c>
      <c r="D795" s="12">
        <v>0.55</v>
      </c>
      <c r="E795" s="12">
        <v>11.99</v>
      </c>
      <c r="F795" s="12">
        <v>6.59</v>
      </c>
    </row>
    <row r="796">
      <c r="A796" s="12" t="s">
        <v>4067</v>
      </c>
      <c r="B796" s="12" t="s">
        <v>4064</v>
      </c>
      <c r="C796" s="12" t="s">
        <v>4068</v>
      </c>
      <c r="D796" s="12">
        <v>3.0</v>
      </c>
      <c r="E796" s="12">
        <v>49.9</v>
      </c>
      <c r="F796" s="12">
        <v>149.7</v>
      </c>
    </row>
    <row r="797">
      <c r="A797" s="12" t="s">
        <v>4070</v>
      </c>
      <c r="B797" s="12" t="s">
        <v>4071</v>
      </c>
      <c r="C797" s="16" t="s">
        <v>2910</v>
      </c>
      <c r="D797" s="12">
        <v>10.0</v>
      </c>
      <c r="E797" s="12">
        <v>33.0</v>
      </c>
      <c r="F797" s="12">
        <v>330.0</v>
      </c>
    </row>
    <row r="798">
      <c r="A798" s="12" t="s">
        <v>4072</v>
      </c>
      <c r="B798" s="12" t="s">
        <v>4073</v>
      </c>
      <c r="C798" s="12" t="s">
        <v>4061</v>
      </c>
      <c r="D798" s="12">
        <v>1.0</v>
      </c>
      <c r="E798" s="12">
        <v>500.0</v>
      </c>
      <c r="F798" s="12">
        <v>500.0</v>
      </c>
    </row>
    <row r="799">
      <c r="A799" s="12" t="s">
        <v>4075</v>
      </c>
      <c r="B799" s="12" t="s">
        <v>4076</v>
      </c>
      <c r="C799" s="12" t="s">
        <v>2907</v>
      </c>
      <c r="D799" s="12">
        <v>0.625</v>
      </c>
      <c r="E799" s="12">
        <v>11.99</v>
      </c>
      <c r="F799" s="12">
        <v>7.49</v>
      </c>
    </row>
    <row r="800">
      <c r="A800" s="12" t="s">
        <v>4079</v>
      </c>
      <c r="B800" s="12" t="s">
        <v>4076</v>
      </c>
      <c r="C800" s="12" t="s">
        <v>3039</v>
      </c>
      <c r="D800" s="12">
        <v>2.825</v>
      </c>
      <c r="E800" s="12">
        <v>4.49</v>
      </c>
      <c r="F800" s="12">
        <v>12.68</v>
      </c>
    </row>
    <row r="801">
      <c r="A801" s="12" t="s">
        <v>4084</v>
      </c>
      <c r="B801" s="12" t="s">
        <v>4076</v>
      </c>
      <c r="C801" s="12" t="s">
        <v>4068</v>
      </c>
      <c r="D801" s="12">
        <v>1.0</v>
      </c>
      <c r="E801" s="12">
        <v>49.9</v>
      </c>
      <c r="F801" s="12">
        <v>49.9</v>
      </c>
    </row>
    <row r="802">
      <c r="A802" s="12" t="s">
        <v>4085</v>
      </c>
      <c r="B802" s="12" t="s">
        <v>4086</v>
      </c>
      <c r="C802" s="12" t="s">
        <v>3599</v>
      </c>
      <c r="D802" s="12">
        <v>12.0</v>
      </c>
      <c r="E802" s="12">
        <v>5.5</v>
      </c>
      <c r="F802" s="12">
        <v>66.0</v>
      </c>
    </row>
    <row r="803">
      <c r="A803" s="12" t="s">
        <v>4089</v>
      </c>
      <c r="B803" s="12" t="s">
        <v>4090</v>
      </c>
      <c r="C803" s="12" t="s">
        <v>4091</v>
      </c>
      <c r="D803" s="12">
        <v>1.0</v>
      </c>
      <c r="E803" s="12">
        <v>66.25</v>
      </c>
      <c r="F803" s="12">
        <v>66.25</v>
      </c>
    </row>
    <row r="804">
      <c r="A804" s="12" t="s">
        <v>4092</v>
      </c>
      <c r="B804" s="12" t="s">
        <v>4093</v>
      </c>
      <c r="C804" s="12" t="s">
        <v>4094</v>
      </c>
      <c r="D804" s="12">
        <v>1.0</v>
      </c>
      <c r="E804" s="12">
        <v>8.49</v>
      </c>
      <c r="F804" s="12">
        <v>8.49</v>
      </c>
    </row>
    <row r="805">
      <c r="A805" s="12" t="s">
        <v>4097</v>
      </c>
      <c r="B805" s="12" t="s">
        <v>4098</v>
      </c>
      <c r="C805" s="12" t="s">
        <v>4099</v>
      </c>
      <c r="D805" s="12">
        <v>1.0</v>
      </c>
      <c r="E805" s="12">
        <v>4.96</v>
      </c>
      <c r="F805" s="12">
        <v>4.96</v>
      </c>
    </row>
    <row r="806">
      <c r="A806" s="12" t="s">
        <v>4101</v>
      </c>
      <c r="B806" s="12" t="s">
        <v>4098</v>
      </c>
      <c r="C806" s="12" t="s">
        <v>4102</v>
      </c>
      <c r="D806" s="12">
        <v>1.0</v>
      </c>
      <c r="E806" s="12">
        <v>2.99</v>
      </c>
      <c r="F806" s="12">
        <v>2.99</v>
      </c>
    </row>
    <row r="807">
      <c r="A807" s="12" t="s">
        <v>4104</v>
      </c>
      <c r="B807" s="12" t="s">
        <v>4098</v>
      </c>
      <c r="C807" s="12" t="s">
        <v>4105</v>
      </c>
      <c r="D807" s="12">
        <v>1.0</v>
      </c>
      <c r="E807" s="12">
        <v>10.85</v>
      </c>
      <c r="F807" s="12">
        <v>10.85</v>
      </c>
    </row>
    <row r="808">
      <c r="A808" s="12" t="s">
        <v>4106</v>
      </c>
      <c r="B808" s="12" t="s">
        <v>4098</v>
      </c>
      <c r="C808" s="12" t="s">
        <v>4105</v>
      </c>
      <c r="D808" s="12">
        <v>2.0</v>
      </c>
      <c r="E808" s="12">
        <v>3.88</v>
      </c>
      <c r="F808" s="12">
        <v>7.76</v>
      </c>
    </row>
    <row r="809">
      <c r="A809" s="12" t="s">
        <v>4107</v>
      </c>
      <c r="B809" s="12" t="s">
        <v>4098</v>
      </c>
      <c r="C809" s="12" t="s">
        <v>2326</v>
      </c>
      <c r="D809" s="12">
        <v>1.0</v>
      </c>
      <c r="E809" s="12">
        <v>11.5</v>
      </c>
      <c r="F809" s="12">
        <v>11.5</v>
      </c>
    </row>
    <row r="810">
      <c r="A810" s="12" t="s">
        <v>4108</v>
      </c>
      <c r="B810" s="12" t="s">
        <v>4109</v>
      </c>
      <c r="C810" s="12" t="s">
        <v>4110</v>
      </c>
      <c r="D810" s="12">
        <v>1.0</v>
      </c>
      <c r="E810" s="12">
        <v>28.4</v>
      </c>
      <c r="F810" s="12">
        <v>28.4</v>
      </c>
    </row>
    <row r="811">
      <c r="A811" s="12" t="s">
        <v>4111</v>
      </c>
      <c r="B811" s="12" t="s">
        <v>4112</v>
      </c>
      <c r="C811" s="12" t="s">
        <v>3008</v>
      </c>
      <c r="D811" s="12">
        <v>2.0</v>
      </c>
      <c r="E811" s="12">
        <v>45.6</v>
      </c>
      <c r="F811" s="12">
        <v>91.2</v>
      </c>
    </row>
    <row r="812">
      <c r="A812" s="12" t="s">
        <v>4113</v>
      </c>
      <c r="B812" s="12" t="s">
        <v>4112</v>
      </c>
      <c r="C812" s="12" t="s">
        <v>3511</v>
      </c>
      <c r="D812" s="12">
        <v>1.0</v>
      </c>
      <c r="E812" s="12">
        <v>45.6</v>
      </c>
      <c r="F812" s="12">
        <v>45.6</v>
      </c>
    </row>
    <row r="813">
      <c r="A813" s="12" t="s">
        <v>4114</v>
      </c>
      <c r="B813" s="12" t="s">
        <v>4112</v>
      </c>
      <c r="C813" s="16" t="s">
        <v>3002</v>
      </c>
      <c r="D813" s="12">
        <v>1.0</v>
      </c>
      <c r="E813" s="12">
        <v>22.8</v>
      </c>
      <c r="F813" s="12">
        <v>22.8</v>
      </c>
    </row>
    <row r="814">
      <c r="A814" s="12" t="s">
        <v>4115</v>
      </c>
      <c r="B814" s="12" t="s">
        <v>4112</v>
      </c>
      <c r="C814" s="12" t="s">
        <v>3006</v>
      </c>
      <c r="D814" s="12">
        <v>1.0</v>
      </c>
      <c r="E814" s="12">
        <v>22.8</v>
      </c>
      <c r="F814" s="12">
        <v>22.8</v>
      </c>
    </row>
    <row r="815">
      <c r="A815" s="12" t="s">
        <v>4119</v>
      </c>
      <c r="B815" s="12" t="s">
        <v>4112</v>
      </c>
      <c r="C815" s="12" t="s">
        <v>3004</v>
      </c>
      <c r="D815" s="12">
        <v>1.0</v>
      </c>
      <c r="E815" s="12">
        <v>22.8</v>
      </c>
      <c r="F815" s="12">
        <v>22.8</v>
      </c>
    </row>
    <row r="816">
      <c r="A816" s="12" t="s">
        <v>4120</v>
      </c>
      <c r="B816" s="12" t="s">
        <v>4112</v>
      </c>
      <c r="C816" s="12" t="s">
        <v>3169</v>
      </c>
      <c r="D816" s="12">
        <v>1.0</v>
      </c>
      <c r="E816" s="12">
        <v>41.88</v>
      </c>
      <c r="F816" s="12">
        <v>41.88</v>
      </c>
    </row>
    <row r="817">
      <c r="A817" s="12" t="s">
        <v>4123</v>
      </c>
      <c r="B817" s="12" t="s">
        <v>4124</v>
      </c>
      <c r="C817" s="12" t="s">
        <v>4126</v>
      </c>
      <c r="D817" s="12">
        <v>1.0</v>
      </c>
      <c r="E817" s="12">
        <v>13.49</v>
      </c>
      <c r="F817" s="12">
        <v>13.49</v>
      </c>
    </row>
    <row r="818">
      <c r="A818" s="12" t="s">
        <v>4128</v>
      </c>
      <c r="B818" s="12" t="s">
        <v>4129</v>
      </c>
      <c r="C818" s="16" t="s">
        <v>2910</v>
      </c>
      <c r="D818" s="12">
        <v>11.0</v>
      </c>
      <c r="E818" s="12">
        <v>20.0</v>
      </c>
      <c r="F818" s="12">
        <v>220.0</v>
      </c>
    </row>
    <row r="819">
      <c r="A819" s="12" t="s">
        <v>4130</v>
      </c>
      <c r="B819" s="12" t="s">
        <v>4132</v>
      </c>
      <c r="C819" s="12" t="s">
        <v>2326</v>
      </c>
      <c r="D819" s="12">
        <v>1.0</v>
      </c>
      <c r="E819" s="12">
        <v>75.0</v>
      </c>
      <c r="F819" s="12">
        <v>75.0</v>
      </c>
    </row>
    <row r="820">
      <c r="A820" s="12" t="s">
        <v>4133</v>
      </c>
      <c r="B820" s="12" t="s">
        <v>4134</v>
      </c>
      <c r="C820" s="12" t="s">
        <v>2926</v>
      </c>
      <c r="D820" s="12">
        <v>5.705</v>
      </c>
      <c r="E820" s="12">
        <v>22.89</v>
      </c>
      <c r="F820" s="12">
        <v>130.59</v>
      </c>
    </row>
    <row r="821">
      <c r="A821" s="12" t="s">
        <v>4135</v>
      </c>
      <c r="B821" s="12" t="s">
        <v>4134</v>
      </c>
      <c r="C821" s="12" t="s">
        <v>3039</v>
      </c>
      <c r="D821" s="12">
        <v>2.755</v>
      </c>
      <c r="E821" s="12">
        <v>3.66</v>
      </c>
      <c r="F821" s="12">
        <v>10.08</v>
      </c>
    </row>
    <row r="822">
      <c r="A822" s="12" t="s">
        <v>4136</v>
      </c>
      <c r="B822" s="12" t="s">
        <v>4134</v>
      </c>
      <c r="C822" s="12" t="s">
        <v>3019</v>
      </c>
      <c r="D822" s="12">
        <v>3.675</v>
      </c>
      <c r="E822" s="12">
        <v>4.9</v>
      </c>
      <c r="F822" s="12">
        <v>18.01</v>
      </c>
    </row>
    <row r="823">
      <c r="A823" s="12" t="s">
        <v>4139</v>
      </c>
      <c r="B823" s="12" t="s">
        <v>4134</v>
      </c>
      <c r="C823" s="12" t="s">
        <v>3064</v>
      </c>
      <c r="D823" s="12">
        <v>10.0</v>
      </c>
      <c r="E823" s="12">
        <v>7.98</v>
      </c>
      <c r="F823" s="12">
        <v>79.8</v>
      </c>
    </row>
    <row r="824">
      <c r="A824" s="12" t="s">
        <v>4141</v>
      </c>
      <c r="B824" s="12" t="s">
        <v>4134</v>
      </c>
      <c r="C824" s="12" t="s">
        <v>3074</v>
      </c>
      <c r="D824" s="12">
        <v>2.0</v>
      </c>
      <c r="E824" s="12">
        <v>7.17</v>
      </c>
      <c r="F824" s="12">
        <v>14.34</v>
      </c>
    </row>
    <row r="825">
      <c r="A825" s="12" t="s">
        <v>4143</v>
      </c>
      <c r="B825" s="12" t="s">
        <v>4134</v>
      </c>
      <c r="C825" s="12" t="s">
        <v>3071</v>
      </c>
      <c r="D825" s="12">
        <v>2.0</v>
      </c>
      <c r="E825" s="12">
        <v>9.38</v>
      </c>
      <c r="F825" s="12">
        <v>18.76</v>
      </c>
    </row>
    <row r="826">
      <c r="A826" s="12" t="s">
        <v>4144</v>
      </c>
      <c r="B826" s="12" t="s">
        <v>4134</v>
      </c>
      <c r="C826" s="12" t="s">
        <v>2938</v>
      </c>
      <c r="D826" s="12">
        <v>1.0</v>
      </c>
      <c r="E826" s="12">
        <v>9.38</v>
      </c>
      <c r="F826" s="12">
        <v>9.38</v>
      </c>
    </row>
    <row r="827">
      <c r="A827" s="12" t="s">
        <v>4146</v>
      </c>
      <c r="B827" s="12" t="s">
        <v>4134</v>
      </c>
      <c r="C827" s="12" t="s">
        <v>4147</v>
      </c>
      <c r="D827" s="12">
        <v>1.0</v>
      </c>
      <c r="E827" s="12">
        <v>8.94</v>
      </c>
      <c r="F827" s="12">
        <v>8.94</v>
      </c>
    </row>
    <row r="828">
      <c r="A828" s="12" t="s">
        <v>4148</v>
      </c>
      <c r="B828" s="12" t="s">
        <v>4134</v>
      </c>
      <c r="C828" s="12" t="s">
        <v>3867</v>
      </c>
      <c r="D828" s="12">
        <v>24.0</v>
      </c>
      <c r="E828" s="12">
        <v>7.63</v>
      </c>
      <c r="F828" s="12">
        <v>183.12</v>
      </c>
    </row>
    <row r="829">
      <c r="A829" s="12" t="s">
        <v>4152</v>
      </c>
      <c r="B829" s="12" t="s">
        <v>4134</v>
      </c>
      <c r="C829" s="12" t="s">
        <v>3174</v>
      </c>
      <c r="D829" s="12">
        <v>1.0</v>
      </c>
      <c r="E829" s="12">
        <v>6.48</v>
      </c>
      <c r="F829" s="12">
        <v>6.48</v>
      </c>
    </row>
    <row r="830">
      <c r="A830" s="12" t="s">
        <v>4153</v>
      </c>
      <c r="B830" s="12" t="s">
        <v>4134</v>
      </c>
      <c r="C830" s="12" t="s">
        <v>2941</v>
      </c>
      <c r="D830" s="12">
        <v>4.0</v>
      </c>
      <c r="E830" s="12">
        <v>6.59</v>
      </c>
      <c r="F830" s="12">
        <v>26.36</v>
      </c>
    </row>
    <row r="831">
      <c r="A831" s="12" t="s">
        <v>4154</v>
      </c>
      <c r="B831" s="12" t="s">
        <v>4156</v>
      </c>
      <c r="C831" s="12" t="s">
        <v>3114</v>
      </c>
      <c r="D831" s="12">
        <v>10.0</v>
      </c>
      <c r="E831" s="12">
        <v>12.5</v>
      </c>
      <c r="F831" s="12">
        <v>125.0</v>
      </c>
    </row>
    <row r="832">
      <c r="A832" s="12" t="s">
        <v>4157</v>
      </c>
      <c r="B832" s="12" t="s">
        <v>4156</v>
      </c>
      <c r="C832" s="12" t="s">
        <v>3111</v>
      </c>
      <c r="D832" s="12">
        <v>10.0</v>
      </c>
      <c r="E832" s="12">
        <v>14.3</v>
      </c>
      <c r="F832" s="12">
        <v>143.0</v>
      </c>
    </row>
    <row r="833">
      <c r="A833" s="12" t="s">
        <v>4161</v>
      </c>
      <c r="B833" s="12" t="s">
        <v>4163</v>
      </c>
      <c r="C833" s="16" t="s">
        <v>2910</v>
      </c>
      <c r="D833" s="12">
        <v>21.0</v>
      </c>
      <c r="E833" s="12">
        <v>22.0</v>
      </c>
      <c r="F833" s="12">
        <v>462.0</v>
      </c>
    </row>
    <row r="834">
      <c r="A834" s="12" t="s">
        <v>4165</v>
      </c>
      <c r="B834" s="12" t="s">
        <v>4166</v>
      </c>
      <c r="C834" s="12" t="s">
        <v>3039</v>
      </c>
      <c r="D834" s="12">
        <v>2.49</v>
      </c>
      <c r="E834" s="12">
        <v>4.99</v>
      </c>
      <c r="F834" s="12">
        <v>12.43</v>
      </c>
    </row>
    <row r="835">
      <c r="A835" s="12" t="s">
        <v>4168</v>
      </c>
      <c r="B835" s="12" t="s">
        <v>4166</v>
      </c>
      <c r="C835" s="12" t="s">
        <v>2926</v>
      </c>
      <c r="D835" s="12">
        <v>5.405</v>
      </c>
      <c r="E835" s="12">
        <v>29.98</v>
      </c>
      <c r="F835" s="12">
        <v>162.04</v>
      </c>
    </row>
    <row r="836">
      <c r="A836" s="12" t="s">
        <v>4170</v>
      </c>
      <c r="B836" s="12" t="s">
        <v>4166</v>
      </c>
      <c r="C836" s="12" t="s">
        <v>2969</v>
      </c>
      <c r="D836" s="12">
        <v>2.0</v>
      </c>
      <c r="E836" s="12">
        <v>4.29</v>
      </c>
      <c r="F836" s="12">
        <v>8.58</v>
      </c>
    </row>
    <row r="837">
      <c r="A837" s="12" t="s">
        <v>4172</v>
      </c>
      <c r="B837" s="12" t="s">
        <v>4166</v>
      </c>
      <c r="C837" s="12" t="s">
        <v>2926</v>
      </c>
      <c r="D837" s="12">
        <v>2.41</v>
      </c>
      <c r="E837" s="12">
        <v>29.98</v>
      </c>
      <c r="F837" s="12">
        <v>72.25</v>
      </c>
    </row>
    <row r="838">
      <c r="A838" s="12" t="s">
        <v>4173</v>
      </c>
      <c r="B838" s="12" t="s">
        <v>4166</v>
      </c>
      <c r="C838" s="12" t="s">
        <v>3019</v>
      </c>
      <c r="D838" s="12">
        <v>2.395</v>
      </c>
      <c r="E838" s="12">
        <v>6.99</v>
      </c>
      <c r="F838" s="12">
        <v>16.74</v>
      </c>
    </row>
    <row r="839">
      <c r="A839" s="12" t="s">
        <v>4176</v>
      </c>
      <c r="B839" s="12" t="s">
        <v>4166</v>
      </c>
      <c r="C839" s="12" t="s">
        <v>4178</v>
      </c>
      <c r="D839" s="12">
        <v>1.0</v>
      </c>
      <c r="E839" s="12">
        <v>18.99</v>
      </c>
      <c r="F839" s="12">
        <v>18.99</v>
      </c>
    </row>
    <row r="840">
      <c r="A840" s="12" t="s">
        <v>4179</v>
      </c>
      <c r="B840" s="12" t="s">
        <v>4180</v>
      </c>
      <c r="C840" s="12" t="s">
        <v>2907</v>
      </c>
      <c r="D840" s="12">
        <v>0.628</v>
      </c>
      <c r="E840" s="12">
        <v>12.99</v>
      </c>
      <c r="F840" s="12">
        <v>8.16</v>
      </c>
    </row>
    <row r="841">
      <c r="A841" s="12" t="s">
        <v>4183</v>
      </c>
      <c r="B841" s="12" t="s">
        <v>4180</v>
      </c>
      <c r="C841" s="12" t="s">
        <v>3064</v>
      </c>
      <c r="D841" s="12">
        <v>5.0</v>
      </c>
      <c r="E841" s="12">
        <v>11.99</v>
      </c>
      <c r="F841" s="12">
        <v>59.95</v>
      </c>
    </row>
    <row r="842">
      <c r="A842" s="12" t="s">
        <v>4188</v>
      </c>
      <c r="B842" s="12" t="s">
        <v>4180</v>
      </c>
      <c r="C842" s="12" t="s">
        <v>3039</v>
      </c>
      <c r="D842" s="12">
        <v>1.405</v>
      </c>
      <c r="E842" s="12">
        <v>4.99</v>
      </c>
      <c r="F842" s="12">
        <v>7.01</v>
      </c>
    </row>
    <row r="843">
      <c r="A843" s="12" t="s">
        <v>4189</v>
      </c>
      <c r="B843" s="12" t="s">
        <v>4180</v>
      </c>
      <c r="C843" s="12" t="s">
        <v>3039</v>
      </c>
      <c r="D843" s="12">
        <v>1.025</v>
      </c>
      <c r="E843" s="12">
        <v>4.99</v>
      </c>
      <c r="F843" s="12">
        <v>5.11</v>
      </c>
    </row>
    <row r="844">
      <c r="A844" s="12" t="s">
        <v>4192</v>
      </c>
      <c r="B844" s="12" t="s">
        <v>4193</v>
      </c>
      <c r="C844" s="12" t="s">
        <v>3064</v>
      </c>
      <c r="D844" s="12">
        <v>5.0</v>
      </c>
      <c r="E844" s="12">
        <v>11.99</v>
      </c>
      <c r="F844" s="12">
        <v>59.95</v>
      </c>
    </row>
    <row r="845">
      <c r="A845" s="12" t="s">
        <v>4196</v>
      </c>
      <c r="B845" s="12" t="s">
        <v>4193</v>
      </c>
      <c r="C845" s="12" t="s">
        <v>2941</v>
      </c>
      <c r="D845" s="12">
        <v>2.0</v>
      </c>
      <c r="E845" s="12">
        <v>8.99</v>
      </c>
      <c r="F845" s="12">
        <v>17.98</v>
      </c>
    </row>
    <row r="846">
      <c r="A846" s="12" t="s">
        <v>4197</v>
      </c>
      <c r="B846" s="12" t="s">
        <v>4198</v>
      </c>
      <c r="C846" s="12" t="s">
        <v>3262</v>
      </c>
      <c r="D846" s="12">
        <v>1.0</v>
      </c>
      <c r="E846" s="12">
        <v>37.5</v>
      </c>
      <c r="F846" s="12">
        <v>37.5</v>
      </c>
    </row>
    <row r="847">
      <c r="A847" s="12" t="s">
        <v>4200</v>
      </c>
      <c r="B847" s="12" t="s">
        <v>4198</v>
      </c>
      <c r="C847" s="12" t="s">
        <v>3027</v>
      </c>
      <c r="D847" s="12">
        <v>1.0</v>
      </c>
      <c r="E847" s="12">
        <v>8.95</v>
      </c>
      <c r="F847" s="12">
        <v>8.95</v>
      </c>
    </row>
    <row r="848">
      <c r="A848" s="12" t="s">
        <v>4203</v>
      </c>
      <c r="B848" s="12" t="s">
        <v>4205</v>
      </c>
      <c r="C848" s="12" t="s">
        <v>786</v>
      </c>
      <c r="D848" s="12">
        <v>1.0</v>
      </c>
      <c r="E848" s="12">
        <v>10263.75</v>
      </c>
      <c r="F848" s="12">
        <v>10263.75</v>
      </c>
    </row>
    <row r="849">
      <c r="A849" s="12" t="s">
        <v>4206</v>
      </c>
      <c r="B849" s="12" t="s">
        <v>4205</v>
      </c>
      <c r="C849" s="12" t="s">
        <v>925</v>
      </c>
      <c r="D849" s="12">
        <v>1.0</v>
      </c>
      <c r="E849" s="12">
        <v>975.06</v>
      </c>
      <c r="F849" s="12">
        <v>975.06</v>
      </c>
    </row>
    <row r="850">
      <c r="A850" s="12" t="s">
        <v>4209</v>
      </c>
      <c r="B850" s="12" t="s">
        <v>4205</v>
      </c>
      <c r="C850" s="12" t="s">
        <v>2982</v>
      </c>
      <c r="D850" s="12">
        <v>1.0</v>
      </c>
      <c r="E850" s="12">
        <v>183.16</v>
      </c>
      <c r="F850" s="12">
        <v>183.16</v>
      </c>
    </row>
    <row r="851">
      <c r="A851" s="12" t="s">
        <v>4210</v>
      </c>
      <c r="B851" s="12" t="s">
        <v>4212</v>
      </c>
      <c r="C851" s="12" t="s">
        <v>2926</v>
      </c>
      <c r="D851" s="12">
        <v>4.35</v>
      </c>
      <c r="E851" s="12">
        <v>20.05</v>
      </c>
      <c r="F851" s="12">
        <v>87.22</v>
      </c>
    </row>
    <row r="852">
      <c r="A852" s="12" t="s">
        <v>4214</v>
      </c>
      <c r="B852" s="12" t="s">
        <v>4212</v>
      </c>
      <c r="C852" s="12" t="s">
        <v>3039</v>
      </c>
      <c r="D852" s="12">
        <v>2.45</v>
      </c>
      <c r="E852" s="12">
        <v>4.02</v>
      </c>
      <c r="F852" s="12">
        <v>9.85</v>
      </c>
    </row>
    <row r="853">
      <c r="A853" s="12" t="s">
        <v>4216</v>
      </c>
      <c r="B853" s="12" t="s">
        <v>4212</v>
      </c>
      <c r="C853" s="12" t="s">
        <v>3019</v>
      </c>
      <c r="D853" s="12">
        <v>1.665</v>
      </c>
      <c r="E853" s="12">
        <v>4.96</v>
      </c>
      <c r="F853" s="12">
        <v>8.26</v>
      </c>
    </row>
    <row r="854">
      <c r="A854" s="12" t="s">
        <v>4217</v>
      </c>
      <c r="B854" s="12" t="s">
        <v>4212</v>
      </c>
      <c r="C854" s="12" t="s">
        <v>3064</v>
      </c>
      <c r="D854" s="12">
        <v>6.0</v>
      </c>
      <c r="E854" s="12">
        <v>8.99</v>
      </c>
      <c r="F854" s="12">
        <v>53.94</v>
      </c>
    </row>
    <row r="855">
      <c r="A855" s="12" t="s">
        <v>4220</v>
      </c>
      <c r="B855" s="12" t="s">
        <v>4212</v>
      </c>
      <c r="C855" s="12" t="s">
        <v>2941</v>
      </c>
      <c r="D855" s="12">
        <v>2.0</v>
      </c>
      <c r="E855" s="12">
        <v>5.99</v>
      </c>
      <c r="F855" s="12">
        <v>11.98</v>
      </c>
    </row>
    <row r="856">
      <c r="A856" s="12" t="s">
        <v>4222</v>
      </c>
      <c r="B856" s="12" t="s">
        <v>4212</v>
      </c>
      <c r="C856" s="12" t="s">
        <v>3552</v>
      </c>
      <c r="D856" s="12">
        <v>24.0</v>
      </c>
      <c r="E856" s="12">
        <v>2.05</v>
      </c>
      <c r="F856" s="12">
        <v>49.2</v>
      </c>
    </row>
    <row r="857">
      <c r="A857" s="12" t="s">
        <v>4223</v>
      </c>
      <c r="B857" s="12" t="s">
        <v>4212</v>
      </c>
      <c r="C857" s="12" t="s">
        <v>3867</v>
      </c>
      <c r="D857" s="12">
        <v>24.0</v>
      </c>
      <c r="E857" s="12">
        <v>7.75</v>
      </c>
      <c r="F857" s="12">
        <v>186.0</v>
      </c>
    </row>
    <row r="858">
      <c r="A858" s="12" t="s">
        <v>4224</v>
      </c>
      <c r="B858" s="12" t="s">
        <v>4212</v>
      </c>
      <c r="C858" s="12" t="s">
        <v>2929</v>
      </c>
      <c r="D858" s="12">
        <v>2.0</v>
      </c>
      <c r="E858" s="12">
        <v>6.82</v>
      </c>
      <c r="F858" s="12">
        <v>13.64</v>
      </c>
    </row>
    <row r="859">
      <c r="A859" s="12" t="s">
        <v>4227</v>
      </c>
      <c r="B859" s="12" t="s">
        <v>4212</v>
      </c>
      <c r="C859" s="12" t="s">
        <v>3267</v>
      </c>
      <c r="D859" s="12">
        <v>2.0</v>
      </c>
      <c r="E859" s="12">
        <v>27.34</v>
      </c>
      <c r="F859" s="12">
        <v>54.68</v>
      </c>
    </row>
    <row r="860">
      <c r="A860" s="12" t="s">
        <v>4228</v>
      </c>
      <c r="B860" s="12" t="s">
        <v>4229</v>
      </c>
      <c r="C860" s="12" t="s">
        <v>3106</v>
      </c>
      <c r="D860" s="12">
        <v>1.0</v>
      </c>
      <c r="E860" s="12">
        <v>5838.4</v>
      </c>
      <c r="F860" s="12">
        <v>5838.4</v>
      </c>
    </row>
    <row r="861">
      <c r="A861" s="12" t="s">
        <v>4230</v>
      </c>
      <c r="B861" s="12" t="s">
        <v>4229</v>
      </c>
      <c r="C861" s="12" t="s">
        <v>925</v>
      </c>
      <c r="D861" s="12">
        <v>1.0</v>
      </c>
      <c r="E861" s="12">
        <v>554.65</v>
      </c>
      <c r="F861" s="12">
        <v>554.65</v>
      </c>
    </row>
    <row r="862">
      <c r="A862" s="12" t="s">
        <v>4231</v>
      </c>
      <c r="B862" s="12" t="s">
        <v>4232</v>
      </c>
      <c r="C862" s="12" t="s">
        <v>2969</v>
      </c>
      <c r="D862" s="12">
        <v>3.0</v>
      </c>
      <c r="E862" s="12">
        <v>4.95</v>
      </c>
      <c r="F862" s="12">
        <v>14.85</v>
      </c>
    </row>
    <row r="863">
      <c r="A863" s="12" t="s">
        <v>4234</v>
      </c>
      <c r="B863" s="12" t="s">
        <v>4232</v>
      </c>
      <c r="C863" s="12" t="s">
        <v>2958</v>
      </c>
      <c r="D863" s="12">
        <v>1.0</v>
      </c>
      <c r="E863" s="12">
        <v>239.25</v>
      </c>
      <c r="F863" s="12">
        <v>239.25</v>
      </c>
    </row>
    <row r="864">
      <c r="A864" s="12" t="s">
        <v>4235</v>
      </c>
      <c r="B864" s="12" t="s">
        <v>4232</v>
      </c>
      <c r="C864" s="12" t="s">
        <v>4110</v>
      </c>
      <c r="D864" s="12">
        <v>2.0</v>
      </c>
      <c r="E864" s="12">
        <v>16.5</v>
      </c>
      <c r="F864" s="12">
        <v>33.0</v>
      </c>
    </row>
    <row r="865">
      <c r="A865" s="12" t="s">
        <v>4237</v>
      </c>
      <c r="B865" s="12" t="s">
        <v>4232</v>
      </c>
      <c r="C865" s="12" t="s">
        <v>925</v>
      </c>
      <c r="D865" s="12">
        <v>1.0</v>
      </c>
      <c r="E865" s="12">
        <v>10.0</v>
      </c>
      <c r="F865" s="12">
        <v>10.0</v>
      </c>
    </row>
    <row r="866">
      <c r="A866" s="12" t="s">
        <v>4238</v>
      </c>
      <c r="B866" s="12" t="s">
        <v>4239</v>
      </c>
      <c r="C866" s="12" t="s">
        <v>3100</v>
      </c>
      <c r="D866" s="12">
        <v>1.0</v>
      </c>
      <c r="E866" s="12">
        <v>68.0</v>
      </c>
      <c r="F866" s="12">
        <v>68.0</v>
      </c>
    </row>
    <row r="867">
      <c r="A867" s="12" t="s">
        <v>4242</v>
      </c>
      <c r="B867" s="12" t="s">
        <v>4243</v>
      </c>
      <c r="C867" s="16" t="s">
        <v>3002</v>
      </c>
      <c r="D867" s="12">
        <v>1.0</v>
      </c>
      <c r="E867" s="12">
        <v>22.8</v>
      </c>
      <c r="F867" s="12">
        <v>22.8</v>
      </c>
    </row>
    <row r="868">
      <c r="A868" s="12" t="s">
        <v>4244</v>
      </c>
      <c r="B868" s="12" t="s">
        <v>4243</v>
      </c>
      <c r="C868" s="12" t="s">
        <v>3008</v>
      </c>
      <c r="D868" s="12">
        <v>2.0</v>
      </c>
      <c r="E868" s="12">
        <v>45.6</v>
      </c>
      <c r="F868" s="12">
        <v>91.2</v>
      </c>
    </row>
    <row r="869">
      <c r="A869" s="12" t="s">
        <v>4245</v>
      </c>
      <c r="B869" s="12" t="s">
        <v>4243</v>
      </c>
      <c r="C869" s="12" t="s">
        <v>3511</v>
      </c>
      <c r="D869" s="12">
        <v>1.0</v>
      </c>
      <c r="E869" s="12">
        <v>45.6</v>
      </c>
      <c r="F869" s="12">
        <v>45.6</v>
      </c>
    </row>
    <row r="870">
      <c r="A870" s="12" t="s">
        <v>4247</v>
      </c>
      <c r="B870" s="12" t="s">
        <v>4243</v>
      </c>
      <c r="C870" s="12" t="s">
        <v>3006</v>
      </c>
      <c r="D870" s="12">
        <v>1.0</v>
      </c>
      <c r="E870" s="12">
        <v>22.8</v>
      </c>
      <c r="F870" s="12">
        <v>22.8</v>
      </c>
    </row>
    <row r="871">
      <c r="A871" s="12" t="s">
        <v>4248</v>
      </c>
      <c r="B871" s="12" t="s">
        <v>4243</v>
      </c>
      <c r="C871" s="12" t="s">
        <v>3004</v>
      </c>
      <c r="D871" s="12">
        <v>1.0</v>
      </c>
      <c r="E871" s="12">
        <v>22.8</v>
      </c>
      <c r="F871" s="12">
        <v>22.8</v>
      </c>
    </row>
    <row r="872">
      <c r="A872" s="12" t="s">
        <v>4249</v>
      </c>
      <c r="B872" s="12" t="s">
        <v>4251</v>
      </c>
      <c r="C872" s="12" t="s">
        <v>3064</v>
      </c>
      <c r="D872" s="12">
        <v>1.0</v>
      </c>
      <c r="E872" s="12">
        <v>9.99</v>
      </c>
      <c r="F872" s="12">
        <v>9.99</v>
      </c>
    </row>
    <row r="873">
      <c r="A873" s="12" t="s">
        <v>4253</v>
      </c>
      <c r="B873" s="12" t="s">
        <v>4251</v>
      </c>
      <c r="C873" s="12" t="s">
        <v>3064</v>
      </c>
      <c r="D873" s="12">
        <v>14.0</v>
      </c>
      <c r="E873" s="12">
        <v>9.99</v>
      </c>
      <c r="F873" s="12">
        <v>139.86</v>
      </c>
    </row>
    <row r="874">
      <c r="A874" s="12" t="s">
        <v>4256</v>
      </c>
      <c r="B874" s="12" t="s">
        <v>4258</v>
      </c>
      <c r="C874" s="12" t="s">
        <v>3019</v>
      </c>
      <c r="D874" s="12">
        <v>3.18</v>
      </c>
      <c r="E874" s="12">
        <v>4.99</v>
      </c>
      <c r="F874" s="12">
        <v>15.87</v>
      </c>
    </row>
    <row r="875">
      <c r="A875" s="12" t="s">
        <v>4261</v>
      </c>
      <c r="B875" s="12" t="s">
        <v>4258</v>
      </c>
      <c r="C875" s="12" t="s">
        <v>2926</v>
      </c>
      <c r="D875" s="12">
        <v>6.695</v>
      </c>
      <c r="E875" s="12">
        <v>19.88</v>
      </c>
      <c r="F875" s="12">
        <v>133.1</v>
      </c>
    </row>
    <row r="876">
      <c r="A876" s="12" t="s">
        <v>4262</v>
      </c>
      <c r="B876" s="12" t="s">
        <v>4258</v>
      </c>
      <c r="C876" s="12" t="s">
        <v>2926</v>
      </c>
      <c r="D876" s="12">
        <v>4.87</v>
      </c>
      <c r="E876" s="12">
        <v>19.88</v>
      </c>
      <c r="F876" s="12">
        <v>96.82</v>
      </c>
    </row>
    <row r="877">
      <c r="A877" s="12" t="s">
        <v>4267</v>
      </c>
      <c r="B877" s="12" t="s">
        <v>4258</v>
      </c>
      <c r="C877" s="12" t="s">
        <v>3039</v>
      </c>
      <c r="D877" s="12">
        <v>2.71</v>
      </c>
      <c r="E877" s="12">
        <v>4.14</v>
      </c>
      <c r="F877" s="12">
        <v>11.22</v>
      </c>
    </row>
    <row r="878">
      <c r="A878" s="12" t="s">
        <v>4268</v>
      </c>
      <c r="B878" s="12" t="s">
        <v>4258</v>
      </c>
      <c r="C878" s="12" t="s">
        <v>3039</v>
      </c>
      <c r="D878" s="12">
        <v>2.235</v>
      </c>
      <c r="E878" s="12">
        <v>4.13</v>
      </c>
      <c r="F878" s="12">
        <v>9.23</v>
      </c>
    </row>
    <row r="879">
      <c r="A879" s="12" t="s">
        <v>4273</v>
      </c>
      <c r="B879" s="12" t="s">
        <v>4258</v>
      </c>
      <c r="C879" s="12" t="s">
        <v>3013</v>
      </c>
      <c r="D879" s="12">
        <v>2.0</v>
      </c>
      <c r="E879" s="12">
        <v>7.29</v>
      </c>
      <c r="F879" s="12">
        <v>14.58</v>
      </c>
    </row>
    <row r="880">
      <c r="A880" s="12" t="s">
        <v>4274</v>
      </c>
      <c r="B880" s="12" t="s">
        <v>4258</v>
      </c>
      <c r="C880" s="12" t="s">
        <v>2941</v>
      </c>
      <c r="D880" s="12">
        <v>4.0</v>
      </c>
      <c r="E880" s="12">
        <v>5.99</v>
      </c>
      <c r="F880" s="12">
        <v>23.96</v>
      </c>
    </row>
    <row r="881">
      <c r="A881" s="12" t="s">
        <v>4278</v>
      </c>
      <c r="B881" s="12" t="s">
        <v>4258</v>
      </c>
      <c r="C881" s="12" t="s">
        <v>2916</v>
      </c>
      <c r="D881" s="12">
        <v>2.0</v>
      </c>
      <c r="E881" s="12">
        <v>12.53</v>
      </c>
      <c r="F881" s="12">
        <v>25.06</v>
      </c>
    </row>
    <row r="882">
      <c r="A882" s="12" t="s">
        <v>4280</v>
      </c>
      <c r="B882" s="12" t="s">
        <v>4258</v>
      </c>
      <c r="C882" s="12" t="s">
        <v>3245</v>
      </c>
      <c r="D882" s="12">
        <v>2.0</v>
      </c>
      <c r="E882" s="12">
        <v>8.72</v>
      </c>
      <c r="F882" s="12">
        <v>17.44</v>
      </c>
    </row>
    <row r="883">
      <c r="A883" s="12" t="s">
        <v>4282</v>
      </c>
      <c r="B883" s="12" t="s">
        <v>4258</v>
      </c>
      <c r="C883" s="12" t="s">
        <v>4284</v>
      </c>
      <c r="D883" s="12">
        <v>1.0</v>
      </c>
      <c r="E883" s="12">
        <v>19.55</v>
      </c>
      <c r="F883" s="12">
        <v>19.55</v>
      </c>
    </row>
    <row r="884">
      <c r="A884" s="12" t="s">
        <v>4285</v>
      </c>
      <c r="B884" s="12" t="s">
        <v>4258</v>
      </c>
      <c r="C884" s="12" t="s">
        <v>3076</v>
      </c>
      <c r="D884" s="12">
        <v>2.0</v>
      </c>
      <c r="E884" s="12">
        <v>7.05</v>
      </c>
      <c r="F884" s="12">
        <v>14.1</v>
      </c>
    </row>
    <row r="885">
      <c r="A885" s="12" t="s">
        <v>4286</v>
      </c>
      <c r="B885" s="12" t="s">
        <v>4258</v>
      </c>
      <c r="C885" s="12" t="s">
        <v>3074</v>
      </c>
      <c r="D885" s="12">
        <v>2.0</v>
      </c>
      <c r="E885" s="12">
        <v>11.15</v>
      </c>
      <c r="F885" s="12">
        <v>22.3</v>
      </c>
    </row>
    <row r="886">
      <c r="A886" s="12" t="s">
        <v>4290</v>
      </c>
      <c r="B886" s="12" t="s">
        <v>4258</v>
      </c>
      <c r="C886" s="12" t="s">
        <v>3071</v>
      </c>
      <c r="D886" s="12">
        <v>2.0</v>
      </c>
      <c r="E886" s="12">
        <v>9.14</v>
      </c>
      <c r="F886" s="12">
        <v>18.28</v>
      </c>
    </row>
    <row r="887">
      <c r="A887" s="12" t="s">
        <v>4291</v>
      </c>
      <c r="B887" s="12" t="s">
        <v>4292</v>
      </c>
      <c r="C887" s="16" t="s">
        <v>2910</v>
      </c>
      <c r="D887" s="12">
        <v>22.0</v>
      </c>
      <c r="E887" s="12">
        <v>21.0</v>
      </c>
      <c r="F887" s="12">
        <v>462.0</v>
      </c>
    </row>
    <row r="888">
      <c r="A888" s="12" t="s">
        <v>4297</v>
      </c>
      <c r="B888" s="12" t="s">
        <v>4298</v>
      </c>
      <c r="C888" s="12" t="s">
        <v>4301</v>
      </c>
      <c r="D888" s="12">
        <v>1.0</v>
      </c>
      <c r="E888" s="12">
        <v>8.99</v>
      </c>
      <c r="F888" s="12">
        <v>8.99</v>
      </c>
    </row>
    <row r="889">
      <c r="A889" s="12" t="s">
        <v>4303</v>
      </c>
      <c r="B889" s="12" t="s">
        <v>4298</v>
      </c>
      <c r="C889" s="12" t="s">
        <v>2907</v>
      </c>
      <c r="D889" s="12">
        <v>0.634</v>
      </c>
      <c r="E889" s="12">
        <v>8.99</v>
      </c>
      <c r="F889" s="12">
        <v>5.7</v>
      </c>
    </row>
    <row r="890">
      <c r="A890" s="12" t="s">
        <v>4307</v>
      </c>
      <c r="B890" s="12" t="s">
        <v>4308</v>
      </c>
      <c r="C890" s="12" t="s">
        <v>2907</v>
      </c>
      <c r="D890" s="12">
        <v>0.608</v>
      </c>
      <c r="E890" s="12">
        <v>12.99</v>
      </c>
      <c r="F890" s="12">
        <v>7.9</v>
      </c>
    </row>
    <row r="891">
      <c r="A891" s="12" t="s">
        <v>4309</v>
      </c>
      <c r="B891" s="12" t="s">
        <v>4310</v>
      </c>
      <c r="C891" s="12" t="s">
        <v>3100</v>
      </c>
      <c r="D891" s="12">
        <v>1.0</v>
      </c>
      <c r="E891" s="12">
        <v>2.0</v>
      </c>
      <c r="F891" s="12">
        <v>2.0</v>
      </c>
    </row>
    <row r="892">
      <c r="A892" s="12" t="s">
        <v>4314</v>
      </c>
      <c r="B892" s="12" t="s">
        <v>4315</v>
      </c>
      <c r="C892" s="12" t="s">
        <v>3019</v>
      </c>
      <c r="D892" s="12">
        <v>1.815</v>
      </c>
      <c r="E892" s="12">
        <v>5.15</v>
      </c>
      <c r="F892" s="12">
        <v>9.35</v>
      </c>
    </row>
    <row r="893">
      <c r="A893" s="12" t="s">
        <v>4316</v>
      </c>
      <c r="B893" s="12" t="s">
        <v>4315</v>
      </c>
      <c r="C893" s="12" t="s">
        <v>2926</v>
      </c>
      <c r="D893" s="12">
        <v>1.7</v>
      </c>
      <c r="E893" s="12">
        <v>19.68</v>
      </c>
      <c r="F893" s="12">
        <v>33.46</v>
      </c>
    </row>
    <row r="894">
      <c r="A894" s="12" t="s">
        <v>4319</v>
      </c>
      <c r="B894" s="12" t="s">
        <v>4315</v>
      </c>
      <c r="C894" s="12" t="s">
        <v>2926</v>
      </c>
      <c r="D894" s="12">
        <v>7.33</v>
      </c>
      <c r="E894" s="12">
        <v>19.68</v>
      </c>
      <c r="F894" s="12">
        <v>144.25</v>
      </c>
    </row>
    <row r="895">
      <c r="A895" s="12" t="s">
        <v>4320</v>
      </c>
      <c r="B895" s="12" t="s">
        <v>4315</v>
      </c>
      <c r="C895" s="12" t="s">
        <v>3039</v>
      </c>
      <c r="D895" s="12">
        <v>4.31</v>
      </c>
      <c r="E895" s="12">
        <v>4.14</v>
      </c>
      <c r="F895" s="12">
        <v>17.84</v>
      </c>
    </row>
    <row r="896">
      <c r="A896" s="12" t="s">
        <v>4325</v>
      </c>
      <c r="B896" s="12" t="s">
        <v>4315</v>
      </c>
      <c r="C896" s="12" t="s">
        <v>2941</v>
      </c>
      <c r="D896" s="12">
        <v>4.0</v>
      </c>
      <c r="E896" s="12">
        <v>6.59</v>
      </c>
      <c r="F896" s="12">
        <v>26.36</v>
      </c>
    </row>
    <row r="897">
      <c r="A897" s="12" t="s">
        <v>4327</v>
      </c>
      <c r="B897" s="12" t="s">
        <v>4315</v>
      </c>
      <c r="C897" s="12" t="s">
        <v>3064</v>
      </c>
      <c r="D897" s="12">
        <v>20.0</v>
      </c>
      <c r="E897" s="12">
        <v>8.33</v>
      </c>
      <c r="F897" s="12">
        <v>166.6</v>
      </c>
    </row>
    <row r="898">
      <c r="A898" s="12" t="s">
        <v>4330</v>
      </c>
      <c r="B898" s="12" t="s">
        <v>4315</v>
      </c>
      <c r="C898" s="12" t="s">
        <v>4147</v>
      </c>
      <c r="D898" s="12">
        <v>1.0</v>
      </c>
      <c r="E898" s="12">
        <v>8.73</v>
      </c>
      <c r="F898" s="12">
        <v>8.73</v>
      </c>
    </row>
    <row r="899">
      <c r="A899" s="12" t="s">
        <v>4331</v>
      </c>
      <c r="B899" s="12" t="s">
        <v>4315</v>
      </c>
      <c r="C899" s="12" t="s">
        <v>2938</v>
      </c>
      <c r="D899" s="12">
        <v>1.0</v>
      </c>
      <c r="E899" s="12">
        <v>8.87</v>
      </c>
      <c r="F899" s="12">
        <v>8.87</v>
      </c>
    </row>
    <row r="900">
      <c r="A900" s="12" t="s">
        <v>4332</v>
      </c>
      <c r="B900" s="12" t="s">
        <v>4315</v>
      </c>
      <c r="C900" s="12" t="s">
        <v>3071</v>
      </c>
      <c r="D900" s="12">
        <v>2.0</v>
      </c>
      <c r="E900" s="12">
        <v>9.76</v>
      </c>
      <c r="F900" s="12">
        <v>19.52</v>
      </c>
    </row>
    <row r="901">
      <c r="A901" s="12" t="s">
        <v>4335</v>
      </c>
      <c r="B901" s="12" t="s">
        <v>4315</v>
      </c>
      <c r="C901" s="12" t="s">
        <v>3074</v>
      </c>
      <c r="D901" s="12">
        <v>1.0</v>
      </c>
      <c r="E901" s="12">
        <v>11.15</v>
      </c>
      <c r="F901" s="12">
        <v>11.15</v>
      </c>
    </row>
    <row r="902">
      <c r="A902" s="12" t="s">
        <v>4337</v>
      </c>
      <c r="B902" s="12" t="s">
        <v>4315</v>
      </c>
      <c r="C902" s="12" t="s">
        <v>3076</v>
      </c>
      <c r="D902" s="12">
        <v>2.0</v>
      </c>
      <c r="E902" s="12">
        <v>7.05</v>
      </c>
      <c r="F902" s="12">
        <v>14.1</v>
      </c>
    </row>
    <row r="903">
      <c r="A903" s="12" t="s">
        <v>4338</v>
      </c>
      <c r="B903" s="12" t="s">
        <v>4339</v>
      </c>
      <c r="C903" s="12" t="s">
        <v>2907</v>
      </c>
      <c r="D903" s="12">
        <v>0.49</v>
      </c>
      <c r="E903" s="12">
        <v>12.99</v>
      </c>
      <c r="F903" s="12">
        <v>6.37</v>
      </c>
    </row>
    <row r="904">
      <c r="A904" s="12" t="s">
        <v>4342</v>
      </c>
      <c r="B904" s="12" t="s">
        <v>4339</v>
      </c>
      <c r="C904" s="12" t="s">
        <v>3373</v>
      </c>
      <c r="D904" s="12">
        <v>4.0</v>
      </c>
      <c r="E904" s="12">
        <v>5.19</v>
      </c>
      <c r="F904" s="12">
        <v>20.76</v>
      </c>
    </row>
    <row r="905">
      <c r="A905" s="12" t="s">
        <v>4343</v>
      </c>
      <c r="B905" s="12" t="s">
        <v>4344</v>
      </c>
      <c r="C905" s="12" t="s">
        <v>3006</v>
      </c>
      <c r="D905" s="12">
        <v>1.0</v>
      </c>
      <c r="E905" s="12">
        <v>22.8</v>
      </c>
      <c r="F905" s="12">
        <v>22.8</v>
      </c>
    </row>
    <row r="906">
      <c r="A906" s="12" t="s">
        <v>4346</v>
      </c>
      <c r="B906" s="12" t="s">
        <v>4344</v>
      </c>
      <c r="C906" s="12" t="s">
        <v>3008</v>
      </c>
      <c r="D906" s="12">
        <v>2.0</v>
      </c>
      <c r="E906" s="12">
        <v>45.6</v>
      </c>
      <c r="F906" s="12">
        <v>91.2</v>
      </c>
    </row>
    <row r="907">
      <c r="A907" s="12" t="s">
        <v>4348</v>
      </c>
      <c r="B907" s="12" t="s">
        <v>4344</v>
      </c>
      <c r="C907" s="16" t="s">
        <v>3002</v>
      </c>
      <c r="D907" s="12">
        <v>1.0</v>
      </c>
      <c r="E907" s="12">
        <v>22.8</v>
      </c>
      <c r="F907" s="12">
        <v>22.8</v>
      </c>
    </row>
    <row r="908">
      <c r="A908" s="12" t="s">
        <v>4349</v>
      </c>
      <c r="B908" s="12" t="s">
        <v>4344</v>
      </c>
      <c r="C908" s="12" t="s">
        <v>3114</v>
      </c>
      <c r="D908" s="12">
        <v>10.0</v>
      </c>
      <c r="E908" s="12">
        <v>12.5</v>
      </c>
      <c r="F908" s="12">
        <v>125.0</v>
      </c>
    </row>
    <row r="909">
      <c r="A909" s="12" t="s">
        <v>4353</v>
      </c>
      <c r="B909" s="12" t="s">
        <v>4344</v>
      </c>
      <c r="C909" s="12" t="s">
        <v>3511</v>
      </c>
      <c r="D909" s="12">
        <v>1.0</v>
      </c>
      <c r="E909" s="12">
        <v>45.6</v>
      </c>
      <c r="F909" s="12">
        <v>45.6</v>
      </c>
    </row>
    <row r="910">
      <c r="A910" s="12" t="s">
        <v>4355</v>
      </c>
      <c r="B910" s="12" t="s">
        <v>4356</v>
      </c>
      <c r="C910" s="16" t="s">
        <v>2910</v>
      </c>
      <c r="D910" s="12">
        <v>10.0</v>
      </c>
      <c r="E910" s="12">
        <v>33.0</v>
      </c>
      <c r="F910" s="12">
        <v>330.0</v>
      </c>
    </row>
    <row r="911">
      <c r="A911" s="12" t="s">
        <v>4357</v>
      </c>
      <c r="B911" s="12" t="s">
        <v>4360</v>
      </c>
      <c r="C911" s="12" t="s">
        <v>3169</v>
      </c>
      <c r="D911" s="12">
        <v>1.0</v>
      </c>
      <c r="E911" s="12">
        <v>41.88</v>
      </c>
      <c r="F911" s="12">
        <v>41.88</v>
      </c>
    </row>
    <row r="912">
      <c r="A912" s="12" t="s">
        <v>4364</v>
      </c>
      <c r="B912" s="12" t="s">
        <v>4365</v>
      </c>
      <c r="C912" s="12" t="s">
        <v>717</v>
      </c>
      <c r="D912" s="12">
        <v>1.0</v>
      </c>
      <c r="E912" s="12">
        <v>2475.0</v>
      </c>
      <c r="F912" s="12">
        <v>2475.0</v>
      </c>
    </row>
    <row r="913">
      <c r="A913" s="12" t="s">
        <v>4366</v>
      </c>
      <c r="B913" s="12" t="s">
        <v>4365</v>
      </c>
      <c r="C913" s="12" t="s">
        <v>2982</v>
      </c>
      <c r="D913" s="12">
        <v>1.0</v>
      </c>
      <c r="E913" s="12">
        <v>167.06</v>
      </c>
      <c r="F913" s="12">
        <v>167.06</v>
      </c>
    </row>
    <row r="914">
      <c r="A914" s="12" t="s">
        <v>4371</v>
      </c>
      <c r="B914" s="12" t="s">
        <v>4372</v>
      </c>
      <c r="C914" s="12" t="s">
        <v>3238</v>
      </c>
      <c r="D914" s="12">
        <v>0.41</v>
      </c>
      <c r="E914" s="12">
        <v>36.99</v>
      </c>
      <c r="F914" s="12">
        <v>15.17</v>
      </c>
    </row>
    <row r="915">
      <c r="A915" s="12" t="s">
        <v>4373</v>
      </c>
      <c r="B915" s="12" t="s">
        <v>4372</v>
      </c>
      <c r="C915" s="12" t="s">
        <v>3245</v>
      </c>
      <c r="D915" s="12">
        <v>2.0</v>
      </c>
      <c r="E915" s="12">
        <v>8.99</v>
      </c>
      <c r="F915" s="12">
        <v>17.98</v>
      </c>
    </row>
    <row r="916">
      <c r="A916" s="12" t="s">
        <v>4375</v>
      </c>
      <c r="B916" s="12" t="s">
        <v>4372</v>
      </c>
      <c r="C916" s="12" t="s">
        <v>3071</v>
      </c>
      <c r="D916" s="12">
        <v>1.0</v>
      </c>
      <c r="E916" s="12">
        <v>13.99</v>
      </c>
      <c r="F916" s="12">
        <v>13.99</v>
      </c>
    </row>
    <row r="917">
      <c r="A917" s="12" t="s">
        <v>4378</v>
      </c>
      <c r="B917" s="12" t="s">
        <v>4372</v>
      </c>
      <c r="C917" s="12" t="s">
        <v>2907</v>
      </c>
      <c r="D917" s="12">
        <v>0.652</v>
      </c>
      <c r="E917" s="12">
        <v>12.99</v>
      </c>
      <c r="F917" s="12">
        <v>8.47</v>
      </c>
    </row>
    <row r="918">
      <c r="A918" s="12" t="s">
        <v>4379</v>
      </c>
      <c r="B918" s="12" t="s">
        <v>4372</v>
      </c>
      <c r="C918" s="12" t="s">
        <v>3039</v>
      </c>
      <c r="D918" s="12">
        <v>2.435</v>
      </c>
      <c r="E918" s="12">
        <v>5.19</v>
      </c>
      <c r="F918" s="12">
        <v>12.64</v>
      </c>
    </row>
    <row r="919">
      <c r="A919" s="12" t="s">
        <v>4383</v>
      </c>
      <c r="B919" s="12" t="s">
        <v>4372</v>
      </c>
      <c r="C919" s="12" t="s">
        <v>3019</v>
      </c>
      <c r="D919" s="12">
        <v>2.705</v>
      </c>
      <c r="E919" s="12">
        <v>7.49</v>
      </c>
      <c r="F919" s="12">
        <v>20.26</v>
      </c>
    </row>
    <row r="920">
      <c r="A920" s="12" t="s">
        <v>4385</v>
      </c>
      <c r="B920" s="12" t="s">
        <v>4386</v>
      </c>
      <c r="C920" s="12" t="s">
        <v>3039</v>
      </c>
      <c r="D920" s="12">
        <v>1.055</v>
      </c>
      <c r="E920" s="12">
        <v>5.99</v>
      </c>
      <c r="F920" s="12">
        <v>6.32</v>
      </c>
    </row>
    <row r="921">
      <c r="A921" s="12" t="s">
        <v>4389</v>
      </c>
      <c r="B921" s="12" t="s">
        <v>4386</v>
      </c>
      <c r="C921" s="12" t="s">
        <v>3039</v>
      </c>
      <c r="D921" s="12">
        <v>3.0</v>
      </c>
      <c r="E921" s="12">
        <v>7.99</v>
      </c>
      <c r="F921" s="12">
        <v>23.97</v>
      </c>
    </row>
    <row r="922">
      <c r="A922" s="12" t="s">
        <v>4394</v>
      </c>
      <c r="B922" s="12" t="s">
        <v>4395</v>
      </c>
      <c r="C922" s="16" t="s">
        <v>2910</v>
      </c>
      <c r="D922" s="12">
        <v>10.0</v>
      </c>
      <c r="E922" s="12">
        <v>25.0</v>
      </c>
      <c r="F922" s="12">
        <v>250.0</v>
      </c>
    </row>
    <row r="923">
      <c r="A923" s="12" t="s">
        <v>4396</v>
      </c>
      <c r="B923" s="12" t="s">
        <v>4397</v>
      </c>
      <c r="C923" s="12" t="s">
        <v>2610</v>
      </c>
      <c r="D923" s="12">
        <v>1.0</v>
      </c>
      <c r="E923" s="12">
        <v>1118.8</v>
      </c>
      <c r="F923" s="12">
        <v>1118.8</v>
      </c>
    </row>
    <row r="924">
      <c r="A924" s="12" t="s">
        <v>4398</v>
      </c>
      <c r="B924" s="12" t="s">
        <v>4397</v>
      </c>
      <c r="C924" s="12" t="s">
        <v>925</v>
      </c>
      <c r="D924" s="12">
        <v>1.0</v>
      </c>
      <c r="E924" s="12">
        <v>106.29</v>
      </c>
      <c r="F924" s="12">
        <v>106.29</v>
      </c>
    </row>
    <row r="925">
      <c r="A925" s="12" t="s">
        <v>4400</v>
      </c>
      <c r="B925" s="12" t="s">
        <v>4401</v>
      </c>
      <c r="C925" s="12" t="s">
        <v>786</v>
      </c>
      <c r="D925" s="12">
        <v>1.0</v>
      </c>
      <c r="E925" s="12">
        <v>17301.75</v>
      </c>
      <c r="F925" s="12">
        <v>17301.75</v>
      </c>
    </row>
    <row r="926">
      <c r="A926" s="12" t="s">
        <v>4402</v>
      </c>
      <c r="B926" s="12" t="s">
        <v>4401</v>
      </c>
      <c r="C926" s="12" t="s">
        <v>925</v>
      </c>
      <c r="D926" s="12">
        <v>1.0</v>
      </c>
      <c r="E926" s="12">
        <v>1643.67</v>
      </c>
      <c r="F926" s="12">
        <v>1643.67</v>
      </c>
    </row>
    <row r="927">
      <c r="A927" s="12" t="s">
        <v>4406</v>
      </c>
      <c r="B927" s="12" t="s">
        <v>4401</v>
      </c>
      <c r="C927" s="12" t="s">
        <v>2982</v>
      </c>
      <c r="D927" s="12">
        <v>1.0</v>
      </c>
      <c r="E927" s="12">
        <v>266.19</v>
      </c>
      <c r="F927" s="12">
        <v>266.19</v>
      </c>
    </row>
    <row r="928">
      <c r="A928" s="12" t="s">
        <v>4409</v>
      </c>
      <c r="B928" s="12" t="s">
        <v>4410</v>
      </c>
      <c r="C928" s="12" t="s">
        <v>3039</v>
      </c>
      <c r="D928" s="12">
        <v>2.67</v>
      </c>
      <c r="E928" s="12">
        <v>3.98</v>
      </c>
      <c r="F928" s="12">
        <v>10.63</v>
      </c>
    </row>
    <row r="929">
      <c r="A929" s="12" t="s">
        <v>4413</v>
      </c>
      <c r="B929" s="12" t="s">
        <v>4415</v>
      </c>
      <c r="C929" s="12" t="s">
        <v>3106</v>
      </c>
      <c r="D929" s="12">
        <v>1.0</v>
      </c>
      <c r="E929" s="12">
        <v>7593.91</v>
      </c>
      <c r="F929" s="12">
        <v>7593.91</v>
      </c>
    </row>
    <row r="930">
      <c r="A930" s="12" t="s">
        <v>4417</v>
      </c>
      <c r="B930" s="12" t="s">
        <v>4415</v>
      </c>
      <c r="C930" s="12" t="s">
        <v>925</v>
      </c>
      <c r="D930" s="12">
        <v>1.0</v>
      </c>
      <c r="E930" s="12">
        <v>721.42</v>
      </c>
      <c r="F930" s="12">
        <v>721.42</v>
      </c>
    </row>
    <row r="931">
      <c r="A931" s="12" t="s">
        <v>4418</v>
      </c>
      <c r="B931" s="12" t="s">
        <v>4419</v>
      </c>
      <c r="C931" s="12" t="s">
        <v>3511</v>
      </c>
      <c r="D931" s="12">
        <v>2.0</v>
      </c>
      <c r="E931" s="12">
        <v>45.6</v>
      </c>
      <c r="F931" s="12">
        <v>91.2</v>
      </c>
    </row>
    <row r="932">
      <c r="A932" s="12" t="s">
        <v>4422</v>
      </c>
      <c r="B932" s="12" t="s">
        <v>4419</v>
      </c>
      <c r="C932" s="16" t="s">
        <v>3002</v>
      </c>
      <c r="D932" s="12">
        <v>1.0</v>
      </c>
      <c r="E932" s="12">
        <v>22.8</v>
      </c>
      <c r="F932" s="12">
        <v>22.8</v>
      </c>
    </row>
    <row r="933">
      <c r="A933" s="12" t="s">
        <v>4423</v>
      </c>
      <c r="B933" s="12" t="s">
        <v>4419</v>
      </c>
      <c r="C933" s="12" t="s">
        <v>3004</v>
      </c>
      <c r="D933" s="12">
        <v>1.0</v>
      </c>
      <c r="E933" s="12">
        <v>22.8</v>
      </c>
      <c r="F933" s="12">
        <v>22.8</v>
      </c>
    </row>
    <row r="934">
      <c r="A934" s="12" t="s">
        <v>4426</v>
      </c>
      <c r="B934" s="12" t="s">
        <v>4419</v>
      </c>
      <c r="C934" s="12" t="s">
        <v>3008</v>
      </c>
      <c r="D934" s="12">
        <v>2.0</v>
      </c>
      <c r="E934" s="12">
        <v>45.6</v>
      </c>
      <c r="F934" s="12">
        <v>91.2</v>
      </c>
    </row>
    <row r="935">
      <c r="A935" s="12" t="s">
        <v>4429</v>
      </c>
      <c r="B935" s="12" t="s">
        <v>4419</v>
      </c>
      <c r="C935" s="12" t="s">
        <v>3006</v>
      </c>
      <c r="D935" s="12">
        <v>1.0</v>
      </c>
      <c r="E935" s="12">
        <v>22.8</v>
      </c>
      <c r="F935" s="12">
        <v>22.8</v>
      </c>
    </row>
    <row r="936">
      <c r="A936" s="12" t="s">
        <v>4431</v>
      </c>
      <c r="B936" s="12" t="s">
        <v>4419</v>
      </c>
      <c r="C936" s="12" t="s">
        <v>3111</v>
      </c>
      <c r="D936" s="12">
        <v>10.0</v>
      </c>
      <c r="E936" s="12">
        <v>14.28</v>
      </c>
      <c r="F936" s="12">
        <v>142.8</v>
      </c>
    </row>
    <row r="937">
      <c r="A937" s="12" t="s">
        <v>4434</v>
      </c>
      <c r="B937" s="12" t="s">
        <v>4419</v>
      </c>
      <c r="C937" s="12" t="s">
        <v>3114</v>
      </c>
      <c r="D937" s="12">
        <v>10.0</v>
      </c>
      <c r="E937" s="12">
        <v>12.48</v>
      </c>
      <c r="F937" s="12">
        <v>124.8</v>
      </c>
    </row>
    <row r="938">
      <c r="A938" s="16" t="s">
        <v>4436</v>
      </c>
      <c r="B938" s="12" t="s">
        <v>4438</v>
      </c>
      <c r="C938" s="12" t="s">
        <v>3169</v>
      </c>
      <c r="D938" s="12">
        <v>1.0</v>
      </c>
      <c r="E938" s="12">
        <v>41.88</v>
      </c>
      <c r="F938" s="12">
        <v>41.88</v>
      </c>
    </row>
    <row r="939">
      <c r="A939" s="12" t="s">
        <v>4441</v>
      </c>
      <c r="B939" s="12" t="s">
        <v>4442</v>
      </c>
      <c r="C939" s="12" t="s">
        <v>3867</v>
      </c>
      <c r="D939" s="12">
        <v>24.0</v>
      </c>
      <c r="E939" s="12">
        <v>7.29</v>
      </c>
      <c r="F939" s="12">
        <v>174.96</v>
      </c>
    </row>
    <row r="940">
      <c r="A940" s="12" t="s">
        <v>4444</v>
      </c>
      <c r="B940" s="12" t="s">
        <v>4446</v>
      </c>
      <c r="C940" s="12" t="s">
        <v>4448</v>
      </c>
      <c r="D940" s="12">
        <v>2.0</v>
      </c>
      <c r="E940" s="12">
        <v>7.69</v>
      </c>
      <c r="F940" s="12">
        <v>15.38</v>
      </c>
    </row>
    <row r="941">
      <c r="A941" s="12" t="s">
        <v>4451</v>
      </c>
      <c r="B941" s="12" t="s">
        <v>4452</v>
      </c>
      <c r="C941" s="12" t="s">
        <v>2926</v>
      </c>
      <c r="D941" s="12">
        <v>3.835</v>
      </c>
      <c r="E941" s="12">
        <v>19.64</v>
      </c>
      <c r="F941" s="12">
        <v>75.32</v>
      </c>
    </row>
    <row r="942">
      <c r="A942" s="12" t="s">
        <v>4454</v>
      </c>
      <c r="B942" s="12" t="s">
        <v>4452</v>
      </c>
      <c r="C942" s="12" t="s">
        <v>2926</v>
      </c>
      <c r="D942" s="12">
        <v>6.9</v>
      </c>
      <c r="E942" s="12">
        <v>19.64</v>
      </c>
      <c r="F942" s="12">
        <v>135.52</v>
      </c>
    </row>
    <row r="943">
      <c r="A943" s="12" t="s">
        <v>4457</v>
      </c>
      <c r="B943" s="12" t="s">
        <v>4452</v>
      </c>
      <c r="C943" s="12" t="s">
        <v>2926</v>
      </c>
      <c r="D943" s="12">
        <v>0.89</v>
      </c>
      <c r="E943" s="12">
        <v>19.64</v>
      </c>
      <c r="F943" s="12">
        <v>17.48</v>
      </c>
    </row>
    <row r="944">
      <c r="A944" s="12" t="s">
        <v>4458</v>
      </c>
      <c r="B944" s="12" t="s">
        <v>4452</v>
      </c>
      <c r="C944" s="12" t="s">
        <v>3039</v>
      </c>
      <c r="D944" s="12">
        <v>3.295</v>
      </c>
      <c r="E944" s="12">
        <v>4.14</v>
      </c>
      <c r="F944" s="12">
        <v>13.64</v>
      </c>
    </row>
    <row r="945">
      <c r="A945" s="12" t="s">
        <v>4460</v>
      </c>
      <c r="B945" s="12" t="s">
        <v>4452</v>
      </c>
      <c r="C945" s="12" t="s">
        <v>3019</v>
      </c>
      <c r="D945" s="12">
        <v>3.175</v>
      </c>
      <c r="E945" s="12">
        <v>5.11</v>
      </c>
      <c r="F945" s="12">
        <v>16.22</v>
      </c>
    </row>
    <row r="946">
      <c r="A946" s="12" t="s">
        <v>4462</v>
      </c>
      <c r="B946" s="12" t="s">
        <v>4452</v>
      </c>
      <c r="C946" s="12" t="s">
        <v>2941</v>
      </c>
      <c r="D946" s="12">
        <v>2.0</v>
      </c>
      <c r="E946" s="12">
        <v>6.4</v>
      </c>
      <c r="F946" s="12">
        <v>12.8</v>
      </c>
    </row>
    <row r="947">
      <c r="A947" s="12" t="s">
        <v>4465</v>
      </c>
      <c r="B947" s="12" t="s">
        <v>4452</v>
      </c>
      <c r="C947" s="12" t="s">
        <v>3071</v>
      </c>
      <c r="D947" s="12">
        <v>3.0</v>
      </c>
      <c r="E947" s="12">
        <v>9.14</v>
      </c>
      <c r="F947" s="12">
        <v>27.42</v>
      </c>
    </row>
    <row r="948">
      <c r="A948" s="12" t="s">
        <v>4466</v>
      </c>
      <c r="B948" s="12" t="s">
        <v>4452</v>
      </c>
      <c r="C948" s="12" t="s">
        <v>3074</v>
      </c>
      <c r="D948" s="12">
        <v>2.0</v>
      </c>
      <c r="E948" s="12">
        <v>7.14</v>
      </c>
      <c r="F948" s="12">
        <v>14.28</v>
      </c>
    </row>
    <row r="949">
      <c r="A949" s="12" t="s">
        <v>4468</v>
      </c>
      <c r="B949" s="12" t="s">
        <v>4452</v>
      </c>
      <c r="C949" s="12" t="s">
        <v>3552</v>
      </c>
      <c r="D949" s="12">
        <v>24.0</v>
      </c>
      <c r="E949" s="12">
        <v>2.12</v>
      </c>
      <c r="F949" s="12">
        <v>50.88</v>
      </c>
    </row>
    <row r="950">
      <c r="A950" s="12" t="s">
        <v>4470</v>
      </c>
      <c r="B950" s="12" t="s">
        <v>4452</v>
      </c>
      <c r="C950" s="12" t="s">
        <v>3867</v>
      </c>
      <c r="D950" s="12">
        <v>16.0</v>
      </c>
      <c r="E950" s="12">
        <v>7.72</v>
      </c>
      <c r="F950" s="12">
        <v>123.52</v>
      </c>
    </row>
    <row r="951">
      <c r="A951" s="12" t="s">
        <v>4471</v>
      </c>
      <c r="B951" s="12" t="s">
        <v>4452</v>
      </c>
      <c r="C951" s="12" t="s">
        <v>3552</v>
      </c>
      <c r="D951" s="12">
        <v>24.0</v>
      </c>
      <c r="E951" s="12">
        <v>2.05</v>
      </c>
      <c r="F951" s="12">
        <v>49.2</v>
      </c>
    </row>
    <row r="952">
      <c r="A952" s="12" t="s">
        <v>4473</v>
      </c>
      <c r="B952" s="12" t="s">
        <v>4452</v>
      </c>
      <c r="C952" s="12" t="s">
        <v>3552</v>
      </c>
      <c r="D952" s="12">
        <v>24.0</v>
      </c>
      <c r="E952" s="12">
        <v>2.29</v>
      </c>
      <c r="F952" s="12">
        <v>54.96</v>
      </c>
    </row>
    <row r="953">
      <c r="A953" s="12" t="s">
        <v>4477</v>
      </c>
      <c r="B953" s="12" t="s">
        <v>4478</v>
      </c>
      <c r="C953" s="12" t="s">
        <v>3100</v>
      </c>
      <c r="D953" s="12">
        <v>1.0</v>
      </c>
      <c r="E953" s="12">
        <v>16.0</v>
      </c>
      <c r="F953" s="12">
        <v>16.0</v>
      </c>
    </row>
    <row r="954">
      <c r="A954" s="12" t="s">
        <v>4479</v>
      </c>
      <c r="B954" s="12" t="s">
        <v>4480</v>
      </c>
      <c r="C954" s="12" t="s">
        <v>4055</v>
      </c>
      <c r="D954" s="12">
        <v>1.0</v>
      </c>
      <c r="E954" s="12">
        <v>256.9</v>
      </c>
      <c r="F954" s="12">
        <v>256.9</v>
      </c>
    </row>
    <row r="955">
      <c r="A955" s="12" t="s">
        <v>4483</v>
      </c>
      <c r="B955" s="12" t="s">
        <v>4484</v>
      </c>
      <c r="C955" s="12" t="s">
        <v>3064</v>
      </c>
      <c r="D955" s="12">
        <v>20.0</v>
      </c>
      <c r="E955" s="12">
        <v>9.62</v>
      </c>
      <c r="F955" s="12">
        <v>192.4</v>
      </c>
    </row>
    <row r="956">
      <c r="A956" s="12" t="s">
        <v>4485</v>
      </c>
      <c r="B956" s="12" t="s">
        <v>4484</v>
      </c>
      <c r="C956" s="12" t="s">
        <v>3373</v>
      </c>
      <c r="D956" s="12">
        <v>4.0</v>
      </c>
      <c r="E956" s="12">
        <v>4.28</v>
      </c>
      <c r="F956" s="12">
        <v>17.12</v>
      </c>
    </row>
    <row r="957">
      <c r="A957" s="12" t="s">
        <v>4489</v>
      </c>
      <c r="B957" s="12" t="s">
        <v>4484</v>
      </c>
      <c r="C957" s="12" t="s">
        <v>3180</v>
      </c>
      <c r="D957" s="12">
        <v>1.0</v>
      </c>
      <c r="E957" s="12">
        <v>14.55</v>
      </c>
      <c r="F957" s="12">
        <v>14.55</v>
      </c>
    </row>
    <row r="958">
      <c r="A958" s="12" t="s">
        <v>4491</v>
      </c>
      <c r="B958" s="12" t="s">
        <v>4493</v>
      </c>
      <c r="C958" s="12" t="s">
        <v>3245</v>
      </c>
      <c r="D958" s="12">
        <v>1.0</v>
      </c>
      <c r="E958" s="12">
        <v>9.99</v>
      </c>
      <c r="F958" s="12">
        <v>9.99</v>
      </c>
    </row>
    <row r="959">
      <c r="A959" s="12" t="s">
        <v>4496</v>
      </c>
      <c r="B959" s="12" t="s">
        <v>4493</v>
      </c>
      <c r="C959" s="12" t="s">
        <v>2938</v>
      </c>
      <c r="D959" s="12">
        <v>1.0</v>
      </c>
      <c r="E959" s="12">
        <v>13.99</v>
      </c>
      <c r="F959" s="12">
        <v>13.99</v>
      </c>
    </row>
    <row r="960">
      <c r="A960" s="12" t="s">
        <v>4497</v>
      </c>
      <c r="B960" s="12" t="s">
        <v>4493</v>
      </c>
      <c r="C960" s="12" t="s">
        <v>2907</v>
      </c>
      <c r="D960" s="12">
        <v>0.502</v>
      </c>
      <c r="E960" s="12">
        <v>12.99</v>
      </c>
      <c r="F960" s="12">
        <v>6.52</v>
      </c>
    </row>
    <row r="961">
      <c r="A961" s="12" t="s">
        <v>4500</v>
      </c>
      <c r="B961" s="12" t="s">
        <v>4502</v>
      </c>
      <c r="C961" s="12" t="s">
        <v>2907</v>
      </c>
      <c r="D961" s="12">
        <v>0.67</v>
      </c>
      <c r="E961" s="12">
        <v>13.99</v>
      </c>
      <c r="F961" s="12">
        <v>9.37</v>
      </c>
    </row>
    <row r="962">
      <c r="A962" s="12" t="s">
        <v>4503</v>
      </c>
      <c r="B962" s="12" t="s">
        <v>4502</v>
      </c>
      <c r="C962" s="12" t="s">
        <v>3039</v>
      </c>
      <c r="D962" s="12">
        <v>1.34</v>
      </c>
      <c r="E962" s="12">
        <v>3.99</v>
      </c>
      <c r="F962" s="12">
        <v>5.35</v>
      </c>
    </row>
    <row r="963">
      <c r="A963" s="12" t="s">
        <v>4504</v>
      </c>
      <c r="B963" s="12" t="s">
        <v>4502</v>
      </c>
      <c r="C963" s="12" t="s">
        <v>4448</v>
      </c>
      <c r="D963" s="12">
        <v>0.446</v>
      </c>
      <c r="E963" s="12">
        <v>19.99</v>
      </c>
      <c r="F963" s="12">
        <v>8.92</v>
      </c>
    </row>
    <row r="964">
      <c r="A964" s="12" t="s">
        <v>4509</v>
      </c>
      <c r="B964" s="12" t="s">
        <v>4502</v>
      </c>
      <c r="C964" s="12" t="s">
        <v>4511</v>
      </c>
      <c r="D964" s="12">
        <v>1.0</v>
      </c>
      <c r="E964" s="12">
        <v>9.49</v>
      </c>
      <c r="F964" s="12">
        <v>9.49</v>
      </c>
    </row>
    <row r="965">
      <c r="A965" s="12" t="s">
        <v>4512</v>
      </c>
      <c r="B965" s="12" t="s">
        <v>4502</v>
      </c>
      <c r="C965" s="12" t="s">
        <v>4068</v>
      </c>
      <c r="D965" s="12">
        <v>2.0</v>
      </c>
      <c r="E965" s="12">
        <v>13.99</v>
      </c>
      <c r="F965" s="12">
        <v>27.98</v>
      </c>
    </row>
    <row r="966">
      <c r="A966" s="12" t="s">
        <v>4514</v>
      </c>
      <c r="B966" s="12" t="s">
        <v>4515</v>
      </c>
      <c r="C966" s="12" t="s">
        <v>2941</v>
      </c>
      <c r="D966" s="12">
        <v>1.0</v>
      </c>
      <c r="E966" s="12">
        <v>9.99</v>
      </c>
      <c r="F966" s="12">
        <v>9.99</v>
      </c>
    </row>
    <row r="967">
      <c r="A967" s="12" t="s">
        <v>4517</v>
      </c>
      <c r="B967" s="12" t="s">
        <v>4515</v>
      </c>
      <c r="C967" s="12" t="s">
        <v>3019</v>
      </c>
      <c r="D967" s="12">
        <v>1.59</v>
      </c>
      <c r="E967" s="12">
        <v>7.99</v>
      </c>
      <c r="F967" s="12">
        <v>12.7</v>
      </c>
    </row>
    <row r="968">
      <c r="A968" s="12" t="s">
        <v>4519</v>
      </c>
      <c r="B968" s="12" t="s">
        <v>4520</v>
      </c>
      <c r="C968" s="12" t="s">
        <v>3599</v>
      </c>
      <c r="D968" s="12">
        <v>12.0</v>
      </c>
      <c r="E968" s="12">
        <v>5.5</v>
      </c>
      <c r="F968" s="12">
        <v>66.0</v>
      </c>
    </row>
    <row r="969">
      <c r="A969" s="12" t="s">
        <v>4522</v>
      </c>
      <c r="B969" s="12" t="s">
        <v>4520</v>
      </c>
      <c r="C969" s="12" t="s">
        <v>3157</v>
      </c>
      <c r="D969" s="12">
        <v>12.0</v>
      </c>
      <c r="E969" s="12">
        <v>4.6</v>
      </c>
      <c r="F969" s="12">
        <v>55.2</v>
      </c>
    </row>
    <row r="970">
      <c r="A970" s="12" t="s">
        <v>4524</v>
      </c>
      <c r="B970" s="12" t="s">
        <v>4525</v>
      </c>
      <c r="C970" s="12" t="s">
        <v>3100</v>
      </c>
      <c r="D970" s="12">
        <v>1.0</v>
      </c>
      <c r="E970" s="12">
        <v>2.0</v>
      </c>
      <c r="F970" s="12">
        <v>2.0</v>
      </c>
    </row>
    <row r="971">
      <c r="A971" s="12" t="s">
        <v>4526</v>
      </c>
      <c r="B971" s="12" t="s">
        <v>4528</v>
      </c>
      <c r="C971" s="12" t="s">
        <v>3039</v>
      </c>
      <c r="D971" s="12">
        <v>2.865</v>
      </c>
      <c r="E971" s="12">
        <v>2.99</v>
      </c>
      <c r="F971" s="12">
        <v>8.57</v>
      </c>
    </row>
    <row r="972">
      <c r="A972" s="12" t="s">
        <v>4530</v>
      </c>
      <c r="B972" s="12" t="s">
        <v>4531</v>
      </c>
      <c r="C972" s="12" t="s">
        <v>2926</v>
      </c>
      <c r="D972" s="12">
        <v>4.575</v>
      </c>
      <c r="E972" s="12">
        <v>19.61</v>
      </c>
      <c r="F972" s="12">
        <v>89.72</v>
      </c>
    </row>
    <row r="973">
      <c r="A973" s="12" t="s">
        <v>4532</v>
      </c>
      <c r="B973" s="12" t="s">
        <v>4531</v>
      </c>
      <c r="C973" s="12" t="s">
        <v>3267</v>
      </c>
      <c r="D973" s="12">
        <v>3.0</v>
      </c>
      <c r="E973" s="12">
        <v>24.71</v>
      </c>
      <c r="F973" s="12">
        <v>74.13</v>
      </c>
    </row>
    <row r="974">
      <c r="A974" s="12" t="s">
        <v>4534</v>
      </c>
      <c r="B974" s="12" t="s">
        <v>4531</v>
      </c>
      <c r="C974" s="12" t="s">
        <v>2941</v>
      </c>
      <c r="D974" s="12">
        <v>3.0</v>
      </c>
      <c r="E974" s="12">
        <v>6.35</v>
      </c>
      <c r="F974" s="12">
        <v>19.05</v>
      </c>
    </row>
    <row r="975">
      <c r="A975" s="12" t="s">
        <v>4537</v>
      </c>
      <c r="B975" s="12" t="s">
        <v>4531</v>
      </c>
      <c r="C975" s="12" t="s">
        <v>3013</v>
      </c>
      <c r="D975" s="12">
        <v>2.0</v>
      </c>
      <c r="E975" s="12">
        <v>7.08</v>
      </c>
      <c r="F975" s="12">
        <v>14.16</v>
      </c>
    </row>
    <row r="976">
      <c r="A976" s="12" t="s">
        <v>4539</v>
      </c>
      <c r="B976" s="12" t="s">
        <v>4531</v>
      </c>
      <c r="C976" s="12" t="s">
        <v>3629</v>
      </c>
      <c r="D976" s="12">
        <v>1.0</v>
      </c>
      <c r="E976" s="12">
        <v>6.47</v>
      </c>
      <c r="F976" s="12">
        <v>6.47</v>
      </c>
    </row>
    <row r="977">
      <c r="A977" s="12" t="s">
        <v>4541</v>
      </c>
      <c r="B977" s="12" t="s">
        <v>4531</v>
      </c>
      <c r="C977" s="12" t="s">
        <v>3064</v>
      </c>
      <c r="D977" s="12">
        <v>10.0</v>
      </c>
      <c r="E977" s="12">
        <v>8.62</v>
      </c>
      <c r="F977" s="12">
        <v>86.2</v>
      </c>
    </row>
    <row r="978">
      <c r="A978" s="12" t="s">
        <v>4543</v>
      </c>
      <c r="B978" s="12" t="s">
        <v>4531</v>
      </c>
      <c r="C978" s="12" t="s">
        <v>4544</v>
      </c>
      <c r="D978" s="12">
        <v>1.0</v>
      </c>
      <c r="E978" s="12">
        <v>16.99</v>
      </c>
      <c r="F978" s="12">
        <v>16.99</v>
      </c>
    </row>
    <row r="979">
      <c r="A979" s="12" t="s">
        <v>4546</v>
      </c>
      <c r="B979" s="12" t="s">
        <v>4547</v>
      </c>
      <c r="C979" s="16" t="s">
        <v>2910</v>
      </c>
      <c r="D979" s="12">
        <v>15.0</v>
      </c>
      <c r="E979" s="12">
        <v>25.0</v>
      </c>
      <c r="F979" s="12">
        <v>375.0</v>
      </c>
    </row>
    <row r="980">
      <c r="A980" s="12" t="s">
        <v>4549</v>
      </c>
      <c r="B980" s="12" t="s">
        <v>4550</v>
      </c>
      <c r="C980" s="12" t="s">
        <v>768</v>
      </c>
      <c r="D980" s="12">
        <v>1.0</v>
      </c>
      <c r="E980" s="12">
        <v>30.0</v>
      </c>
      <c r="F980" s="12">
        <v>30.0</v>
      </c>
    </row>
    <row r="981">
      <c r="A981" s="12" t="s">
        <v>4551</v>
      </c>
      <c r="B981" s="12" t="s">
        <v>4553</v>
      </c>
      <c r="C981" s="12" t="s">
        <v>3100</v>
      </c>
      <c r="D981" s="12">
        <v>1.0</v>
      </c>
      <c r="E981" s="12">
        <v>16.0</v>
      </c>
      <c r="F981" s="12">
        <v>16.0</v>
      </c>
    </row>
    <row r="982">
      <c r="A982" s="12" t="s">
        <v>4556</v>
      </c>
      <c r="B982" s="12" t="s">
        <v>4557</v>
      </c>
      <c r="C982" s="12" t="s">
        <v>3019</v>
      </c>
      <c r="D982" s="12">
        <v>1.466</v>
      </c>
      <c r="E982" s="12">
        <v>8.45</v>
      </c>
      <c r="F982" s="12">
        <v>12.39</v>
      </c>
    </row>
    <row r="983">
      <c r="A983" s="12" t="s">
        <v>4558</v>
      </c>
      <c r="B983" s="12" t="s">
        <v>4557</v>
      </c>
      <c r="C983" s="12" t="s">
        <v>3039</v>
      </c>
      <c r="D983" s="12">
        <v>0.0</v>
      </c>
      <c r="E983" s="12">
        <v>0.0</v>
      </c>
      <c r="F983" s="12">
        <v>0.0</v>
      </c>
    </row>
    <row r="984">
      <c r="A984" s="12" t="s">
        <v>4561</v>
      </c>
      <c r="B984" s="12" t="s">
        <v>4562</v>
      </c>
      <c r="C984" s="12" t="s">
        <v>3074</v>
      </c>
      <c r="D984" s="12">
        <v>1.0</v>
      </c>
      <c r="E984" s="12">
        <v>6.78</v>
      </c>
      <c r="F984" s="12">
        <v>6.78</v>
      </c>
    </row>
    <row r="985">
      <c r="A985" s="12" t="s">
        <v>4564</v>
      </c>
      <c r="B985" s="12" t="s">
        <v>4562</v>
      </c>
      <c r="C985" s="12" t="s">
        <v>2926</v>
      </c>
      <c r="D985" s="12">
        <v>4.945</v>
      </c>
      <c r="E985" s="12">
        <v>19.6</v>
      </c>
      <c r="F985" s="12">
        <v>96.92</v>
      </c>
    </row>
    <row r="986">
      <c r="A986" s="12" t="s">
        <v>4568</v>
      </c>
      <c r="B986" s="12" t="s">
        <v>4562</v>
      </c>
      <c r="C986" s="12" t="s">
        <v>2941</v>
      </c>
      <c r="D986" s="12">
        <v>2.0</v>
      </c>
      <c r="E986" s="12">
        <v>6.35</v>
      </c>
      <c r="F986" s="12">
        <v>12.7</v>
      </c>
    </row>
    <row r="987">
      <c r="A987" s="12" t="s">
        <v>4570</v>
      </c>
      <c r="B987" s="12" t="s">
        <v>4562</v>
      </c>
      <c r="C987" s="12" t="s">
        <v>3071</v>
      </c>
      <c r="D987" s="12">
        <v>2.0</v>
      </c>
      <c r="E987" s="12">
        <v>9.94</v>
      </c>
      <c r="F987" s="12">
        <v>19.88</v>
      </c>
    </row>
    <row r="988">
      <c r="A988" s="12" t="s">
        <v>4573</v>
      </c>
      <c r="B988" s="12" t="s">
        <v>4562</v>
      </c>
      <c r="C988" s="12" t="s">
        <v>3076</v>
      </c>
      <c r="D988" s="12">
        <v>1.0</v>
      </c>
      <c r="E988" s="12">
        <v>7.04</v>
      </c>
      <c r="F988" s="12">
        <v>7.04</v>
      </c>
    </row>
    <row r="989">
      <c r="A989" s="12" t="s">
        <v>4574</v>
      </c>
      <c r="B989" s="12" t="s">
        <v>4562</v>
      </c>
      <c r="C989" s="12" t="s">
        <v>3064</v>
      </c>
      <c r="D989" s="12">
        <v>4.0</v>
      </c>
      <c r="E989" s="12">
        <v>8.79</v>
      </c>
      <c r="F989" s="12">
        <v>35.16</v>
      </c>
    </row>
    <row r="990">
      <c r="A990" s="12" t="s">
        <v>4577</v>
      </c>
      <c r="B990" s="12" t="s">
        <v>4562</v>
      </c>
      <c r="C990" s="12" t="s">
        <v>4038</v>
      </c>
      <c r="D990" s="12">
        <v>1.0</v>
      </c>
      <c r="E990" s="12">
        <v>4.3</v>
      </c>
      <c r="F990" s="12">
        <v>4.3</v>
      </c>
    </row>
    <row r="991">
      <c r="A991" s="12" t="s">
        <v>4578</v>
      </c>
      <c r="B991" s="12" t="s">
        <v>4562</v>
      </c>
      <c r="C991" s="12" t="s">
        <v>2905</v>
      </c>
      <c r="D991" s="12">
        <v>1.0</v>
      </c>
      <c r="E991" s="12">
        <v>13.75</v>
      </c>
      <c r="F991" s="12">
        <v>13.75</v>
      </c>
    </row>
    <row r="992">
      <c r="A992" s="12" t="s">
        <v>4581</v>
      </c>
      <c r="B992" s="12" t="s">
        <v>4562</v>
      </c>
      <c r="C992" s="12" t="s">
        <v>2929</v>
      </c>
      <c r="D992" s="12">
        <v>2.0</v>
      </c>
      <c r="E992" s="12">
        <v>6.36</v>
      </c>
      <c r="F992" s="12">
        <v>12.72</v>
      </c>
    </row>
    <row r="993">
      <c r="A993" s="12" t="s">
        <v>4582</v>
      </c>
      <c r="B993" s="12" t="s">
        <v>4562</v>
      </c>
      <c r="C993" s="12" t="s">
        <v>3552</v>
      </c>
      <c r="D993" s="12">
        <v>12.0</v>
      </c>
      <c r="E993" s="12">
        <v>2.37</v>
      </c>
      <c r="F993" s="12">
        <v>28.44</v>
      </c>
    </row>
    <row r="994">
      <c r="A994" s="12" t="s">
        <v>4587</v>
      </c>
      <c r="B994" s="12" t="s">
        <v>4562</v>
      </c>
      <c r="C994" s="12" t="s">
        <v>3552</v>
      </c>
      <c r="D994" s="12">
        <v>12.0</v>
      </c>
      <c r="E994" s="12">
        <v>2.29</v>
      </c>
      <c r="F994" s="12">
        <v>27.48</v>
      </c>
    </row>
    <row r="995">
      <c r="A995" s="12" t="s">
        <v>4588</v>
      </c>
      <c r="B995" s="12" t="s">
        <v>4562</v>
      </c>
      <c r="C995" s="12" t="s">
        <v>3552</v>
      </c>
      <c r="D995" s="12">
        <v>12.0</v>
      </c>
      <c r="E995" s="12">
        <v>2.33</v>
      </c>
      <c r="F995" s="12">
        <v>27.96</v>
      </c>
    </row>
    <row r="996">
      <c r="A996" s="12" t="s">
        <v>4591</v>
      </c>
      <c r="B996" s="12" t="s">
        <v>4562</v>
      </c>
      <c r="C996" s="12" t="s">
        <v>4592</v>
      </c>
      <c r="D996" s="12">
        <v>1.0</v>
      </c>
      <c r="E996" s="12">
        <v>17.27</v>
      </c>
      <c r="F996" s="12">
        <v>17.27</v>
      </c>
    </row>
    <row r="997">
      <c r="A997" s="12" t="s">
        <v>4593</v>
      </c>
      <c r="B997" s="12" t="s">
        <v>4562</v>
      </c>
      <c r="C997" s="12" t="s">
        <v>3019</v>
      </c>
      <c r="D997" s="12">
        <v>0.92</v>
      </c>
      <c r="E997" s="12">
        <v>5.51</v>
      </c>
      <c r="F997" s="12">
        <v>5.07</v>
      </c>
    </row>
    <row r="998">
      <c r="A998" s="12" t="s">
        <v>4596</v>
      </c>
      <c r="B998" s="12" t="s">
        <v>4557</v>
      </c>
      <c r="C998" s="12" t="s">
        <v>3039</v>
      </c>
      <c r="D998" s="12">
        <v>0.888</v>
      </c>
      <c r="E998" s="12">
        <v>5.82</v>
      </c>
      <c r="F998" s="12">
        <v>5.17</v>
      </c>
    </row>
    <row r="999">
      <c r="A999" s="12" t="s">
        <v>4597</v>
      </c>
      <c r="B999" s="12" t="s">
        <v>4598</v>
      </c>
      <c r="C999" s="16" t="s">
        <v>2910</v>
      </c>
      <c r="D999" s="12">
        <v>15.0</v>
      </c>
      <c r="E999" s="12">
        <v>25.0</v>
      </c>
      <c r="F999" s="12">
        <v>375.0</v>
      </c>
    </row>
    <row r="1000">
      <c r="A1000" s="12" t="s">
        <v>4601</v>
      </c>
      <c r="B1000" s="16" t="s">
        <v>4602</v>
      </c>
      <c r="C1000" s="12" t="s">
        <v>717</v>
      </c>
      <c r="D1000" s="12">
        <v>1.0</v>
      </c>
      <c r="E1000" s="12">
        <v>2475.0</v>
      </c>
      <c r="F1000" s="12">
        <v>2475.0</v>
      </c>
    </row>
    <row r="1001">
      <c r="A1001" s="12" t="s">
        <v>4604</v>
      </c>
      <c r="B1001" s="16" t="s">
        <v>4602</v>
      </c>
      <c r="C1001" s="12" t="s">
        <v>2982</v>
      </c>
      <c r="D1001" s="12">
        <v>1.0</v>
      </c>
      <c r="E1001" s="12">
        <v>167.06</v>
      </c>
      <c r="F1001" s="12">
        <v>167.06</v>
      </c>
    </row>
    <row r="1002">
      <c r="A1002" s="12" t="s">
        <v>4607</v>
      </c>
      <c r="B1002" s="12" t="s">
        <v>4608</v>
      </c>
      <c r="C1002" s="12" t="s">
        <v>717</v>
      </c>
      <c r="D1002" s="12">
        <v>1.0</v>
      </c>
      <c r="E1002" s="12">
        <v>2037.63</v>
      </c>
      <c r="F1002" s="12">
        <v>2037.63</v>
      </c>
    </row>
    <row r="1003">
      <c r="A1003" s="12" t="s">
        <v>4609</v>
      </c>
      <c r="B1003" s="12" t="s">
        <v>4608</v>
      </c>
      <c r="C1003" s="12" t="s">
        <v>2982</v>
      </c>
      <c r="D1003" s="12">
        <v>1.0</v>
      </c>
      <c r="E1003" s="12">
        <v>130.94</v>
      </c>
      <c r="F1003" s="12">
        <v>130.94</v>
      </c>
    </row>
    <row r="1004">
      <c r="A1004" s="12" t="s">
        <v>4610</v>
      </c>
      <c r="B1004" s="12" t="s">
        <v>4611</v>
      </c>
      <c r="C1004" s="12" t="s">
        <v>3938</v>
      </c>
      <c r="D1004" s="12">
        <v>2.0</v>
      </c>
      <c r="E1004" s="12">
        <v>8.99</v>
      </c>
      <c r="F1004" s="12">
        <v>17.98</v>
      </c>
    </row>
    <row r="1005">
      <c r="A1005" s="12" t="s">
        <v>4612</v>
      </c>
      <c r="B1005" s="12" t="s">
        <v>4611</v>
      </c>
      <c r="C1005" s="12" t="s">
        <v>2907</v>
      </c>
      <c r="D1005" s="12">
        <v>0.584</v>
      </c>
      <c r="E1005" s="12">
        <v>12.99</v>
      </c>
      <c r="F1005" s="12">
        <v>7.59</v>
      </c>
    </row>
    <row r="1006">
      <c r="A1006" s="12" t="s">
        <v>4613</v>
      </c>
      <c r="B1006" s="12" t="s">
        <v>4611</v>
      </c>
      <c r="C1006" s="12" t="s">
        <v>3039</v>
      </c>
      <c r="D1006" s="12">
        <v>1.138</v>
      </c>
      <c r="E1006" s="12">
        <v>2.98</v>
      </c>
      <c r="F1006" s="12">
        <v>3.39</v>
      </c>
    </row>
    <row r="1007">
      <c r="A1007" s="12" t="s">
        <v>4615</v>
      </c>
      <c r="B1007" s="12" t="s">
        <v>4616</v>
      </c>
      <c r="C1007" s="12" t="s">
        <v>3019</v>
      </c>
      <c r="D1007" s="12">
        <v>1.715</v>
      </c>
      <c r="E1007" s="12">
        <v>9.99</v>
      </c>
      <c r="F1007" s="12">
        <v>17.13</v>
      </c>
    </row>
    <row r="1008">
      <c r="A1008" s="12" t="s">
        <v>4617</v>
      </c>
      <c r="B1008" s="12" t="s">
        <v>4616</v>
      </c>
      <c r="C1008" s="12" t="s">
        <v>3039</v>
      </c>
      <c r="D1008" s="12">
        <v>1.265</v>
      </c>
      <c r="E1008" s="12">
        <v>5.99</v>
      </c>
      <c r="F1008" s="12">
        <v>7.58</v>
      </c>
    </row>
    <row r="1009">
      <c r="A1009" s="12" t="s">
        <v>4621</v>
      </c>
      <c r="B1009" s="12" t="s">
        <v>4622</v>
      </c>
      <c r="C1009" s="12" t="s">
        <v>2303</v>
      </c>
      <c r="D1009" s="12">
        <v>1.0</v>
      </c>
      <c r="E1009" s="12">
        <v>89.9</v>
      </c>
      <c r="F1009" s="12">
        <v>89.9</v>
      </c>
    </row>
    <row r="1010">
      <c r="A1010" s="12" t="s">
        <v>4629</v>
      </c>
      <c r="B1010" s="12" t="s">
        <v>4622</v>
      </c>
      <c r="C1010" s="12" t="s">
        <v>4630</v>
      </c>
      <c r="D1010" s="12">
        <v>3.0</v>
      </c>
      <c r="E1010" s="12">
        <v>19.9</v>
      </c>
      <c r="F1010" s="12">
        <v>59.7</v>
      </c>
    </row>
    <row r="1011">
      <c r="A1011" s="12" t="s">
        <v>4632</v>
      </c>
      <c r="B1011" s="12" t="s">
        <v>4622</v>
      </c>
      <c r="C1011" s="12" t="s">
        <v>3021</v>
      </c>
      <c r="D1011" s="12">
        <v>1.0</v>
      </c>
      <c r="E1011" s="12">
        <v>17.9</v>
      </c>
      <c r="F1011" s="12">
        <v>17.9</v>
      </c>
    </row>
    <row r="1012">
      <c r="A1012" s="12" t="s">
        <v>4633</v>
      </c>
      <c r="B1012" s="12" t="s">
        <v>4622</v>
      </c>
      <c r="C1012" s="12" t="s">
        <v>3021</v>
      </c>
      <c r="D1012" s="12">
        <v>1.0</v>
      </c>
      <c r="E1012" s="12">
        <v>11.75</v>
      </c>
      <c r="F1012" s="12">
        <v>11.75</v>
      </c>
    </row>
    <row r="1013">
      <c r="A1013" s="12" t="s">
        <v>4634</v>
      </c>
      <c r="B1013" s="12" t="s">
        <v>4635</v>
      </c>
      <c r="C1013" s="12" t="s">
        <v>2941</v>
      </c>
      <c r="D1013" s="12">
        <v>3.0</v>
      </c>
      <c r="E1013" s="12">
        <v>7.99</v>
      </c>
      <c r="F1013" s="12">
        <v>23.97</v>
      </c>
    </row>
    <row r="1014">
      <c r="A1014" s="12" t="s">
        <v>4636</v>
      </c>
      <c r="B1014" s="12" t="s">
        <v>4635</v>
      </c>
      <c r="C1014" s="12" t="s">
        <v>3039</v>
      </c>
      <c r="D1014" s="12">
        <v>2.82</v>
      </c>
      <c r="E1014" s="12">
        <v>5.49</v>
      </c>
      <c r="F1014" s="12">
        <v>15.48</v>
      </c>
    </row>
    <row r="1015">
      <c r="A1015" s="12" t="s">
        <v>4640</v>
      </c>
      <c r="B1015" s="12" t="s">
        <v>4642</v>
      </c>
      <c r="C1015" s="16" t="s">
        <v>4644</v>
      </c>
      <c r="D1015" s="12">
        <v>4.0</v>
      </c>
      <c r="E1015" s="12">
        <v>10.0</v>
      </c>
      <c r="F1015" s="12">
        <v>40.0</v>
      </c>
    </row>
    <row r="1016">
      <c r="A1016" s="12" t="s">
        <v>4645</v>
      </c>
      <c r="B1016" s="12" t="s">
        <v>4642</v>
      </c>
      <c r="C1016" s="12" t="s">
        <v>4630</v>
      </c>
      <c r="D1016" s="12">
        <v>1.0</v>
      </c>
      <c r="E1016" s="12">
        <v>10.0</v>
      </c>
      <c r="F1016" s="12">
        <v>10.0</v>
      </c>
    </row>
    <row r="1017">
      <c r="A1017" s="12" t="s">
        <v>4646</v>
      </c>
      <c r="B1017" s="12" t="s">
        <v>4642</v>
      </c>
      <c r="C1017" s="12" t="s">
        <v>4649</v>
      </c>
      <c r="D1017" s="12">
        <v>1.0</v>
      </c>
      <c r="E1017" s="12">
        <v>24.99</v>
      </c>
      <c r="F1017" s="12">
        <v>24.99</v>
      </c>
    </row>
    <row r="1018">
      <c r="A1018" s="12" t="s">
        <v>4651</v>
      </c>
      <c r="B1018" s="12" t="s">
        <v>4642</v>
      </c>
      <c r="C1018" s="12" t="s">
        <v>4592</v>
      </c>
      <c r="D1018" s="12">
        <v>1.0</v>
      </c>
      <c r="E1018" s="12">
        <v>10.0</v>
      </c>
      <c r="F1018" s="12">
        <v>10.0</v>
      </c>
    </row>
    <row r="1019">
      <c r="A1019" s="12" t="s">
        <v>4652</v>
      </c>
      <c r="B1019" s="12" t="s">
        <v>4642</v>
      </c>
      <c r="C1019" s="12" t="s">
        <v>4655</v>
      </c>
      <c r="D1019" s="12">
        <v>2.0</v>
      </c>
      <c r="E1019" s="12">
        <v>11.99</v>
      </c>
      <c r="F1019" s="12">
        <v>23.98</v>
      </c>
    </row>
    <row r="1020">
      <c r="A1020" s="12" t="s">
        <v>4656</v>
      </c>
      <c r="B1020" s="12" t="s">
        <v>4642</v>
      </c>
      <c r="C1020" s="12" t="s">
        <v>4657</v>
      </c>
      <c r="D1020" s="12">
        <v>2.0</v>
      </c>
      <c r="E1020" s="12">
        <v>12.99</v>
      </c>
      <c r="F1020" s="12">
        <v>25.98</v>
      </c>
    </row>
    <row r="1021">
      <c r="A1021" s="12" t="s">
        <v>4659</v>
      </c>
      <c r="B1021" s="12" t="s">
        <v>4642</v>
      </c>
      <c r="C1021" s="12" t="s">
        <v>4657</v>
      </c>
      <c r="D1021" s="12">
        <v>2.0</v>
      </c>
      <c r="E1021" s="12">
        <v>14.99</v>
      </c>
      <c r="F1021" s="12">
        <v>29.98</v>
      </c>
    </row>
    <row r="1022">
      <c r="A1022" s="12" t="s">
        <v>4663</v>
      </c>
      <c r="B1022" s="12" t="s">
        <v>4664</v>
      </c>
      <c r="C1022" s="12" t="s">
        <v>786</v>
      </c>
      <c r="D1022" s="12">
        <v>1.0</v>
      </c>
      <c r="E1022" s="12">
        <v>11721.5</v>
      </c>
      <c r="F1022" s="12">
        <v>11721.5</v>
      </c>
    </row>
    <row r="1023">
      <c r="A1023" s="12" t="s">
        <v>4666</v>
      </c>
      <c r="B1023" s="12" t="s">
        <v>4664</v>
      </c>
      <c r="C1023" s="12" t="s">
        <v>925</v>
      </c>
      <c r="D1023" s="12">
        <v>1.0</v>
      </c>
      <c r="E1023" s="12">
        <v>1077.94</v>
      </c>
      <c r="F1023" s="12">
        <v>1077.94</v>
      </c>
    </row>
    <row r="1024">
      <c r="A1024" s="12" t="s">
        <v>4670</v>
      </c>
      <c r="B1024" s="12" t="s">
        <v>4664</v>
      </c>
      <c r="C1024" s="12" t="s">
        <v>2982</v>
      </c>
      <c r="D1024" s="12">
        <v>1.0</v>
      </c>
      <c r="E1024" s="12">
        <v>211.01</v>
      </c>
      <c r="F1024" s="12">
        <v>211.01</v>
      </c>
    </row>
    <row r="1025">
      <c r="A1025" s="12" t="s">
        <v>4671</v>
      </c>
      <c r="B1025" s="12" t="s">
        <v>4673</v>
      </c>
      <c r="C1025" s="12" t="s">
        <v>3106</v>
      </c>
      <c r="D1025" s="12">
        <v>1.0</v>
      </c>
      <c r="E1025" s="12">
        <v>6845.7</v>
      </c>
      <c r="F1025" s="12">
        <v>6845.7</v>
      </c>
    </row>
    <row r="1026">
      <c r="A1026" s="12" t="s">
        <v>4677</v>
      </c>
      <c r="B1026" s="12" t="s">
        <v>4673</v>
      </c>
      <c r="C1026" s="12" t="s">
        <v>925</v>
      </c>
      <c r="D1026" s="12">
        <v>1.0</v>
      </c>
      <c r="E1026" s="12">
        <v>650.34</v>
      </c>
      <c r="F1026" s="12">
        <v>650.34</v>
      </c>
    </row>
    <row r="1027">
      <c r="A1027" s="12" t="s">
        <v>4678</v>
      </c>
      <c r="B1027" s="12" t="s">
        <v>4679</v>
      </c>
      <c r="C1027" s="16" t="s">
        <v>2910</v>
      </c>
      <c r="D1027" s="12">
        <v>10.0</v>
      </c>
      <c r="E1027" s="12">
        <v>28.0</v>
      </c>
      <c r="F1027" s="12">
        <v>280.0</v>
      </c>
    </row>
    <row r="1028">
      <c r="A1028" s="12" t="s">
        <v>4683</v>
      </c>
      <c r="B1028" s="12" t="s">
        <v>4684</v>
      </c>
      <c r="C1028" s="12" t="s">
        <v>3938</v>
      </c>
      <c r="D1028" s="12">
        <v>1.0</v>
      </c>
      <c r="E1028" s="12">
        <v>8.99</v>
      </c>
      <c r="F1028" s="12">
        <v>8.99</v>
      </c>
    </row>
    <row r="1029">
      <c r="A1029" s="12" t="s">
        <v>4686</v>
      </c>
      <c r="B1029" s="12" t="s">
        <v>4687</v>
      </c>
      <c r="C1029" s="12" t="s">
        <v>3008</v>
      </c>
      <c r="D1029" s="12">
        <v>2.0</v>
      </c>
      <c r="E1029" s="12">
        <v>45.6</v>
      </c>
      <c r="F1029" s="12">
        <v>91.2</v>
      </c>
    </row>
    <row r="1030">
      <c r="A1030" s="12" t="s">
        <v>4689</v>
      </c>
      <c r="B1030" s="12" t="s">
        <v>4687</v>
      </c>
      <c r="C1030" s="16" t="s">
        <v>3002</v>
      </c>
      <c r="D1030" s="12">
        <v>2.0</v>
      </c>
      <c r="E1030" s="12">
        <v>22.8</v>
      </c>
      <c r="F1030" s="12">
        <v>45.6</v>
      </c>
    </row>
    <row r="1031">
      <c r="A1031" s="12" t="s">
        <v>4691</v>
      </c>
      <c r="B1031" s="12" t="s">
        <v>4687</v>
      </c>
      <c r="C1031" s="12" t="s">
        <v>3511</v>
      </c>
      <c r="D1031" s="12">
        <v>2.0</v>
      </c>
      <c r="E1031" s="12">
        <v>45.6</v>
      </c>
      <c r="F1031" s="12">
        <v>91.2</v>
      </c>
    </row>
    <row r="1032">
      <c r="A1032" s="12" t="s">
        <v>4692</v>
      </c>
      <c r="B1032" s="12" t="s">
        <v>4687</v>
      </c>
      <c r="C1032" s="12" t="s">
        <v>3004</v>
      </c>
      <c r="D1032" s="12">
        <v>1.0</v>
      </c>
      <c r="E1032" s="12">
        <v>22.8</v>
      </c>
      <c r="F1032" s="12">
        <v>22.8</v>
      </c>
    </row>
    <row r="1033">
      <c r="A1033" s="12" t="s">
        <v>4695</v>
      </c>
      <c r="B1033" s="12" t="s">
        <v>4687</v>
      </c>
      <c r="C1033" s="12" t="s">
        <v>3114</v>
      </c>
      <c r="D1033" s="12">
        <v>10.0</v>
      </c>
      <c r="E1033" s="12">
        <v>12.48</v>
      </c>
      <c r="F1033" s="12">
        <v>124.8</v>
      </c>
    </row>
    <row r="1034">
      <c r="A1034" s="12" t="s">
        <v>4696</v>
      </c>
      <c r="B1034" s="12" t="s">
        <v>4697</v>
      </c>
      <c r="C1034" s="12" t="s">
        <v>4698</v>
      </c>
      <c r="D1034" s="12">
        <v>1.0</v>
      </c>
      <c r="E1034" s="12">
        <v>24.99</v>
      </c>
      <c r="F1034" s="12">
        <v>24.99</v>
      </c>
    </row>
    <row r="1035">
      <c r="A1035" s="12" t="s">
        <v>4699</v>
      </c>
      <c r="B1035" s="12" t="s">
        <v>4697</v>
      </c>
      <c r="C1035" s="12" t="s">
        <v>2926</v>
      </c>
      <c r="D1035" s="12">
        <v>3.54</v>
      </c>
      <c r="E1035" s="12">
        <v>49.99</v>
      </c>
      <c r="F1035" s="12">
        <v>176.96</v>
      </c>
    </row>
    <row r="1036">
      <c r="A1036" s="12" t="s">
        <v>4700</v>
      </c>
      <c r="B1036" s="12" t="s">
        <v>4701</v>
      </c>
      <c r="C1036" s="12" t="s">
        <v>3039</v>
      </c>
      <c r="D1036" s="12">
        <v>4.11</v>
      </c>
      <c r="E1036" s="12">
        <v>4.14</v>
      </c>
      <c r="F1036" s="12">
        <v>17.02</v>
      </c>
    </row>
    <row r="1037">
      <c r="A1037" s="12" t="s">
        <v>4703</v>
      </c>
      <c r="B1037" s="12" t="s">
        <v>4701</v>
      </c>
      <c r="C1037" s="12" t="s">
        <v>3019</v>
      </c>
      <c r="D1037" s="12">
        <v>2.67</v>
      </c>
      <c r="E1037" s="12">
        <v>6.17</v>
      </c>
      <c r="F1037" s="12">
        <v>16.47</v>
      </c>
    </row>
    <row r="1038">
      <c r="A1038" s="12" t="s">
        <v>4709</v>
      </c>
      <c r="B1038" s="12" t="s">
        <v>4701</v>
      </c>
      <c r="C1038" s="12" t="s">
        <v>2941</v>
      </c>
      <c r="D1038" s="12">
        <v>5.0</v>
      </c>
      <c r="E1038" s="12">
        <v>5.96</v>
      </c>
      <c r="F1038" s="12">
        <v>29.8</v>
      </c>
    </row>
    <row r="1039">
      <c r="A1039" s="12" t="s">
        <v>4710</v>
      </c>
      <c r="B1039" s="12" t="s">
        <v>4701</v>
      </c>
      <c r="C1039" s="12" t="s">
        <v>3064</v>
      </c>
      <c r="D1039" s="12">
        <v>20.0</v>
      </c>
      <c r="E1039" s="12">
        <v>9.27</v>
      </c>
      <c r="F1039" s="12">
        <v>185.4</v>
      </c>
    </row>
    <row r="1040">
      <c r="A1040" s="12" t="s">
        <v>4714</v>
      </c>
      <c r="B1040" s="12" t="s">
        <v>4701</v>
      </c>
      <c r="C1040" s="12" t="s">
        <v>3074</v>
      </c>
      <c r="D1040" s="12">
        <v>2.0</v>
      </c>
      <c r="E1040" s="12">
        <v>6.78</v>
      </c>
      <c r="F1040" s="12">
        <v>13.56</v>
      </c>
    </row>
    <row r="1041">
      <c r="A1041" s="12" t="s">
        <v>4716</v>
      </c>
      <c r="B1041" s="12" t="s">
        <v>4701</v>
      </c>
      <c r="C1041" s="12" t="s">
        <v>3071</v>
      </c>
      <c r="D1041" s="12">
        <v>2.0</v>
      </c>
      <c r="E1041" s="12">
        <v>10.21</v>
      </c>
      <c r="F1041" s="12">
        <v>20.42</v>
      </c>
    </row>
    <row r="1042">
      <c r="A1042" s="12" t="s">
        <v>4719</v>
      </c>
      <c r="B1042" s="12" t="s">
        <v>4701</v>
      </c>
      <c r="C1042" s="12" t="s">
        <v>3015</v>
      </c>
      <c r="D1042" s="12">
        <v>1.0</v>
      </c>
      <c r="E1042" s="12">
        <v>17.52</v>
      </c>
      <c r="F1042" s="12">
        <v>17.52</v>
      </c>
    </row>
    <row r="1043">
      <c r="A1043" s="16" t="s">
        <v>4722</v>
      </c>
      <c r="B1043" s="12" t="s">
        <v>4701</v>
      </c>
      <c r="C1043" s="12" t="s">
        <v>2929</v>
      </c>
      <c r="D1043" s="12">
        <v>2.0</v>
      </c>
      <c r="E1043" s="12">
        <v>6.39</v>
      </c>
      <c r="F1043" s="12">
        <v>12.78</v>
      </c>
    </row>
    <row r="1044">
      <c r="A1044" s="12" t="s">
        <v>4725</v>
      </c>
      <c r="B1044" s="12" t="s">
        <v>4701</v>
      </c>
      <c r="C1044" s="12" t="s">
        <v>3013</v>
      </c>
      <c r="D1044" s="12">
        <v>2.0</v>
      </c>
      <c r="E1044" s="12">
        <v>7.4</v>
      </c>
      <c r="F1044" s="12">
        <v>14.8</v>
      </c>
    </row>
    <row r="1045">
      <c r="A1045" s="12" t="s">
        <v>4730</v>
      </c>
      <c r="B1045" s="12" t="s">
        <v>4701</v>
      </c>
      <c r="C1045" s="12" t="s">
        <v>3552</v>
      </c>
      <c r="D1045" s="12">
        <v>24.0</v>
      </c>
      <c r="E1045" s="12">
        <v>2.08</v>
      </c>
      <c r="F1045" s="12">
        <v>49.92</v>
      </c>
    </row>
    <row r="1046">
      <c r="A1046" s="12" t="s">
        <v>4732</v>
      </c>
      <c r="B1046" s="12" t="s">
        <v>4701</v>
      </c>
      <c r="C1046" s="12" t="s">
        <v>3552</v>
      </c>
      <c r="D1046" s="12">
        <v>24.0</v>
      </c>
      <c r="E1046" s="12">
        <v>2.11</v>
      </c>
      <c r="F1046" s="12">
        <v>50.64</v>
      </c>
    </row>
    <row r="1047">
      <c r="A1047" s="12" t="s">
        <v>4736</v>
      </c>
      <c r="B1047" s="12" t="s">
        <v>4737</v>
      </c>
      <c r="C1047" s="12" t="s">
        <v>3245</v>
      </c>
      <c r="D1047" s="12">
        <v>2.0</v>
      </c>
      <c r="E1047" s="12">
        <v>9.99</v>
      </c>
      <c r="F1047" s="12">
        <v>19.98</v>
      </c>
    </row>
    <row r="1048">
      <c r="A1048" s="12" t="s">
        <v>4740</v>
      </c>
      <c r="B1048" s="12" t="s">
        <v>4737</v>
      </c>
      <c r="C1048" s="12" t="s">
        <v>4301</v>
      </c>
      <c r="D1048" s="12">
        <v>1.0</v>
      </c>
      <c r="E1048" s="12">
        <v>8.99</v>
      </c>
      <c r="F1048" s="12">
        <v>8.99</v>
      </c>
    </row>
    <row r="1049">
      <c r="A1049" s="12" t="s">
        <v>4742</v>
      </c>
      <c r="B1049" s="12" t="s">
        <v>4737</v>
      </c>
      <c r="C1049" s="12" t="s">
        <v>2907</v>
      </c>
      <c r="D1049" s="12">
        <v>0.6</v>
      </c>
      <c r="E1049" s="12">
        <v>12.99</v>
      </c>
      <c r="F1049" s="12">
        <v>7.79</v>
      </c>
    </row>
    <row r="1050">
      <c r="A1050" s="12" t="s">
        <v>4743</v>
      </c>
      <c r="B1050" s="12" t="s">
        <v>4744</v>
      </c>
      <c r="C1050" s="12" t="s">
        <v>3039</v>
      </c>
      <c r="D1050" s="12">
        <v>1.435</v>
      </c>
      <c r="E1050" s="12">
        <v>5.29</v>
      </c>
      <c r="F1050" s="12">
        <v>7.59</v>
      </c>
    </row>
    <row r="1051">
      <c r="A1051" s="12" t="s">
        <v>4747</v>
      </c>
      <c r="B1051" s="12" t="s">
        <v>4744</v>
      </c>
      <c r="C1051" s="12" t="s">
        <v>2907</v>
      </c>
      <c r="D1051" s="12">
        <v>0.46</v>
      </c>
      <c r="E1051" s="12">
        <v>12.99</v>
      </c>
      <c r="F1051" s="12">
        <v>5.98</v>
      </c>
    </row>
    <row r="1052">
      <c r="A1052" s="12" t="s">
        <v>4749</v>
      </c>
      <c r="B1052" s="12" t="s">
        <v>4751</v>
      </c>
      <c r="C1052" s="12" t="s">
        <v>3019</v>
      </c>
      <c r="D1052" s="12">
        <v>2.415</v>
      </c>
      <c r="E1052" s="12">
        <v>6.16</v>
      </c>
      <c r="F1052" s="12">
        <v>14.88</v>
      </c>
    </row>
    <row r="1053">
      <c r="A1053" s="12" t="s">
        <v>4752</v>
      </c>
      <c r="B1053" s="12" t="s">
        <v>4751</v>
      </c>
      <c r="C1053" s="12" t="s">
        <v>2926</v>
      </c>
      <c r="D1053" s="12">
        <v>2.725</v>
      </c>
      <c r="E1053" s="12">
        <v>19.61</v>
      </c>
      <c r="F1053" s="12">
        <v>53.44</v>
      </c>
    </row>
    <row r="1054">
      <c r="A1054" s="12" t="s">
        <v>4755</v>
      </c>
      <c r="B1054" s="12" t="s">
        <v>4751</v>
      </c>
      <c r="C1054" s="12" t="s">
        <v>2926</v>
      </c>
      <c r="D1054" s="12">
        <v>5.18</v>
      </c>
      <c r="E1054" s="12">
        <v>19.61</v>
      </c>
      <c r="F1054" s="12">
        <v>101.58</v>
      </c>
    </row>
    <row r="1055">
      <c r="A1055" s="12" t="s">
        <v>4758</v>
      </c>
      <c r="B1055" s="12" t="s">
        <v>4751</v>
      </c>
      <c r="C1055" s="12" t="s">
        <v>3039</v>
      </c>
      <c r="D1055" s="12">
        <v>2.42</v>
      </c>
      <c r="E1055" s="12">
        <v>2.82</v>
      </c>
      <c r="F1055" s="12">
        <v>6.82</v>
      </c>
    </row>
    <row r="1056">
      <c r="A1056" s="12" t="s">
        <v>4759</v>
      </c>
      <c r="B1056" s="12" t="s">
        <v>4751</v>
      </c>
      <c r="C1056" s="12" t="s">
        <v>2941</v>
      </c>
      <c r="D1056" s="12">
        <v>4.0</v>
      </c>
      <c r="E1056" s="12">
        <v>6.7</v>
      </c>
      <c r="F1056" s="12">
        <v>26.8</v>
      </c>
    </row>
    <row r="1057">
      <c r="A1057" s="12" t="s">
        <v>4760</v>
      </c>
      <c r="B1057" s="12" t="s">
        <v>4751</v>
      </c>
      <c r="C1057" s="12" t="s">
        <v>3064</v>
      </c>
      <c r="D1057" s="12">
        <v>4.0</v>
      </c>
      <c r="E1057" s="12">
        <v>9.98</v>
      </c>
      <c r="F1057" s="12">
        <v>39.92</v>
      </c>
    </row>
    <row r="1058">
      <c r="A1058" s="12" t="s">
        <v>4762</v>
      </c>
      <c r="B1058" s="12" t="s">
        <v>4751</v>
      </c>
      <c r="C1058" s="12" t="s">
        <v>3071</v>
      </c>
      <c r="D1058" s="12">
        <v>2.0</v>
      </c>
      <c r="E1058" s="12">
        <v>9.44</v>
      </c>
      <c r="F1058" s="12">
        <v>18.88</v>
      </c>
    </row>
    <row r="1059">
      <c r="A1059" s="12" t="s">
        <v>4765</v>
      </c>
      <c r="B1059" s="12" t="s">
        <v>4751</v>
      </c>
      <c r="C1059" s="12" t="s">
        <v>3076</v>
      </c>
      <c r="D1059" s="12">
        <v>1.0</v>
      </c>
      <c r="E1059" s="12">
        <v>6.85</v>
      </c>
      <c r="F1059" s="12">
        <v>6.85</v>
      </c>
    </row>
    <row r="1060">
      <c r="A1060" s="12" t="s">
        <v>4766</v>
      </c>
      <c r="B1060" s="12" t="s">
        <v>4767</v>
      </c>
      <c r="C1060" s="12" t="s">
        <v>3157</v>
      </c>
      <c r="D1060" s="12">
        <v>12.0</v>
      </c>
      <c r="E1060" s="12">
        <v>4.6</v>
      </c>
      <c r="F1060" s="12">
        <v>55.2</v>
      </c>
    </row>
    <row r="1061">
      <c r="A1061" s="12" t="s">
        <v>4768</v>
      </c>
      <c r="B1061" s="12" t="s">
        <v>4769</v>
      </c>
      <c r="C1061" s="12" t="s">
        <v>4770</v>
      </c>
      <c r="D1061" s="12">
        <v>1.0</v>
      </c>
      <c r="E1061" s="12">
        <v>7.59</v>
      </c>
      <c r="F1061" s="12">
        <v>7.59</v>
      </c>
    </row>
    <row r="1062">
      <c r="A1062" s="12" t="s">
        <v>4772</v>
      </c>
      <c r="B1062" s="12" t="s">
        <v>4769</v>
      </c>
      <c r="C1062" s="12" t="s">
        <v>2907</v>
      </c>
      <c r="D1062" s="12">
        <v>0.612</v>
      </c>
      <c r="E1062" s="12">
        <v>13.99</v>
      </c>
      <c r="F1062" s="12">
        <v>8.56</v>
      </c>
    </row>
    <row r="1063">
      <c r="A1063" s="12" t="s">
        <v>4773</v>
      </c>
      <c r="B1063" s="12" t="s">
        <v>4774</v>
      </c>
      <c r="C1063" s="12" t="s">
        <v>2907</v>
      </c>
      <c r="D1063" s="12">
        <v>0.342</v>
      </c>
      <c r="E1063" s="12">
        <v>12.99</v>
      </c>
      <c r="F1063" s="12">
        <v>4.44</v>
      </c>
    </row>
    <row r="1064">
      <c r="A1064" s="12" t="s">
        <v>4777</v>
      </c>
      <c r="B1064" s="12" t="s">
        <v>4774</v>
      </c>
      <c r="C1064" s="12" t="s">
        <v>4301</v>
      </c>
      <c r="D1064" s="12">
        <v>1.0</v>
      </c>
      <c r="E1064" s="12">
        <v>8.99</v>
      </c>
      <c r="F1064" s="12">
        <v>8.99</v>
      </c>
    </row>
    <row r="1065">
      <c r="A1065" s="12" t="s">
        <v>4778</v>
      </c>
      <c r="B1065" s="12" t="s">
        <v>4779</v>
      </c>
      <c r="C1065" s="12" t="s">
        <v>3111</v>
      </c>
      <c r="D1065" s="12">
        <v>10.0</v>
      </c>
      <c r="E1065" s="12">
        <v>14.3</v>
      </c>
      <c r="F1065" s="12">
        <v>143.0</v>
      </c>
    </row>
    <row r="1066">
      <c r="A1066" s="12" t="s">
        <v>4780</v>
      </c>
      <c r="B1066" s="12" t="s">
        <v>4779</v>
      </c>
      <c r="C1066" s="12" t="s">
        <v>3114</v>
      </c>
      <c r="D1066" s="12">
        <v>1.0</v>
      </c>
      <c r="E1066" s="12">
        <v>12.5</v>
      </c>
      <c r="F1066" s="12">
        <v>12.5</v>
      </c>
    </row>
    <row r="1067">
      <c r="A1067" s="12" t="s">
        <v>4782</v>
      </c>
      <c r="B1067" s="12" t="s">
        <v>4783</v>
      </c>
      <c r="C1067" s="12" t="s">
        <v>3114</v>
      </c>
      <c r="D1067" s="12">
        <v>9.0</v>
      </c>
      <c r="E1067" s="12">
        <v>12.5</v>
      </c>
      <c r="F1067" s="12">
        <v>112.5</v>
      </c>
    </row>
    <row r="1068">
      <c r="A1068" s="12" t="s">
        <v>4784</v>
      </c>
      <c r="B1068" s="12" t="s">
        <v>4786</v>
      </c>
      <c r="C1068" s="12" t="s">
        <v>4649</v>
      </c>
      <c r="D1068" s="12">
        <v>1.0</v>
      </c>
      <c r="E1068" s="12">
        <v>9.99</v>
      </c>
      <c r="F1068" s="12">
        <v>9.99</v>
      </c>
    </row>
    <row r="1069">
      <c r="A1069" s="12" t="s">
        <v>4789</v>
      </c>
      <c r="B1069" s="16" t="s">
        <v>4790</v>
      </c>
      <c r="C1069" s="12" t="s">
        <v>3055</v>
      </c>
      <c r="D1069" s="12">
        <v>2.0</v>
      </c>
      <c r="E1069" s="12">
        <v>15.0</v>
      </c>
      <c r="F1069" s="12">
        <v>30.0</v>
      </c>
    </row>
    <row r="1070">
      <c r="A1070" s="12" t="s">
        <v>4791</v>
      </c>
      <c r="B1070" s="12" t="s">
        <v>4793</v>
      </c>
      <c r="C1070" s="16" t="s">
        <v>2910</v>
      </c>
      <c r="D1070" s="12">
        <v>14.0</v>
      </c>
      <c r="E1070" s="12">
        <v>33.0</v>
      </c>
      <c r="F1070" s="12">
        <v>462.0</v>
      </c>
    </row>
    <row r="1071">
      <c r="A1071" s="12" t="s">
        <v>4797</v>
      </c>
      <c r="B1071" s="12" t="s">
        <v>4798</v>
      </c>
      <c r="C1071" s="12" t="s">
        <v>3064</v>
      </c>
      <c r="D1071" s="12">
        <v>10.0</v>
      </c>
      <c r="E1071" s="12">
        <v>16.99</v>
      </c>
      <c r="F1071" s="12">
        <v>169.9</v>
      </c>
    </row>
    <row r="1072">
      <c r="A1072" s="12" t="s">
        <v>4799</v>
      </c>
      <c r="B1072" s="12" t="s">
        <v>4801</v>
      </c>
      <c r="C1072" s="12" t="s">
        <v>3245</v>
      </c>
      <c r="D1072" s="12">
        <v>1.0</v>
      </c>
      <c r="E1072" s="12">
        <v>7.99</v>
      </c>
      <c r="F1072" s="12">
        <v>7.99</v>
      </c>
    </row>
    <row r="1073">
      <c r="A1073" s="12" t="s">
        <v>4803</v>
      </c>
      <c r="B1073" s="12" t="s">
        <v>4801</v>
      </c>
      <c r="C1073" s="12" t="s">
        <v>4649</v>
      </c>
      <c r="D1073" s="12">
        <v>1.0</v>
      </c>
      <c r="E1073" s="12">
        <v>23.9</v>
      </c>
      <c r="F1073" s="12">
        <v>23.9</v>
      </c>
    </row>
    <row r="1074">
      <c r="A1074" s="12" t="s">
        <v>4804</v>
      </c>
      <c r="B1074" s="12" t="s">
        <v>4805</v>
      </c>
      <c r="C1074" s="12" t="s">
        <v>3019</v>
      </c>
      <c r="D1074" s="12">
        <v>0.955</v>
      </c>
      <c r="E1074" s="12">
        <v>5.99</v>
      </c>
      <c r="F1074" s="12">
        <v>5.72</v>
      </c>
    </row>
    <row r="1075">
      <c r="A1075" s="12" t="s">
        <v>4808</v>
      </c>
      <c r="B1075" s="12" t="s">
        <v>4805</v>
      </c>
      <c r="C1075" s="12" t="s">
        <v>2926</v>
      </c>
      <c r="D1075" s="12">
        <v>7.955</v>
      </c>
      <c r="E1075" s="12">
        <v>19.63</v>
      </c>
      <c r="F1075" s="12">
        <v>156.16</v>
      </c>
    </row>
    <row r="1076">
      <c r="A1076" s="12" t="s">
        <v>4810</v>
      </c>
      <c r="B1076" s="12" t="s">
        <v>4805</v>
      </c>
      <c r="C1076" s="12" t="s">
        <v>3039</v>
      </c>
      <c r="D1076" s="12">
        <v>2.815</v>
      </c>
      <c r="E1076" s="12">
        <v>3.49</v>
      </c>
      <c r="F1076" s="12">
        <v>9.82</v>
      </c>
    </row>
    <row r="1077">
      <c r="A1077" s="12" t="s">
        <v>4813</v>
      </c>
      <c r="B1077" s="12" t="s">
        <v>4805</v>
      </c>
      <c r="C1077" s="12" t="s">
        <v>2941</v>
      </c>
      <c r="D1077" s="12">
        <v>2.0</v>
      </c>
      <c r="E1077" s="12">
        <v>6.73</v>
      </c>
      <c r="F1077" s="12">
        <v>13.46</v>
      </c>
    </row>
    <row r="1078">
      <c r="A1078" s="12" t="s">
        <v>4814</v>
      </c>
      <c r="B1078" s="12" t="s">
        <v>4805</v>
      </c>
      <c r="C1078" s="12" t="s">
        <v>4657</v>
      </c>
      <c r="D1078" s="12">
        <v>2.0</v>
      </c>
      <c r="E1078" s="12">
        <v>14.24</v>
      </c>
      <c r="F1078" s="12">
        <v>28.48</v>
      </c>
    </row>
    <row r="1079">
      <c r="A1079" s="16" t="s">
        <v>4817</v>
      </c>
      <c r="B1079" s="12" t="s">
        <v>4805</v>
      </c>
      <c r="C1079" s="12" t="s">
        <v>3373</v>
      </c>
      <c r="D1079" s="12">
        <v>12.0</v>
      </c>
      <c r="E1079" s="12">
        <v>5.49</v>
      </c>
      <c r="F1079" s="12">
        <v>65.88</v>
      </c>
    </row>
    <row r="1080">
      <c r="A1080" s="12" t="s">
        <v>4820</v>
      </c>
      <c r="B1080" s="12" t="s">
        <v>4805</v>
      </c>
      <c r="C1080" s="12" t="s">
        <v>3030</v>
      </c>
      <c r="D1080" s="12">
        <v>4.0</v>
      </c>
      <c r="E1080" s="12">
        <v>5.82</v>
      </c>
      <c r="F1080" s="12">
        <v>23.28</v>
      </c>
    </row>
    <row r="1081">
      <c r="A1081" s="12" t="s">
        <v>4824</v>
      </c>
      <c r="B1081" s="12" t="s">
        <v>4805</v>
      </c>
      <c r="C1081" s="12" t="s">
        <v>2916</v>
      </c>
      <c r="D1081" s="12">
        <v>2.0</v>
      </c>
      <c r="E1081" s="12">
        <v>12.93</v>
      </c>
      <c r="F1081" s="12">
        <v>25.86</v>
      </c>
    </row>
    <row r="1082">
      <c r="A1082" s="12" t="s">
        <v>4828</v>
      </c>
      <c r="B1082" s="12" t="s">
        <v>4805</v>
      </c>
      <c r="C1082" s="12" t="s">
        <v>4544</v>
      </c>
      <c r="D1082" s="12">
        <v>1.0</v>
      </c>
      <c r="E1082" s="12">
        <v>15.95</v>
      </c>
      <c r="F1082" s="12">
        <v>15.95</v>
      </c>
    </row>
    <row r="1083">
      <c r="A1083" s="12" t="s">
        <v>4830</v>
      </c>
      <c r="B1083" s="12" t="s">
        <v>4805</v>
      </c>
      <c r="C1083" s="12" t="s">
        <v>3397</v>
      </c>
      <c r="D1083" s="12">
        <v>2.0</v>
      </c>
      <c r="E1083" s="12">
        <v>6.19</v>
      </c>
      <c r="F1083" s="12">
        <v>12.38</v>
      </c>
    </row>
    <row r="1084">
      <c r="A1084" s="12" t="s">
        <v>4833</v>
      </c>
      <c r="B1084" s="12" t="s">
        <v>4805</v>
      </c>
      <c r="C1084" s="12" t="s">
        <v>3076</v>
      </c>
      <c r="D1084" s="12">
        <v>1.0</v>
      </c>
      <c r="E1084" s="12">
        <v>6.84</v>
      </c>
      <c r="F1084" s="12">
        <v>6.84</v>
      </c>
    </row>
    <row r="1085">
      <c r="A1085" s="12" t="s">
        <v>4836</v>
      </c>
      <c r="B1085" s="12" t="s">
        <v>4805</v>
      </c>
      <c r="C1085" s="12" t="s">
        <v>3074</v>
      </c>
      <c r="D1085" s="12">
        <v>2.0</v>
      </c>
      <c r="E1085" s="12">
        <v>6.91</v>
      </c>
      <c r="F1085" s="12">
        <v>13.82</v>
      </c>
    </row>
    <row r="1086">
      <c r="A1086" s="12" t="s">
        <v>4839</v>
      </c>
      <c r="B1086" s="12" t="s">
        <v>4805</v>
      </c>
      <c r="C1086" s="12" t="s">
        <v>3071</v>
      </c>
      <c r="D1086" s="12">
        <v>1.0</v>
      </c>
      <c r="E1086" s="12">
        <v>10.35</v>
      </c>
      <c r="F1086" s="12">
        <v>10.35</v>
      </c>
    </row>
    <row r="1087">
      <c r="A1087" s="12" t="s">
        <v>4840</v>
      </c>
      <c r="B1087" s="12" t="s">
        <v>4805</v>
      </c>
      <c r="C1087" s="12" t="s">
        <v>4842</v>
      </c>
      <c r="D1087" s="12">
        <v>3.0</v>
      </c>
      <c r="E1087" s="12">
        <v>3.67</v>
      </c>
      <c r="F1087" s="12">
        <v>11.01</v>
      </c>
    </row>
    <row r="1088">
      <c r="A1088" s="12" t="s">
        <v>4843</v>
      </c>
      <c r="B1088" s="12" t="s">
        <v>4805</v>
      </c>
      <c r="C1088" s="12" t="s">
        <v>3552</v>
      </c>
      <c r="D1088" s="12">
        <v>12.0</v>
      </c>
      <c r="E1088" s="12">
        <v>2.2</v>
      </c>
      <c r="F1088" s="12">
        <v>26.4</v>
      </c>
    </row>
    <row r="1089">
      <c r="A1089" s="12" t="s">
        <v>4846</v>
      </c>
      <c r="B1089" s="12" t="s">
        <v>4805</v>
      </c>
      <c r="C1089" s="12" t="s">
        <v>3552</v>
      </c>
      <c r="D1089" s="12">
        <v>12.0</v>
      </c>
      <c r="E1089" s="12">
        <v>2.21</v>
      </c>
      <c r="F1089" s="12">
        <v>26.52</v>
      </c>
    </row>
    <row r="1090">
      <c r="A1090" s="12" t="s">
        <v>4848</v>
      </c>
      <c r="B1090" s="12" t="s">
        <v>4805</v>
      </c>
      <c r="C1090" s="12" t="s">
        <v>3552</v>
      </c>
      <c r="D1090" s="12">
        <v>12.0</v>
      </c>
      <c r="E1090" s="12">
        <v>2.23</v>
      </c>
      <c r="F1090" s="12">
        <v>26.76</v>
      </c>
    </row>
    <row r="1091">
      <c r="A1091" s="12" t="s">
        <v>4851</v>
      </c>
      <c r="B1091" s="12" t="s">
        <v>4852</v>
      </c>
      <c r="C1091" s="12" t="s">
        <v>2907</v>
      </c>
      <c r="D1091" s="12">
        <v>0.618</v>
      </c>
      <c r="E1091" s="12">
        <v>12.99</v>
      </c>
      <c r="F1091" s="12">
        <v>8.03</v>
      </c>
    </row>
    <row r="1092">
      <c r="A1092" s="12" t="s">
        <v>4853</v>
      </c>
      <c r="B1092" s="12" t="s">
        <v>4854</v>
      </c>
      <c r="C1092" s="12" t="s">
        <v>2907</v>
      </c>
      <c r="D1092" s="12">
        <v>0.492</v>
      </c>
      <c r="E1092" s="12">
        <v>12.99</v>
      </c>
      <c r="F1092" s="12">
        <v>6.39</v>
      </c>
    </row>
    <row r="1093">
      <c r="A1093" s="12" t="s">
        <v>4855</v>
      </c>
      <c r="B1093" s="12" t="s">
        <v>4854</v>
      </c>
      <c r="C1093" s="12" t="s">
        <v>4301</v>
      </c>
      <c r="D1093" s="12">
        <v>1.0</v>
      </c>
      <c r="E1093" s="12">
        <v>8.99</v>
      </c>
      <c r="F1093" s="12">
        <v>8.99</v>
      </c>
    </row>
    <row r="1094">
      <c r="A1094" s="12" t="s">
        <v>4857</v>
      </c>
      <c r="B1094" s="12" t="s">
        <v>4858</v>
      </c>
      <c r="C1094" s="12" t="s">
        <v>2965</v>
      </c>
      <c r="D1094" s="12">
        <v>5.0</v>
      </c>
      <c r="E1094" s="12">
        <v>92.5</v>
      </c>
      <c r="F1094" s="12">
        <v>462.5</v>
      </c>
    </row>
    <row r="1095">
      <c r="A1095" s="12" t="s">
        <v>4860</v>
      </c>
      <c r="B1095" s="12" t="s">
        <v>4858</v>
      </c>
      <c r="C1095" s="12" t="s">
        <v>2961</v>
      </c>
      <c r="D1095" s="12">
        <v>1.0</v>
      </c>
      <c r="E1095" s="12">
        <v>75.0</v>
      </c>
      <c r="F1095" s="12">
        <v>75.0</v>
      </c>
    </row>
    <row r="1096">
      <c r="A1096" s="12" t="s">
        <v>4861</v>
      </c>
      <c r="B1096" s="12" t="s">
        <v>4862</v>
      </c>
      <c r="C1096" s="12" t="s">
        <v>2958</v>
      </c>
      <c r="D1096" s="12">
        <v>1.0</v>
      </c>
      <c r="E1096" s="12">
        <v>32.24</v>
      </c>
      <c r="F1096" s="12">
        <v>32.24</v>
      </c>
    </row>
    <row r="1097">
      <c r="A1097" s="12" t="s">
        <v>4866</v>
      </c>
      <c r="B1097" s="12" t="s">
        <v>4862</v>
      </c>
      <c r="C1097" s="12" t="s">
        <v>4868</v>
      </c>
      <c r="D1097" s="12">
        <v>1.0</v>
      </c>
      <c r="E1097" s="12">
        <v>12.22</v>
      </c>
      <c r="F1097" s="12">
        <v>12.22</v>
      </c>
    </row>
    <row r="1098">
      <c r="A1098" s="12" t="s">
        <v>4870</v>
      </c>
      <c r="B1098" s="12" t="s">
        <v>4862</v>
      </c>
      <c r="C1098" s="12" t="s">
        <v>3533</v>
      </c>
      <c r="D1098" s="12">
        <v>1.0</v>
      </c>
      <c r="E1098" s="12">
        <v>15.54</v>
      </c>
      <c r="F1098" s="12">
        <v>15.54</v>
      </c>
    </row>
    <row r="1099">
      <c r="A1099" s="12" t="s">
        <v>4871</v>
      </c>
      <c r="B1099" s="12" t="s">
        <v>4872</v>
      </c>
      <c r="C1099" s="12" t="s">
        <v>3019</v>
      </c>
      <c r="D1099" s="12">
        <v>0.98</v>
      </c>
      <c r="E1099" s="12">
        <v>4.99</v>
      </c>
      <c r="F1099" s="12">
        <v>4.89</v>
      </c>
    </row>
    <row r="1100">
      <c r="A1100" s="12" t="s">
        <v>4876</v>
      </c>
      <c r="B1100" s="12" t="s">
        <v>4878</v>
      </c>
      <c r="C1100" s="16" t="s">
        <v>2910</v>
      </c>
      <c r="D1100" s="12">
        <v>15.0</v>
      </c>
      <c r="E1100" s="12">
        <v>28.0</v>
      </c>
      <c r="F1100" s="12">
        <v>420.0</v>
      </c>
    </row>
    <row r="1101">
      <c r="A1101" s="12" t="s">
        <v>4880</v>
      </c>
      <c r="B1101" s="12" t="s">
        <v>4881</v>
      </c>
      <c r="C1101" s="12" t="s">
        <v>786</v>
      </c>
      <c r="D1101" s="12">
        <v>1.0</v>
      </c>
      <c r="E1101" s="12">
        <v>8848.5</v>
      </c>
      <c r="F1101" s="12">
        <v>8848.5</v>
      </c>
    </row>
    <row r="1102">
      <c r="A1102" s="12" t="s">
        <v>4883</v>
      </c>
      <c r="B1102" s="12" t="s">
        <v>4881</v>
      </c>
      <c r="C1102" s="12" t="s">
        <v>925</v>
      </c>
      <c r="D1102" s="12">
        <v>1.0</v>
      </c>
      <c r="E1102" s="12">
        <v>840.61</v>
      </c>
      <c r="F1102" s="12">
        <v>840.61</v>
      </c>
    </row>
    <row r="1103">
      <c r="A1103" s="12" t="s">
        <v>4884</v>
      </c>
      <c r="B1103" s="12" t="s">
        <v>4881</v>
      </c>
      <c r="C1103" s="12" t="s">
        <v>2982</v>
      </c>
      <c r="D1103" s="12">
        <v>1.0</v>
      </c>
      <c r="E1103" s="12">
        <v>182.4</v>
      </c>
      <c r="F1103" s="12">
        <v>182.4</v>
      </c>
    </row>
    <row r="1104">
      <c r="A1104" s="12" t="s">
        <v>4887</v>
      </c>
      <c r="B1104" s="12" t="s">
        <v>4888</v>
      </c>
      <c r="C1104" s="12" t="s">
        <v>4889</v>
      </c>
      <c r="D1104" s="12">
        <v>1.0</v>
      </c>
      <c r="E1104" s="12">
        <v>7.45</v>
      </c>
      <c r="F1104" s="12">
        <v>7.45</v>
      </c>
    </row>
    <row r="1105">
      <c r="A1105" s="12" t="s">
        <v>4891</v>
      </c>
      <c r="B1105" s="12" t="s">
        <v>4888</v>
      </c>
      <c r="C1105" s="12" t="s">
        <v>925</v>
      </c>
      <c r="D1105" s="12">
        <v>1.0</v>
      </c>
      <c r="E1105" s="12">
        <v>0.71</v>
      </c>
      <c r="F1105" s="12">
        <v>0.71</v>
      </c>
    </row>
    <row r="1106">
      <c r="A1106" s="12" t="s">
        <v>4894</v>
      </c>
      <c r="B1106" s="12" t="s">
        <v>4895</v>
      </c>
      <c r="C1106" s="12" t="s">
        <v>786</v>
      </c>
      <c r="D1106" s="12">
        <v>1.0</v>
      </c>
      <c r="E1106" s="12">
        <v>127.5</v>
      </c>
      <c r="F1106" s="12">
        <v>127.5</v>
      </c>
    </row>
    <row r="1107">
      <c r="A1107" s="12" t="s">
        <v>4897</v>
      </c>
      <c r="B1107" s="12" t="s">
        <v>4895</v>
      </c>
      <c r="C1107" s="12" t="s">
        <v>925</v>
      </c>
      <c r="D1107" s="12">
        <v>1.0</v>
      </c>
      <c r="E1107" s="12">
        <v>12.11</v>
      </c>
      <c r="F1107" s="12">
        <v>12.11</v>
      </c>
    </row>
    <row r="1108">
      <c r="A1108" s="12" t="s">
        <v>4900</v>
      </c>
      <c r="B1108" s="12" t="s">
        <v>4901</v>
      </c>
      <c r="C1108" s="12" t="s">
        <v>3106</v>
      </c>
      <c r="D1108" s="12">
        <v>1.0</v>
      </c>
      <c r="E1108" s="12">
        <v>4880.77</v>
      </c>
      <c r="F1108" s="12">
        <v>4880.77</v>
      </c>
    </row>
    <row r="1109">
      <c r="A1109" s="12" t="s">
        <v>4903</v>
      </c>
      <c r="B1109" s="12" t="s">
        <v>4901</v>
      </c>
      <c r="C1109" s="12" t="s">
        <v>925</v>
      </c>
      <c r="D1109" s="12">
        <v>1.0</v>
      </c>
      <c r="E1109" s="12">
        <v>463.67</v>
      </c>
      <c r="F1109" s="12">
        <v>463.67</v>
      </c>
    </row>
    <row r="1110">
      <c r="A1110" s="12" t="s">
        <v>4906</v>
      </c>
      <c r="B1110" s="12" t="s">
        <v>4907</v>
      </c>
      <c r="C1110" s="12" t="s">
        <v>2926</v>
      </c>
      <c r="D1110" s="12">
        <v>6.02</v>
      </c>
      <c r="E1110" s="12">
        <v>19.34</v>
      </c>
      <c r="F1110" s="12">
        <v>116.43</v>
      </c>
    </row>
    <row r="1111">
      <c r="A1111" s="12" t="s">
        <v>4908</v>
      </c>
      <c r="B1111" s="12" t="s">
        <v>4907</v>
      </c>
      <c r="C1111" s="12" t="s">
        <v>3019</v>
      </c>
      <c r="D1111" s="12">
        <v>2.83</v>
      </c>
      <c r="E1111" s="12">
        <v>4.99</v>
      </c>
      <c r="F1111" s="12">
        <v>14.12</v>
      </c>
    </row>
    <row r="1112">
      <c r="A1112" s="12" t="s">
        <v>4912</v>
      </c>
      <c r="B1112" s="12" t="s">
        <v>4907</v>
      </c>
      <c r="C1112" s="12" t="s">
        <v>3071</v>
      </c>
      <c r="D1112" s="12">
        <v>2.0</v>
      </c>
      <c r="E1112" s="12">
        <v>9.68</v>
      </c>
      <c r="F1112" s="12">
        <v>19.36</v>
      </c>
    </row>
    <row r="1113">
      <c r="A1113" s="12" t="s">
        <v>4914</v>
      </c>
      <c r="B1113" s="12" t="s">
        <v>4907</v>
      </c>
      <c r="C1113" s="12" t="s">
        <v>3076</v>
      </c>
      <c r="D1113" s="12">
        <v>2.0</v>
      </c>
      <c r="E1113" s="12">
        <v>7.05</v>
      </c>
      <c r="F1113" s="12">
        <v>14.1</v>
      </c>
    </row>
    <row r="1114">
      <c r="A1114" s="12" t="s">
        <v>4917</v>
      </c>
      <c r="B1114" s="12" t="s">
        <v>4907</v>
      </c>
      <c r="C1114" s="12" t="s">
        <v>3074</v>
      </c>
      <c r="D1114" s="12">
        <v>2.0</v>
      </c>
      <c r="E1114" s="12">
        <v>6.91</v>
      </c>
      <c r="F1114" s="12">
        <v>13.82</v>
      </c>
    </row>
    <row r="1115">
      <c r="A1115" s="12" t="s">
        <v>4918</v>
      </c>
      <c r="B1115" s="12" t="s">
        <v>4907</v>
      </c>
      <c r="C1115" s="12" t="s">
        <v>4919</v>
      </c>
      <c r="D1115" s="12">
        <v>1.0</v>
      </c>
      <c r="E1115" s="12">
        <v>6.0</v>
      </c>
      <c r="F1115" s="12">
        <v>6.0</v>
      </c>
    </row>
    <row r="1116">
      <c r="A1116" s="12" t="s">
        <v>4922</v>
      </c>
      <c r="B1116" s="12" t="s">
        <v>4907</v>
      </c>
      <c r="C1116" s="12" t="s">
        <v>3013</v>
      </c>
      <c r="D1116" s="12">
        <v>2.0</v>
      </c>
      <c r="E1116" s="12">
        <v>7.29</v>
      </c>
      <c r="F1116" s="12">
        <v>14.58</v>
      </c>
    </row>
    <row r="1117">
      <c r="A1117" s="12" t="s">
        <v>4923</v>
      </c>
      <c r="B1117" s="12" t="s">
        <v>4907</v>
      </c>
      <c r="C1117" s="12" t="s">
        <v>4284</v>
      </c>
      <c r="D1117" s="12">
        <v>1.0</v>
      </c>
      <c r="E1117" s="12">
        <v>13.11</v>
      </c>
      <c r="F1117" s="12">
        <v>13.11</v>
      </c>
    </row>
    <row r="1118">
      <c r="A1118" s="12" t="s">
        <v>4924</v>
      </c>
      <c r="B1118" s="12" t="s">
        <v>4907</v>
      </c>
      <c r="C1118" s="12" t="s">
        <v>3629</v>
      </c>
      <c r="D1118" s="12">
        <v>1.0</v>
      </c>
      <c r="E1118" s="12">
        <v>5.97</v>
      </c>
      <c r="F1118" s="12">
        <v>5.97</v>
      </c>
    </row>
    <row r="1119">
      <c r="A1119" s="12" t="s">
        <v>4926</v>
      </c>
      <c r="B1119" s="12" t="s">
        <v>4907</v>
      </c>
      <c r="C1119" s="12" t="s">
        <v>4147</v>
      </c>
      <c r="D1119" s="12">
        <v>1.0</v>
      </c>
      <c r="E1119" s="12">
        <v>9.04</v>
      </c>
      <c r="F1119" s="12">
        <v>9.04</v>
      </c>
    </row>
    <row r="1120">
      <c r="A1120" s="12" t="s">
        <v>4928</v>
      </c>
      <c r="B1120" s="12" t="s">
        <v>4907</v>
      </c>
      <c r="C1120" s="12" t="s">
        <v>3245</v>
      </c>
      <c r="D1120" s="12">
        <v>2.0</v>
      </c>
      <c r="E1120" s="12">
        <v>8.97</v>
      </c>
      <c r="F1120" s="12">
        <v>17.94</v>
      </c>
    </row>
    <row r="1121">
      <c r="A1121" s="12" t="s">
        <v>4930</v>
      </c>
      <c r="B1121" s="12" t="s">
        <v>4907</v>
      </c>
      <c r="C1121" s="12" t="s">
        <v>3027</v>
      </c>
      <c r="D1121" s="12">
        <v>1.0</v>
      </c>
      <c r="E1121" s="12">
        <v>3.86</v>
      </c>
      <c r="F1121" s="12">
        <v>3.86</v>
      </c>
    </row>
    <row r="1122">
      <c r="A1122" s="12" t="s">
        <v>4932</v>
      </c>
      <c r="B1122" s="12" t="s">
        <v>4907</v>
      </c>
      <c r="C1122" s="12" t="s">
        <v>3636</v>
      </c>
      <c r="D1122" s="12">
        <v>1.0</v>
      </c>
      <c r="E1122" s="12">
        <v>5.84</v>
      </c>
      <c r="F1122" s="12">
        <v>5.84</v>
      </c>
    </row>
    <row r="1123">
      <c r="A1123" s="12" t="s">
        <v>4933</v>
      </c>
      <c r="B1123" s="12" t="s">
        <v>4907</v>
      </c>
      <c r="C1123" s="12" t="s">
        <v>3064</v>
      </c>
      <c r="D1123" s="12">
        <v>18.0</v>
      </c>
      <c r="E1123" s="12">
        <v>9.98</v>
      </c>
      <c r="F1123" s="12">
        <v>179.64</v>
      </c>
    </row>
    <row r="1124">
      <c r="A1124" s="12" t="s">
        <v>4935</v>
      </c>
      <c r="B1124" s="12" t="s">
        <v>4936</v>
      </c>
      <c r="C1124" s="12" t="s">
        <v>3039</v>
      </c>
      <c r="D1124" s="12">
        <v>2.145</v>
      </c>
      <c r="E1124" s="12">
        <v>2.98</v>
      </c>
      <c r="F1124" s="12">
        <v>6.39</v>
      </c>
    </row>
    <row r="1125">
      <c r="A1125" s="12" t="s">
        <v>4937</v>
      </c>
      <c r="B1125" s="12" t="s">
        <v>4936</v>
      </c>
      <c r="C1125" s="12" t="s">
        <v>3039</v>
      </c>
      <c r="D1125" s="12">
        <v>2.44</v>
      </c>
      <c r="E1125" s="12">
        <v>2.99</v>
      </c>
      <c r="F1125" s="12">
        <v>7.3</v>
      </c>
    </row>
    <row r="1126">
      <c r="A1126" s="12" t="s">
        <v>4939</v>
      </c>
      <c r="B1126" s="12" t="s">
        <v>4936</v>
      </c>
      <c r="C1126" s="12" t="s">
        <v>2941</v>
      </c>
      <c r="D1126" s="12">
        <v>5.0</v>
      </c>
      <c r="E1126" s="12">
        <v>10.99</v>
      </c>
      <c r="F1126" s="12">
        <v>54.95</v>
      </c>
    </row>
    <row r="1127">
      <c r="A1127" s="12" t="s">
        <v>4941</v>
      </c>
      <c r="B1127" s="12" t="s">
        <v>4942</v>
      </c>
      <c r="C1127" s="12" t="s">
        <v>3511</v>
      </c>
      <c r="D1127" s="12">
        <v>1.0</v>
      </c>
      <c r="E1127" s="12">
        <v>45.6</v>
      </c>
      <c r="F1127" s="12">
        <v>45.6</v>
      </c>
    </row>
    <row r="1128">
      <c r="A1128" s="16" t="s">
        <v>4944</v>
      </c>
      <c r="B1128" s="12" t="s">
        <v>4942</v>
      </c>
      <c r="C1128" s="12" t="s">
        <v>3008</v>
      </c>
      <c r="D1128" s="12">
        <v>2.0</v>
      </c>
      <c r="E1128" s="12">
        <v>45.6</v>
      </c>
      <c r="F1128" s="12">
        <v>91.2</v>
      </c>
    </row>
    <row r="1129">
      <c r="A1129" s="12" t="s">
        <v>4947</v>
      </c>
      <c r="B1129" s="12" t="s">
        <v>4942</v>
      </c>
      <c r="C1129" s="16" t="s">
        <v>3002</v>
      </c>
      <c r="D1129" s="12">
        <v>1.0</v>
      </c>
      <c r="E1129" s="12">
        <v>22.8</v>
      </c>
      <c r="F1129" s="12">
        <v>22.8</v>
      </c>
    </row>
    <row r="1130">
      <c r="A1130" s="12" t="s">
        <v>4949</v>
      </c>
      <c r="B1130" s="12" t="s">
        <v>4950</v>
      </c>
      <c r="C1130" s="12" t="s">
        <v>786</v>
      </c>
      <c r="D1130" s="12">
        <v>1.0</v>
      </c>
      <c r="E1130" s="12">
        <v>127.5</v>
      </c>
      <c r="F1130" s="12">
        <v>127.5</v>
      </c>
    </row>
    <row r="1131">
      <c r="A1131" s="12" t="s">
        <v>4953</v>
      </c>
      <c r="B1131" s="12" t="s">
        <v>4950</v>
      </c>
      <c r="C1131" s="12" t="s">
        <v>925</v>
      </c>
      <c r="D1131" s="12">
        <v>1.0</v>
      </c>
      <c r="E1131" s="12">
        <v>12.11</v>
      </c>
      <c r="F1131" s="12">
        <v>12.11</v>
      </c>
    </row>
    <row r="1132">
      <c r="A1132" s="12" t="s">
        <v>4954</v>
      </c>
      <c r="B1132" s="12" t="s">
        <v>4955</v>
      </c>
      <c r="C1132" s="12" t="s">
        <v>2907</v>
      </c>
      <c r="D1132" s="12">
        <v>0.788</v>
      </c>
      <c r="E1132" s="12">
        <v>12.99</v>
      </c>
      <c r="F1132" s="12">
        <v>10.24</v>
      </c>
    </row>
    <row r="1133">
      <c r="A1133" s="12" t="s">
        <v>4956</v>
      </c>
      <c r="B1133" s="12" t="s">
        <v>4957</v>
      </c>
      <c r="C1133" s="12" t="s">
        <v>3071</v>
      </c>
      <c r="D1133" s="12">
        <v>1.0</v>
      </c>
      <c r="E1133" s="12">
        <v>14.99</v>
      </c>
      <c r="F1133" s="12">
        <v>14.99</v>
      </c>
    </row>
    <row r="1134">
      <c r="A1134" s="12" t="s">
        <v>4959</v>
      </c>
      <c r="B1134" s="12" t="s">
        <v>4957</v>
      </c>
      <c r="C1134" s="12" t="s">
        <v>2907</v>
      </c>
      <c r="D1134" s="12">
        <v>0.38</v>
      </c>
      <c r="E1134" s="12">
        <v>12.99</v>
      </c>
      <c r="F1134" s="12">
        <v>4.94</v>
      </c>
    </row>
    <row r="1135">
      <c r="A1135" s="12" t="s">
        <v>4961</v>
      </c>
      <c r="B1135" s="12" t="s">
        <v>4957</v>
      </c>
      <c r="C1135" s="12" t="s">
        <v>4301</v>
      </c>
      <c r="D1135" s="12">
        <v>1.0</v>
      </c>
      <c r="E1135" s="12">
        <v>8.99</v>
      </c>
      <c r="F1135" s="12">
        <v>8.99</v>
      </c>
    </row>
    <row r="1136">
      <c r="A1136" s="12" t="s">
        <v>4962</v>
      </c>
      <c r="B1136" s="12" t="s">
        <v>4963</v>
      </c>
      <c r="C1136" s="12" t="s">
        <v>2907</v>
      </c>
      <c r="D1136" s="12">
        <v>0.358</v>
      </c>
      <c r="E1136" s="12">
        <v>12.99</v>
      </c>
      <c r="F1136" s="12">
        <v>4.65</v>
      </c>
    </row>
    <row r="1137">
      <c r="A1137" s="12" t="s">
        <v>4964</v>
      </c>
      <c r="B1137" s="12" t="s">
        <v>4965</v>
      </c>
      <c r="C1137" s="12" t="s">
        <v>4966</v>
      </c>
      <c r="D1137" s="12">
        <v>1.0</v>
      </c>
      <c r="E1137" s="12">
        <v>99.0</v>
      </c>
      <c r="F1137" s="12">
        <v>99.0</v>
      </c>
    </row>
    <row r="1138">
      <c r="A1138" s="12" t="s">
        <v>4969</v>
      </c>
      <c r="B1138" s="12" t="s">
        <v>4970</v>
      </c>
      <c r="C1138" s="12" t="s">
        <v>4301</v>
      </c>
      <c r="D1138" s="12">
        <v>1.0</v>
      </c>
      <c r="E1138" s="12">
        <v>8.55</v>
      </c>
      <c r="F1138" s="12">
        <v>8.55</v>
      </c>
    </row>
    <row r="1139">
      <c r="A1139" s="12" t="s">
        <v>4972</v>
      </c>
      <c r="B1139" s="12" t="s">
        <v>4970</v>
      </c>
      <c r="C1139" s="12" t="s">
        <v>4974</v>
      </c>
      <c r="D1139" s="12">
        <v>0.666</v>
      </c>
      <c r="E1139" s="12">
        <v>59.9</v>
      </c>
      <c r="F1139" s="12">
        <v>39.89</v>
      </c>
    </row>
    <row r="1140">
      <c r="A1140" s="12" t="s">
        <v>4978</v>
      </c>
      <c r="B1140" s="12" t="s">
        <v>4970</v>
      </c>
      <c r="C1140" s="12" t="s">
        <v>4982</v>
      </c>
      <c r="D1140" s="12">
        <v>0.284</v>
      </c>
      <c r="E1140" s="12">
        <v>23.9</v>
      </c>
      <c r="F1140" s="12">
        <v>6.79</v>
      </c>
    </row>
    <row r="1141">
      <c r="A1141" s="12" t="s">
        <v>4985</v>
      </c>
      <c r="B1141" s="12" t="s">
        <v>4970</v>
      </c>
      <c r="C1141" s="12" t="s">
        <v>4986</v>
      </c>
      <c r="D1141" s="12">
        <v>0.462</v>
      </c>
      <c r="E1141" s="12">
        <v>51.9</v>
      </c>
      <c r="F1141" s="12">
        <v>23.98</v>
      </c>
    </row>
    <row r="1142">
      <c r="A1142" s="12" t="s">
        <v>4987</v>
      </c>
      <c r="B1142" s="12" t="s">
        <v>4970</v>
      </c>
      <c r="C1142" s="12" t="s">
        <v>4988</v>
      </c>
      <c r="D1142" s="12">
        <v>0.51</v>
      </c>
      <c r="E1142" s="12">
        <v>54.9</v>
      </c>
      <c r="F1142" s="12">
        <v>28.0</v>
      </c>
    </row>
    <row r="1143">
      <c r="A1143" s="12" t="s">
        <v>4992</v>
      </c>
      <c r="B1143" s="12" t="s">
        <v>4970</v>
      </c>
      <c r="C1143" s="12" t="s">
        <v>4993</v>
      </c>
      <c r="D1143" s="12">
        <v>0.512</v>
      </c>
      <c r="E1143" s="12">
        <v>46.9</v>
      </c>
      <c r="F1143" s="12">
        <v>24.01</v>
      </c>
    </row>
    <row r="1144">
      <c r="A1144" s="12" t="s">
        <v>4995</v>
      </c>
      <c r="B1144" s="12" t="s">
        <v>4970</v>
      </c>
      <c r="C1144" s="12" t="s">
        <v>4988</v>
      </c>
      <c r="D1144" s="12">
        <v>0.504</v>
      </c>
      <c r="E1144" s="12">
        <v>54.9</v>
      </c>
      <c r="F1144" s="12">
        <v>27.67</v>
      </c>
    </row>
    <row r="1145">
      <c r="A1145" s="16" t="s">
        <v>4998</v>
      </c>
      <c r="B1145" s="12" t="s">
        <v>4970</v>
      </c>
      <c r="C1145" s="12" t="s">
        <v>4999</v>
      </c>
      <c r="D1145" s="12">
        <v>0.27</v>
      </c>
      <c r="E1145" s="12">
        <v>57.9</v>
      </c>
      <c r="F1145" s="12">
        <v>15.63</v>
      </c>
    </row>
    <row r="1146">
      <c r="A1146" s="12" t="s">
        <v>5000</v>
      </c>
      <c r="B1146" s="12" t="s">
        <v>5001</v>
      </c>
      <c r="C1146" s="12" t="s">
        <v>3039</v>
      </c>
      <c r="D1146" s="12">
        <v>1.555</v>
      </c>
      <c r="E1146" s="12">
        <v>3.86</v>
      </c>
      <c r="F1146" s="12">
        <v>6.0</v>
      </c>
    </row>
    <row r="1147">
      <c r="A1147" s="12" t="s">
        <v>5003</v>
      </c>
      <c r="B1147" s="12" t="s">
        <v>5006</v>
      </c>
      <c r="C1147" s="12" t="s">
        <v>5008</v>
      </c>
      <c r="D1147" s="12">
        <v>1.0</v>
      </c>
      <c r="E1147" s="12">
        <v>360.0</v>
      </c>
      <c r="F1147" s="12">
        <v>360.0</v>
      </c>
    </row>
    <row r="1148">
      <c r="A1148" s="12" t="s">
        <v>5010</v>
      </c>
      <c r="B1148" s="12" t="s">
        <v>5011</v>
      </c>
      <c r="C1148" s="16" t="s">
        <v>2910</v>
      </c>
      <c r="D1148" s="12">
        <v>10.0</v>
      </c>
      <c r="E1148" s="12">
        <v>30.0</v>
      </c>
      <c r="F1148" s="12">
        <v>300.0</v>
      </c>
    </row>
    <row r="1149">
      <c r="A1149" s="12" t="s">
        <v>5012</v>
      </c>
      <c r="B1149" s="12" t="s">
        <v>5013</v>
      </c>
      <c r="C1149" s="12" t="s">
        <v>3100</v>
      </c>
      <c r="D1149" s="12">
        <v>1.0</v>
      </c>
      <c r="E1149" s="12">
        <v>6.0</v>
      </c>
      <c r="F1149" s="12">
        <v>6.0</v>
      </c>
    </row>
    <row r="1150">
      <c r="A1150" s="12" t="s">
        <v>5016</v>
      </c>
      <c r="B1150" s="12" t="s">
        <v>5017</v>
      </c>
      <c r="C1150" s="12" t="s">
        <v>4544</v>
      </c>
      <c r="D1150" s="12">
        <v>1.0</v>
      </c>
      <c r="E1150" s="12">
        <v>18.9</v>
      </c>
      <c r="F1150" s="12">
        <v>18.9</v>
      </c>
    </row>
    <row r="1151">
      <c r="A1151" s="12" t="s">
        <v>5018</v>
      </c>
      <c r="B1151" s="12" t="s">
        <v>5017</v>
      </c>
      <c r="C1151" s="12" t="s">
        <v>2905</v>
      </c>
      <c r="D1151" s="12">
        <v>1.0</v>
      </c>
      <c r="E1151" s="12">
        <v>15.99</v>
      </c>
      <c r="F1151" s="12">
        <v>15.99</v>
      </c>
    </row>
    <row r="1152">
      <c r="A1152" s="12" t="s">
        <v>5019</v>
      </c>
      <c r="B1152" s="12" t="s">
        <v>5017</v>
      </c>
      <c r="C1152" s="12" t="s">
        <v>3039</v>
      </c>
      <c r="D1152" s="12">
        <v>1.63</v>
      </c>
      <c r="E1152" s="12">
        <v>4.99</v>
      </c>
      <c r="F1152" s="12">
        <v>8.13</v>
      </c>
    </row>
    <row r="1153">
      <c r="A1153" s="12" t="s">
        <v>5020</v>
      </c>
      <c r="B1153" s="12" t="s">
        <v>5017</v>
      </c>
      <c r="C1153" s="12" t="s">
        <v>3071</v>
      </c>
      <c r="D1153" s="12">
        <v>2.0</v>
      </c>
      <c r="E1153" s="12">
        <v>12.99</v>
      </c>
      <c r="F1153" s="12">
        <v>25.98</v>
      </c>
    </row>
    <row r="1154">
      <c r="A1154" s="12" t="s">
        <v>5021</v>
      </c>
      <c r="B1154" s="12" t="s">
        <v>5017</v>
      </c>
      <c r="C1154" s="12" t="s">
        <v>3076</v>
      </c>
      <c r="D1154" s="12">
        <v>1.0</v>
      </c>
      <c r="E1154" s="12">
        <v>8.99</v>
      </c>
      <c r="F1154" s="12">
        <v>8.99</v>
      </c>
    </row>
    <row r="1155">
      <c r="A1155" s="12" t="s">
        <v>5022</v>
      </c>
      <c r="B1155" s="12" t="s">
        <v>5017</v>
      </c>
      <c r="C1155" s="12" t="s">
        <v>3074</v>
      </c>
      <c r="D1155" s="12">
        <v>2.0</v>
      </c>
      <c r="E1155" s="12">
        <v>8.99</v>
      </c>
      <c r="F1155" s="12">
        <v>17.98</v>
      </c>
    </row>
    <row r="1156">
      <c r="A1156" s="12" t="s">
        <v>5025</v>
      </c>
      <c r="B1156" s="12" t="s">
        <v>5017</v>
      </c>
      <c r="C1156" s="12" t="s">
        <v>2941</v>
      </c>
      <c r="D1156" s="12">
        <v>1.0</v>
      </c>
      <c r="E1156" s="12">
        <v>8.99</v>
      </c>
      <c r="F1156" s="12">
        <v>8.99</v>
      </c>
    </row>
    <row r="1157">
      <c r="A1157" s="12" t="s">
        <v>5026</v>
      </c>
      <c r="B1157" s="12" t="s">
        <v>5017</v>
      </c>
      <c r="C1157" s="12" t="s">
        <v>5027</v>
      </c>
      <c r="D1157" s="12">
        <v>1.0</v>
      </c>
      <c r="E1157" s="12">
        <v>9.98</v>
      </c>
      <c r="F1157" s="12">
        <v>9.98</v>
      </c>
    </row>
    <row r="1158">
      <c r="A1158" s="12" t="s">
        <v>5028</v>
      </c>
      <c r="B1158" s="12" t="s">
        <v>5017</v>
      </c>
      <c r="C1158" s="12" t="s">
        <v>4301</v>
      </c>
      <c r="D1158" s="12">
        <v>1.0</v>
      </c>
      <c r="E1158" s="12">
        <v>4.99</v>
      </c>
      <c r="F1158" s="12">
        <v>4.99</v>
      </c>
    </row>
    <row r="1159">
      <c r="A1159" s="12" t="s">
        <v>5031</v>
      </c>
      <c r="B1159" s="12" t="s">
        <v>5017</v>
      </c>
      <c r="C1159" s="12" t="s">
        <v>3245</v>
      </c>
      <c r="D1159" s="12">
        <v>1.0</v>
      </c>
      <c r="E1159" s="12">
        <v>9.98</v>
      </c>
      <c r="F1159" s="12">
        <v>9.98</v>
      </c>
    </row>
    <row r="1160">
      <c r="A1160" s="12" t="s">
        <v>5032</v>
      </c>
      <c r="B1160" s="12" t="s">
        <v>5017</v>
      </c>
      <c r="C1160" s="12" t="s">
        <v>3019</v>
      </c>
      <c r="D1160" s="12">
        <v>1.255</v>
      </c>
      <c r="E1160" s="12">
        <v>7.99</v>
      </c>
      <c r="F1160" s="12">
        <v>10.03</v>
      </c>
    </row>
    <row r="1161">
      <c r="A1161" s="16" t="s">
        <v>5036</v>
      </c>
      <c r="B1161" s="12" t="s">
        <v>5017</v>
      </c>
      <c r="C1161" s="12" t="s">
        <v>2926</v>
      </c>
      <c r="D1161" s="12">
        <v>5.145</v>
      </c>
      <c r="E1161" s="12">
        <v>24.9</v>
      </c>
      <c r="F1161" s="12">
        <v>128.11</v>
      </c>
    </row>
    <row r="1162">
      <c r="A1162" s="12" t="s">
        <v>5038</v>
      </c>
      <c r="B1162" s="12" t="s">
        <v>5017</v>
      </c>
      <c r="C1162" s="12" t="s">
        <v>3039</v>
      </c>
      <c r="D1162" s="12">
        <v>0.835</v>
      </c>
      <c r="E1162" s="12">
        <v>4.99</v>
      </c>
      <c r="F1162" s="12">
        <v>4.17</v>
      </c>
    </row>
    <row r="1163">
      <c r="A1163" s="12" t="s">
        <v>5039</v>
      </c>
      <c r="B1163" s="12" t="s">
        <v>5017</v>
      </c>
      <c r="C1163" s="12" t="s">
        <v>2929</v>
      </c>
      <c r="D1163" s="12">
        <v>1.0</v>
      </c>
      <c r="E1163" s="12">
        <v>23.99</v>
      </c>
      <c r="F1163" s="12">
        <v>23.99</v>
      </c>
    </row>
    <row r="1164">
      <c r="A1164" s="12" t="s">
        <v>5040</v>
      </c>
      <c r="B1164" s="12" t="s">
        <v>5042</v>
      </c>
      <c r="C1164" s="12" t="s">
        <v>2907</v>
      </c>
      <c r="D1164" s="12">
        <v>0.318</v>
      </c>
      <c r="E1164" s="12">
        <v>13.99</v>
      </c>
      <c r="F1164" s="12">
        <v>4.45</v>
      </c>
    </row>
    <row r="1165">
      <c r="A1165" s="12" t="s">
        <v>5046</v>
      </c>
      <c r="B1165" s="12" t="s">
        <v>5047</v>
      </c>
      <c r="C1165" s="12" t="s">
        <v>2907</v>
      </c>
      <c r="D1165" s="12">
        <v>0.398</v>
      </c>
      <c r="E1165" s="12">
        <v>12.99</v>
      </c>
      <c r="F1165" s="12">
        <v>5.17</v>
      </c>
    </row>
    <row r="1166">
      <c r="A1166" s="16" t="s">
        <v>5049</v>
      </c>
      <c r="B1166" s="12" t="s">
        <v>5050</v>
      </c>
      <c r="C1166" s="12" t="s">
        <v>786</v>
      </c>
      <c r="D1166" s="12">
        <v>1.0</v>
      </c>
      <c r="E1166" s="12">
        <v>238.0</v>
      </c>
      <c r="F1166" s="12">
        <v>238.0</v>
      </c>
    </row>
    <row r="1167">
      <c r="A1167" s="12" t="s">
        <v>5054</v>
      </c>
      <c r="B1167" s="12" t="s">
        <v>5050</v>
      </c>
      <c r="C1167" s="12" t="s">
        <v>925</v>
      </c>
      <c r="D1167" s="12">
        <v>1.0</v>
      </c>
      <c r="E1167" s="12">
        <v>22.61</v>
      </c>
      <c r="F1167" s="12">
        <v>22.61</v>
      </c>
    </row>
    <row r="1168">
      <c r="A1168" s="12" t="s">
        <v>5055</v>
      </c>
      <c r="B1168" s="12" t="s">
        <v>5050</v>
      </c>
      <c r="C1168" s="12" t="s">
        <v>2982</v>
      </c>
      <c r="D1168" s="12">
        <v>1.0</v>
      </c>
      <c r="E1168" s="12">
        <v>2.42</v>
      </c>
      <c r="F1168" s="12">
        <v>2.42</v>
      </c>
    </row>
    <row r="1169">
      <c r="A1169" s="12" t="s">
        <v>5058</v>
      </c>
      <c r="B1169" s="12" t="s">
        <v>5059</v>
      </c>
      <c r="C1169" s="12" t="s">
        <v>5061</v>
      </c>
      <c r="D1169" s="12">
        <v>1.0</v>
      </c>
      <c r="E1169" s="12">
        <v>102.63</v>
      </c>
      <c r="F1169" s="12">
        <v>102.63</v>
      </c>
    </row>
    <row r="1170">
      <c r="A1170" s="12" t="s">
        <v>5062</v>
      </c>
      <c r="B1170" s="12" t="s">
        <v>5059</v>
      </c>
      <c r="C1170" s="12" t="s">
        <v>925</v>
      </c>
      <c r="D1170" s="12">
        <v>1.0</v>
      </c>
      <c r="E1170" s="12">
        <v>9.75</v>
      </c>
      <c r="F1170" s="12">
        <v>9.75</v>
      </c>
    </row>
    <row r="1171">
      <c r="A1171" s="12" t="s">
        <v>5066</v>
      </c>
      <c r="B1171" s="12" t="s">
        <v>5067</v>
      </c>
      <c r="C1171" s="12" t="s">
        <v>5068</v>
      </c>
      <c r="D1171" s="12">
        <v>1.0</v>
      </c>
      <c r="E1171" s="12">
        <v>709.2</v>
      </c>
      <c r="F1171" s="12">
        <v>709.2</v>
      </c>
    </row>
    <row r="1172">
      <c r="A1172" s="12" t="s">
        <v>5070</v>
      </c>
      <c r="B1172" s="12" t="s">
        <v>5067</v>
      </c>
      <c r="C1172" s="12" t="s">
        <v>925</v>
      </c>
      <c r="D1172" s="12">
        <v>1.0</v>
      </c>
      <c r="E1172" s="12">
        <v>67.37</v>
      </c>
      <c r="F1172" s="12">
        <v>67.37</v>
      </c>
    </row>
    <row r="1173">
      <c r="A1173" s="12" t="s">
        <v>5071</v>
      </c>
      <c r="B1173" s="12" t="s">
        <v>5072</v>
      </c>
      <c r="C1173" s="12" t="s">
        <v>786</v>
      </c>
      <c r="D1173" s="12">
        <v>1.0</v>
      </c>
      <c r="E1173" s="12">
        <v>7111.12</v>
      </c>
      <c r="F1173" s="12">
        <v>7111.12</v>
      </c>
    </row>
    <row r="1174">
      <c r="A1174" s="12" t="s">
        <v>5074</v>
      </c>
      <c r="B1174" s="12" t="s">
        <v>5072</v>
      </c>
      <c r="C1174" s="12" t="s">
        <v>925</v>
      </c>
      <c r="D1174" s="12">
        <v>1.0</v>
      </c>
      <c r="E1174" s="12">
        <v>675.56</v>
      </c>
      <c r="F1174" s="12">
        <v>675.56</v>
      </c>
    </row>
    <row r="1175">
      <c r="A1175" s="12" t="s">
        <v>5077</v>
      </c>
      <c r="B1175" s="12" t="s">
        <v>5072</v>
      </c>
      <c r="C1175" s="12" t="s">
        <v>2982</v>
      </c>
      <c r="D1175" s="12">
        <v>1.0</v>
      </c>
      <c r="E1175" s="12">
        <v>163.79</v>
      </c>
      <c r="F1175" s="12">
        <v>163.79</v>
      </c>
    </row>
    <row r="1176">
      <c r="A1176" s="12" t="s">
        <v>5079</v>
      </c>
      <c r="B1176" s="12" t="s">
        <v>5080</v>
      </c>
      <c r="C1176" s="12" t="s">
        <v>786</v>
      </c>
      <c r="D1176" s="12">
        <v>1.0</v>
      </c>
      <c r="E1176" s="12">
        <v>255.0</v>
      </c>
      <c r="F1176" s="12">
        <v>255.0</v>
      </c>
    </row>
    <row r="1177">
      <c r="A1177" s="12" t="s">
        <v>5083</v>
      </c>
      <c r="B1177" s="12" t="s">
        <v>5080</v>
      </c>
      <c r="C1177" s="12" t="s">
        <v>925</v>
      </c>
      <c r="D1177" s="12">
        <v>1.0</v>
      </c>
      <c r="E1177" s="12">
        <v>24.23</v>
      </c>
      <c r="F1177" s="12">
        <v>24.23</v>
      </c>
    </row>
    <row r="1178">
      <c r="A1178" s="12" t="s">
        <v>5085</v>
      </c>
      <c r="B1178" s="12" t="s">
        <v>5087</v>
      </c>
      <c r="C1178" s="12" t="s">
        <v>3106</v>
      </c>
      <c r="D1178" s="12">
        <v>1.0</v>
      </c>
      <c r="E1178" s="12">
        <v>1437.35</v>
      </c>
      <c r="F1178" s="12">
        <v>1437.35</v>
      </c>
    </row>
    <row r="1179">
      <c r="A1179" s="12" t="s">
        <v>5088</v>
      </c>
      <c r="B1179" s="12" t="s">
        <v>5087</v>
      </c>
      <c r="C1179" s="12" t="s">
        <v>925</v>
      </c>
      <c r="D1179" s="12">
        <v>1.0</v>
      </c>
      <c r="E1179" s="12">
        <v>136.55</v>
      </c>
      <c r="F1179" s="12">
        <v>136.55</v>
      </c>
    </row>
    <row r="1180">
      <c r="A1180" s="12" t="s">
        <v>5089</v>
      </c>
      <c r="B1180" s="12" t="s">
        <v>5091</v>
      </c>
      <c r="C1180" s="12" t="s">
        <v>5093</v>
      </c>
      <c r="D1180" s="12">
        <v>1.0</v>
      </c>
      <c r="E1180" s="12">
        <v>1800.0</v>
      </c>
      <c r="F1180" s="12">
        <v>1800.0</v>
      </c>
    </row>
    <row r="1181">
      <c r="A1181" s="12" t="s">
        <v>5094</v>
      </c>
      <c r="B1181" s="12" t="s">
        <v>5091</v>
      </c>
      <c r="C1181" s="12" t="s">
        <v>925</v>
      </c>
      <c r="D1181" s="12">
        <v>1.0</v>
      </c>
      <c r="E1181" s="12">
        <v>109.6</v>
      </c>
      <c r="F1181" s="12">
        <v>109.6</v>
      </c>
    </row>
    <row r="1182">
      <c r="A1182" s="12" t="s">
        <v>5095</v>
      </c>
      <c r="B1182" s="12" t="s">
        <v>5097</v>
      </c>
      <c r="C1182" s="12" t="s">
        <v>3100</v>
      </c>
      <c r="D1182" s="12">
        <v>1.0</v>
      </c>
      <c r="E1182" s="12">
        <v>9.5</v>
      </c>
      <c r="F1182" s="12">
        <v>9.5</v>
      </c>
    </row>
    <row r="1183">
      <c r="A1183" s="12" t="s">
        <v>5100</v>
      </c>
      <c r="B1183" s="12" t="s">
        <v>5101</v>
      </c>
      <c r="C1183" s="12" t="s">
        <v>3039</v>
      </c>
      <c r="D1183" s="12">
        <v>0.9</v>
      </c>
      <c r="E1183" s="12">
        <v>3.99</v>
      </c>
      <c r="F1183" s="12">
        <v>3.59</v>
      </c>
    </row>
    <row r="1184">
      <c r="A1184" s="12" t="s">
        <v>5102</v>
      </c>
      <c r="B1184" s="12" t="s">
        <v>5103</v>
      </c>
      <c r="C1184" s="12" t="s">
        <v>3100</v>
      </c>
      <c r="D1184" s="12">
        <v>1.0</v>
      </c>
      <c r="E1184" s="12">
        <v>52.0</v>
      </c>
      <c r="F1184" s="12">
        <v>52.0</v>
      </c>
    </row>
    <row r="1185">
      <c r="A1185" s="12" t="s">
        <v>5107</v>
      </c>
      <c r="B1185" s="12" t="s">
        <v>5108</v>
      </c>
      <c r="C1185" s="12" t="s">
        <v>5110</v>
      </c>
      <c r="D1185" s="12">
        <v>1.0</v>
      </c>
      <c r="E1185" s="12">
        <v>3.9</v>
      </c>
      <c r="F1185" s="12">
        <v>3.9</v>
      </c>
    </row>
    <row r="1186">
      <c r="A1186" s="12" t="s">
        <v>5111</v>
      </c>
      <c r="B1186" s="12" t="s">
        <v>5112</v>
      </c>
      <c r="C1186" s="16" t="s">
        <v>3002</v>
      </c>
      <c r="D1186" s="12">
        <v>1.0</v>
      </c>
      <c r="E1186" s="12">
        <v>22.8</v>
      </c>
      <c r="F1186" s="12">
        <v>22.8</v>
      </c>
    </row>
    <row r="1187">
      <c r="A1187" s="12" t="s">
        <v>5115</v>
      </c>
      <c r="B1187" s="12" t="s">
        <v>5112</v>
      </c>
      <c r="C1187" s="12" t="s">
        <v>3006</v>
      </c>
      <c r="D1187" s="12">
        <v>1.0</v>
      </c>
      <c r="E1187" s="12">
        <v>22.8</v>
      </c>
      <c r="F1187" s="12">
        <v>22.8</v>
      </c>
    </row>
    <row r="1188">
      <c r="A1188" s="12" t="s">
        <v>5116</v>
      </c>
      <c r="B1188" s="12" t="s">
        <v>5112</v>
      </c>
      <c r="C1188" s="12" t="s">
        <v>3511</v>
      </c>
      <c r="D1188" s="12">
        <v>1.0</v>
      </c>
      <c r="E1188" s="12">
        <v>45.6</v>
      </c>
      <c r="F1188" s="12">
        <v>45.6</v>
      </c>
    </row>
    <row r="1189">
      <c r="A1189" s="12" t="s">
        <v>5119</v>
      </c>
      <c r="B1189" s="12" t="s">
        <v>5112</v>
      </c>
      <c r="C1189" s="12" t="s">
        <v>3004</v>
      </c>
      <c r="D1189" s="12">
        <v>1.0</v>
      </c>
      <c r="E1189" s="12">
        <v>22.8</v>
      </c>
      <c r="F1189" s="12">
        <v>22.8</v>
      </c>
    </row>
    <row r="1190">
      <c r="A1190" s="12" t="s">
        <v>5120</v>
      </c>
      <c r="B1190" s="12" t="s">
        <v>5121</v>
      </c>
      <c r="C1190" s="12" t="s">
        <v>2926</v>
      </c>
      <c r="D1190" s="12">
        <v>2.08</v>
      </c>
      <c r="E1190" s="12">
        <v>17.43</v>
      </c>
      <c r="F1190" s="12">
        <v>36.25</v>
      </c>
    </row>
    <row r="1191">
      <c r="A1191" s="12" t="s">
        <v>5123</v>
      </c>
      <c r="B1191" s="12" t="s">
        <v>5121</v>
      </c>
      <c r="C1191" s="12" t="s">
        <v>3039</v>
      </c>
      <c r="D1191" s="12">
        <v>2.51</v>
      </c>
      <c r="E1191" s="12">
        <v>3.41</v>
      </c>
      <c r="F1191" s="12">
        <v>8.56</v>
      </c>
    </row>
    <row r="1192">
      <c r="A1192" s="12" t="s">
        <v>5125</v>
      </c>
      <c r="B1192" s="12" t="s">
        <v>5121</v>
      </c>
      <c r="C1192" s="12" t="s">
        <v>2941</v>
      </c>
      <c r="D1192" s="12">
        <v>2.0</v>
      </c>
      <c r="E1192" s="12">
        <v>6.96</v>
      </c>
      <c r="F1192" s="12">
        <v>13.92</v>
      </c>
    </row>
    <row r="1193">
      <c r="A1193" s="12" t="s">
        <v>5130</v>
      </c>
      <c r="B1193" s="12" t="s">
        <v>5121</v>
      </c>
      <c r="C1193" s="12" t="s">
        <v>4770</v>
      </c>
      <c r="D1193" s="12">
        <v>1.0</v>
      </c>
      <c r="E1193" s="12">
        <v>12.98</v>
      </c>
      <c r="F1193" s="12">
        <v>12.98</v>
      </c>
    </row>
    <row r="1194">
      <c r="A1194" s="12" t="s">
        <v>5131</v>
      </c>
      <c r="B1194" s="12" t="s">
        <v>5121</v>
      </c>
      <c r="C1194" s="12" t="s">
        <v>5027</v>
      </c>
      <c r="D1194" s="12">
        <v>1.0</v>
      </c>
      <c r="E1194" s="12">
        <v>9.04</v>
      </c>
      <c r="F1194" s="12">
        <v>9.04</v>
      </c>
    </row>
    <row r="1195">
      <c r="A1195" s="12" t="s">
        <v>5136</v>
      </c>
      <c r="B1195" s="12" t="s">
        <v>5121</v>
      </c>
      <c r="C1195" s="12" t="s">
        <v>4770</v>
      </c>
      <c r="D1195" s="12">
        <v>5.0</v>
      </c>
      <c r="E1195" s="12">
        <v>8.97</v>
      </c>
      <c r="F1195" s="12">
        <v>44.85</v>
      </c>
    </row>
    <row r="1196">
      <c r="A1196" s="12" t="s">
        <v>5137</v>
      </c>
      <c r="B1196" s="12" t="s">
        <v>5121</v>
      </c>
      <c r="C1196" s="12" t="s">
        <v>3071</v>
      </c>
      <c r="D1196" s="12">
        <v>2.0</v>
      </c>
      <c r="E1196" s="12">
        <v>14.12</v>
      </c>
      <c r="F1196" s="12">
        <v>28.24</v>
      </c>
    </row>
    <row r="1197">
      <c r="A1197" s="12" t="s">
        <v>5140</v>
      </c>
      <c r="B1197" s="12" t="s">
        <v>5121</v>
      </c>
      <c r="C1197" s="12" t="s">
        <v>3074</v>
      </c>
      <c r="D1197" s="12">
        <v>1.0</v>
      </c>
      <c r="E1197" s="12">
        <v>6.94</v>
      </c>
      <c r="F1197" s="12">
        <v>6.94</v>
      </c>
    </row>
    <row r="1198">
      <c r="A1198" s="12" t="s">
        <v>5142</v>
      </c>
      <c r="B1198" s="12" t="s">
        <v>5121</v>
      </c>
      <c r="C1198" s="12" t="s">
        <v>3245</v>
      </c>
      <c r="D1198" s="12">
        <v>1.0</v>
      </c>
      <c r="E1198" s="12">
        <v>9.98</v>
      </c>
      <c r="F1198" s="12">
        <v>9.98</v>
      </c>
    </row>
    <row r="1199">
      <c r="A1199" s="12" t="s">
        <v>5144</v>
      </c>
      <c r="B1199" s="12" t="s">
        <v>5121</v>
      </c>
      <c r="C1199" s="12" t="s">
        <v>3552</v>
      </c>
      <c r="D1199" s="12">
        <v>24.0</v>
      </c>
      <c r="E1199" s="12">
        <v>2.29</v>
      </c>
      <c r="F1199" s="12">
        <v>54.96</v>
      </c>
    </row>
    <row r="1200">
      <c r="A1200" s="12" t="s">
        <v>5146</v>
      </c>
      <c r="B1200" s="12" t="s">
        <v>5121</v>
      </c>
      <c r="C1200" s="12" t="s">
        <v>3552</v>
      </c>
      <c r="D1200" s="12">
        <v>24.0</v>
      </c>
      <c r="E1200" s="12">
        <v>2.29</v>
      </c>
      <c r="F1200" s="12">
        <v>54.96</v>
      </c>
    </row>
    <row r="1201">
      <c r="A1201" s="12" t="s">
        <v>5148</v>
      </c>
      <c r="B1201" s="12" t="s">
        <v>5121</v>
      </c>
      <c r="C1201" s="12" t="s">
        <v>3552</v>
      </c>
      <c r="D1201" s="12">
        <v>24.0</v>
      </c>
      <c r="E1201" s="12">
        <v>2.29</v>
      </c>
      <c r="F1201" s="12">
        <v>54.96</v>
      </c>
    </row>
    <row r="1202">
      <c r="A1202" s="12" t="s">
        <v>5149</v>
      </c>
      <c r="B1202" s="12" t="s">
        <v>5121</v>
      </c>
      <c r="C1202" s="12" t="s">
        <v>3019</v>
      </c>
      <c r="D1202" s="12">
        <v>2.44</v>
      </c>
      <c r="E1202" s="12">
        <v>4.5</v>
      </c>
      <c r="F1202" s="12">
        <v>10.98</v>
      </c>
    </row>
    <row r="1203">
      <c r="A1203" s="12" t="s">
        <v>5151</v>
      </c>
      <c r="B1203" s="12" t="s">
        <v>5152</v>
      </c>
      <c r="C1203" s="12" t="s">
        <v>1432</v>
      </c>
      <c r="D1203" s="12">
        <v>1.0</v>
      </c>
      <c r="E1203" s="12">
        <v>300.0</v>
      </c>
      <c r="F1203" s="12">
        <v>300.0</v>
      </c>
    </row>
    <row r="1204">
      <c r="A1204" s="12" t="s">
        <v>5153</v>
      </c>
      <c r="B1204" s="12" t="s">
        <v>5154</v>
      </c>
      <c r="C1204" s="12" t="s">
        <v>2907</v>
      </c>
      <c r="D1204" s="12">
        <v>0.508</v>
      </c>
      <c r="E1204" s="12">
        <v>13.99</v>
      </c>
      <c r="F1204" s="12">
        <v>7.11</v>
      </c>
    </row>
    <row r="1205">
      <c r="A1205" s="12" t="s">
        <v>5157</v>
      </c>
      <c r="B1205" s="12" t="s">
        <v>5159</v>
      </c>
      <c r="C1205" s="12" t="s">
        <v>3100</v>
      </c>
      <c r="D1205" s="12">
        <v>1.0</v>
      </c>
      <c r="E1205" s="12">
        <v>13.5</v>
      </c>
      <c r="F1205" s="12">
        <v>13.5</v>
      </c>
    </row>
    <row r="1206">
      <c r="A1206" s="12" t="s">
        <v>5160</v>
      </c>
      <c r="B1206" s="12" t="s">
        <v>5161</v>
      </c>
      <c r="C1206" s="12" t="s">
        <v>3543</v>
      </c>
      <c r="D1206" s="12">
        <v>6.0</v>
      </c>
      <c r="E1206" s="12">
        <v>2.5</v>
      </c>
      <c r="F1206" s="12">
        <v>15.0</v>
      </c>
    </row>
    <row r="1207">
      <c r="A1207" s="12" t="s">
        <v>5162</v>
      </c>
      <c r="B1207" s="12" t="s">
        <v>5163</v>
      </c>
      <c r="C1207" s="16" t="s">
        <v>2910</v>
      </c>
      <c r="D1207" s="12">
        <v>10.0</v>
      </c>
      <c r="E1207" s="12">
        <v>28.0</v>
      </c>
      <c r="F1207" s="12">
        <v>280.0</v>
      </c>
    </row>
    <row r="1208">
      <c r="A1208" s="12" t="s">
        <v>5167</v>
      </c>
      <c r="B1208" s="12" t="s">
        <v>5168</v>
      </c>
      <c r="C1208" s="12" t="s">
        <v>3019</v>
      </c>
      <c r="D1208" s="12">
        <v>0.905</v>
      </c>
      <c r="E1208" s="12">
        <v>7.99</v>
      </c>
      <c r="F1208" s="12">
        <v>7.23</v>
      </c>
    </row>
    <row r="1209">
      <c r="A1209" s="12" t="s">
        <v>5169</v>
      </c>
      <c r="B1209" s="12" t="s">
        <v>5168</v>
      </c>
      <c r="C1209" s="12" t="s">
        <v>3039</v>
      </c>
      <c r="D1209" s="12">
        <v>0.83</v>
      </c>
      <c r="E1209" s="12">
        <v>1.89</v>
      </c>
      <c r="F1209" s="12">
        <v>1.57</v>
      </c>
    </row>
    <row r="1210">
      <c r="A1210" s="12" t="s">
        <v>5172</v>
      </c>
      <c r="B1210" s="12" t="s">
        <v>5173</v>
      </c>
      <c r="C1210" s="16" t="s">
        <v>2910</v>
      </c>
      <c r="D1210" s="12">
        <v>10.0</v>
      </c>
      <c r="E1210" s="12">
        <v>30.0</v>
      </c>
      <c r="F1210" s="12">
        <v>300.0</v>
      </c>
    </row>
    <row r="1211">
      <c r="A1211" s="12" t="s">
        <v>5175</v>
      </c>
      <c r="B1211" s="12" t="s">
        <v>5177</v>
      </c>
      <c r="C1211" s="12" t="s">
        <v>5178</v>
      </c>
      <c r="D1211" s="12">
        <v>1.0</v>
      </c>
      <c r="E1211" s="12">
        <v>290.0</v>
      </c>
      <c r="F1211" s="12">
        <v>290.0</v>
      </c>
    </row>
    <row r="1212">
      <c r="A1212" s="12" t="s">
        <v>5179</v>
      </c>
      <c r="B1212" s="12" t="s">
        <v>5180</v>
      </c>
      <c r="C1212" s="12" t="s">
        <v>786</v>
      </c>
      <c r="D1212" s="12">
        <v>1.0</v>
      </c>
      <c r="E1212" s="12">
        <v>1491.75</v>
      </c>
      <c r="F1212" s="12">
        <v>1491.75</v>
      </c>
    </row>
    <row r="1213">
      <c r="A1213" s="12" t="s">
        <v>5182</v>
      </c>
      <c r="B1213" s="12" t="s">
        <v>5180</v>
      </c>
      <c r="C1213" s="12" t="s">
        <v>925</v>
      </c>
      <c r="D1213" s="12">
        <v>1.0</v>
      </c>
      <c r="E1213" s="12">
        <v>141.72</v>
      </c>
      <c r="F1213" s="12">
        <v>141.72</v>
      </c>
    </row>
    <row r="1214">
      <c r="A1214" s="12" t="s">
        <v>5184</v>
      </c>
      <c r="B1214" s="12" t="s">
        <v>5180</v>
      </c>
      <c r="C1214" s="12" t="s">
        <v>2982</v>
      </c>
      <c r="D1214" s="12">
        <v>1.0</v>
      </c>
      <c r="E1214" s="12">
        <v>48.25</v>
      </c>
      <c r="F1214" s="12">
        <v>48.25</v>
      </c>
    </row>
    <row r="1215">
      <c r="A1215" s="12" t="s">
        <v>5186</v>
      </c>
      <c r="B1215" s="12" t="s">
        <v>5189</v>
      </c>
      <c r="C1215" s="12" t="s">
        <v>3543</v>
      </c>
      <c r="D1215" s="12">
        <v>10.0</v>
      </c>
      <c r="E1215" s="12">
        <v>2.0</v>
      </c>
      <c r="F1215" s="12">
        <v>20.0</v>
      </c>
    </row>
    <row r="1216">
      <c r="A1216" s="12" t="s">
        <v>5190</v>
      </c>
      <c r="B1216" s="12" t="s">
        <v>5191</v>
      </c>
      <c r="C1216" s="12" t="s">
        <v>3064</v>
      </c>
      <c r="D1216" s="12">
        <v>10.0</v>
      </c>
      <c r="E1216" s="12">
        <v>8.98</v>
      </c>
      <c r="F1216" s="12">
        <v>89.8</v>
      </c>
    </row>
    <row r="1217">
      <c r="A1217" s="12" t="s">
        <v>5193</v>
      </c>
      <c r="B1217" s="12" t="s">
        <v>5191</v>
      </c>
      <c r="C1217" s="12" t="s">
        <v>3071</v>
      </c>
      <c r="D1217" s="12">
        <v>2.0</v>
      </c>
      <c r="E1217" s="12">
        <v>11.89</v>
      </c>
      <c r="F1217" s="12">
        <v>23.78</v>
      </c>
    </row>
    <row r="1218">
      <c r="A1218" s="12" t="s">
        <v>5197</v>
      </c>
      <c r="B1218" s="12" t="s">
        <v>5191</v>
      </c>
      <c r="C1218" s="12" t="s">
        <v>3076</v>
      </c>
      <c r="D1218" s="12">
        <v>1.0</v>
      </c>
      <c r="E1218" s="12">
        <v>5.28</v>
      </c>
      <c r="F1218" s="12">
        <v>5.28</v>
      </c>
    </row>
    <row r="1219">
      <c r="A1219" s="12" t="s">
        <v>5198</v>
      </c>
      <c r="B1219" s="12" t="s">
        <v>5191</v>
      </c>
      <c r="C1219" s="12" t="s">
        <v>3074</v>
      </c>
      <c r="D1219" s="12">
        <v>2.0</v>
      </c>
      <c r="E1219" s="12">
        <v>10.46</v>
      </c>
      <c r="F1219" s="12">
        <v>20.92</v>
      </c>
    </row>
    <row r="1220">
      <c r="A1220" s="12" t="s">
        <v>5202</v>
      </c>
      <c r="B1220" s="12" t="s">
        <v>5191</v>
      </c>
      <c r="C1220" s="12" t="s">
        <v>4301</v>
      </c>
      <c r="D1220" s="12">
        <v>2.0</v>
      </c>
      <c r="E1220" s="12">
        <v>4.65</v>
      </c>
      <c r="F1220" s="12">
        <v>9.3</v>
      </c>
    </row>
    <row r="1221">
      <c r="A1221" s="12" t="s">
        <v>5203</v>
      </c>
      <c r="B1221" s="12" t="s">
        <v>5191</v>
      </c>
      <c r="C1221" s="12" t="s">
        <v>3245</v>
      </c>
      <c r="D1221" s="12">
        <v>1.0</v>
      </c>
      <c r="E1221" s="12">
        <v>8.79</v>
      </c>
      <c r="F1221" s="12">
        <v>8.79</v>
      </c>
    </row>
    <row r="1222">
      <c r="A1222" s="12" t="s">
        <v>5207</v>
      </c>
      <c r="B1222" s="12" t="s">
        <v>5191</v>
      </c>
      <c r="C1222" s="12" t="s">
        <v>3013</v>
      </c>
      <c r="D1222" s="12">
        <v>1.0</v>
      </c>
      <c r="E1222" s="12">
        <v>7.54</v>
      </c>
      <c r="F1222" s="12">
        <v>7.54</v>
      </c>
    </row>
    <row r="1223">
      <c r="A1223" s="12" t="s">
        <v>5208</v>
      </c>
      <c r="B1223" s="12" t="s">
        <v>5191</v>
      </c>
      <c r="C1223" s="12" t="s">
        <v>3030</v>
      </c>
      <c r="D1223" s="12">
        <v>5.0</v>
      </c>
      <c r="E1223" s="12">
        <v>5.9</v>
      </c>
      <c r="F1223" s="12">
        <v>29.5</v>
      </c>
    </row>
    <row r="1224">
      <c r="A1224" s="12" t="s">
        <v>5212</v>
      </c>
      <c r="B1224" s="12" t="s">
        <v>5191</v>
      </c>
      <c r="C1224" s="12" t="s">
        <v>2941</v>
      </c>
      <c r="D1224" s="12">
        <v>4.0</v>
      </c>
      <c r="E1224" s="12">
        <v>6.99</v>
      </c>
      <c r="F1224" s="12">
        <v>27.96</v>
      </c>
    </row>
    <row r="1225">
      <c r="A1225" s="12" t="s">
        <v>5216</v>
      </c>
      <c r="B1225" s="12" t="s">
        <v>5191</v>
      </c>
      <c r="C1225" s="12" t="s">
        <v>2926</v>
      </c>
      <c r="D1225" s="12">
        <v>3.25</v>
      </c>
      <c r="E1225" s="12">
        <v>17.44</v>
      </c>
      <c r="F1225" s="12">
        <v>56.68</v>
      </c>
    </row>
    <row r="1226">
      <c r="A1226" s="12" t="s">
        <v>5218</v>
      </c>
      <c r="B1226" s="12" t="s">
        <v>5191</v>
      </c>
      <c r="C1226" s="12" t="s">
        <v>3039</v>
      </c>
      <c r="D1226" s="12">
        <v>3.405</v>
      </c>
      <c r="E1226" s="12">
        <v>3.28</v>
      </c>
      <c r="F1226" s="12">
        <v>11.17</v>
      </c>
    </row>
    <row r="1227">
      <c r="A1227" s="12" t="s">
        <v>5222</v>
      </c>
      <c r="B1227" s="12" t="s">
        <v>5191</v>
      </c>
      <c r="C1227" s="12" t="s">
        <v>3019</v>
      </c>
      <c r="D1227" s="12">
        <v>2.28</v>
      </c>
      <c r="E1227" s="12">
        <v>4.99</v>
      </c>
      <c r="F1227" s="12">
        <v>11.38</v>
      </c>
    </row>
    <row r="1228">
      <c r="A1228" s="12" t="s">
        <v>5223</v>
      </c>
      <c r="B1228" s="12" t="s">
        <v>5225</v>
      </c>
      <c r="C1228" s="12" t="s">
        <v>717</v>
      </c>
      <c r="D1228" s="12">
        <v>1.0</v>
      </c>
      <c r="E1228" s="12">
        <v>1136.36</v>
      </c>
      <c r="F1228" s="12">
        <v>1136.36</v>
      </c>
    </row>
    <row r="1229">
      <c r="A1229" s="12" t="s">
        <v>5227</v>
      </c>
      <c r="B1229" s="12" t="s">
        <v>5225</v>
      </c>
      <c r="C1229" s="12" t="s">
        <v>2982</v>
      </c>
      <c r="D1229" s="12">
        <v>1.0</v>
      </c>
      <c r="E1229" s="12">
        <v>66.85</v>
      </c>
      <c r="F1229" s="12">
        <v>66.85</v>
      </c>
    </row>
    <row r="1230">
      <c r="A1230" s="12" t="s">
        <v>5228</v>
      </c>
      <c r="B1230" s="12" t="s">
        <v>5229</v>
      </c>
      <c r="C1230" s="12" t="s">
        <v>2907</v>
      </c>
      <c r="D1230" s="12">
        <v>0.376</v>
      </c>
      <c r="E1230" s="12">
        <v>13.99</v>
      </c>
      <c r="F1230" s="12">
        <v>5.26</v>
      </c>
    </row>
    <row r="1231">
      <c r="A1231" s="12" t="s">
        <v>5231</v>
      </c>
      <c r="B1231" s="12" t="s">
        <v>5232</v>
      </c>
      <c r="C1231" s="12" t="s">
        <v>3245</v>
      </c>
      <c r="D1231" s="12">
        <v>1.0</v>
      </c>
      <c r="E1231" s="12">
        <v>9.99</v>
      </c>
      <c r="F1231" s="12">
        <v>9.99</v>
      </c>
    </row>
    <row r="1232">
      <c r="A1232" s="12" t="s">
        <v>5233</v>
      </c>
      <c r="B1232" s="12" t="s">
        <v>5234</v>
      </c>
      <c r="C1232" s="12" t="s">
        <v>2907</v>
      </c>
      <c r="D1232" s="12">
        <v>0.614</v>
      </c>
      <c r="E1232" s="12">
        <v>12.99</v>
      </c>
      <c r="F1232" s="12">
        <v>7.98</v>
      </c>
    </row>
    <row r="1233">
      <c r="A1233" s="12" t="s">
        <v>5235</v>
      </c>
      <c r="B1233" s="12" t="s">
        <v>5234</v>
      </c>
      <c r="C1233" s="12" t="s">
        <v>3238</v>
      </c>
      <c r="D1233" s="12">
        <v>0.398</v>
      </c>
      <c r="E1233" s="12">
        <v>29.99</v>
      </c>
      <c r="F1233" s="12">
        <v>11.94</v>
      </c>
    </row>
    <row r="1234">
      <c r="A1234" s="12" t="s">
        <v>5237</v>
      </c>
      <c r="B1234" s="12" t="s">
        <v>5238</v>
      </c>
      <c r="C1234" s="12" t="s">
        <v>4966</v>
      </c>
      <c r="D1234" s="12">
        <v>1.0</v>
      </c>
      <c r="E1234" s="12">
        <v>225.0</v>
      </c>
      <c r="F1234" s="12">
        <v>225.0</v>
      </c>
    </row>
    <row r="1235">
      <c r="A1235" s="12" t="s">
        <v>5239</v>
      </c>
      <c r="B1235" s="12" t="s">
        <v>5240</v>
      </c>
      <c r="C1235" s="12" t="s">
        <v>643</v>
      </c>
      <c r="D1235" s="12">
        <v>2.0</v>
      </c>
      <c r="E1235" s="12">
        <v>42.0</v>
      </c>
      <c r="F1235" s="12">
        <v>84.0</v>
      </c>
    </row>
    <row r="1236">
      <c r="A1236" s="12" t="s">
        <v>5241</v>
      </c>
      <c r="B1236" s="12" t="s">
        <v>5240</v>
      </c>
      <c r="C1236" s="12" t="s">
        <v>3397</v>
      </c>
      <c r="D1236" s="12">
        <v>1.0</v>
      </c>
      <c r="E1236" s="12">
        <v>84.0</v>
      </c>
      <c r="F1236" s="12">
        <v>84.0</v>
      </c>
    </row>
    <row r="1237">
      <c r="A1237" s="12" t="s">
        <v>5243</v>
      </c>
      <c r="B1237" s="12" t="s">
        <v>5244</v>
      </c>
      <c r="C1237" s="12" t="s">
        <v>5245</v>
      </c>
      <c r="D1237" s="12">
        <v>1.0</v>
      </c>
      <c r="E1237" s="12">
        <v>30.0</v>
      </c>
      <c r="F1237" s="12">
        <v>30.0</v>
      </c>
    </row>
    <row r="1238">
      <c r="A1238" s="12" t="s">
        <v>5246</v>
      </c>
      <c r="B1238" s="12" t="s">
        <v>5247</v>
      </c>
      <c r="C1238" s="12" t="s">
        <v>4868</v>
      </c>
      <c r="D1238" s="12">
        <v>2.0</v>
      </c>
      <c r="E1238" s="12">
        <v>22.9</v>
      </c>
      <c r="F1238" s="12">
        <v>45.8</v>
      </c>
    </row>
    <row r="1239">
      <c r="A1239" s="12" t="s">
        <v>5249</v>
      </c>
      <c r="B1239" s="12" t="s">
        <v>5250</v>
      </c>
      <c r="C1239" s="12" t="s">
        <v>3100</v>
      </c>
      <c r="D1239" s="12">
        <v>1.0</v>
      </c>
      <c r="E1239" s="12">
        <v>27.5</v>
      </c>
      <c r="F1239" s="12">
        <v>27.5</v>
      </c>
    </row>
    <row r="1240">
      <c r="A1240" s="12" t="s">
        <v>5251</v>
      </c>
      <c r="B1240" s="12" t="s">
        <v>5252</v>
      </c>
      <c r="C1240" s="12" t="s">
        <v>3039</v>
      </c>
      <c r="D1240" s="12">
        <v>1.005</v>
      </c>
      <c r="E1240" s="12">
        <v>1.89</v>
      </c>
      <c r="F1240" s="12">
        <v>1.9</v>
      </c>
    </row>
    <row r="1241">
      <c r="A1241" s="12" t="s">
        <v>5253</v>
      </c>
      <c r="B1241" s="12" t="s">
        <v>5254</v>
      </c>
      <c r="C1241" s="12" t="s">
        <v>4511</v>
      </c>
      <c r="D1241" s="12">
        <v>1.0</v>
      </c>
      <c r="E1241" s="12">
        <v>11.49</v>
      </c>
      <c r="F1241" s="12">
        <v>11.49</v>
      </c>
    </row>
    <row r="1242">
      <c r="A1242" s="12" t="s">
        <v>5257</v>
      </c>
      <c r="B1242" s="12" t="s">
        <v>5254</v>
      </c>
      <c r="C1242" s="12" t="s">
        <v>2907</v>
      </c>
      <c r="D1242" s="12">
        <v>0.944</v>
      </c>
      <c r="E1242" s="12">
        <v>8.99</v>
      </c>
      <c r="F1242" s="12">
        <v>8.49</v>
      </c>
    </row>
    <row r="1243">
      <c r="A1243" s="12" t="s">
        <v>5259</v>
      </c>
      <c r="B1243" s="12" t="s">
        <v>5254</v>
      </c>
      <c r="C1243" s="12" t="s">
        <v>4301</v>
      </c>
      <c r="D1243" s="12">
        <v>1.0</v>
      </c>
      <c r="E1243" s="12">
        <v>8.99</v>
      </c>
      <c r="F1243" s="12">
        <v>8.99</v>
      </c>
    </row>
    <row r="1244">
      <c r="A1244" s="12" t="s">
        <v>5260</v>
      </c>
      <c r="B1244" s="12" t="s">
        <v>5262</v>
      </c>
      <c r="C1244" s="16" t="s">
        <v>2910</v>
      </c>
      <c r="D1244" s="12">
        <v>10.0</v>
      </c>
      <c r="E1244" s="12">
        <v>30.0</v>
      </c>
      <c r="F1244" s="12">
        <v>300.0</v>
      </c>
    </row>
    <row r="1245">
      <c r="A1245" s="12" t="s">
        <v>5263</v>
      </c>
      <c r="B1245" s="16" t="s">
        <v>5264</v>
      </c>
      <c r="C1245" s="12" t="s">
        <v>717</v>
      </c>
      <c r="D1245" s="12">
        <v>1.0</v>
      </c>
      <c r="E1245" s="12">
        <v>860.0</v>
      </c>
      <c r="F1245" s="12">
        <v>860.0</v>
      </c>
    </row>
    <row r="1246">
      <c r="A1246" s="12" t="s">
        <v>5267</v>
      </c>
      <c r="B1246" s="16" t="s">
        <v>5264</v>
      </c>
      <c r="C1246" s="12" t="s">
        <v>2982</v>
      </c>
      <c r="D1246" s="12">
        <v>1.0</v>
      </c>
      <c r="E1246" s="12">
        <v>51.86</v>
      </c>
      <c r="F1246" s="12">
        <v>51.86</v>
      </c>
    </row>
    <row r="1247">
      <c r="A1247" s="12" t="s">
        <v>5269</v>
      </c>
      <c r="B1247" s="12" t="s">
        <v>5271</v>
      </c>
      <c r="C1247" s="12" t="s">
        <v>3511</v>
      </c>
      <c r="D1247" s="12">
        <v>1.0</v>
      </c>
      <c r="E1247" s="12">
        <v>45.6</v>
      </c>
      <c r="F1247" s="12">
        <v>45.6</v>
      </c>
    </row>
    <row r="1248">
      <c r="A1248" s="12" t="s">
        <v>5274</v>
      </c>
      <c r="B1248" s="12" t="s">
        <v>5271</v>
      </c>
      <c r="C1248" s="12" t="s">
        <v>3008</v>
      </c>
      <c r="D1248" s="12">
        <v>1.0</v>
      </c>
      <c r="E1248" s="12">
        <v>45.6</v>
      </c>
      <c r="F1248" s="12">
        <v>45.6</v>
      </c>
    </row>
    <row r="1249">
      <c r="A1249" s="12" t="s">
        <v>5276</v>
      </c>
      <c r="B1249" s="12" t="s">
        <v>5271</v>
      </c>
      <c r="C1249" s="12" t="s">
        <v>3114</v>
      </c>
      <c r="D1249" s="12">
        <v>10.0</v>
      </c>
      <c r="E1249" s="12">
        <v>12.5</v>
      </c>
      <c r="F1249" s="12">
        <v>125.0</v>
      </c>
    </row>
    <row r="1250">
      <c r="A1250" s="12" t="s">
        <v>5280</v>
      </c>
      <c r="B1250" s="12" t="s">
        <v>5281</v>
      </c>
      <c r="C1250" s="12" t="s">
        <v>4657</v>
      </c>
      <c r="D1250" s="12">
        <v>2.0</v>
      </c>
      <c r="E1250" s="12">
        <v>7.9</v>
      </c>
      <c r="F1250" s="12">
        <v>15.8</v>
      </c>
    </row>
    <row r="1251">
      <c r="A1251" s="12" t="s">
        <v>5282</v>
      </c>
      <c r="B1251" s="12" t="s">
        <v>5281</v>
      </c>
      <c r="C1251" s="12" t="s">
        <v>3533</v>
      </c>
      <c r="D1251" s="12">
        <v>1.0</v>
      </c>
      <c r="E1251" s="12">
        <v>15.9</v>
      </c>
      <c r="F1251" s="12">
        <v>15.9</v>
      </c>
    </row>
    <row r="1252">
      <c r="A1252" s="12" t="s">
        <v>5286</v>
      </c>
      <c r="B1252" s="12" t="s">
        <v>5281</v>
      </c>
      <c r="C1252" s="12" t="s">
        <v>5287</v>
      </c>
      <c r="D1252" s="12">
        <v>1.0</v>
      </c>
      <c r="E1252" s="12">
        <v>55.0</v>
      </c>
      <c r="F1252" s="12">
        <v>55.0</v>
      </c>
    </row>
    <row r="1253">
      <c r="A1253" s="12" t="s">
        <v>5288</v>
      </c>
      <c r="B1253" s="12" t="s">
        <v>5289</v>
      </c>
      <c r="C1253" s="12" t="s">
        <v>2907</v>
      </c>
      <c r="D1253" s="12">
        <v>0.408</v>
      </c>
      <c r="E1253" s="12">
        <v>12.99</v>
      </c>
      <c r="F1253" s="12">
        <v>5.3</v>
      </c>
    </row>
    <row r="1254">
      <c r="A1254" s="12" t="s">
        <v>5293</v>
      </c>
      <c r="B1254" s="12" t="s">
        <v>5294</v>
      </c>
      <c r="C1254" s="12" t="s">
        <v>2907</v>
      </c>
      <c r="D1254" s="12">
        <v>0.662</v>
      </c>
      <c r="E1254" s="12">
        <v>14.99</v>
      </c>
      <c r="F1254" s="12">
        <v>9.92</v>
      </c>
    </row>
    <row r="1255">
      <c r="A1255" s="12" t="s">
        <v>5295</v>
      </c>
      <c r="B1255" s="12" t="s">
        <v>5296</v>
      </c>
      <c r="C1255" s="12" t="s">
        <v>2941</v>
      </c>
      <c r="D1255" s="12">
        <v>2.0</v>
      </c>
      <c r="E1255" s="12">
        <v>11.99</v>
      </c>
      <c r="F1255" s="12">
        <v>23.98</v>
      </c>
    </row>
    <row r="1256">
      <c r="A1256" s="12" t="s">
        <v>5300</v>
      </c>
      <c r="B1256" s="12" t="s">
        <v>5296</v>
      </c>
      <c r="C1256" s="12" t="s">
        <v>3019</v>
      </c>
      <c r="D1256" s="12">
        <v>2.285</v>
      </c>
      <c r="E1256" s="12">
        <v>8.99</v>
      </c>
      <c r="F1256" s="12">
        <v>20.54</v>
      </c>
    </row>
    <row r="1257">
      <c r="A1257" s="12" t="s">
        <v>5302</v>
      </c>
      <c r="B1257" s="12" t="s">
        <v>5303</v>
      </c>
      <c r="C1257" s="12" t="s">
        <v>3157</v>
      </c>
      <c r="D1257" s="12">
        <v>12.0</v>
      </c>
      <c r="E1257" s="12">
        <v>4.6</v>
      </c>
      <c r="F1257" s="12">
        <v>55.2</v>
      </c>
    </row>
    <row r="1258">
      <c r="A1258" s="12" t="s">
        <v>5306</v>
      </c>
      <c r="B1258" s="12" t="s">
        <v>5307</v>
      </c>
      <c r="C1258" s="12" t="s">
        <v>3064</v>
      </c>
      <c r="D1258" s="12">
        <v>5.0</v>
      </c>
      <c r="E1258" s="12">
        <v>7.99</v>
      </c>
      <c r="F1258" s="12">
        <v>39.95</v>
      </c>
    </row>
    <row r="1259">
      <c r="A1259" s="12" t="s">
        <v>5308</v>
      </c>
      <c r="B1259" s="12" t="s">
        <v>5307</v>
      </c>
      <c r="C1259" s="12" t="s">
        <v>2926</v>
      </c>
      <c r="D1259" s="12">
        <v>2.0</v>
      </c>
      <c r="E1259" s="12">
        <v>19.9</v>
      </c>
      <c r="F1259" s="12">
        <v>39.8</v>
      </c>
    </row>
    <row r="1260">
      <c r="A1260" s="12" t="s">
        <v>5312</v>
      </c>
      <c r="B1260" s="12" t="s">
        <v>5307</v>
      </c>
      <c r="C1260" s="12" t="s">
        <v>3552</v>
      </c>
      <c r="D1260" s="12">
        <v>2.0</v>
      </c>
      <c r="E1260" s="12">
        <v>29.98</v>
      </c>
      <c r="F1260" s="12">
        <v>59.96</v>
      </c>
    </row>
    <row r="1261">
      <c r="A1261" s="12" t="s">
        <v>5313</v>
      </c>
      <c r="B1261" s="12" t="s">
        <v>5314</v>
      </c>
      <c r="C1261" s="12" t="s">
        <v>4544</v>
      </c>
      <c r="D1261" s="12">
        <v>1.0</v>
      </c>
      <c r="E1261" s="12">
        <v>15.91</v>
      </c>
      <c r="F1261" s="12">
        <v>15.91</v>
      </c>
    </row>
    <row r="1262">
      <c r="A1262" s="12" t="s">
        <v>5315</v>
      </c>
      <c r="B1262" s="12" t="s">
        <v>5314</v>
      </c>
      <c r="C1262" s="12" t="s">
        <v>4770</v>
      </c>
      <c r="D1262" s="12">
        <v>2.0</v>
      </c>
      <c r="E1262" s="12">
        <v>12.59</v>
      </c>
      <c r="F1262" s="12">
        <v>25.18</v>
      </c>
    </row>
    <row r="1263">
      <c r="A1263" s="12" t="s">
        <v>5316</v>
      </c>
      <c r="B1263" s="12" t="s">
        <v>5314</v>
      </c>
      <c r="C1263" s="12" t="s">
        <v>3013</v>
      </c>
      <c r="D1263" s="12">
        <v>2.0</v>
      </c>
      <c r="E1263" s="12">
        <v>7.68</v>
      </c>
      <c r="F1263" s="12">
        <v>15.36</v>
      </c>
    </row>
    <row r="1264">
      <c r="A1264" s="12" t="s">
        <v>5318</v>
      </c>
      <c r="B1264" s="12" t="s">
        <v>5314</v>
      </c>
      <c r="C1264" s="12" t="s">
        <v>4178</v>
      </c>
      <c r="D1264" s="12">
        <v>1.0</v>
      </c>
      <c r="E1264" s="12">
        <v>18.88</v>
      </c>
      <c r="F1264" s="12">
        <v>18.88</v>
      </c>
    </row>
    <row r="1265">
      <c r="A1265" s="12" t="s">
        <v>5319</v>
      </c>
      <c r="B1265" s="12" t="s">
        <v>5314</v>
      </c>
      <c r="C1265" s="12" t="s">
        <v>3397</v>
      </c>
      <c r="D1265" s="12">
        <v>1.0</v>
      </c>
      <c r="E1265" s="12">
        <v>5.71</v>
      </c>
      <c r="F1265" s="12">
        <v>5.71</v>
      </c>
    </row>
    <row r="1266">
      <c r="A1266" s="12" t="s">
        <v>5320</v>
      </c>
      <c r="B1266" s="12" t="s">
        <v>5314</v>
      </c>
      <c r="C1266" s="12" t="s">
        <v>3245</v>
      </c>
      <c r="D1266" s="12">
        <v>1.0</v>
      </c>
      <c r="E1266" s="12">
        <v>8.78</v>
      </c>
      <c r="F1266" s="12">
        <v>8.78</v>
      </c>
    </row>
    <row r="1267">
      <c r="A1267" s="12" t="s">
        <v>5322</v>
      </c>
      <c r="B1267" s="12" t="s">
        <v>5314</v>
      </c>
      <c r="C1267" s="12" t="s">
        <v>3076</v>
      </c>
      <c r="D1267" s="12">
        <v>1.0</v>
      </c>
      <c r="E1267" s="12">
        <v>5.39</v>
      </c>
      <c r="F1267" s="12">
        <v>5.39</v>
      </c>
    </row>
    <row r="1268">
      <c r="A1268" s="12" t="s">
        <v>5324</v>
      </c>
      <c r="B1268" s="12" t="s">
        <v>5314</v>
      </c>
      <c r="C1268" s="12" t="s">
        <v>3074</v>
      </c>
      <c r="D1268" s="12">
        <v>2.0</v>
      </c>
      <c r="E1268" s="12">
        <v>10.95</v>
      </c>
      <c r="F1268" s="12">
        <v>21.9</v>
      </c>
    </row>
    <row r="1269">
      <c r="A1269" s="12" t="s">
        <v>5326</v>
      </c>
      <c r="B1269" s="12" t="s">
        <v>5314</v>
      </c>
      <c r="C1269" s="12" t="s">
        <v>3071</v>
      </c>
      <c r="D1269" s="12">
        <v>2.0</v>
      </c>
      <c r="E1269" s="12">
        <v>11.88</v>
      </c>
      <c r="F1269" s="12">
        <v>23.76</v>
      </c>
    </row>
    <row r="1270">
      <c r="A1270" s="12" t="s">
        <v>5327</v>
      </c>
      <c r="B1270" s="12" t="s">
        <v>5314</v>
      </c>
      <c r="C1270" s="12" t="s">
        <v>3064</v>
      </c>
      <c r="D1270" s="12">
        <v>10.0</v>
      </c>
      <c r="E1270" s="12">
        <v>8.38</v>
      </c>
      <c r="F1270" s="12">
        <v>83.8</v>
      </c>
    </row>
    <row r="1271">
      <c r="A1271" s="12" t="s">
        <v>5330</v>
      </c>
      <c r="B1271" s="12" t="s">
        <v>5314</v>
      </c>
      <c r="C1271" s="12" t="s">
        <v>2926</v>
      </c>
      <c r="D1271" s="12">
        <v>3.045</v>
      </c>
      <c r="E1271" s="12">
        <v>17.68</v>
      </c>
      <c r="F1271" s="12">
        <v>53.84</v>
      </c>
    </row>
    <row r="1272">
      <c r="A1272" s="12" t="s">
        <v>5331</v>
      </c>
      <c r="B1272" s="12" t="s">
        <v>5314</v>
      </c>
      <c r="C1272" s="12" t="s">
        <v>2926</v>
      </c>
      <c r="D1272" s="12">
        <v>3.905</v>
      </c>
      <c r="E1272" s="12">
        <v>17.68</v>
      </c>
      <c r="F1272" s="12">
        <v>69.04</v>
      </c>
    </row>
    <row r="1273">
      <c r="A1273" s="12" t="s">
        <v>5334</v>
      </c>
      <c r="B1273" s="12" t="s">
        <v>5314</v>
      </c>
      <c r="C1273" s="12" t="s">
        <v>3039</v>
      </c>
      <c r="D1273" s="12">
        <v>4.225</v>
      </c>
      <c r="E1273" s="12">
        <v>3.4</v>
      </c>
      <c r="F1273" s="12">
        <v>14.37</v>
      </c>
    </row>
    <row r="1274">
      <c r="A1274" s="12" t="s">
        <v>5335</v>
      </c>
      <c r="B1274" s="12" t="s">
        <v>5314</v>
      </c>
      <c r="C1274" s="12" t="s">
        <v>3039</v>
      </c>
      <c r="D1274" s="12">
        <v>2.475</v>
      </c>
      <c r="E1274" s="12">
        <v>3.4</v>
      </c>
      <c r="F1274" s="12">
        <v>8.41</v>
      </c>
    </row>
    <row r="1275">
      <c r="A1275" s="12" t="s">
        <v>5336</v>
      </c>
      <c r="B1275" s="12" t="s">
        <v>5314</v>
      </c>
      <c r="C1275" s="12" t="s">
        <v>2941</v>
      </c>
      <c r="D1275" s="12">
        <v>4.0</v>
      </c>
      <c r="E1275" s="12">
        <v>6.48</v>
      </c>
      <c r="F1275" s="12">
        <v>25.92</v>
      </c>
    </row>
    <row r="1276">
      <c r="A1276" s="12" t="s">
        <v>5337</v>
      </c>
      <c r="B1276" s="12" t="s">
        <v>5339</v>
      </c>
      <c r="C1276" s="12" t="s">
        <v>4966</v>
      </c>
      <c r="D1276" s="12">
        <v>1.0</v>
      </c>
      <c r="E1276" s="12">
        <v>100.0</v>
      </c>
      <c r="F1276" s="12">
        <v>100.0</v>
      </c>
    </row>
    <row r="1277">
      <c r="A1277" s="12" t="s">
        <v>5342</v>
      </c>
      <c r="B1277" s="12" t="s">
        <v>5343</v>
      </c>
      <c r="C1277" s="16" t="s">
        <v>2910</v>
      </c>
      <c r="D1277" s="12">
        <v>20.0</v>
      </c>
      <c r="E1277" s="12">
        <v>30.0</v>
      </c>
      <c r="F1277" s="12">
        <v>600.0</v>
      </c>
    </row>
    <row r="1278">
      <c r="A1278" s="12" t="s">
        <v>5345</v>
      </c>
      <c r="B1278" s="12" t="s">
        <v>5347</v>
      </c>
      <c r="C1278" s="12" t="s">
        <v>2907</v>
      </c>
      <c r="D1278" s="12">
        <v>0.535</v>
      </c>
      <c r="E1278" s="12">
        <v>11.99</v>
      </c>
      <c r="F1278" s="12">
        <v>6.41</v>
      </c>
    </row>
    <row r="1279">
      <c r="A1279" s="12" t="s">
        <v>5351</v>
      </c>
      <c r="B1279" s="12" t="s">
        <v>5347</v>
      </c>
      <c r="C1279" s="12" t="s">
        <v>2907</v>
      </c>
      <c r="D1279" s="12">
        <v>0.415</v>
      </c>
      <c r="E1279" s="12">
        <v>11.99</v>
      </c>
      <c r="F1279" s="12">
        <v>4.98</v>
      </c>
    </row>
    <row r="1280">
      <c r="A1280" s="12" t="s">
        <v>5353</v>
      </c>
      <c r="B1280" s="12" t="s">
        <v>5347</v>
      </c>
      <c r="C1280" s="12" t="s">
        <v>3071</v>
      </c>
      <c r="D1280" s="12">
        <v>2.0</v>
      </c>
      <c r="E1280" s="12">
        <v>12.99</v>
      </c>
      <c r="F1280" s="12">
        <v>25.98</v>
      </c>
    </row>
    <row r="1281">
      <c r="A1281" s="12" t="s">
        <v>5358</v>
      </c>
      <c r="B1281" s="12" t="s">
        <v>5347</v>
      </c>
      <c r="C1281" s="12" t="s">
        <v>3074</v>
      </c>
      <c r="D1281" s="12">
        <v>1.0</v>
      </c>
      <c r="E1281" s="12">
        <v>25.9</v>
      </c>
      <c r="F1281" s="12">
        <v>25.9</v>
      </c>
    </row>
    <row r="1282">
      <c r="A1282" s="12" t="s">
        <v>5361</v>
      </c>
      <c r="B1282" s="12" t="s">
        <v>5347</v>
      </c>
      <c r="C1282" s="12" t="s">
        <v>4038</v>
      </c>
      <c r="D1282" s="12">
        <v>1.0</v>
      </c>
      <c r="E1282" s="12">
        <v>6.49</v>
      </c>
      <c r="F1282" s="12">
        <v>6.49</v>
      </c>
    </row>
    <row r="1283">
      <c r="A1283" s="12" t="s">
        <v>5367</v>
      </c>
      <c r="B1283" s="12" t="s">
        <v>5347</v>
      </c>
      <c r="C1283" s="12" t="s">
        <v>4301</v>
      </c>
      <c r="D1283" s="12">
        <v>2.0</v>
      </c>
      <c r="E1283" s="12">
        <v>4.99</v>
      </c>
      <c r="F1283" s="12">
        <v>9.98</v>
      </c>
    </row>
    <row r="1284">
      <c r="A1284" s="12" t="s">
        <v>5369</v>
      </c>
      <c r="B1284" s="12" t="s">
        <v>5347</v>
      </c>
      <c r="C1284" s="12" t="s">
        <v>3019</v>
      </c>
      <c r="D1284" s="12">
        <v>2.445</v>
      </c>
      <c r="E1284" s="12">
        <v>5.99</v>
      </c>
      <c r="F1284" s="12">
        <v>14.65</v>
      </c>
    </row>
    <row r="1285">
      <c r="A1285" s="12" t="s">
        <v>5373</v>
      </c>
      <c r="B1285" s="12" t="s">
        <v>5347</v>
      </c>
      <c r="C1285" s="12" t="s">
        <v>3039</v>
      </c>
      <c r="D1285" s="12">
        <v>1.7</v>
      </c>
      <c r="E1285" s="12">
        <v>4.49</v>
      </c>
      <c r="F1285" s="12">
        <v>7.63</v>
      </c>
    </row>
    <row r="1286">
      <c r="A1286" s="12" t="s">
        <v>5374</v>
      </c>
      <c r="B1286" s="12" t="s">
        <v>5347</v>
      </c>
      <c r="C1286" s="12" t="s">
        <v>3039</v>
      </c>
      <c r="D1286" s="12">
        <v>2.835</v>
      </c>
      <c r="E1286" s="12">
        <v>4.49</v>
      </c>
      <c r="F1286" s="12">
        <v>12.73</v>
      </c>
    </row>
    <row r="1287">
      <c r="A1287" s="12" t="s">
        <v>5375</v>
      </c>
      <c r="B1287" s="12" t="s">
        <v>5347</v>
      </c>
      <c r="C1287" s="12" t="s">
        <v>3064</v>
      </c>
      <c r="D1287" s="12">
        <v>5.0</v>
      </c>
      <c r="E1287" s="12">
        <v>13.99</v>
      </c>
      <c r="F1287" s="12">
        <v>69.95</v>
      </c>
    </row>
    <row r="1288">
      <c r="A1288" s="12" t="s">
        <v>5377</v>
      </c>
      <c r="B1288" s="12" t="s">
        <v>5347</v>
      </c>
      <c r="C1288" s="12" t="s">
        <v>3064</v>
      </c>
      <c r="D1288" s="12">
        <v>5.0</v>
      </c>
      <c r="E1288" s="12">
        <v>7.99</v>
      </c>
      <c r="F1288" s="12">
        <v>39.95</v>
      </c>
    </row>
    <row r="1289">
      <c r="A1289" s="12" t="s">
        <v>5379</v>
      </c>
      <c r="B1289" s="12" t="s">
        <v>5347</v>
      </c>
      <c r="C1289" s="12" t="s">
        <v>3245</v>
      </c>
      <c r="D1289" s="12">
        <v>1.0</v>
      </c>
      <c r="E1289" s="12">
        <v>8.99</v>
      </c>
      <c r="F1289" s="12">
        <v>8.99</v>
      </c>
    </row>
    <row r="1290">
      <c r="A1290" s="12" t="s">
        <v>5381</v>
      </c>
      <c r="B1290" s="12" t="s">
        <v>5347</v>
      </c>
      <c r="C1290" s="12" t="s">
        <v>4592</v>
      </c>
      <c r="D1290" s="12">
        <v>1.0</v>
      </c>
      <c r="E1290" s="12">
        <v>19.98</v>
      </c>
      <c r="F1290" s="12">
        <v>19.98</v>
      </c>
    </row>
    <row r="1291">
      <c r="A1291" s="12" t="s">
        <v>5385</v>
      </c>
      <c r="B1291" s="12" t="s">
        <v>5387</v>
      </c>
      <c r="C1291" s="12" t="s">
        <v>2926</v>
      </c>
      <c r="D1291" s="12">
        <v>2.44</v>
      </c>
      <c r="E1291" s="12">
        <v>10.99</v>
      </c>
      <c r="F1291" s="12">
        <v>26.82</v>
      </c>
    </row>
    <row r="1292">
      <c r="A1292" s="12" t="s">
        <v>5389</v>
      </c>
      <c r="B1292" s="12" t="s">
        <v>5390</v>
      </c>
      <c r="C1292" s="12" t="s">
        <v>2907</v>
      </c>
      <c r="D1292" s="12">
        <v>0.588</v>
      </c>
      <c r="E1292" s="12">
        <v>14.99</v>
      </c>
      <c r="F1292" s="12">
        <v>8.81</v>
      </c>
    </row>
    <row r="1293">
      <c r="A1293" s="12" t="s">
        <v>5393</v>
      </c>
      <c r="B1293" s="12" t="s">
        <v>5394</v>
      </c>
      <c r="C1293" s="12" t="s">
        <v>2926</v>
      </c>
      <c r="D1293" s="12">
        <v>2.765</v>
      </c>
      <c r="E1293" s="12">
        <v>16.99</v>
      </c>
      <c r="F1293" s="12">
        <v>46.98</v>
      </c>
    </row>
    <row r="1294">
      <c r="A1294" s="12" t="s">
        <v>5395</v>
      </c>
      <c r="B1294" s="12" t="s">
        <v>5394</v>
      </c>
      <c r="C1294" s="12" t="s">
        <v>3019</v>
      </c>
      <c r="D1294" s="12">
        <v>0.0</v>
      </c>
      <c r="E1294" s="12">
        <v>0.0</v>
      </c>
      <c r="F1294" s="12">
        <v>0.0</v>
      </c>
    </row>
    <row r="1295">
      <c r="A1295" s="12" t="s">
        <v>5396</v>
      </c>
      <c r="B1295" s="12" t="s">
        <v>5394</v>
      </c>
      <c r="C1295" s="12" t="s">
        <v>3019</v>
      </c>
      <c r="D1295" s="12">
        <v>2.205</v>
      </c>
      <c r="E1295" s="12">
        <v>7.99</v>
      </c>
      <c r="F1295" s="12">
        <v>17.62</v>
      </c>
    </row>
    <row r="1296">
      <c r="A1296" s="12" t="s">
        <v>5398</v>
      </c>
      <c r="B1296" s="12" t="s">
        <v>5394</v>
      </c>
      <c r="C1296" s="12" t="s">
        <v>2941</v>
      </c>
      <c r="D1296" s="12">
        <v>3.0</v>
      </c>
      <c r="E1296" s="12">
        <v>5.99</v>
      </c>
      <c r="F1296" s="12">
        <v>17.97</v>
      </c>
    </row>
    <row r="1297">
      <c r="A1297" s="12" t="s">
        <v>5399</v>
      </c>
      <c r="B1297" s="12" t="s">
        <v>5394</v>
      </c>
      <c r="C1297" s="12" t="s">
        <v>3039</v>
      </c>
      <c r="D1297" s="12">
        <v>2.66</v>
      </c>
      <c r="E1297" s="12">
        <v>4.49</v>
      </c>
      <c r="F1297" s="12">
        <v>11.94</v>
      </c>
    </row>
    <row r="1298">
      <c r="A1298" s="12" t="s">
        <v>5401</v>
      </c>
      <c r="B1298" s="12" t="s">
        <v>5394</v>
      </c>
      <c r="C1298" s="12" t="s">
        <v>3039</v>
      </c>
      <c r="D1298" s="12">
        <v>1.225</v>
      </c>
      <c r="E1298" s="12">
        <v>4.49</v>
      </c>
      <c r="F1298" s="12">
        <v>5.5</v>
      </c>
    </row>
    <row r="1299">
      <c r="A1299" s="12" t="s">
        <v>5405</v>
      </c>
      <c r="B1299" s="12" t="s">
        <v>5394</v>
      </c>
      <c r="C1299" s="12" t="s">
        <v>3027</v>
      </c>
      <c r="D1299" s="12">
        <v>1.0</v>
      </c>
      <c r="E1299" s="12">
        <v>7.99</v>
      </c>
      <c r="F1299" s="12">
        <v>7.99</v>
      </c>
    </row>
    <row r="1300">
      <c r="A1300" s="12" t="s">
        <v>5406</v>
      </c>
      <c r="B1300" s="12" t="s">
        <v>5394</v>
      </c>
      <c r="C1300" s="12" t="s">
        <v>5409</v>
      </c>
      <c r="D1300" s="12">
        <v>1.0</v>
      </c>
      <c r="E1300" s="12">
        <v>9.9</v>
      </c>
      <c r="F1300" s="12">
        <v>9.9</v>
      </c>
    </row>
    <row r="1301">
      <c r="A1301" s="12" t="s">
        <v>5412</v>
      </c>
      <c r="B1301" s="12" t="s">
        <v>5394</v>
      </c>
      <c r="C1301" s="12" t="s">
        <v>3064</v>
      </c>
      <c r="D1301" s="12">
        <v>10.0</v>
      </c>
      <c r="E1301" s="12">
        <v>13.99</v>
      </c>
      <c r="F1301" s="12">
        <v>139.9</v>
      </c>
    </row>
    <row r="1302">
      <c r="A1302" s="12" t="s">
        <v>5415</v>
      </c>
      <c r="B1302" s="12" t="s">
        <v>5417</v>
      </c>
      <c r="C1302" s="12" t="s">
        <v>3100</v>
      </c>
      <c r="D1302" s="12">
        <v>1.0</v>
      </c>
      <c r="E1302" s="12">
        <v>32.0</v>
      </c>
      <c r="F1302" s="12">
        <v>32.0</v>
      </c>
    </row>
    <row r="1303">
      <c r="A1303" s="12" t="s">
        <v>5422</v>
      </c>
      <c r="B1303" s="12" t="s">
        <v>5423</v>
      </c>
      <c r="C1303" s="12" t="s">
        <v>717</v>
      </c>
      <c r="D1303" s="12">
        <v>1.0</v>
      </c>
      <c r="E1303" s="12">
        <v>2145.0</v>
      </c>
      <c r="F1303" s="12">
        <v>2145.0</v>
      </c>
    </row>
    <row r="1304">
      <c r="A1304" s="12" t="s">
        <v>5424</v>
      </c>
      <c r="B1304" s="12" t="s">
        <v>5423</v>
      </c>
      <c r="C1304" s="12" t="s">
        <v>2982</v>
      </c>
      <c r="D1304" s="12">
        <v>1.0</v>
      </c>
      <c r="E1304" s="12">
        <v>120.49</v>
      </c>
      <c r="F1304" s="12">
        <v>120.49</v>
      </c>
    </row>
    <row r="1305">
      <c r="A1305" s="12" t="s">
        <v>5429</v>
      </c>
      <c r="B1305" s="12" t="s">
        <v>5430</v>
      </c>
      <c r="C1305" s="12" t="s">
        <v>5432</v>
      </c>
      <c r="D1305" s="12">
        <v>1.0</v>
      </c>
      <c r="E1305" s="12">
        <v>100.0</v>
      </c>
      <c r="F1305" s="12">
        <v>100.0</v>
      </c>
    </row>
    <row r="1306">
      <c r="A1306" s="12" t="s">
        <v>5433</v>
      </c>
      <c r="B1306" s="12" t="s">
        <v>5434</v>
      </c>
      <c r="C1306" s="12" t="s">
        <v>5435</v>
      </c>
      <c r="D1306" s="12">
        <v>1.0</v>
      </c>
      <c r="E1306" s="12">
        <v>4.0</v>
      </c>
      <c r="F1306" s="12">
        <v>4.0</v>
      </c>
    </row>
    <row r="1307">
      <c r="A1307" s="12" t="s">
        <v>5437</v>
      </c>
      <c r="B1307" s="12" t="s">
        <v>5434</v>
      </c>
      <c r="C1307" s="12" t="s">
        <v>3180</v>
      </c>
      <c r="D1307" s="12">
        <v>1.0</v>
      </c>
      <c r="E1307" s="12">
        <v>18.0</v>
      </c>
      <c r="F1307" s="12">
        <v>18.0</v>
      </c>
    </row>
    <row r="1308">
      <c r="A1308" s="12" t="s">
        <v>5439</v>
      </c>
      <c r="B1308" s="12" t="s">
        <v>5434</v>
      </c>
      <c r="C1308" s="12" t="s">
        <v>5440</v>
      </c>
      <c r="D1308" s="12">
        <v>1.0</v>
      </c>
      <c r="E1308" s="12">
        <v>5.0</v>
      </c>
      <c r="F1308" s="12">
        <v>5.0</v>
      </c>
    </row>
    <row r="1309">
      <c r="A1309" s="12" t="s">
        <v>5441</v>
      </c>
      <c r="B1309" s="12" t="s">
        <v>5434</v>
      </c>
      <c r="C1309" s="12" t="s">
        <v>5432</v>
      </c>
      <c r="D1309" s="12">
        <v>5.0</v>
      </c>
      <c r="E1309" s="12">
        <v>2.0</v>
      </c>
      <c r="F1309" s="12">
        <v>10.0</v>
      </c>
    </row>
    <row r="1310">
      <c r="A1310" s="12" t="s">
        <v>5443</v>
      </c>
      <c r="B1310" s="12" t="s">
        <v>5444</v>
      </c>
      <c r="C1310" s="12" t="s">
        <v>4105</v>
      </c>
      <c r="D1310" s="12">
        <v>1.0</v>
      </c>
      <c r="E1310" s="12">
        <v>10.0</v>
      </c>
      <c r="F1310" s="12">
        <v>10.0</v>
      </c>
    </row>
    <row r="1311">
      <c r="A1311" s="12" t="s">
        <v>5445</v>
      </c>
      <c r="B1311" s="12" t="s">
        <v>5446</v>
      </c>
      <c r="C1311" s="12" t="s">
        <v>5447</v>
      </c>
      <c r="D1311" s="12">
        <v>1.0</v>
      </c>
      <c r="E1311" s="12">
        <v>63.3</v>
      </c>
      <c r="F1311" s="12">
        <v>63.3</v>
      </c>
    </row>
    <row r="1312">
      <c r="A1312" s="12" t="s">
        <v>5450</v>
      </c>
      <c r="B1312" s="12" t="s">
        <v>5453</v>
      </c>
      <c r="C1312" s="12" t="s">
        <v>5447</v>
      </c>
      <c r="D1312" s="12">
        <v>1.0</v>
      </c>
      <c r="E1312" s="12">
        <v>36.0</v>
      </c>
      <c r="F1312" s="12">
        <v>36.0</v>
      </c>
    </row>
    <row r="1313">
      <c r="A1313" s="12" t="s">
        <v>5454</v>
      </c>
      <c r="B1313" s="12" t="s">
        <v>5455</v>
      </c>
      <c r="C1313" s="12" t="s">
        <v>5447</v>
      </c>
      <c r="D1313" s="12">
        <v>1.0</v>
      </c>
      <c r="E1313" s="12">
        <v>20.97</v>
      </c>
      <c r="F1313" s="12">
        <v>20.97</v>
      </c>
    </row>
    <row r="1314">
      <c r="A1314" s="12" t="s">
        <v>5458</v>
      </c>
      <c r="B1314" s="12" t="s">
        <v>5460</v>
      </c>
      <c r="C1314" s="12" t="s">
        <v>3064</v>
      </c>
      <c r="D1314" s="12">
        <v>10.0</v>
      </c>
      <c r="E1314" s="12">
        <v>14.99</v>
      </c>
      <c r="F1314" s="12">
        <v>149.9</v>
      </c>
    </row>
    <row r="1315">
      <c r="A1315" s="12" t="s">
        <v>5461</v>
      </c>
      <c r="B1315" s="12" t="s">
        <v>5462</v>
      </c>
      <c r="C1315" s="12" t="s">
        <v>3019</v>
      </c>
      <c r="D1315" s="12">
        <v>2.63</v>
      </c>
      <c r="E1315" s="12">
        <v>7.99</v>
      </c>
      <c r="F1315" s="12">
        <v>21.01</v>
      </c>
    </row>
    <row r="1316">
      <c r="A1316" s="12" t="s">
        <v>5464</v>
      </c>
      <c r="B1316" s="12" t="s">
        <v>5462</v>
      </c>
      <c r="C1316" s="12" t="s">
        <v>3071</v>
      </c>
      <c r="D1316" s="12">
        <v>1.0</v>
      </c>
      <c r="E1316" s="12">
        <v>12.99</v>
      </c>
      <c r="F1316" s="12">
        <v>12.99</v>
      </c>
    </row>
    <row r="1317">
      <c r="A1317" s="12" t="s">
        <v>5467</v>
      </c>
      <c r="B1317" s="12" t="s">
        <v>5462</v>
      </c>
      <c r="C1317" s="12" t="s">
        <v>3076</v>
      </c>
      <c r="D1317" s="12">
        <v>1.0</v>
      </c>
      <c r="E1317" s="12">
        <v>8.49</v>
      </c>
      <c r="F1317" s="12">
        <v>8.49</v>
      </c>
    </row>
    <row r="1318">
      <c r="A1318" s="12" t="s">
        <v>5470</v>
      </c>
      <c r="B1318" s="12" t="s">
        <v>5462</v>
      </c>
      <c r="C1318" s="12" t="s">
        <v>3074</v>
      </c>
      <c r="D1318" s="12">
        <v>1.0</v>
      </c>
      <c r="E1318" s="12">
        <v>33.9</v>
      </c>
      <c r="F1318" s="12">
        <v>33.9</v>
      </c>
    </row>
    <row r="1319">
      <c r="A1319" s="12" t="s">
        <v>5473</v>
      </c>
      <c r="B1319" s="12" t="s">
        <v>5462</v>
      </c>
      <c r="C1319" s="12" t="s">
        <v>3071</v>
      </c>
      <c r="D1319" s="12">
        <v>2.0</v>
      </c>
      <c r="E1319" s="12">
        <v>12.99</v>
      </c>
      <c r="F1319" s="12">
        <v>25.98</v>
      </c>
    </row>
    <row r="1320">
      <c r="A1320" s="16" t="s">
        <v>5474</v>
      </c>
      <c r="B1320" s="12" t="s">
        <v>5462</v>
      </c>
      <c r="C1320" s="12" t="s">
        <v>3039</v>
      </c>
      <c r="D1320" s="12">
        <v>3.18</v>
      </c>
      <c r="E1320" s="12">
        <v>4.99</v>
      </c>
      <c r="F1320" s="12">
        <v>15.87</v>
      </c>
    </row>
    <row r="1321">
      <c r="A1321" s="12" t="s">
        <v>5478</v>
      </c>
      <c r="B1321" s="12" t="s">
        <v>5462</v>
      </c>
      <c r="C1321" s="12" t="s">
        <v>2907</v>
      </c>
      <c r="D1321" s="12">
        <v>0.55</v>
      </c>
      <c r="E1321" s="12">
        <v>11.9</v>
      </c>
      <c r="F1321" s="12">
        <v>6.55</v>
      </c>
    </row>
    <row r="1322">
      <c r="A1322" s="12" t="s">
        <v>5480</v>
      </c>
      <c r="B1322" s="12" t="s">
        <v>5462</v>
      </c>
      <c r="C1322" s="12" t="s">
        <v>2907</v>
      </c>
      <c r="D1322" s="12">
        <v>0.5</v>
      </c>
      <c r="E1322" s="12">
        <v>11.99</v>
      </c>
      <c r="F1322" s="12">
        <v>6.0</v>
      </c>
    </row>
    <row r="1323">
      <c r="A1323" s="12" t="s">
        <v>5483</v>
      </c>
      <c r="B1323" s="12" t="s">
        <v>5462</v>
      </c>
      <c r="C1323" s="12" t="s">
        <v>2926</v>
      </c>
      <c r="D1323" s="12">
        <v>4.5</v>
      </c>
      <c r="E1323" s="12">
        <v>16.99</v>
      </c>
      <c r="F1323" s="12">
        <v>76.46</v>
      </c>
    </row>
    <row r="1324">
      <c r="A1324" s="12" t="s">
        <v>5485</v>
      </c>
      <c r="B1324" s="12" t="s">
        <v>5462</v>
      </c>
      <c r="C1324" s="12" t="s">
        <v>5486</v>
      </c>
      <c r="D1324" s="12">
        <v>1.0</v>
      </c>
      <c r="E1324" s="12">
        <v>5.49</v>
      </c>
      <c r="F1324" s="12">
        <v>5.49</v>
      </c>
    </row>
    <row r="1325">
      <c r="A1325" s="12" t="s">
        <v>5490</v>
      </c>
      <c r="B1325" s="12" t="s">
        <v>5462</v>
      </c>
      <c r="C1325" s="12" t="s">
        <v>2929</v>
      </c>
      <c r="D1325" s="12">
        <v>2.0</v>
      </c>
      <c r="E1325" s="12">
        <v>12.9</v>
      </c>
      <c r="F1325" s="12">
        <v>25.8</v>
      </c>
    </row>
    <row r="1326">
      <c r="A1326" s="12" t="s">
        <v>5491</v>
      </c>
      <c r="B1326" s="12" t="s">
        <v>5462</v>
      </c>
      <c r="C1326" s="12" t="s">
        <v>2941</v>
      </c>
      <c r="D1326" s="12">
        <v>4.0</v>
      </c>
      <c r="E1326" s="12">
        <v>8.99</v>
      </c>
      <c r="F1326" s="12">
        <v>35.96</v>
      </c>
    </row>
    <row r="1327">
      <c r="A1327" s="12" t="s">
        <v>5493</v>
      </c>
      <c r="B1327" s="12" t="s">
        <v>5462</v>
      </c>
      <c r="C1327" s="12" t="s">
        <v>3397</v>
      </c>
      <c r="D1327" s="12">
        <v>2.0</v>
      </c>
      <c r="E1327" s="12">
        <v>10.99</v>
      </c>
      <c r="F1327" s="12">
        <v>21.98</v>
      </c>
    </row>
    <row r="1328">
      <c r="A1328" s="12" t="s">
        <v>5494</v>
      </c>
      <c r="B1328" s="12" t="s">
        <v>5462</v>
      </c>
      <c r="C1328" s="12" t="s">
        <v>3397</v>
      </c>
      <c r="D1328" s="12">
        <v>1.0</v>
      </c>
      <c r="E1328" s="12">
        <v>9.49</v>
      </c>
      <c r="F1328" s="12">
        <v>9.49</v>
      </c>
    </row>
    <row r="1329">
      <c r="A1329" s="12" t="s">
        <v>5495</v>
      </c>
      <c r="B1329" s="12" t="s">
        <v>5462</v>
      </c>
      <c r="C1329" s="12" t="s">
        <v>3015</v>
      </c>
      <c r="D1329" s="12">
        <v>1.0</v>
      </c>
      <c r="E1329" s="12">
        <v>29.9</v>
      </c>
      <c r="F1329" s="12">
        <v>29.9</v>
      </c>
    </row>
    <row r="1330">
      <c r="A1330" s="12" t="s">
        <v>5496</v>
      </c>
      <c r="B1330" s="12" t="s">
        <v>5462</v>
      </c>
      <c r="C1330" s="12" t="s">
        <v>4770</v>
      </c>
      <c r="D1330" s="12">
        <v>2.0</v>
      </c>
      <c r="E1330" s="12">
        <v>14.49</v>
      </c>
      <c r="F1330" s="12">
        <v>28.98</v>
      </c>
    </row>
    <row r="1331">
      <c r="A1331" s="12" t="s">
        <v>5499</v>
      </c>
      <c r="B1331" s="12" t="s">
        <v>5500</v>
      </c>
      <c r="C1331" s="12" t="s">
        <v>4544</v>
      </c>
      <c r="D1331" s="12">
        <v>1.0</v>
      </c>
      <c r="E1331" s="12">
        <v>22.99</v>
      </c>
      <c r="F1331" s="12">
        <v>22.99</v>
      </c>
    </row>
    <row r="1332">
      <c r="A1332" s="12" t="s">
        <v>5501</v>
      </c>
      <c r="B1332" s="12" t="s">
        <v>5500</v>
      </c>
      <c r="C1332" s="12" t="s">
        <v>3373</v>
      </c>
      <c r="D1332" s="12">
        <v>12.0</v>
      </c>
      <c r="E1332" s="12">
        <v>5.39</v>
      </c>
      <c r="F1332" s="12">
        <v>64.68</v>
      </c>
    </row>
    <row r="1333">
      <c r="A1333" s="12" t="s">
        <v>5504</v>
      </c>
      <c r="B1333" s="12" t="s">
        <v>5505</v>
      </c>
      <c r="C1333" s="12" t="s">
        <v>3008</v>
      </c>
      <c r="D1333" s="12">
        <v>3.0</v>
      </c>
      <c r="E1333" s="12">
        <v>45.6</v>
      </c>
      <c r="F1333" s="12">
        <v>136.8</v>
      </c>
    </row>
    <row r="1334">
      <c r="A1334" s="12" t="s">
        <v>5506</v>
      </c>
      <c r="B1334" s="12" t="s">
        <v>5505</v>
      </c>
      <c r="C1334" s="12" t="s">
        <v>3511</v>
      </c>
      <c r="D1334" s="12">
        <v>2.0</v>
      </c>
      <c r="E1334" s="12">
        <v>45.6</v>
      </c>
      <c r="F1334" s="12">
        <v>91.2</v>
      </c>
    </row>
    <row r="1335">
      <c r="A1335" s="12" t="s">
        <v>5508</v>
      </c>
      <c r="B1335" s="12" t="s">
        <v>5505</v>
      </c>
      <c r="C1335" s="12" t="s">
        <v>3111</v>
      </c>
      <c r="D1335" s="12">
        <v>5.0</v>
      </c>
      <c r="E1335" s="12">
        <v>14.28</v>
      </c>
      <c r="F1335" s="12">
        <v>71.4</v>
      </c>
    </row>
    <row r="1336">
      <c r="A1336" s="12" t="s">
        <v>5510</v>
      </c>
      <c r="B1336" s="12" t="s">
        <v>5505</v>
      </c>
      <c r="C1336" s="12" t="s">
        <v>3114</v>
      </c>
      <c r="D1336" s="12">
        <v>3.0</v>
      </c>
      <c r="E1336" s="12">
        <v>12.48</v>
      </c>
      <c r="F1336" s="12">
        <v>37.44</v>
      </c>
    </row>
    <row r="1337">
      <c r="A1337" s="12" t="s">
        <v>5511</v>
      </c>
      <c r="B1337" s="12" t="s">
        <v>5513</v>
      </c>
      <c r="C1337" s="12" t="s">
        <v>3103</v>
      </c>
      <c r="D1337" s="12">
        <v>1.0</v>
      </c>
      <c r="E1337" s="12">
        <v>11.99</v>
      </c>
      <c r="F1337" s="12">
        <v>11.99</v>
      </c>
    </row>
    <row r="1338">
      <c r="A1338" s="12" t="s">
        <v>5516</v>
      </c>
      <c r="B1338" s="12" t="s">
        <v>5513</v>
      </c>
      <c r="C1338" s="12" t="s">
        <v>2907</v>
      </c>
      <c r="D1338" s="12">
        <v>0.0</v>
      </c>
      <c r="E1338" s="12">
        <v>0.0</v>
      </c>
      <c r="F1338" s="12">
        <v>0.0</v>
      </c>
    </row>
    <row r="1339">
      <c r="A1339" s="12" t="s">
        <v>5517</v>
      </c>
      <c r="B1339" s="12" t="s">
        <v>5519</v>
      </c>
      <c r="C1339" s="12" t="s">
        <v>2907</v>
      </c>
      <c r="D1339" s="12">
        <v>0.416</v>
      </c>
      <c r="E1339" s="12">
        <v>14.99</v>
      </c>
      <c r="F1339" s="12">
        <v>6.24</v>
      </c>
    </row>
    <row r="1340">
      <c r="A1340" s="12" t="s">
        <v>5522</v>
      </c>
      <c r="B1340" s="12" t="s">
        <v>5523</v>
      </c>
      <c r="C1340" s="12" t="s">
        <v>2926</v>
      </c>
      <c r="D1340" s="12">
        <v>2.035</v>
      </c>
      <c r="E1340" s="12">
        <v>7.99</v>
      </c>
      <c r="F1340" s="12">
        <v>16.26</v>
      </c>
    </row>
    <row r="1341">
      <c r="A1341" s="12" t="s">
        <v>5524</v>
      </c>
      <c r="B1341" s="12" t="s">
        <v>5525</v>
      </c>
      <c r="C1341" s="16" t="s">
        <v>2910</v>
      </c>
      <c r="D1341" s="12">
        <v>15.0</v>
      </c>
      <c r="E1341" s="12">
        <v>33.0</v>
      </c>
      <c r="F1341" s="12">
        <v>495.0</v>
      </c>
    </row>
    <row r="1342">
      <c r="A1342" s="12" t="s">
        <v>5529</v>
      </c>
      <c r="B1342" s="16" t="s">
        <v>5530</v>
      </c>
      <c r="C1342" s="12" t="s">
        <v>3801</v>
      </c>
      <c r="D1342" s="12">
        <v>1.0</v>
      </c>
      <c r="E1342" s="12">
        <v>1.49</v>
      </c>
      <c r="F1342" s="12">
        <v>1.49</v>
      </c>
    </row>
    <row r="1343">
      <c r="A1343" s="12" t="s">
        <v>5531</v>
      </c>
      <c r="B1343" s="12" t="s">
        <v>5532</v>
      </c>
      <c r="C1343" s="12" t="s">
        <v>2907</v>
      </c>
      <c r="D1343" s="12">
        <v>0.906</v>
      </c>
      <c r="E1343" s="12">
        <v>6.99</v>
      </c>
      <c r="F1343" s="12">
        <v>6.33</v>
      </c>
    </row>
    <row r="1344">
      <c r="A1344" s="12" t="s">
        <v>5533</v>
      </c>
      <c r="B1344" s="12" t="s">
        <v>5534</v>
      </c>
      <c r="C1344" s="12" t="s">
        <v>3064</v>
      </c>
      <c r="D1344" s="12">
        <v>6.0</v>
      </c>
      <c r="E1344" s="12">
        <v>9.98</v>
      </c>
      <c r="F1344" s="12">
        <v>59.88</v>
      </c>
    </row>
    <row r="1345">
      <c r="A1345" s="12" t="s">
        <v>5535</v>
      </c>
      <c r="B1345" s="12" t="s">
        <v>5534</v>
      </c>
      <c r="C1345" s="12" t="s">
        <v>5486</v>
      </c>
      <c r="D1345" s="12">
        <v>2.0</v>
      </c>
      <c r="E1345" s="12">
        <v>5.99</v>
      </c>
      <c r="F1345" s="12">
        <v>11.98</v>
      </c>
    </row>
    <row r="1346">
      <c r="A1346" s="12" t="s">
        <v>5537</v>
      </c>
      <c r="B1346" s="12" t="s">
        <v>5534</v>
      </c>
      <c r="C1346" s="12" t="s">
        <v>4770</v>
      </c>
      <c r="D1346" s="12">
        <v>1.0</v>
      </c>
      <c r="E1346" s="12">
        <v>17.49</v>
      </c>
      <c r="F1346" s="12">
        <v>17.49</v>
      </c>
    </row>
    <row r="1347">
      <c r="A1347" s="12" t="s">
        <v>5541</v>
      </c>
      <c r="B1347" s="12" t="s">
        <v>5534</v>
      </c>
      <c r="C1347" s="12" t="s">
        <v>3074</v>
      </c>
      <c r="D1347" s="12">
        <v>1.0</v>
      </c>
      <c r="E1347" s="12">
        <v>8.19</v>
      </c>
      <c r="F1347" s="12">
        <v>8.19</v>
      </c>
    </row>
    <row r="1348">
      <c r="A1348" s="12" t="s">
        <v>5545</v>
      </c>
      <c r="B1348" s="12" t="s">
        <v>5534</v>
      </c>
      <c r="C1348" s="12" t="s">
        <v>3076</v>
      </c>
      <c r="D1348" s="12">
        <v>1.0</v>
      </c>
      <c r="E1348" s="12">
        <v>6.79</v>
      </c>
      <c r="F1348" s="12">
        <v>6.79</v>
      </c>
    </row>
    <row r="1349">
      <c r="A1349" s="12" t="s">
        <v>5547</v>
      </c>
      <c r="B1349" s="12" t="s">
        <v>5534</v>
      </c>
      <c r="C1349" s="12" t="s">
        <v>3071</v>
      </c>
      <c r="D1349" s="12">
        <v>1.0</v>
      </c>
      <c r="E1349" s="12">
        <v>12.99</v>
      </c>
      <c r="F1349" s="12">
        <v>12.99</v>
      </c>
    </row>
    <row r="1350">
      <c r="A1350" s="12" t="s">
        <v>5548</v>
      </c>
      <c r="B1350" s="12" t="s">
        <v>5534</v>
      </c>
      <c r="C1350" s="12" t="s">
        <v>3071</v>
      </c>
      <c r="D1350" s="12">
        <v>1.0</v>
      </c>
      <c r="E1350" s="12">
        <v>29.9</v>
      </c>
      <c r="F1350" s="12">
        <v>29.9</v>
      </c>
    </row>
    <row r="1351">
      <c r="A1351" s="12" t="s">
        <v>5549</v>
      </c>
      <c r="B1351" s="12" t="s">
        <v>5534</v>
      </c>
      <c r="C1351" s="12" t="s">
        <v>3909</v>
      </c>
      <c r="D1351" s="12">
        <v>5.0</v>
      </c>
      <c r="E1351" s="12">
        <v>1.29</v>
      </c>
      <c r="F1351" s="12">
        <v>6.45</v>
      </c>
    </row>
    <row r="1352">
      <c r="A1352" s="12" t="s">
        <v>5550</v>
      </c>
      <c r="B1352" s="12" t="s">
        <v>5534</v>
      </c>
      <c r="C1352" s="12" t="s">
        <v>3909</v>
      </c>
      <c r="D1352" s="12">
        <v>1.0</v>
      </c>
      <c r="E1352" s="12">
        <v>1.05</v>
      </c>
      <c r="F1352" s="12">
        <v>1.05</v>
      </c>
    </row>
    <row r="1353">
      <c r="A1353" s="12" t="s">
        <v>5551</v>
      </c>
      <c r="B1353" s="12" t="s">
        <v>5534</v>
      </c>
      <c r="C1353" s="12" t="s">
        <v>5552</v>
      </c>
      <c r="D1353" s="12">
        <v>2.0</v>
      </c>
      <c r="E1353" s="12">
        <v>21.99</v>
      </c>
      <c r="F1353" s="12">
        <v>43.98</v>
      </c>
    </row>
    <row r="1354">
      <c r="A1354" s="12" t="s">
        <v>5553</v>
      </c>
      <c r="B1354" s="12" t="s">
        <v>5534</v>
      </c>
      <c r="C1354" s="12" t="s">
        <v>3013</v>
      </c>
      <c r="D1354" s="12">
        <v>1.0</v>
      </c>
      <c r="E1354" s="12">
        <v>8.9</v>
      </c>
      <c r="F1354" s="12">
        <v>8.9</v>
      </c>
    </row>
    <row r="1355">
      <c r="A1355" s="12" t="s">
        <v>5554</v>
      </c>
      <c r="B1355" s="12" t="s">
        <v>5534</v>
      </c>
      <c r="C1355" s="12" t="s">
        <v>3019</v>
      </c>
      <c r="D1355" s="12">
        <v>3.175</v>
      </c>
      <c r="E1355" s="12">
        <v>7.99</v>
      </c>
      <c r="F1355" s="12">
        <v>25.37</v>
      </c>
    </row>
    <row r="1356">
      <c r="A1356" s="12" t="s">
        <v>5555</v>
      </c>
      <c r="B1356" s="12" t="s">
        <v>5534</v>
      </c>
      <c r="C1356" s="12" t="s">
        <v>2926</v>
      </c>
      <c r="D1356" s="12">
        <v>1.69</v>
      </c>
      <c r="E1356" s="12">
        <v>16.99</v>
      </c>
      <c r="F1356" s="12">
        <v>28.71</v>
      </c>
    </row>
    <row r="1357">
      <c r="A1357" s="12" t="s">
        <v>5559</v>
      </c>
      <c r="B1357" s="12" t="s">
        <v>5534</v>
      </c>
      <c r="C1357" s="12" t="s">
        <v>3039</v>
      </c>
      <c r="D1357" s="12">
        <v>3.05</v>
      </c>
      <c r="E1357" s="12">
        <v>4.99</v>
      </c>
      <c r="F1357" s="12">
        <v>15.22</v>
      </c>
    </row>
    <row r="1358">
      <c r="A1358" s="12" t="s">
        <v>5560</v>
      </c>
      <c r="B1358" s="12" t="s">
        <v>5534</v>
      </c>
      <c r="C1358" s="12" t="s">
        <v>3909</v>
      </c>
      <c r="D1358" s="12">
        <v>33.0</v>
      </c>
      <c r="E1358" s="12">
        <v>1.25</v>
      </c>
      <c r="F1358" s="12">
        <v>41.25</v>
      </c>
    </row>
    <row r="1359">
      <c r="A1359" s="12" t="s">
        <v>5561</v>
      </c>
      <c r="B1359" s="12" t="s">
        <v>5562</v>
      </c>
      <c r="C1359" s="12" t="s">
        <v>717</v>
      </c>
      <c r="D1359" s="12">
        <v>1.0</v>
      </c>
      <c r="E1359" s="12">
        <v>2145.0</v>
      </c>
      <c r="F1359" s="12">
        <v>2145.0</v>
      </c>
    </row>
    <row r="1360">
      <c r="A1360" s="12" t="s">
        <v>5563</v>
      </c>
      <c r="B1360" s="12" t="s">
        <v>5562</v>
      </c>
      <c r="C1360" s="12" t="s">
        <v>2982</v>
      </c>
      <c r="D1360" s="12">
        <v>1.0</v>
      </c>
      <c r="E1360" s="12">
        <v>120.49</v>
      </c>
      <c r="F1360" s="12">
        <v>120.49</v>
      </c>
    </row>
    <row r="1361">
      <c r="A1361" s="12" t="s">
        <v>5565</v>
      </c>
      <c r="B1361" s="12" t="s">
        <v>5566</v>
      </c>
      <c r="C1361" s="12" t="s">
        <v>3015</v>
      </c>
      <c r="D1361" s="12">
        <v>1.0</v>
      </c>
      <c r="E1361" s="12">
        <v>22.9</v>
      </c>
      <c r="F1361" s="12">
        <v>22.9</v>
      </c>
    </row>
    <row r="1362">
      <c r="A1362" s="12" t="s">
        <v>5569</v>
      </c>
      <c r="B1362" s="12" t="s">
        <v>5566</v>
      </c>
      <c r="C1362" s="12" t="s">
        <v>3019</v>
      </c>
      <c r="D1362" s="12">
        <v>1.43</v>
      </c>
      <c r="E1362" s="12">
        <v>7.99</v>
      </c>
      <c r="F1362" s="12">
        <v>11.43</v>
      </c>
    </row>
    <row r="1363">
      <c r="A1363" s="12" t="s">
        <v>5570</v>
      </c>
      <c r="B1363" s="12" t="s">
        <v>5566</v>
      </c>
      <c r="C1363" s="12" t="s">
        <v>3039</v>
      </c>
      <c r="D1363" s="12">
        <v>3.3</v>
      </c>
      <c r="E1363" s="12">
        <v>4.99</v>
      </c>
      <c r="F1363" s="12">
        <v>16.47</v>
      </c>
    </row>
    <row r="1364">
      <c r="A1364" s="12" t="s">
        <v>5572</v>
      </c>
      <c r="B1364" s="12" t="s">
        <v>5566</v>
      </c>
      <c r="C1364" s="12" t="s">
        <v>3130</v>
      </c>
      <c r="D1364" s="12">
        <v>1.0</v>
      </c>
      <c r="E1364" s="12">
        <v>24.99</v>
      </c>
      <c r="F1364" s="12">
        <v>24.99</v>
      </c>
    </row>
    <row r="1365">
      <c r="A1365" s="12" t="s">
        <v>5574</v>
      </c>
      <c r="B1365" s="12" t="s">
        <v>5566</v>
      </c>
      <c r="C1365" s="12" t="s">
        <v>4770</v>
      </c>
      <c r="D1365" s="12">
        <v>1.0</v>
      </c>
      <c r="E1365" s="12">
        <v>14.49</v>
      </c>
      <c r="F1365" s="12">
        <v>14.49</v>
      </c>
    </row>
    <row r="1366">
      <c r="A1366" s="12" t="s">
        <v>5578</v>
      </c>
      <c r="B1366" s="12" t="s">
        <v>5566</v>
      </c>
      <c r="C1366" s="12" t="s">
        <v>2941</v>
      </c>
      <c r="D1366" s="12">
        <v>2.0</v>
      </c>
      <c r="E1366" s="12">
        <v>6.99</v>
      </c>
      <c r="F1366" s="12">
        <v>13.98</v>
      </c>
    </row>
    <row r="1367">
      <c r="A1367" s="12" t="s">
        <v>5580</v>
      </c>
      <c r="B1367" s="12" t="s">
        <v>5566</v>
      </c>
      <c r="C1367" s="12" t="s">
        <v>5486</v>
      </c>
      <c r="D1367" s="12">
        <v>2.0</v>
      </c>
      <c r="E1367" s="12">
        <v>7.39</v>
      </c>
      <c r="F1367" s="12">
        <v>14.78</v>
      </c>
    </row>
    <row r="1368">
      <c r="A1368" s="16" t="s">
        <v>5583</v>
      </c>
      <c r="B1368" s="12" t="s">
        <v>5566</v>
      </c>
      <c r="C1368" s="12" t="s">
        <v>2969</v>
      </c>
      <c r="D1368" s="12">
        <v>1.0</v>
      </c>
      <c r="E1368" s="12">
        <v>7.69</v>
      </c>
      <c r="F1368" s="12">
        <v>7.69</v>
      </c>
    </row>
    <row r="1369">
      <c r="A1369" s="12" t="s">
        <v>5584</v>
      </c>
      <c r="B1369" s="12" t="s">
        <v>5566</v>
      </c>
      <c r="C1369" s="12" t="s">
        <v>3262</v>
      </c>
      <c r="D1369" s="12">
        <v>1.0</v>
      </c>
      <c r="E1369" s="12">
        <v>6.49</v>
      </c>
      <c r="F1369" s="12">
        <v>6.49</v>
      </c>
    </row>
    <row r="1370">
      <c r="A1370" s="12" t="s">
        <v>5587</v>
      </c>
      <c r="B1370" s="12" t="s">
        <v>5566</v>
      </c>
      <c r="C1370" s="12" t="s">
        <v>5588</v>
      </c>
      <c r="D1370" s="12">
        <v>1.0</v>
      </c>
      <c r="E1370" s="12">
        <v>11.99</v>
      </c>
      <c r="F1370" s="12">
        <v>11.99</v>
      </c>
    </row>
    <row r="1371">
      <c r="A1371" s="12" t="s">
        <v>5589</v>
      </c>
      <c r="B1371" s="12" t="s">
        <v>5566</v>
      </c>
      <c r="C1371" s="12" t="s">
        <v>3071</v>
      </c>
      <c r="D1371" s="12">
        <v>1.0</v>
      </c>
      <c r="E1371" s="12">
        <v>12.95</v>
      </c>
      <c r="F1371" s="12">
        <v>12.95</v>
      </c>
    </row>
    <row r="1372">
      <c r="A1372" s="12" t="s">
        <v>5592</v>
      </c>
      <c r="B1372" s="12" t="s">
        <v>5566</v>
      </c>
      <c r="C1372" s="12" t="s">
        <v>3071</v>
      </c>
      <c r="D1372" s="12">
        <v>1.0</v>
      </c>
      <c r="E1372" s="12">
        <v>29.9</v>
      </c>
      <c r="F1372" s="12">
        <v>29.9</v>
      </c>
    </row>
    <row r="1373">
      <c r="A1373" s="12" t="s">
        <v>5593</v>
      </c>
      <c r="B1373" s="12" t="s">
        <v>5566</v>
      </c>
      <c r="C1373" s="12" t="s">
        <v>5588</v>
      </c>
      <c r="D1373" s="12">
        <v>1.0</v>
      </c>
      <c r="E1373" s="12">
        <v>11.99</v>
      </c>
      <c r="F1373" s="12">
        <v>11.99</v>
      </c>
    </row>
    <row r="1374">
      <c r="A1374" s="16" t="s">
        <v>5597</v>
      </c>
      <c r="B1374" s="12" t="s">
        <v>5566</v>
      </c>
      <c r="C1374" s="12" t="s">
        <v>3074</v>
      </c>
      <c r="D1374" s="12">
        <v>1.0</v>
      </c>
      <c r="E1374" s="12">
        <v>10.29</v>
      </c>
      <c r="F1374" s="12">
        <v>10.29</v>
      </c>
    </row>
    <row r="1375">
      <c r="A1375" s="12" t="s">
        <v>5598</v>
      </c>
      <c r="B1375" s="12" t="s">
        <v>5566</v>
      </c>
      <c r="C1375" s="12" t="s">
        <v>4448</v>
      </c>
      <c r="D1375" s="12">
        <v>2.0</v>
      </c>
      <c r="E1375" s="12">
        <v>4.99</v>
      </c>
      <c r="F1375" s="12">
        <v>9.98</v>
      </c>
    </row>
    <row r="1376">
      <c r="A1376" s="12" t="s">
        <v>5601</v>
      </c>
      <c r="B1376" s="12" t="s">
        <v>5602</v>
      </c>
      <c r="C1376" s="12" t="s">
        <v>2926</v>
      </c>
      <c r="D1376" s="12">
        <v>1.03</v>
      </c>
      <c r="E1376" s="12">
        <v>14.99</v>
      </c>
      <c r="F1376" s="12">
        <v>15.44</v>
      </c>
    </row>
    <row r="1377">
      <c r="A1377" s="12" t="s">
        <v>5603</v>
      </c>
      <c r="B1377" s="12" t="s">
        <v>5605</v>
      </c>
      <c r="C1377" s="12" t="s">
        <v>2907</v>
      </c>
      <c r="D1377" s="12">
        <v>0.29</v>
      </c>
      <c r="E1377" s="12">
        <v>14.99</v>
      </c>
      <c r="F1377" s="12">
        <v>4.35</v>
      </c>
    </row>
    <row r="1378">
      <c r="A1378" s="12" t="s">
        <v>5606</v>
      </c>
      <c r="B1378" s="12" t="s">
        <v>5607</v>
      </c>
      <c r="C1378" s="12" t="s">
        <v>5608</v>
      </c>
      <c r="D1378" s="12">
        <v>1.0</v>
      </c>
      <c r="E1378" s="12">
        <v>22.79</v>
      </c>
      <c r="F1378" s="12">
        <v>22.79</v>
      </c>
    </row>
    <row r="1379">
      <c r="A1379" s="12" t="s">
        <v>5609</v>
      </c>
      <c r="B1379" s="12" t="s">
        <v>5607</v>
      </c>
      <c r="C1379" s="12" t="s">
        <v>4842</v>
      </c>
      <c r="D1379" s="12">
        <v>1.0</v>
      </c>
      <c r="E1379" s="12">
        <v>4.99</v>
      </c>
      <c r="F1379" s="12">
        <v>4.99</v>
      </c>
    </row>
    <row r="1380">
      <c r="A1380" s="12" t="s">
        <v>5613</v>
      </c>
      <c r="B1380" s="12" t="s">
        <v>5607</v>
      </c>
      <c r="C1380" s="12" t="s">
        <v>2941</v>
      </c>
      <c r="D1380" s="12">
        <v>3.0</v>
      </c>
      <c r="E1380" s="12">
        <v>5.99</v>
      </c>
      <c r="F1380" s="12">
        <v>17.97</v>
      </c>
    </row>
    <row r="1381">
      <c r="A1381" s="12" t="s">
        <v>5614</v>
      </c>
      <c r="B1381" s="12" t="s">
        <v>5607</v>
      </c>
      <c r="C1381" s="12" t="s">
        <v>4842</v>
      </c>
      <c r="D1381" s="12">
        <v>1.0</v>
      </c>
      <c r="E1381" s="12">
        <v>4.59</v>
      </c>
      <c r="F1381" s="12">
        <v>4.59</v>
      </c>
    </row>
    <row r="1382">
      <c r="A1382" s="12" t="s">
        <v>5618</v>
      </c>
      <c r="B1382" s="12" t="s">
        <v>5607</v>
      </c>
      <c r="C1382" s="12" t="s">
        <v>2926</v>
      </c>
      <c r="D1382" s="12">
        <v>2.775</v>
      </c>
      <c r="E1382" s="12">
        <v>24.99</v>
      </c>
      <c r="F1382" s="12">
        <v>69.35</v>
      </c>
    </row>
    <row r="1383">
      <c r="A1383" s="12" t="s">
        <v>5620</v>
      </c>
      <c r="B1383" s="12" t="s">
        <v>5607</v>
      </c>
      <c r="C1383" s="12" t="s">
        <v>2926</v>
      </c>
      <c r="D1383" s="12">
        <v>0.39</v>
      </c>
      <c r="E1383" s="12">
        <v>24.99</v>
      </c>
      <c r="F1383" s="12">
        <v>9.75</v>
      </c>
    </row>
    <row r="1384">
      <c r="A1384" s="12" t="s">
        <v>5622</v>
      </c>
      <c r="B1384" s="12" t="s">
        <v>5607</v>
      </c>
      <c r="C1384" s="12" t="s">
        <v>3019</v>
      </c>
      <c r="D1384" s="12">
        <v>2.18</v>
      </c>
      <c r="E1384" s="12">
        <v>4.99</v>
      </c>
      <c r="F1384" s="12">
        <v>10.88</v>
      </c>
    </row>
    <row r="1385">
      <c r="A1385" s="12" t="s">
        <v>5628</v>
      </c>
      <c r="B1385" s="12" t="s">
        <v>5607</v>
      </c>
      <c r="C1385" s="12" t="s">
        <v>3039</v>
      </c>
      <c r="D1385" s="12">
        <v>1.94</v>
      </c>
      <c r="E1385" s="12">
        <v>4.99</v>
      </c>
      <c r="F1385" s="12">
        <v>9.68</v>
      </c>
    </row>
    <row r="1386">
      <c r="A1386" s="12" t="s">
        <v>5631</v>
      </c>
      <c r="B1386" s="12" t="s">
        <v>5607</v>
      </c>
      <c r="C1386" s="12" t="s">
        <v>3039</v>
      </c>
      <c r="D1386" s="12">
        <v>1.44</v>
      </c>
      <c r="E1386" s="12">
        <v>4.99</v>
      </c>
      <c r="F1386" s="12">
        <v>7.19</v>
      </c>
    </row>
    <row r="1387">
      <c r="A1387" s="12" t="s">
        <v>5634</v>
      </c>
      <c r="B1387" s="12" t="s">
        <v>286</v>
      </c>
      <c r="C1387" s="16" t="s">
        <v>2910</v>
      </c>
      <c r="D1387" s="12">
        <v>7.0</v>
      </c>
      <c r="E1387" s="12">
        <v>35.0</v>
      </c>
      <c r="F1387" s="12">
        <v>245.0</v>
      </c>
    </row>
    <row r="1388">
      <c r="A1388" s="12" t="s">
        <v>5639</v>
      </c>
      <c r="B1388" s="12" t="s">
        <v>316</v>
      </c>
      <c r="C1388" s="16" t="s">
        <v>5640</v>
      </c>
      <c r="D1388" s="12">
        <v>1.0</v>
      </c>
      <c r="E1388" s="12">
        <v>22.8</v>
      </c>
      <c r="F1388" s="12">
        <v>22.8</v>
      </c>
    </row>
    <row r="1389">
      <c r="A1389" s="16" t="s">
        <v>5642</v>
      </c>
      <c r="B1389" s="12" t="s">
        <v>316</v>
      </c>
      <c r="C1389" s="12" t="s">
        <v>3004</v>
      </c>
      <c r="D1389" s="12">
        <v>1.0</v>
      </c>
      <c r="E1389" s="12">
        <v>22.8</v>
      </c>
      <c r="F1389" s="12">
        <v>22.8</v>
      </c>
    </row>
    <row r="1390">
      <c r="A1390" s="12" t="s">
        <v>5647</v>
      </c>
      <c r="B1390" s="12" t="s">
        <v>316</v>
      </c>
      <c r="C1390" s="12" t="s">
        <v>3006</v>
      </c>
      <c r="D1390" s="12">
        <v>1.0</v>
      </c>
      <c r="E1390" s="12">
        <v>22.8</v>
      </c>
      <c r="F1390" s="12">
        <v>22.8</v>
      </c>
    </row>
    <row r="1391">
      <c r="A1391" s="12" t="s">
        <v>5648</v>
      </c>
      <c r="B1391" s="12" t="s">
        <v>316</v>
      </c>
      <c r="C1391" s="12" t="s">
        <v>3511</v>
      </c>
      <c r="D1391" s="12">
        <v>1.0</v>
      </c>
      <c r="E1391" s="12">
        <v>45.6</v>
      </c>
      <c r="F1391" s="12">
        <v>45.6</v>
      </c>
    </row>
    <row r="1392">
      <c r="A1392" s="12" t="s">
        <v>5652</v>
      </c>
      <c r="B1392" s="12" t="s">
        <v>316</v>
      </c>
      <c r="C1392" s="12" t="s">
        <v>3008</v>
      </c>
      <c r="D1392" s="12">
        <v>1.0</v>
      </c>
      <c r="E1392" s="12">
        <v>45.6</v>
      </c>
      <c r="F1392" s="12">
        <v>45.6</v>
      </c>
    </row>
    <row r="1393">
      <c r="A1393" s="12" t="s">
        <v>5653</v>
      </c>
      <c r="B1393" s="12" t="s">
        <v>5654</v>
      </c>
      <c r="C1393" s="12" t="s">
        <v>3100</v>
      </c>
      <c r="D1393" s="12">
        <v>1.0</v>
      </c>
      <c r="E1393" s="12">
        <v>75.5</v>
      </c>
      <c r="F1393" s="12">
        <v>75.5</v>
      </c>
    </row>
    <row r="1394">
      <c r="A1394" s="12" t="s">
        <v>5657</v>
      </c>
      <c r="B1394" s="12" t="s">
        <v>361</v>
      </c>
      <c r="C1394" s="12" t="s">
        <v>5658</v>
      </c>
      <c r="D1394" s="12">
        <v>1.0</v>
      </c>
      <c r="E1394" s="12">
        <v>12.5</v>
      </c>
      <c r="F1394" s="12">
        <v>12.5</v>
      </c>
    </row>
    <row r="1395">
      <c r="A1395" s="12" t="s">
        <v>5659</v>
      </c>
      <c r="B1395" s="12" t="s">
        <v>361</v>
      </c>
      <c r="C1395" s="12" t="s">
        <v>3103</v>
      </c>
      <c r="D1395" s="12">
        <v>1.0</v>
      </c>
      <c r="E1395" s="12">
        <v>24.5</v>
      </c>
      <c r="F1395" s="12">
        <v>24.5</v>
      </c>
    </row>
    <row r="1396">
      <c r="A1396" s="12" t="s">
        <v>5663</v>
      </c>
      <c r="B1396" s="12" t="s">
        <v>361</v>
      </c>
      <c r="C1396" s="12" t="s">
        <v>3103</v>
      </c>
      <c r="D1396" s="12">
        <v>1.0</v>
      </c>
      <c r="E1396" s="12">
        <v>29.9</v>
      </c>
      <c r="F1396" s="12">
        <v>29.9</v>
      </c>
    </row>
    <row r="1397">
      <c r="A1397" s="12" t="s">
        <v>5665</v>
      </c>
      <c r="B1397" s="12" t="s">
        <v>369</v>
      </c>
      <c r="C1397" s="12" t="s">
        <v>3267</v>
      </c>
      <c r="D1397" s="12">
        <v>1.0</v>
      </c>
      <c r="E1397" s="12">
        <v>5.99</v>
      </c>
      <c r="F1397" s="12">
        <v>5.99</v>
      </c>
    </row>
    <row r="1398">
      <c r="A1398" s="12" t="s">
        <v>5668</v>
      </c>
      <c r="B1398" s="16" t="s">
        <v>5669</v>
      </c>
      <c r="C1398" s="12" t="s">
        <v>2926</v>
      </c>
      <c r="D1398" s="12">
        <v>3.915</v>
      </c>
      <c r="E1398" s="12">
        <v>17.98</v>
      </c>
      <c r="F1398" s="12">
        <v>70.39</v>
      </c>
    </row>
    <row r="1399">
      <c r="A1399" s="16" t="s">
        <v>5670</v>
      </c>
      <c r="B1399" s="16" t="s">
        <v>5669</v>
      </c>
      <c r="C1399" s="12" t="s">
        <v>3019</v>
      </c>
      <c r="D1399" s="12">
        <v>1.74</v>
      </c>
      <c r="E1399" s="12">
        <v>7.85</v>
      </c>
      <c r="F1399" s="12">
        <v>13.66</v>
      </c>
    </row>
    <row r="1400">
      <c r="A1400" s="12" t="s">
        <v>5671</v>
      </c>
      <c r="B1400" s="16" t="s">
        <v>5669</v>
      </c>
      <c r="C1400" s="12" t="s">
        <v>3039</v>
      </c>
      <c r="D1400" s="12">
        <v>3.39</v>
      </c>
      <c r="E1400" s="12">
        <v>4.02</v>
      </c>
      <c r="F1400" s="12">
        <v>13.63</v>
      </c>
    </row>
    <row r="1401">
      <c r="A1401" s="12" t="s">
        <v>5675</v>
      </c>
      <c r="B1401" s="16" t="s">
        <v>5669</v>
      </c>
      <c r="C1401" s="12" t="s">
        <v>3064</v>
      </c>
      <c r="D1401" s="12">
        <v>10.0</v>
      </c>
      <c r="E1401" s="12">
        <v>7.91</v>
      </c>
      <c r="F1401" s="12">
        <v>79.1</v>
      </c>
    </row>
    <row r="1402">
      <c r="A1402" s="12" t="s">
        <v>5678</v>
      </c>
      <c r="B1402" s="16" t="s">
        <v>5669</v>
      </c>
      <c r="C1402" s="12" t="s">
        <v>3267</v>
      </c>
      <c r="D1402" s="12">
        <v>2.0</v>
      </c>
      <c r="E1402" s="12">
        <v>30.34</v>
      </c>
      <c r="F1402" s="12">
        <v>60.68</v>
      </c>
    </row>
    <row r="1403">
      <c r="A1403" s="12" t="s">
        <v>5679</v>
      </c>
      <c r="B1403" s="16" t="s">
        <v>5669</v>
      </c>
      <c r="C1403" s="12" t="s">
        <v>4147</v>
      </c>
      <c r="D1403" s="12">
        <v>1.0</v>
      </c>
      <c r="E1403" s="12">
        <v>8.04</v>
      </c>
      <c r="F1403" s="12">
        <v>8.04</v>
      </c>
    </row>
    <row r="1404">
      <c r="A1404" s="12" t="s">
        <v>5681</v>
      </c>
      <c r="B1404" s="16" t="s">
        <v>5669</v>
      </c>
      <c r="C1404" s="12" t="s">
        <v>5682</v>
      </c>
      <c r="D1404" s="12">
        <v>1.0</v>
      </c>
      <c r="E1404" s="12">
        <v>7.39</v>
      </c>
      <c r="F1404" s="12">
        <v>7.39</v>
      </c>
    </row>
    <row r="1405">
      <c r="A1405" s="12" t="s">
        <v>5683</v>
      </c>
      <c r="B1405" s="16" t="s">
        <v>5669</v>
      </c>
      <c r="C1405" s="12" t="s">
        <v>2905</v>
      </c>
      <c r="D1405" s="12">
        <v>1.0</v>
      </c>
      <c r="E1405" s="12">
        <v>14.24</v>
      </c>
      <c r="F1405" s="12">
        <v>14.24</v>
      </c>
    </row>
    <row r="1406">
      <c r="A1406" s="12" t="s">
        <v>5685</v>
      </c>
      <c r="B1406" s="16" t="s">
        <v>5669</v>
      </c>
      <c r="C1406" s="12" t="s">
        <v>3076</v>
      </c>
      <c r="D1406" s="12">
        <v>1.0</v>
      </c>
      <c r="E1406" s="12">
        <v>6.62</v>
      </c>
      <c r="F1406" s="12">
        <v>6.62</v>
      </c>
    </row>
    <row r="1407">
      <c r="A1407" s="12" t="s">
        <v>5687</v>
      </c>
      <c r="B1407" s="16" t="s">
        <v>5669</v>
      </c>
      <c r="C1407" s="12" t="s">
        <v>3074</v>
      </c>
      <c r="D1407" s="12">
        <v>1.0</v>
      </c>
      <c r="E1407" s="12">
        <v>6.45</v>
      </c>
      <c r="F1407" s="12">
        <v>6.45</v>
      </c>
    </row>
    <row r="1408">
      <c r="A1408" s="12" t="s">
        <v>5690</v>
      </c>
      <c r="B1408" s="16" t="s">
        <v>5669</v>
      </c>
      <c r="C1408" s="12" t="s">
        <v>3071</v>
      </c>
      <c r="D1408" s="12">
        <v>2.0</v>
      </c>
      <c r="E1408" s="12">
        <v>11.77</v>
      </c>
      <c r="F1408" s="12">
        <v>23.54</v>
      </c>
    </row>
    <row r="1409">
      <c r="A1409" s="12" t="s">
        <v>5691</v>
      </c>
      <c r="B1409" s="16" t="s">
        <v>5692</v>
      </c>
      <c r="C1409" s="12" t="s">
        <v>3100</v>
      </c>
      <c r="D1409" s="12">
        <v>1.0</v>
      </c>
      <c r="E1409" s="12">
        <v>15.0</v>
      </c>
      <c r="F1409" s="12">
        <v>15.0</v>
      </c>
    </row>
    <row r="1410">
      <c r="A1410" s="12" t="s">
        <v>5696</v>
      </c>
      <c r="B1410" s="16" t="s">
        <v>5698</v>
      </c>
      <c r="C1410" s="12" t="s">
        <v>2907</v>
      </c>
      <c r="D1410" s="12">
        <v>0.286</v>
      </c>
      <c r="E1410" s="12">
        <v>12.99</v>
      </c>
      <c r="F1410" s="12">
        <v>3.72</v>
      </c>
    </row>
    <row r="1411">
      <c r="A1411" s="12" t="s">
        <v>5699</v>
      </c>
      <c r="B1411" s="16" t="s">
        <v>467</v>
      </c>
      <c r="C1411" s="12" t="s">
        <v>5700</v>
      </c>
      <c r="D1411" s="12">
        <v>1.0</v>
      </c>
      <c r="E1411" s="12">
        <v>21.9</v>
      </c>
      <c r="F1411" s="12">
        <v>21.9</v>
      </c>
    </row>
    <row r="1412">
      <c r="A1412" s="12" t="s">
        <v>5703</v>
      </c>
      <c r="B1412" s="16" t="s">
        <v>477</v>
      </c>
      <c r="C1412" s="12" t="s">
        <v>5700</v>
      </c>
      <c r="D1412" s="12">
        <v>2.0</v>
      </c>
      <c r="E1412" s="12">
        <v>21.9</v>
      </c>
      <c r="F1412" s="12">
        <v>43.8</v>
      </c>
    </row>
    <row r="1413">
      <c r="A1413" s="12" t="s">
        <v>5705</v>
      </c>
      <c r="B1413" s="16" t="s">
        <v>477</v>
      </c>
      <c r="C1413" s="12" t="s">
        <v>925</v>
      </c>
      <c r="D1413" s="12">
        <v>1.0</v>
      </c>
      <c r="E1413" s="12">
        <v>12.99</v>
      </c>
      <c r="F1413" s="12">
        <v>12.99</v>
      </c>
    </row>
    <row r="1414">
      <c r="A1414" s="12" t="s">
        <v>5706</v>
      </c>
      <c r="B1414" s="12" t="s">
        <v>5707</v>
      </c>
      <c r="C1414" s="12" t="s">
        <v>1236</v>
      </c>
      <c r="D1414" s="12">
        <v>1.0</v>
      </c>
      <c r="E1414" s="12">
        <v>446.93</v>
      </c>
      <c r="F1414" s="12">
        <v>446.93</v>
      </c>
    </row>
    <row r="1415">
      <c r="A1415" s="12" t="s">
        <v>5708</v>
      </c>
      <c r="B1415" s="12" t="s">
        <v>5709</v>
      </c>
      <c r="C1415" s="12" t="s">
        <v>1236</v>
      </c>
      <c r="D1415" s="12">
        <v>1.0</v>
      </c>
      <c r="E1415" s="12">
        <v>1984.2</v>
      </c>
      <c r="F1415" s="12">
        <v>1984.2</v>
      </c>
    </row>
    <row r="1416">
      <c r="A1416" s="12" t="s">
        <v>5710</v>
      </c>
      <c r="B1416" s="12" t="s">
        <v>5711</v>
      </c>
      <c r="C1416" s="12" t="s">
        <v>1236</v>
      </c>
      <c r="D1416" s="12">
        <v>1.0</v>
      </c>
      <c r="E1416" s="12">
        <v>56.34</v>
      </c>
      <c r="F1416" s="12">
        <v>56.34</v>
      </c>
    </row>
    <row r="1417">
      <c r="A1417" s="12" t="s">
        <v>5714</v>
      </c>
      <c r="B1417" s="16" t="s">
        <v>562</v>
      </c>
      <c r="C1417" s="12" t="s">
        <v>3533</v>
      </c>
      <c r="D1417" s="12">
        <v>2.0</v>
      </c>
      <c r="E1417" s="12">
        <v>15.9</v>
      </c>
      <c r="F1417" s="12">
        <v>31.8</v>
      </c>
    </row>
    <row r="1418">
      <c r="A1418" s="12" t="s">
        <v>5717</v>
      </c>
      <c r="B1418" s="16" t="s">
        <v>553</v>
      </c>
      <c r="C1418" s="12" t="s">
        <v>3816</v>
      </c>
      <c r="D1418" s="12">
        <v>10.0</v>
      </c>
      <c r="E1418" s="12">
        <v>6.0</v>
      </c>
      <c r="F1418" s="12">
        <v>60.0</v>
      </c>
    </row>
    <row r="1419">
      <c r="A1419" s="12" t="s">
        <v>5719</v>
      </c>
      <c r="B1419" s="16" t="s">
        <v>553</v>
      </c>
      <c r="C1419" s="12" t="s">
        <v>3816</v>
      </c>
      <c r="D1419" s="12">
        <v>2.0</v>
      </c>
      <c r="E1419" s="12">
        <v>5.0</v>
      </c>
      <c r="F1419" s="12">
        <v>10.0</v>
      </c>
    </row>
    <row r="1420">
      <c r="A1420" s="12" t="s">
        <v>5720</v>
      </c>
      <c r="B1420" s="16" t="s">
        <v>544</v>
      </c>
      <c r="C1420" s="12" t="s">
        <v>3203</v>
      </c>
      <c r="D1420" s="12">
        <v>17.0</v>
      </c>
      <c r="E1420" s="12">
        <v>2.5</v>
      </c>
      <c r="F1420" s="12">
        <v>42.5</v>
      </c>
    </row>
    <row r="1421">
      <c r="A1421" s="12" t="s">
        <v>5722</v>
      </c>
      <c r="B1421" s="16" t="s">
        <v>531</v>
      </c>
      <c r="C1421" s="12" t="s">
        <v>3397</v>
      </c>
      <c r="D1421" s="12">
        <v>1.0</v>
      </c>
      <c r="E1421" s="12">
        <v>79.0</v>
      </c>
      <c r="F1421" s="12">
        <v>79.0</v>
      </c>
    </row>
    <row r="1422">
      <c r="A1422" s="12" t="s">
        <v>5723</v>
      </c>
      <c r="B1422" s="12" t="s">
        <v>5724</v>
      </c>
      <c r="C1422" s="12" t="s">
        <v>911</v>
      </c>
      <c r="D1422" s="12">
        <v>1.0</v>
      </c>
      <c r="E1422" s="12">
        <v>2341.13</v>
      </c>
      <c r="F1422" s="12">
        <v>2341.13</v>
      </c>
    </row>
    <row r="1423">
      <c r="A1423" s="12" t="s">
        <v>5725</v>
      </c>
      <c r="B1423" s="12">
        <v>1616.0</v>
      </c>
      <c r="C1423" s="12" t="s">
        <v>874</v>
      </c>
      <c r="D1423" s="12">
        <v>1.0</v>
      </c>
      <c r="E1423" s="12">
        <v>125.0</v>
      </c>
      <c r="F1423" s="12">
        <v>125.0</v>
      </c>
    </row>
    <row r="1424">
      <c r="A1424" s="12" t="s">
        <v>5729</v>
      </c>
      <c r="B1424" s="12">
        <v>1621.0</v>
      </c>
      <c r="C1424" s="12" t="s">
        <v>911</v>
      </c>
      <c r="D1424" s="12">
        <v>1.0</v>
      </c>
      <c r="E1424" s="12">
        <v>0.0</v>
      </c>
      <c r="F1424" s="12">
        <v>0.0</v>
      </c>
    </row>
    <row r="1425">
      <c r="A1425" s="12" t="s">
        <v>5730</v>
      </c>
      <c r="B1425" s="12">
        <v>1622.0</v>
      </c>
      <c r="C1425" s="12" t="s">
        <v>936</v>
      </c>
      <c r="D1425" s="12">
        <v>1.0</v>
      </c>
      <c r="E1425" s="12">
        <v>523.0</v>
      </c>
      <c r="F1425" s="12">
        <v>523.0</v>
      </c>
    </row>
    <row r="1426">
      <c r="A1426" s="12" t="s">
        <v>5735</v>
      </c>
      <c r="B1426" s="12" t="s">
        <v>5736</v>
      </c>
      <c r="C1426" s="12" t="s">
        <v>1196</v>
      </c>
      <c r="D1426" s="12">
        <v>1.0</v>
      </c>
      <c r="E1426" s="12">
        <v>2283.37</v>
      </c>
      <c r="F1426" s="12">
        <v>2283.37</v>
      </c>
    </row>
    <row r="1427">
      <c r="A1427" s="12" t="s">
        <v>5737</v>
      </c>
      <c r="B1427" s="12" t="s">
        <v>650</v>
      </c>
      <c r="C1427" s="16" t="s">
        <v>2910</v>
      </c>
      <c r="D1427" s="12">
        <v>35.0</v>
      </c>
      <c r="E1427" s="12">
        <v>6.0</v>
      </c>
      <c r="F1427" s="12">
        <v>210.0</v>
      </c>
    </row>
    <row r="1428">
      <c r="A1428" s="12" t="s">
        <v>5740</v>
      </c>
      <c r="B1428" s="12" t="s">
        <v>662</v>
      </c>
      <c r="C1428" s="12" t="s">
        <v>3064</v>
      </c>
      <c r="D1428" s="12">
        <v>6.0</v>
      </c>
      <c r="E1428" s="12">
        <v>15.99</v>
      </c>
      <c r="F1428" s="12">
        <v>95.94</v>
      </c>
    </row>
    <row r="1429">
      <c r="A1429" s="12" t="s">
        <v>5741</v>
      </c>
      <c r="B1429" s="12" t="s">
        <v>5742</v>
      </c>
      <c r="C1429" s="12" t="s">
        <v>1236</v>
      </c>
      <c r="D1429" s="12">
        <v>1.0</v>
      </c>
      <c r="E1429" s="12">
        <v>2924.2</v>
      </c>
      <c r="F1429" s="12">
        <v>2924.2</v>
      </c>
    </row>
    <row r="1430">
      <c r="A1430" s="12" t="s">
        <v>5745</v>
      </c>
      <c r="B1430" s="12" t="s">
        <v>5746</v>
      </c>
      <c r="C1430" s="12" t="s">
        <v>1236</v>
      </c>
      <c r="D1430" s="12">
        <v>1.0</v>
      </c>
      <c r="E1430" s="12">
        <v>628.35</v>
      </c>
      <c r="F1430" s="12">
        <v>628.35</v>
      </c>
    </row>
    <row r="1431">
      <c r="A1431" s="12" t="s">
        <v>5747</v>
      </c>
      <c r="B1431" s="12" t="s">
        <v>5748</v>
      </c>
      <c r="C1431" s="12" t="s">
        <v>3039</v>
      </c>
      <c r="D1431" s="12">
        <v>2.485</v>
      </c>
      <c r="E1431" s="12">
        <v>4.99</v>
      </c>
      <c r="F1431" s="12">
        <v>12.4</v>
      </c>
    </row>
    <row r="1432">
      <c r="A1432" s="12" t="s">
        <v>5750</v>
      </c>
      <c r="B1432" s="12" t="s">
        <v>5748</v>
      </c>
      <c r="C1432" s="12" t="s">
        <v>3039</v>
      </c>
      <c r="D1432" s="12">
        <v>1.58</v>
      </c>
      <c r="E1432" s="12">
        <v>4.99</v>
      </c>
      <c r="F1432" s="12">
        <v>7.88</v>
      </c>
    </row>
    <row r="1433">
      <c r="A1433" s="12" t="s">
        <v>5751</v>
      </c>
      <c r="B1433" s="12" t="s">
        <v>5748</v>
      </c>
      <c r="C1433" s="12" t="s">
        <v>2926</v>
      </c>
      <c r="D1433" s="12">
        <v>0.43</v>
      </c>
      <c r="E1433" s="12">
        <v>11.99</v>
      </c>
      <c r="F1433" s="12">
        <v>5.16</v>
      </c>
    </row>
    <row r="1434">
      <c r="A1434" s="12" t="s">
        <v>5752</v>
      </c>
      <c r="B1434" s="12" t="s">
        <v>5748</v>
      </c>
      <c r="C1434" s="12" t="s">
        <v>3071</v>
      </c>
      <c r="D1434" s="12">
        <v>2.0</v>
      </c>
      <c r="E1434" s="12">
        <v>14.99</v>
      </c>
      <c r="F1434" s="12">
        <v>29.98</v>
      </c>
    </row>
    <row r="1435">
      <c r="A1435" s="12" t="s">
        <v>5754</v>
      </c>
      <c r="B1435" s="12" t="s">
        <v>5748</v>
      </c>
      <c r="C1435" s="12" t="s">
        <v>3076</v>
      </c>
      <c r="D1435" s="12">
        <v>1.0</v>
      </c>
      <c r="E1435" s="12">
        <v>7.99</v>
      </c>
      <c r="F1435" s="12">
        <v>7.99</v>
      </c>
    </row>
    <row r="1436">
      <c r="A1436" s="12" t="s">
        <v>5757</v>
      </c>
      <c r="B1436" s="12" t="s">
        <v>5748</v>
      </c>
      <c r="C1436" s="12" t="s">
        <v>3074</v>
      </c>
      <c r="D1436" s="12">
        <v>1.0</v>
      </c>
      <c r="E1436" s="12">
        <v>7.79</v>
      </c>
      <c r="F1436" s="12">
        <v>7.79</v>
      </c>
    </row>
    <row r="1437">
      <c r="A1437" s="12" t="s">
        <v>5758</v>
      </c>
      <c r="B1437" s="12" t="s">
        <v>5748</v>
      </c>
      <c r="C1437" s="12" t="s">
        <v>3019</v>
      </c>
      <c r="D1437" s="12">
        <v>0.68</v>
      </c>
      <c r="E1437" s="12">
        <v>8.99</v>
      </c>
      <c r="F1437" s="12">
        <v>6.11</v>
      </c>
    </row>
    <row r="1438">
      <c r="A1438" s="12" t="s">
        <v>5762</v>
      </c>
      <c r="B1438" s="12" t="s">
        <v>5748</v>
      </c>
      <c r="C1438" s="12" t="s">
        <v>4649</v>
      </c>
      <c r="D1438" s="12">
        <v>1.0</v>
      </c>
      <c r="E1438" s="12">
        <v>24.99</v>
      </c>
      <c r="F1438" s="12">
        <v>24.99</v>
      </c>
    </row>
    <row r="1439">
      <c r="A1439" s="12" t="s">
        <v>5763</v>
      </c>
      <c r="B1439" s="12" t="s">
        <v>5748</v>
      </c>
      <c r="C1439" s="12" t="s">
        <v>5682</v>
      </c>
      <c r="D1439" s="12">
        <v>1.0</v>
      </c>
      <c r="E1439" s="12">
        <v>6.99</v>
      </c>
      <c r="F1439" s="12">
        <v>6.99</v>
      </c>
    </row>
    <row r="1440">
      <c r="A1440" s="12" t="s">
        <v>5766</v>
      </c>
      <c r="B1440" s="12" t="s">
        <v>5748</v>
      </c>
      <c r="C1440" s="12" t="s">
        <v>4544</v>
      </c>
      <c r="D1440" s="12">
        <v>1.0</v>
      </c>
      <c r="E1440" s="12">
        <v>18.9</v>
      </c>
      <c r="F1440" s="12">
        <v>18.9</v>
      </c>
    </row>
    <row r="1441">
      <c r="A1441" s="12" t="s">
        <v>5767</v>
      </c>
      <c r="B1441" s="12" t="s">
        <v>5748</v>
      </c>
      <c r="C1441" s="12" t="s">
        <v>3013</v>
      </c>
      <c r="D1441" s="12">
        <v>1.0</v>
      </c>
      <c r="E1441" s="12">
        <v>8.99</v>
      </c>
      <c r="F1441" s="12">
        <v>8.99</v>
      </c>
    </row>
    <row r="1442">
      <c r="A1442" s="12" t="s">
        <v>5770</v>
      </c>
      <c r="B1442" s="12" t="s">
        <v>5748</v>
      </c>
      <c r="C1442" s="12" t="s">
        <v>3174</v>
      </c>
      <c r="D1442" s="12">
        <v>1.0</v>
      </c>
      <c r="E1442" s="12">
        <v>8.49</v>
      </c>
      <c r="F1442" s="12">
        <v>8.49</v>
      </c>
    </row>
    <row r="1443">
      <c r="A1443" s="12" t="s">
        <v>5771</v>
      </c>
      <c r="B1443" s="12" t="s">
        <v>5748</v>
      </c>
      <c r="C1443" s="12" t="s">
        <v>3552</v>
      </c>
      <c r="D1443" s="12">
        <v>24.0</v>
      </c>
      <c r="E1443" s="12">
        <v>2.79</v>
      </c>
      <c r="F1443" s="12">
        <v>66.96</v>
      </c>
    </row>
    <row r="1444">
      <c r="A1444" s="12" t="s">
        <v>5772</v>
      </c>
      <c r="B1444" s="12" t="s">
        <v>5748</v>
      </c>
      <c r="C1444" s="12" t="s">
        <v>2941</v>
      </c>
      <c r="D1444" s="12">
        <v>4.0</v>
      </c>
      <c r="E1444" s="12">
        <v>6.99</v>
      </c>
      <c r="F1444" s="12">
        <v>27.96</v>
      </c>
    </row>
    <row r="1445">
      <c r="A1445" s="12" t="s">
        <v>5775</v>
      </c>
      <c r="B1445" s="12" t="s">
        <v>5748</v>
      </c>
      <c r="C1445" s="12" t="s">
        <v>2926</v>
      </c>
      <c r="D1445" s="12">
        <v>5.02</v>
      </c>
      <c r="E1445" s="12">
        <v>24.99</v>
      </c>
      <c r="F1445" s="12">
        <v>125.45</v>
      </c>
    </row>
    <row r="1446">
      <c r="A1446" s="12" t="s">
        <v>5776</v>
      </c>
      <c r="B1446" s="12" t="s">
        <v>812</v>
      </c>
      <c r="C1446" s="12" t="s">
        <v>5777</v>
      </c>
      <c r="D1446" s="12">
        <v>1.0</v>
      </c>
      <c r="E1446" s="12">
        <v>39.98</v>
      </c>
      <c r="F1446" s="12">
        <v>39.98</v>
      </c>
    </row>
    <row r="1447">
      <c r="A1447" s="12" t="s">
        <v>5779</v>
      </c>
      <c r="B1447" s="12" t="s">
        <v>799</v>
      </c>
      <c r="C1447" s="12" t="s">
        <v>4657</v>
      </c>
      <c r="D1447" s="12">
        <v>2.0</v>
      </c>
      <c r="E1447" s="12">
        <v>11.99</v>
      </c>
      <c r="F1447" s="12">
        <v>23.98</v>
      </c>
    </row>
    <row r="1448">
      <c r="A1448" s="12" t="s">
        <v>5782</v>
      </c>
      <c r="B1448" s="12" t="s">
        <v>799</v>
      </c>
      <c r="C1448" s="12" t="s">
        <v>4657</v>
      </c>
      <c r="D1448" s="12">
        <v>1.0</v>
      </c>
      <c r="E1448" s="12">
        <v>34.99</v>
      </c>
      <c r="F1448" s="12">
        <v>34.99</v>
      </c>
    </row>
    <row r="1449">
      <c r="A1449" s="12" t="s">
        <v>5784</v>
      </c>
      <c r="B1449" s="12" t="s">
        <v>5785</v>
      </c>
      <c r="C1449" s="12" t="s">
        <v>2907</v>
      </c>
      <c r="D1449" s="12">
        <v>0.24</v>
      </c>
      <c r="E1449" s="12">
        <v>12.99</v>
      </c>
      <c r="F1449" s="12">
        <v>3.12</v>
      </c>
    </row>
    <row r="1450">
      <c r="A1450" s="12" t="s">
        <v>5786</v>
      </c>
      <c r="B1450" s="12" t="s">
        <v>5785</v>
      </c>
      <c r="C1450" s="12" t="s">
        <v>3076</v>
      </c>
      <c r="D1450" s="12">
        <v>1.0</v>
      </c>
      <c r="E1450" s="12">
        <v>7.99</v>
      </c>
      <c r="F1450" s="12">
        <v>7.99</v>
      </c>
    </row>
    <row r="1451">
      <c r="A1451" s="12" t="s">
        <v>5787</v>
      </c>
      <c r="B1451" s="12" t="s">
        <v>847</v>
      </c>
      <c r="C1451" s="12" t="s">
        <v>5789</v>
      </c>
      <c r="D1451" s="12">
        <v>1.0</v>
      </c>
      <c r="E1451" s="12">
        <v>9.99</v>
      </c>
      <c r="F1451" s="12">
        <v>9.99</v>
      </c>
    </row>
    <row r="1452">
      <c r="A1452" s="12" t="s">
        <v>5790</v>
      </c>
      <c r="B1452" s="12" t="s">
        <v>864</v>
      </c>
      <c r="C1452" s="12" t="s">
        <v>5793</v>
      </c>
      <c r="D1452" s="12">
        <v>1.0</v>
      </c>
      <c r="E1452" s="12">
        <v>5.85</v>
      </c>
      <c r="F1452" s="12">
        <v>5.85</v>
      </c>
    </row>
    <row r="1453">
      <c r="A1453" s="12" t="s">
        <v>5794</v>
      </c>
      <c r="B1453" s="12" t="s">
        <v>5795</v>
      </c>
      <c r="C1453" s="12" t="s">
        <v>2907</v>
      </c>
      <c r="D1453" s="12">
        <v>0.31</v>
      </c>
      <c r="E1453" s="12">
        <v>12.99</v>
      </c>
      <c r="F1453" s="12">
        <v>4.03</v>
      </c>
    </row>
    <row r="1454">
      <c r="A1454" s="12" t="s">
        <v>5799</v>
      </c>
      <c r="B1454" s="12" t="s">
        <v>5800</v>
      </c>
      <c r="C1454" s="12" t="s">
        <v>786</v>
      </c>
      <c r="D1454" s="12">
        <v>1.0</v>
      </c>
      <c r="E1454" s="12">
        <v>5624.25</v>
      </c>
      <c r="F1454" s="12">
        <v>5624.25</v>
      </c>
    </row>
    <row r="1455">
      <c r="A1455" s="12" t="s">
        <v>5801</v>
      </c>
      <c r="B1455" s="12" t="s">
        <v>5802</v>
      </c>
      <c r="C1455" s="12" t="s">
        <v>786</v>
      </c>
      <c r="D1455" s="12">
        <v>1.0</v>
      </c>
      <c r="E1455" s="12">
        <v>1177.97</v>
      </c>
      <c r="F1455" s="12">
        <v>1177.97</v>
      </c>
    </row>
    <row r="1456">
      <c r="A1456" s="12" t="s">
        <v>5805</v>
      </c>
      <c r="B1456" s="12" t="s">
        <v>5806</v>
      </c>
      <c r="C1456" s="12" t="s">
        <v>5807</v>
      </c>
      <c r="D1456" s="12">
        <v>1.0</v>
      </c>
      <c r="E1456" s="12">
        <v>488.64</v>
      </c>
      <c r="F1456" s="12">
        <v>488.64</v>
      </c>
    </row>
    <row r="1457">
      <c r="A1457" s="12" t="s">
        <v>5809</v>
      </c>
      <c r="B1457" s="12">
        <v>1627.0</v>
      </c>
      <c r="C1457" s="12" t="s">
        <v>693</v>
      </c>
      <c r="D1457" s="12">
        <v>1.0</v>
      </c>
      <c r="E1457" s="12">
        <v>5300.0</v>
      </c>
      <c r="F1457" s="12">
        <v>5300.0</v>
      </c>
    </row>
    <row r="1458">
      <c r="A1458" s="12" t="s">
        <v>5812</v>
      </c>
      <c r="B1458" s="12">
        <v>1628.0</v>
      </c>
      <c r="C1458" s="12" t="s">
        <v>1082</v>
      </c>
      <c r="D1458" s="12">
        <v>1.0</v>
      </c>
      <c r="E1458" s="12">
        <v>1110.0</v>
      </c>
      <c r="F1458" s="12">
        <v>1110.0</v>
      </c>
    </row>
    <row r="1459">
      <c r="A1459" s="12" t="s">
        <v>5813</v>
      </c>
      <c r="B1459" s="12">
        <v>1629.0</v>
      </c>
      <c r="C1459" s="12" t="s">
        <v>1906</v>
      </c>
      <c r="D1459" s="12">
        <v>1.0</v>
      </c>
      <c r="E1459" s="12">
        <v>396.0</v>
      </c>
      <c r="F1459" s="12">
        <v>396.0</v>
      </c>
    </row>
    <row r="1460">
      <c r="A1460" s="12" t="s">
        <v>5815</v>
      </c>
      <c r="B1460" s="12">
        <v>1630.0</v>
      </c>
      <c r="C1460" s="12" t="s">
        <v>1908</v>
      </c>
      <c r="D1460" s="12">
        <v>1.0</v>
      </c>
      <c r="E1460" s="12">
        <v>1110.0</v>
      </c>
      <c r="F1460" s="12">
        <v>1110.0</v>
      </c>
    </row>
    <row r="1461">
      <c r="A1461" s="12" t="s">
        <v>5816</v>
      </c>
      <c r="B1461" s="12" t="s">
        <v>5818</v>
      </c>
      <c r="C1461" s="12" t="s">
        <v>1113</v>
      </c>
      <c r="D1461" s="12">
        <v>1.0</v>
      </c>
      <c r="E1461" s="12">
        <v>500.0</v>
      </c>
      <c r="F1461" s="12">
        <v>500.0</v>
      </c>
    </row>
    <row r="1462">
      <c r="A1462" s="12" t="s">
        <v>5821</v>
      </c>
      <c r="B1462" s="12" t="s">
        <v>5822</v>
      </c>
      <c r="C1462" s="12" t="s">
        <v>1113</v>
      </c>
      <c r="D1462" s="12">
        <v>1.0</v>
      </c>
      <c r="E1462" s="12">
        <v>500.0</v>
      </c>
      <c r="F1462" s="12">
        <v>500.0</v>
      </c>
    </row>
    <row r="1463">
      <c r="A1463" s="12" t="s">
        <v>5823</v>
      </c>
      <c r="B1463" s="12" t="s">
        <v>5824</v>
      </c>
      <c r="C1463" s="12" t="s">
        <v>1113</v>
      </c>
      <c r="D1463" s="12">
        <v>1.0</v>
      </c>
      <c r="E1463" s="12">
        <v>500.0</v>
      </c>
      <c r="F1463" s="12">
        <v>500.0</v>
      </c>
    </row>
    <row r="1464">
      <c r="A1464" s="12" t="s">
        <v>5825</v>
      </c>
      <c r="B1464" s="12" t="s">
        <v>922</v>
      </c>
      <c r="C1464" s="12" t="s">
        <v>3511</v>
      </c>
      <c r="D1464" s="12">
        <v>1.0</v>
      </c>
      <c r="E1464" s="12">
        <v>45.6</v>
      </c>
      <c r="F1464" s="12">
        <v>45.6</v>
      </c>
    </row>
    <row r="1465">
      <c r="A1465" s="12" t="s">
        <v>5827</v>
      </c>
      <c r="B1465" s="12" t="s">
        <v>922</v>
      </c>
      <c r="C1465" s="12" t="s">
        <v>3008</v>
      </c>
      <c r="D1465" s="12">
        <v>1.0</v>
      </c>
      <c r="E1465" s="12">
        <v>45.6</v>
      </c>
      <c r="F1465" s="12">
        <v>45.6</v>
      </c>
    </row>
    <row r="1466">
      <c r="A1466" s="12" t="s">
        <v>5828</v>
      </c>
      <c r="B1466" s="12" t="s">
        <v>922</v>
      </c>
      <c r="C1466" s="12" t="s">
        <v>3111</v>
      </c>
      <c r="D1466" s="12">
        <v>5.0</v>
      </c>
      <c r="E1466" s="12">
        <v>12.48</v>
      </c>
      <c r="F1466" s="12">
        <v>62.4</v>
      </c>
    </row>
    <row r="1467">
      <c r="A1467" s="12" t="s">
        <v>5830</v>
      </c>
      <c r="B1467" s="12" t="s">
        <v>922</v>
      </c>
      <c r="C1467" s="12" t="s">
        <v>3114</v>
      </c>
      <c r="D1467" s="12">
        <v>2.0</v>
      </c>
      <c r="E1467" s="12">
        <v>14.28</v>
      </c>
      <c r="F1467" s="12">
        <v>28.56</v>
      </c>
    </row>
    <row r="1468">
      <c r="A1468" s="12" t="s">
        <v>5832</v>
      </c>
      <c r="B1468" s="12" t="s">
        <v>994</v>
      </c>
      <c r="C1468" s="16" t="s">
        <v>2910</v>
      </c>
      <c r="D1468" s="12">
        <v>20.0</v>
      </c>
      <c r="E1468" s="12">
        <v>35.0</v>
      </c>
      <c r="F1468" s="12">
        <v>700.0</v>
      </c>
    </row>
    <row r="1469">
      <c r="A1469" s="12" t="s">
        <v>5833</v>
      </c>
      <c r="B1469" s="12" t="s">
        <v>5834</v>
      </c>
      <c r="C1469" s="12" t="s">
        <v>717</v>
      </c>
      <c r="D1469" s="12">
        <v>1.0</v>
      </c>
      <c r="E1469" s="12">
        <v>1650.0</v>
      </c>
      <c r="F1469" s="12">
        <v>1650.0</v>
      </c>
    </row>
    <row r="1470">
      <c r="A1470" s="12" t="s">
        <v>5835</v>
      </c>
      <c r="B1470" s="12" t="s">
        <v>5834</v>
      </c>
      <c r="C1470" s="12" t="s">
        <v>2982</v>
      </c>
      <c r="D1470" s="12">
        <v>1.0</v>
      </c>
      <c r="E1470" s="12">
        <v>111.38</v>
      </c>
      <c r="F1470" s="12">
        <v>111.38</v>
      </c>
    </row>
    <row r="1471">
      <c r="A1471" s="12" t="s">
        <v>5837</v>
      </c>
      <c r="B1471" s="12" t="s">
        <v>1031</v>
      </c>
      <c r="C1471" s="12" t="s">
        <v>5838</v>
      </c>
      <c r="D1471" s="12">
        <v>1.0</v>
      </c>
      <c r="E1471" s="12">
        <v>9.5</v>
      </c>
      <c r="F1471" s="12">
        <v>9.5</v>
      </c>
    </row>
    <row r="1472">
      <c r="A1472" s="12" t="s">
        <v>5839</v>
      </c>
      <c r="B1472" s="12" t="s">
        <v>1031</v>
      </c>
      <c r="C1472" s="12" t="s">
        <v>2961</v>
      </c>
      <c r="D1472" s="12">
        <v>1.0</v>
      </c>
      <c r="E1472" s="12">
        <v>79.9</v>
      </c>
      <c r="F1472" s="12">
        <v>79.9</v>
      </c>
    </row>
    <row r="1473">
      <c r="A1473" s="12" t="s">
        <v>5843</v>
      </c>
      <c r="B1473" s="12" t="s">
        <v>1031</v>
      </c>
      <c r="C1473" s="12" t="s">
        <v>5844</v>
      </c>
      <c r="D1473" s="12">
        <v>1.0</v>
      </c>
      <c r="E1473" s="12">
        <v>10.0</v>
      </c>
      <c r="F1473" s="12">
        <v>10.0</v>
      </c>
    </row>
    <row r="1474">
      <c r="A1474" s="12" t="s">
        <v>5845</v>
      </c>
      <c r="B1474" s="12" t="s">
        <v>1074</v>
      </c>
      <c r="C1474" s="12" t="s">
        <v>4868</v>
      </c>
      <c r="D1474" s="12">
        <v>2.0</v>
      </c>
      <c r="E1474" s="12">
        <v>46.0</v>
      </c>
      <c r="F1474" s="12">
        <v>92.0</v>
      </c>
    </row>
    <row r="1475">
      <c r="A1475" s="12" t="s">
        <v>5850</v>
      </c>
      <c r="B1475" s="12" t="s">
        <v>1074</v>
      </c>
      <c r="C1475" s="12" t="s">
        <v>925</v>
      </c>
      <c r="D1475" s="12">
        <v>1.0</v>
      </c>
      <c r="E1475" s="12">
        <v>23.99</v>
      </c>
      <c r="F1475" s="12">
        <v>23.99</v>
      </c>
    </row>
    <row r="1476">
      <c r="A1476" s="12" t="s">
        <v>5851</v>
      </c>
      <c r="B1476" s="12" t="s">
        <v>1088</v>
      </c>
      <c r="C1476" s="12" t="s">
        <v>1082</v>
      </c>
      <c r="D1476" s="12">
        <v>1.0</v>
      </c>
      <c r="E1476" s="12">
        <v>182.12</v>
      </c>
      <c r="F1476" s="12">
        <v>182.12</v>
      </c>
    </row>
    <row r="1477">
      <c r="A1477" s="12" t="s">
        <v>5853</v>
      </c>
      <c r="B1477" s="12" t="s">
        <v>1101</v>
      </c>
      <c r="C1477" s="12" t="s">
        <v>3039</v>
      </c>
      <c r="D1477" s="12">
        <v>2.67</v>
      </c>
      <c r="E1477" s="12">
        <v>3.65</v>
      </c>
      <c r="F1477" s="12">
        <v>9.75</v>
      </c>
    </row>
    <row r="1478">
      <c r="A1478" s="12" t="s">
        <v>5855</v>
      </c>
      <c r="B1478" s="12" t="s">
        <v>1101</v>
      </c>
      <c r="C1478" s="12" t="s">
        <v>3039</v>
      </c>
      <c r="D1478" s="12">
        <v>2.19</v>
      </c>
      <c r="E1478" s="12">
        <v>3.65</v>
      </c>
      <c r="F1478" s="12">
        <v>7.99</v>
      </c>
    </row>
    <row r="1479">
      <c r="A1479" s="12" t="s">
        <v>5858</v>
      </c>
      <c r="B1479" s="12" t="s">
        <v>1101</v>
      </c>
      <c r="C1479" s="12" t="s">
        <v>3019</v>
      </c>
      <c r="D1479" s="12">
        <v>2.33</v>
      </c>
      <c r="E1479" s="12">
        <v>8.88</v>
      </c>
      <c r="F1479" s="12">
        <v>20.69</v>
      </c>
    </row>
    <row r="1480">
      <c r="A1480" s="12" t="s">
        <v>5860</v>
      </c>
      <c r="B1480" s="12" t="s">
        <v>1101</v>
      </c>
      <c r="C1480" s="12" t="s">
        <v>2926</v>
      </c>
      <c r="D1480" s="12">
        <v>5.795</v>
      </c>
      <c r="E1480" s="12">
        <v>20.02</v>
      </c>
      <c r="F1480" s="12">
        <v>116.02</v>
      </c>
    </row>
    <row r="1481">
      <c r="A1481" s="12" t="s">
        <v>5863</v>
      </c>
      <c r="B1481" s="12" t="s">
        <v>1101</v>
      </c>
      <c r="C1481" s="12" t="s">
        <v>2941</v>
      </c>
      <c r="D1481" s="12">
        <v>4.0</v>
      </c>
      <c r="E1481" s="12">
        <v>5.72</v>
      </c>
      <c r="F1481" s="12">
        <v>22.88</v>
      </c>
    </row>
    <row r="1482">
      <c r="A1482" s="12" t="s">
        <v>5864</v>
      </c>
      <c r="B1482" s="12" t="s">
        <v>1101</v>
      </c>
      <c r="C1482" s="12" t="s">
        <v>3064</v>
      </c>
      <c r="D1482" s="12">
        <v>12.0</v>
      </c>
      <c r="E1482" s="12">
        <v>8.99</v>
      </c>
      <c r="F1482" s="12">
        <v>107.88</v>
      </c>
    </row>
    <row r="1483">
      <c r="A1483" s="12" t="s">
        <v>5868</v>
      </c>
      <c r="B1483" s="12" t="s">
        <v>1101</v>
      </c>
      <c r="C1483" s="12" t="s">
        <v>3071</v>
      </c>
      <c r="D1483" s="12">
        <v>2.0</v>
      </c>
      <c r="E1483" s="12">
        <v>10.45</v>
      </c>
      <c r="F1483" s="12">
        <v>20.9</v>
      </c>
    </row>
    <row r="1484">
      <c r="A1484" s="12" t="s">
        <v>5869</v>
      </c>
      <c r="B1484" s="12" t="s">
        <v>1101</v>
      </c>
      <c r="C1484" s="12" t="s">
        <v>5870</v>
      </c>
      <c r="D1484" s="12">
        <v>2.0</v>
      </c>
      <c r="E1484" s="12">
        <v>5.83</v>
      </c>
      <c r="F1484" s="12">
        <v>11.66</v>
      </c>
    </row>
    <row r="1485">
      <c r="A1485" s="12" t="s">
        <v>5871</v>
      </c>
      <c r="B1485" s="12" t="s">
        <v>1101</v>
      </c>
      <c r="C1485" s="12" t="s">
        <v>3076</v>
      </c>
      <c r="D1485" s="12">
        <v>1.0</v>
      </c>
      <c r="E1485" s="12">
        <v>6.83</v>
      </c>
      <c r="F1485" s="12">
        <v>6.83</v>
      </c>
    </row>
    <row r="1486">
      <c r="A1486" s="12" t="s">
        <v>5875</v>
      </c>
      <c r="B1486" s="12" t="s">
        <v>1101</v>
      </c>
      <c r="C1486" s="12" t="s">
        <v>4147</v>
      </c>
      <c r="D1486" s="12">
        <v>1.0</v>
      </c>
      <c r="E1486" s="12">
        <v>8.5</v>
      </c>
      <c r="F1486" s="12">
        <v>8.5</v>
      </c>
    </row>
    <row r="1487">
      <c r="A1487" s="16" t="s">
        <v>5881</v>
      </c>
      <c r="B1487" s="12" t="s">
        <v>1101</v>
      </c>
      <c r="C1487" s="12" t="s">
        <v>4511</v>
      </c>
      <c r="D1487" s="12">
        <v>2.0</v>
      </c>
      <c r="E1487" s="12">
        <v>7.99</v>
      </c>
      <c r="F1487" s="12">
        <v>15.98</v>
      </c>
    </row>
    <row r="1488">
      <c r="A1488" s="12" t="s">
        <v>5884</v>
      </c>
      <c r="B1488" s="12">
        <v>1633.0</v>
      </c>
      <c r="C1488" s="12" t="s">
        <v>1056</v>
      </c>
      <c r="D1488" s="12">
        <v>1.0</v>
      </c>
      <c r="E1488" s="12">
        <v>1324.89</v>
      </c>
      <c r="F1488" s="12">
        <v>1324.89</v>
      </c>
    </row>
    <row r="1489">
      <c r="A1489" s="12" t="s">
        <v>5886</v>
      </c>
      <c r="B1489" s="12">
        <v>1634.0</v>
      </c>
      <c r="C1489" s="12" t="s">
        <v>741</v>
      </c>
      <c r="D1489" s="12">
        <v>1.0</v>
      </c>
      <c r="E1489" s="12">
        <v>1096.14</v>
      </c>
      <c r="F1489" s="12">
        <v>1096.14</v>
      </c>
    </row>
    <row r="1490">
      <c r="A1490" s="12" t="s">
        <v>5888</v>
      </c>
      <c r="B1490" s="12" t="s">
        <v>1122</v>
      </c>
      <c r="C1490" s="12" t="s">
        <v>2907</v>
      </c>
      <c r="D1490" s="12">
        <v>0.0</v>
      </c>
      <c r="E1490" s="12">
        <v>0.0</v>
      </c>
      <c r="F1490" s="12">
        <v>0.0</v>
      </c>
    </row>
    <row r="1491">
      <c r="A1491" s="12" t="s">
        <v>5891</v>
      </c>
      <c r="B1491" s="12" t="s">
        <v>1122</v>
      </c>
      <c r="C1491" s="12" t="s">
        <v>2907</v>
      </c>
      <c r="D1491" s="12">
        <v>0.552</v>
      </c>
      <c r="E1491" s="12">
        <v>14.99</v>
      </c>
      <c r="F1491" s="12">
        <v>8.27</v>
      </c>
    </row>
    <row r="1492">
      <c r="A1492" s="12" t="s">
        <v>5894</v>
      </c>
      <c r="B1492" s="12">
        <v>1632.0</v>
      </c>
      <c r="C1492" s="12" t="s">
        <v>1040</v>
      </c>
      <c r="D1492" s="12">
        <v>1.0</v>
      </c>
      <c r="E1492" s="12">
        <v>3759.81</v>
      </c>
      <c r="F1492" s="12">
        <v>3759.81</v>
      </c>
    </row>
    <row r="1493">
      <c r="A1493" s="12" t="s">
        <v>5897</v>
      </c>
      <c r="B1493" s="12">
        <v>1637.0</v>
      </c>
      <c r="C1493" s="12" t="s">
        <v>820</v>
      </c>
      <c r="D1493" s="12">
        <v>1.0</v>
      </c>
      <c r="E1493" s="12">
        <v>185.0</v>
      </c>
      <c r="F1493" s="12">
        <v>185.0</v>
      </c>
    </row>
    <row r="1494">
      <c r="A1494" s="12" t="s">
        <v>5899</v>
      </c>
      <c r="B1494" s="12" t="s">
        <v>1171</v>
      </c>
      <c r="C1494" s="12" t="s">
        <v>3008</v>
      </c>
      <c r="D1494" s="12">
        <v>1.0</v>
      </c>
      <c r="E1494" s="12">
        <v>45.6</v>
      </c>
      <c r="F1494" s="12">
        <v>45.6</v>
      </c>
    </row>
    <row r="1495">
      <c r="A1495" s="12" t="s">
        <v>5903</v>
      </c>
      <c r="B1495" s="12" t="s">
        <v>1171</v>
      </c>
      <c r="C1495" s="12" t="s">
        <v>3114</v>
      </c>
      <c r="D1495" s="12">
        <v>3.0</v>
      </c>
      <c r="E1495" s="12">
        <v>12.5</v>
      </c>
      <c r="F1495" s="12">
        <v>37.5</v>
      </c>
    </row>
    <row r="1496">
      <c r="A1496" s="12" t="s">
        <v>5904</v>
      </c>
      <c r="B1496" s="12" t="s">
        <v>1171</v>
      </c>
      <c r="C1496" s="12" t="s">
        <v>3111</v>
      </c>
      <c r="D1496" s="12">
        <v>3.0</v>
      </c>
      <c r="E1496" s="12">
        <v>14.3</v>
      </c>
      <c r="F1496" s="12">
        <v>42.9</v>
      </c>
    </row>
    <row r="1497">
      <c r="A1497" s="12" t="s">
        <v>5906</v>
      </c>
      <c r="B1497" s="12" t="s">
        <v>1171</v>
      </c>
      <c r="C1497" s="12" t="s">
        <v>3169</v>
      </c>
      <c r="D1497" s="12">
        <v>1.0</v>
      </c>
      <c r="E1497" s="12">
        <v>41.88</v>
      </c>
      <c r="F1497" s="12">
        <v>41.88</v>
      </c>
    </row>
    <row r="1498">
      <c r="A1498" s="12" t="s">
        <v>5909</v>
      </c>
      <c r="B1498" s="12" t="s">
        <v>5910</v>
      </c>
      <c r="C1498" s="12" t="s">
        <v>3106</v>
      </c>
      <c r="D1498" s="12">
        <v>1.0</v>
      </c>
      <c r="E1498" s="12">
        <v>898.52</v>
      </c>
      <c r="F1498" s="12">
        <v>898.52</v>
      </c>
    </row>
    <row r="1499">
      <c r="A1499" s="12" t="s">
        <v>5912</v>
      </c>
      <c r="B1499" s="12" t="s">
        <v>5910</v>
      </c>
      <c r="C1499" s="12" t="s">
        <v>925</v>
      </c>
      <c r="D1499" s="12">
        <v>1.0</v>
      </c>
      <c r="E1499" s="12">
        <v>85.36</v>
      </c>
      <c r="F1499" s="12">
        <v>85.36</v>
      </c>
    </row>
    <row r="1500">
      <c r="A1500" s="16" t="s">
        <v>5914</v>
      </c>
      <c r="B1500" s="12" t="s">
        <v>1180</v>
      </c>
      <c r="C1500" s="16" t="s">
        <v>2910</v>
      </c>
      <c r="D1500" s="12">
        <v>12.0</v>
      </c>
      <c r="E1500" s="12">
        <v>40.0</v>
      </c>
      <c r="F1500" s="12">
        <v>480.0</v>
      </c>
    </row>
    <row r="1501">
      <c r="A1501" s="12" t="s">
        <v>5915</v>
      </c>
      <c r="B1501" s="12" t="s">
        <v>5917</v>
      </c>
      <c r="C1501" s="12" t="s">
        <v>3322</v>
      </c>
      <c r="D1501" s="12">
        <v>1.0</v>
      </c>
      <c r="E1501" s="12">
        <v>170.0</v>
      </c>
      <c r="F1501" s="12">
        <v>170.0</v>
      </c>
    </row>
    <row r="1502">
      <c r="A1502" s="12" t="s">
        <v>5920</v>
      </c>
      <c r="B1502" s="12">
        <v>1643.0</v>
      </c>
      <c r="C1502" s="12" t="s">
        <v>1818</v>
      </c>
      <c r="D1502" s="12">
        <v>1.0</v>
      </c>
      <c r="E1502" s="12">
        <v>236.83</v>
      </c>
      <c r="F1502" s="12">
        <v>236.83</v>
      </c>
    </row>
    <row r="1503">
      <c r="A1503" s="12" t="s">
        <v>5921</v>
      </c>
      <c r="B1503" s="12">
        <v>1651.0</v>
      </c>
      <c r="C1503" s="12" t="s">
        <v>2807</v>
      </c>
      <c r="D1503" s="12">
        <v>1.0</v>
      </c>
      <c r="E1503" s="12">
        <v>855.0</v>
      </c>
      <c r="F1503" s="12">
        <v>855.0</v>
      </c>
    </row>
    <row r="1504">
      <c r="A1504" s="12" t="s">
        <v>5922</v>
      </c>
      <c r="B1504" s="12" t="s">
        <v>5923</v>
      </c>
      <c r="C1504" s="12" t="s">
        <v>1936</v>
      </c>
      <c r="D1504" s="12">
        <v>1.0</v>
      </c>
      <c r="E1504" s="12">
        <v>574.34</v>
      </c>
      <c r="F1504" s="12">
        <v>574.34</v>
      </c>
    </row>
    <row r="1505">
      <c r="A1505" s="12" t="s">
        <v>5927</v>
      </c>
      <c r="B1505" s="12" t="s">
        <v>5929</v>
      </c>
      <c r="C1505" s="12" t="s">
        <v>1040</v>
      </c>
      <c r="D1505" s="12">
        <v>1.0</v>
      </c>
      <c r="E1505" s="12">
        <v>4050.0</v>
      </c>
      <c r="F1505" s="12">
        <v>4050.0</v>
      </c>
    </row>
    <row r="1506">
      <c r="A1506" s="12" t="s">
        <v>5931</v>
      </c>
      <c r="B1506" s="12" t="s">
        <v>1199</v>
      </c>
      <c r="C1506" s="12" t="s">
        <v>2958</v>
      </c>
      <c r="D1506" s="12">
        <v>1.0</v>
      </c>
      <c r="E1506" s="12">
        <v>25.0</v>
      </c>
      <c r="F1506" s="12">
        <v>25.0</v>
      </c>
    </row>
    <row r="1507">
      <c r="A1507" s="12" t="s">
        <v>5934</v>
      </c>
      <c r="B1507" s="12" t="s">
        <v>5935</v>
      </c>
      <c r="C1507" s="12" t="s">
        <v>3039</v>
      </c>
      <c r="D1507" s="12">
        <v>0.725</v>
      </c>
      <c r="E1507" s="12">
        <v>4.49</v>
      </c>
      <c r="F1507" s="12">
        <v>3.26</v>
      </c>
    </row>
    <row r="1508">
      <c r="A1508" s="12" t="s">
        <v>5936</v>
      </c>
      <c r="B1508" s="12" t="s">
        <v>5935</v>
      </c>
      <c r="C1508" s="12" t="s">
        <v>2907</v>
      </c>
      <c r="D1508" s="12">
        <v>0.348</v>
      </c>
      <c r="E1508" s="12">
        <v>14.99</v>
      </c>
      <c r="F1508" s="12">
        <v>5.22</v>
      </c>
    </row>
    <row r="1509">
      <c r="A1509" s="12" t="s">
        <v>5938</v>
      </c>
      <c r="B1509" s="12">
        <v>1650.0</v>
      </c>
      <c r="C1509" s="12" t="s">
        <v>1196</v>
      </c>
      <c r="D1509" s="12">
        <v>1.0</v>
      </c>
      <c r="E1509" s="12">
        <v>585.0</v>
      </c>
      <c r="F1509" s="12">
        <v>585.0</v>
      </c>
    </row>
    <row r="1510">
      <c r="A1510" s="12" t="s">
        <v>5939</v>
      </c>
      <c r="B1510" s="12" t="s">
        <v>1383</v>
      </c>
      <c r="C1510" s="12" t="s">
        <v>3064</v>
      </c>
      <c r="D1510" s="12">
        <v>11.0</v>
      </c>
      <c r="E1510" s="12">
        <v>9.34</v>
      </c>
      <c r="F1510" s="12">
        <v>102.74</v>
      </c>
    </row>
    <row r="1511">
      <c r="A1511" s="12" t="s">
        <v>5940</v>
      </c>
      <c r="B1511" s="12" t="s">
        <v>1383</v>
      </c>
      <c r="C1511" s="12" t="s">
        <v>3267</v>
      </c>
      <c r="D1511" s="12">
        <v>1.0</v>
      </c>
      <c r="E1511" s="12">
        <v>32.0</v>
      </c>
      <c r="F1511" s="12">
        <v>32.0</v>
      </c>
    </row>
    <row r="1512">
      <c r="A1512" s="12" t="s">
        <v>5941</v>
      </c>
      <c r="B1512" s="12" t="s">
        <v>1383</v>
      </c>
      <c r="C1512" s="12" t="s">
        <v>2941</v>
      </c>
      <c r="D1512" s="12">
        <v>1.0</v>
      </c>
      <c r="E1512" s="12">
        <v>8.0</v>
      </c>
      <c r="F1512" s="12">
        <v>8.0</v>
      </c>
    </row>
    <row r="1513">
      <c r="A1513" s="12" t="s">
        <v>5942</v>
      </c>
      <c r="B1513" s="12" t="s">
        <v>1383</v>
      </c>
      <c r="C1513" s="12" t="s">
        <v>4147</v>
      </c>
      <c r="D1513" s="12">
        <v>1.0</v>
      </c>
      <c r="E1513" s="12">
        <v>10.99</v>
      </c>
      <c r="F1513" s="12">
        <v>10.99</v>
      </c>
    </row>
    <row r="1514">
      <c r="A1514" s="12" t="s">
        <v>5945</v>
      </c>
      <c r="B1514" s="12" t="s">
        <v>1383</v>
      </c>
      <c r="C1514" s="12" t="s">
        <v>3245</v>
      </c>
      <c r="D1514" s="12">
        <v>2.0</v>
      </c>
      <c r="E1514" s="12">
        <v>9.0</v>
      </c>
      <c r="F1514" s="12">
        <v>18.0</v>
      </c>
    </row>
    <row r="1515">
      <c r="A1515" s="12" t="s">
        <v>5947</v>
      </c>
      <c r="B1515" s="12" t="s">
        <v>1383</v>
      </c>
      <c r="C1515" s="12" t="s">
        <v>4544</v>
      </c>
      <c r="D1515" s="12">
        <v>1.0</v>
      </c>
      <c r="E1515" s="12">
        <v>18.0</v>
      </c>
      <c r="F1515" s="12">
        <v>18.0</v>
      </c>
    </row>
    <row r="1516">
      <c r="A1516" s="12" t="s">
        <v>5948</v>
      </c>
      <c r="B1516" s="12" t="s">
        <v>1383</v>
      </c>
      <c r="C1516" s="12" t="s">
        <v>5949</v>
      </c>
      <c r="D1516" s="12">
        <v>1.0</v>
      </c>
      <c r="E1516" s="12">
        <v>7.0</v>
      </c>
      <c r="F1516" s="12">
        <v>7.0</v>
      </c>
    </row>
    <row r="1517">
      <c r="A1517" s="12" t="s">
        <v>5952</v>
      </c>
      <c r="B1517" s="12" t="s">
        <v>1383</v>
      </c>
      <c r="C1517" s="12" t="s">
        <v>5953</v>
      </c>
      <c r="D1517" s="12">
        <v>2.0</v>
      </c>
      <c r="E1517" s="12">
        <v>13.0</v>
      </c>
      <c r="F1517" s="12">
        <v>26.0</v>
      </c>
    </row>
    <row r="1518">
      <c r="A1518" s="12" t="s">
        <v>5954</v>
      </c>
      <c r="B1518" s="12" t="s">
        <v>1383</v>
      </c>
      <c r="C1518" s="12" t="s">
        <v>3071</v>
      </c>
      <c r="D1518" s="12">
        <v>2.0</v>
      </c>
      <c r="E1518" s="12">
        <v>13.0</v>
      </c>
      <c r="F1518" s="12">
        <v>26.0</v>
      </c>
    </row>
    <row r="1519">
      <c r="A1519" s="12" t="s">
        <v>5956</v>
      </c>
      <c r="B1519" s="12" t="s">
        <v>1383</v>
      </c>
      <c r="C1519" s="12" t="s">
        <v>5789</v>
      </c>
      <c r="D1519" s="12">
        <v>1.0</v>
      </c>
      <c r="E1519" s="12">
        <v>8.0</v>
      </c>
      <c r="F1519" s="12">
        <v>8.0</v>
      </c>
    </row>
    <row r="1520">
      <c r="A1520" s="12" t="s">
        <v>5960</v>
      </c>
      <c r="B1520" s="12" t="s">
        <v>1383</v>
      </c>
      <c r="C1520" s="12" t="s">
        <v>3039</v>
      </c>
      <c r="D1520" s="12">
        <v>3.49</v>
      </c>
      <c r="E1520" s="12">
        <v>4.69</v>
      </c>
      <c r="F1520" s="12">
        <v>16.37</v>
      </c>
    </row>
    <row r="1521">
      <c r="A1521" s="12" t="s">
        <v>5961</v>
      </c>
      <c r="B1521" s="12" t="s">
        <v>1383</v>
      </c>
      <c r="C1521" s="12" t="s">
        <v>3019</v>
      </c>
      <c r="D1521" s="12">
        <v>2.3</v>
      </c>
      <c r="E1521" s="12">
        <v>9.0</v>
      </c>
      <c r="F1521" s="12">
        <v>20.7</v>
      </c>
    </row>
    <row r="1522">
      <c r="A1522" s="12" t="s">
        <v>5965</v>
      </c>
      <c r="B1522" s="12" t="s">
        <v>1383</v>
      </c>
      <c r="C1522" s="12" t="s">
        <v>2926</v>
      </c>
      <c r="D1522" s="12">
        <v>5.0</v>
      </c>
      <c r="E1522" s="12">
        <v>24.0</v>
      </c>
      <c r="F1522" s="12">
        <v>120.0</v>
      </c>
    </row>
    <row r="1523">
      <c r="A1523" s="12" t="s">
        <v>5967</v>
      </c>
      <c r="B1523" s="12" t="s">
        <v>1375</v>
      </c>
      <c r="C1523" s="12" t="s">
        <v>3013</v>
      </c>
      <c r="D1523" s="12">
        <v>1.0</v>
      </c>
      <c r="E1523" s="12">
        <v>7.77</v>
      </c>
      <c r="F1523" s="12">
        <v>7.77</v>
      </c>
    </row>
    <row r="1524">
      <c r="A1524" s="12" t="s">
        <v>5968</v>
      </c>
      <c r="B1524" s="12" t="s">
        <v>1375</v>
      </c>
      <c r="C1524" s="12" t="s">
        <v>5969</v>
      </c>
      <c r="D1524" s="12">
        <v>2.0</v>
      </c>
      <c r="E1524" s="12">
        <v>11.86</v>
      </c>
      <c r="F1524" s="12">
        <v>23.72</v>
      </c>
    </row>
    <row r="1525">
      <c r="A1525" s="12" t="s">
        <v>5971</v>
      </c>
      <c r="B1525" s="12" t="s">
        <v>1375</v>
      </c>
      <c r="C1525" s="12" t="s">
        <v>2941</v>
      </c>
      <c r="D1525" s="12">
        <v>1.0</v>
      </c>
      <c r="E1525" s="12">
        <v>5.82</v>
      </c>
      <c r="F1525" s="12">
        <v>5.82</v>
      </c>
    </row>
    <row r="1526">
      <c r="A1526" s="12" t="s">
        <v>5972</v>
      </c>
      <c r="B1526" s="12" t="s">
        <v>1375</v>
      </c>
      <c r="C1526" s="12" t="s">
        <v>2958</v>
      </c>
      <c r="D1526" s="12">
        <v>1.0</v>
      </c>
      <c r="E1526" s="12">
        <v>9.92</v>
      </c>
      <c r="F1526" s="12">
        <v>9.92</v>
      </c>
    </row>
    <row r="1527">
      <c r="A1527" s="12" t="s">
        <v>5973</v>
      </c>
      <c r="B1527" s="12" t="s">
        <v>1375</v>
      </c>
      <c r="C1527" s="12" t="s">
        <v>3397</v>
      </c>
      <c r="D1527" s="12">
        <v>2.0</v>
      </c>
      <c r="E1527" s="12">
        <v>8.6</v>
      </c>
      <c r="F1527" s="12">
        <v>17.2</v>
      </c>
    </row>
    <row r="1528">
      <c r="A1528" s="12" t="s">
        <v>5976</v>
      </c>
      <c r="B1528" s="12" t="s">
        <v>1375</v>
      </c>
      <c r="C1528" s="12" t="s">
        <v>3373</v>
      </c>
      <c r="D1528" s="12">
        <v>12.0</v>
      </c>
      <c r="E1528" s="12">
        <v>5.49</v>
      </c>
      <c r="F1528" s="12">
        <v>65.88</v>
      </c>
    </row>
    <row r="1529">
      <c r="A1529" s="12" t="s">
        <v>5979</v>
      </c>
      <c r="B1529" s="12" t="s">
        <v>1375</v>
      </c>
      <c r="C1529" s="12" t="s">
        <v>5980</v>
      </c>
      <c r="D1529" s="12">
        <v>48.0</v>
      </c>
      <c r="E1529" s="12">
        <v>2.24</v>
      </c>
      <c r="F1529" s="12">
        <v>107.52</v>
      </c>
    </row>
    <row r="1530">
      <c r="A1530" s="12" t="s">
        <v>5981</v>
      </c>
      <c r="B1530" s="12" t="s">
        <v>1375</v>
      </c>
      <c r="C1530" s="12" t="s">
        <v>3039</v>
      </c>
      <c r="D1530" s="12">
        <v>2.78</v>
      </c>
      <c r="E1530" s="12">
        <v>2.99</v>
      </c>
      <c r="F1530" s="12">
        <v>8.31</v>
      </c>
    </row>
    <row r="1531">
      <c r="A1531" s="12" t="s">
        <v>5983</v>
      </c>
      <c r="B1531" s="12" t="s">
        <v>1375</v>
      </c>
      <c r="C1531" s="12" t="s">
        <v>2926</v>
      </c>
      <c r="D1531" s="12">
        <v>5.595</v>
      </c>
      <c r="E1531" s="12">
        <v>19.59</v>
      </c>
      <c r="F1531" s="12">
        <v>109.61</v>
      </c>
    </row>
    <row r="1532">
      <c r="A1532" s="12" t="s">
        <v>5985</v>
      </c>
      <c r="B1532" s="12" t="s">
        <v>5986</v>
      </c>
      <c r="C1532" s="12" t="s">
        <v>786</v>
      </c>
      <c r="D1532" s="12">
        <v>1.0</v>
      </c>
      <c r="E1532" s="12">
        <v>9641.6</v>
      </c>
      <c r="F1532" s="12">
        <v>9641.6</v>
      </c>
    </row>
    <row r="1533">
      <c r="A1533" s="12" t="s">
        <v>5988</v>
      </c>
      <c r="B1533" s="12" t="s">
        <v>5986</v>
      </c>
      <c r="C1533" s="12" t="s">
        <v>925</v>
      </c>
      <c r="D1533" s="12">
        <v>1.0</v>
      </c>
      <c r="E1533" s="12">
        <v>973.8</v>
      </c>
      <c r="F1533" s="12">
        <v>973.8</v>
      </c>
    </row>
    <row r="1534">
      <c r="A1534" s="12" t="s">
        <v>5990</v>
      </c>
      <c r="B1534" s="12" t="s">
        <v>5986</v>
      </c>
      <c r="C1534" s="12" t="s">
        <v>2982</v>
      </c>
      <c r="D1534" s="12">
        <v>1.0</v>
      </c>
      <c r="E1534" s="12">
        <v>165.6</v>
      </c>
      <c r="F1534" s="12">
        <v>165.6</v>
      </c>
    </row>
    <row r="1535">
      <c r="A1535" s="12" t="s">
        <v>5991</v>
      </c>
      <c r="B1535" s="12" t="s">
        <v>1454</v>
      </c>
      <c r="C1535" s="12" t="s">
        <v>3599</v>
      </c>
      <c r="D1535" s="12">
        <v>1.0</v>
      </c>
      <c r="E1535" s="12">
        <v>68.4</v>
      </c>
      <c r="F1535" s="12">
        <v>68.4</v>
      </c>
    </row>
    <row r="1536">
      <c r="A1536" s="12" t="s">
        <v>5993</v>
      </c>
      <c r="B1536" s="12" t="s">
        <v>1454</v>
      </c>
      <c r="C1536" s="12" t="s">
        <v>3157</v>
      </c>
      <c r="D1536" s="12">
        <v>12.0</v>
      </c>
      <c r="E1536" s="12">
        <v>4.6</v>
      </c>
      <c r="F1536" s="12">
        <v>55.2</v>
      </c>
    </row>
    <row r="1537">
      <c r="A1537" s="12" t="s">
        <v>5996</v>
      </c>
      <c r="B1537" s="12" t="s">
        <v>1479</v>
      </c>
      <c r="C1537" s="12" t="s">
        <v>3064</v>
      </c>
      <c r="D1537" s="12">
        <v>5.0</v>
      </c>
      <c r="E1537" s="12">
        <v>17.99</v>
      </c>
      <c r="F1537" s="12">
        <v>89.95</v>
      </c>
    </row>
    <row r="1538">
      <c r="A1538" s="12" t="s">
        <v>5997</v>
      </c>
      <c r="B1538" s="12" t="s">
        <v>1479</v>
      </c>
      <c r="C1538" s="12" t="s">
        <v>3019</v>
      </c>
      <c r="D1538" s="12">
        <v>1.22</v>
      </c>
      <c r="E1538" s="12">
        <v>12.49</v>
      </c>
      <c r="F1538" s="12">
        <v>15.24</v>
      </c>
    </row>
    <row r="1539">
      <c r="A1539" s="12" t="s">
        <v>6000</v>
      </c>
      <c r="B1539" s="12" t="s">
        <v>1584</v>
      </c>
      <c r="C1539" s="16" t="s">
        <v>3002</v>
      </c>
      <c r="D1539" s="12">
        <v>2.0</v>
      </c>
      <c r="E1539" s="12">
        <v>22.8</v>
      </c>
      <c r="F1539" s="12">
        <v>45.6</v>
      </c>
    </row>
    <row r="1540">
      <c r="A1540" s="12" t="s">
        <v>6002</v>
      </c>
      <c r="B1540" s="12" t="s">
        <v>1584</v>
      </c>
      <c r="C1540" s="12" t="s">
        <v>3008</v>
      </c>
      <c r="D1540" s="12">
        <v>1.0</v>
      </c>
      <c r="E1540" s="12">
        <v>45.6</v>
      </c>
      <c r="F1540" s="12">
        <v>45.6</v>
      </c>
    </row>
    <row r="1541">
      <c r="A1541" s="12" t="s">
        <v>6004</v>
      </c>
      <c r="B1541" s="12" t="s">
        <v>1584</v>
      </c>
      <c r="C1541" s="12" t="s">
        <v>3114</v>
      </c>
      <c r="D1541" s="12">
        <v>10.0</v>
      </c>
      <c r="E1541" s="12">
        <v>13.08</v>
      </c>
      <c r="F1541" s="12">
        <v>130.8</v>
      </c>
    </row>
    <row r="1542">
      <c r="A1542" s="12" t="s">
        <v>6005</v>
      </c>
      <c r="B1542" s="12" t="s">
        <v>1572</v>
      </c>
      <c r="C1542" s="12" t="s">
        <v>3019</v>
      </c>
      <c r="D1542" s="12">
        <v>1.015</v>
      </c>
      <c r="E1542" s="12">
        <v>12.89</v>
      </c>
      <c r="F1542" s="12">
        <v>13.08</v>
      </c>
    </row>
    <row r="1543">
      <c r="A1543" s="12" t="s">
        <v>6006</v>
      </c>
      <c r="B1543" s="12" t="s">
        <v>1561</v>
      </c>
      <c r="C1543" s="12" t="s">
        <v>6007</v>
      </c>
      <c r="D1543" s="12">
        <v>1.0</v>
      </c>
      <c r="E1543" s="12">
        <v>5.95</v>
      </c>
      <c r="F1543" s="12">
        <v>5.95</v>
      </c>
    </row>
    <row r="1544">
      <c r="A1544" s="12" t="s">
        <v>6008</v>
      </c>
      <c r="B1544" s="12" t="s">
        <v>1561</v>
      </c>
      <c r="C1544" s="12" t="s">
        <v>6007</v>
      </c>
      <c r="D1544" s="12">
        <v>1.0</v>
      </c>
      <c r="E1544" s="12">
        <v>5.95</v>
      </c>
      <c r="F1544" s="12">
        <v>5.95</v>
      </c>
    </row>
    <row r="1545">
      <c r="A1545" s="12" t="s">
        <v>6009</v>
      </c>
      <c r="B1545" s="12" t="s">
        <v>1561</v>
      </c>
      <c r="C1545" s="12" t="s">
        <v>3262</v>
      </c>
      <c r="D1545" s="12">
        <v>1.0</v>
      </c>
      <c r="E1545" s="12">
        <v>37.5</v>
      </c>
      <c r="F1545" s="12">
        <v>37.5</v>
      </c>
    </row>
    <row r="1546">
      <c r="A1546" s="12" t="s">
        <v>6011</v>
      </c>
      <c r="B1546" s="12" t="s">
        <v>1546</v>
      </c>
      <c r="C1546" s="12" t="s">
        <v>3019</v>
      </c>
      <c r="D1546" s="12">
        <v>0.935</v>
      </c>
      <c r="E1546" s="12">
        <v>8.12</v>
      </c>
      <c r="F1546" s="12">
        <v>7.59</v>
      </c>
    </row>
    <row r="1547">
      <c r="A1547" s="12" t="s">
        <v>6014</v>
      </c>
      <c r="B1547" s="12" t="s">
        <v>1546</v>
      </c>
      <c r="C1547" s="12" t="s">
        <v>2926</v>
      </c>
      <c r="D1547" s="12">
        <v>4.865</v>
      </c>
      <c r="E1547" s="12">
        <v>21.82</v>
      </c>
      <c r="F1547" s="12">
        <v>106.15</v>
      </c>
    </row>
    <row r="1548">
      <c r="A1548" s="12" t="s">
        <v>6015</v>
      </c>
      <c r="B1548" s="12" t="s">
        <v>1546</v>
      </c>
      <c r="C1548" s="12" t="s">
        <v>2926</v>
      </c>
      <c r="D1548" s="12">
        <v>2.36</v>
      </c>
      <c r="E1548" s="12">
        <v>21.82</v>
      </c>
      <c r="F1548" s="12">
        <v>51.5</v>
      </c>
    </row>
    <row r="1549">
      <c r="A1549" s="12" t="s">
        <v>6018</v>
      </c>
      <c r="B1549" s="12" t="s">
        <v>1546</v>
      </c>
      <c r="C1549" s="12" t="s">
        <v>3039</v>
      </c>
      <c r="D1549" s="12">
        <v>3.9</v>
      </c>
      <c r="E1549" s="12">
        <v>3.48</v>
      </c>
      <c r="F1549" s="12">
        <v>13.57</v>
      </c>
    </row>
    <row r="1550">
      <c r="A1550" s="12" t="s">
        <v>6019</v>
      </c>
      <c r="B1550" s="12" t="s">
        <v>1546</v>
      </c>
      <c r="C1550" s="12" t="s">
        <v>5789</v>
      </c>
      <c r="D1550" s="12">
        <v>2.0</v>
      </c>
      <c r="E1550" s="12">
        <v>10.88</v>
      </c>
      <c r="F1550" s="12">
        <v>21.76</v>
      </c>
    </row>
    <row r="1551">
      <c r="A1551" s="12" t="s">
        <v>6022</v>
      </c>
      <c r="B1551" s="12" t="s">
        <v>1546</v>
      </c>
      <c r="C1551" s="12" t="s">
        <v>4038</v>
      </c>
      <c r="D1551" s="12">
        <v>1.0</v>
      </c>
      <c r="E1551" s="12">
        <v>5.54</v>
      </c>
      <c r="F1551" s="12">
        <v>5.54</v>
      </c>
    </row>
    <row r="1552">
      <c r="A1552" s="12" t="s">
        <v>6023</v>
      </c>
      <c r="B1552" s="12" t="s">
        <v>1546</v>
      </c>
      <c r="C1552" s="12" t="s">
        <v>5949</v>
      </c>
      <c r="D1552" s="12">
        <v>1.0</v>
      </c>
      <c r="E1552" s="12">
        <v>6.84</v>
      </c>
      <c r="F1552" s="12">
        <v>6.84</v>
      </c>
    </row>
    <row r="1553">
      <c r="A1553" s="12" t="s">
        <v>6026</v>
      </c>
      <c r="B1553" s="12" t="s">
        <v>1546</v>
      </c>
      <c r="C1553" s="12" t="s">
        <v>6028</v>
      </c>
      <c r="D1553" s="12">
        <v>1.0</v>
      </c>
      <c r="E1553" s="12">
        <v>6.8</v>
      </c>
      <c r="F1553" s="12">
        <v>6.8</v>
      </c>
    </row>
    <row r="1554">
      <c r="A1554" s="12" t="s">
        <v>6030</v>
      </c>
      <c r="B1554" s="12" t="s">
        <v>1546</v>
      </c>
      <c r="C1554" s="12" t="s">
        <v>5027</v>
      </c>
      <c r="D1554" s="12">
        <v>1.0</v>
      </c>
      <c r="E1554" s="12">
        <v>8.84</v>
      </c>
      <c r="F1554" s="12">
        <v>8.84</v>
      </c>
    </row>
    <row r="1555">
      <c r="A1555" s="12" t="s">
        <v>6031</v>
      </c>
      <c r="B1555" s="12" t="s">
        <v>1546</v>
      </c>
      <c r="C1555" s="12" t="s">
        <v>3245</v>
      </c>
      <c r="D1555" s="12">
        <v>2.0</v>
      </c>
      <c r="E1555" s="12">
        <v>7.99</v>
      </c>
      <c r="F1555" s="12">
        <v>15.98</v>
      </c>
    </row>
    <row r="1556">
      <c r="A1556" s="12" t="s">
        <v>6032</v>
      </c>
      <c r="B1556" s="12" t="s">
        <v>1546</v>
      </c>
      <c r="C1556" s="12" t="s">
        <v>3177</v>
      </c>
      <c r="D1556" s="12">
        <v>1.0</v>
      </c>
      <c r="E1556" s="12">
        <v>11.14</v>
      </c>
      <c r="F1556" s="12">
        <v>11.14</v>
      </c>
    </row>
    <row r="1557">
      <c r="A1557" s="12" t="s">
        <v>6033</v>
      </c>
      <c r="B1557" s="12" t="s">
        <v>1546</v>
      </c>
      <c r="C1557" s="12" t="s">
        <v>2941</v>
      </c>
      <c r="D1557" s="12">
        <v>3.0</v>
      </c>
      <c r="E1557" s="12">
        <v>6.44</v>
      </c>
      <c r="F1557" s="12">
        <v>19.32</v>
      </c>
    </row>
    <row r="1558">
      <c r="A1558" s="12" t="s">
        <v>6035</v>
      </c>
      <c r="B1558" s="12" t="s">
        <v>1546</v>
      </c>
      <c r="C1558" s="12" t="s">
        <v>5980</v>
      </c>
      <c r="D1558" s="12">
        <v>48.0</v>
      </c>
      <c r="E1558" s="12">
        <v>2.24</v>
      </c>
      <c r="F1558" s="12">
        <v>107.52</v>
      </c>
    </row>
    <row r="1559">
      <c r="A1559" s="12" t="s">
        <v>6038</v>
      </c>
      <c r="B1559" s="12" t="s">
        <v>1546</v>
      </c>
      <c r="C1559" s="12" t="s">
        <v>3071</v>
      </c>
      <c r="D1559" s="12">
        <v>2.0</v>
      </c>
      <c r="E1559" s="12">
        <v>12.38</v>
      </c>
      <c r="F1559" s="12">
        <v>24.76</v>
      </c>
    </row>
    <row r="1560">
      <c r="A1560" s="12" t="s">
        <v>6040</v>
      </c>
      <c r="B1560" s="12" t="s">
        <v>1533</v>
      </c>
      <c r="C1560" s="12" t="s">
        <v>3064</v>
      </c>
      <c r="D1560" s="12">
        <v>20.0</v>
      </c>
      <c r="E1560" s="12">
        <v>8.99</v>
      </c>
      <c r="F1560" s="12">
        <v>179.8</v>
      </c>
    </row>
    <row r="1561">
      <c r="A1561" s="12" t="s">
        <v>6045</v>
      </c>
      <c r="B1561" s="12" t="s">
        <v>6046</v>
      </c>
      <c r="C1561" s="12" t="s">
        <v>1196</v>
      </c>
      <c r="D1561" s="12">
        <v>1.0</v>
      </c>
      <c r="E1561" s="12">
        <v>1129.32</v>
      </c>
      <c r="F1561" s="12">
        <v>1129.32</v>
      </c>
    </row>
    <row r="1562">
      <c r="A1562" s="12" t="s">
        <v>6048</v>
      </c>
      <c r="B1562" s="12">
        <v>1617.0</v>
      </c>
      <c r="C1562" s="12" t="s">
        <v>1756</v>
      </c>
      <c r="D1562" s="12">
        <v>1.0</v>
      </c>
      <c r="E1562" s="12">
        <v>715.2</v>
      </c>
      <c r="F1562" s="12">
        <v>715.2</v>
      </c>
    </row>
    <row r="1563">
      <c r="A1563" s="12" t="s">
        <v>6052</v>
      </c>
      <c r="B1563" s="12">
        <v>1635.0</v>
      </c>
      <c r="C1563" s="12" t="s">
        <v>1486</v>
      </c>
      <c r="D1563" s="12">
        <v>1.0</v>
      </c>
      <c r="E1563" s="12">
        <v>20.0</v>
      </c>
      <c r="F1563" s="12">
        <v>20.0</v>
      </c>
    </row>
    <row r="1564">
      <c r="A1564" s="12" t="s">
        <v>6054</v>
      </c>
      <c r="B1564" s="12">
        <v>1644.0</v>
      </c>
      <c r="C1564" s="12" t="s">
        <v>1196</v>
      </c>
      <c r="D1564" s="12">
        <v>1.0</v>
      </c>
      <c r="E1564" s="12">
        <v>1576.19</v>
      </c>
      <c r="F1564" s="12">
        <v>1576.19</v>
      </c>
    </row>
    <row r="1565">
      <c r="A1565" s="12" t="s">
        <v>6056</v>
      </c>
      <c r="B1565" s="12">
        <v>1645.0</v>
      </c>
      <c r="C1565" s="12" t="s">
        <v>1196</v>
      </c>
      <c r="D1565" s="12">
        <v>1.0</v>
      </c>
      <c r="E1565" s="12">
        <v>1.0</v>
      </c>
      <c r="F1565" s="12">
        <v>1.0</v>
      </c>
    </row>
    <row r="1566">
      <c r="A1566" s="12" t="s">
        <v>6060</v>
      </c>
      <c r="B1566" s="12">
        <v>1646.0</v>
      </c>
      <c r="C1566" s="12" t="s">
        <v>1196</v>
      </c>
      <c r="D1566" s="12">
        <v>1.0</v>
      </c>
      <c r="E1566" s="12">
        <v>1.0</v>
      </c>
      <c r="F1566" s="12">
        <v>1.0</v>
      </c>
    </row>
    <row r="1567">
      <c r="A1567" s="12" t="s">
        <v>6062</v>
      </c>
      <c r="B1567" s="12">
        <v>1647.0</v>
      </c>
      <c r="C1567" s="12" t="s">
        <v>1196</v>
      </c>
      <c r="D1567" s="12">
        <v>1.0</v>
      </c>
      <c r="E1567" s="12">
        <v>863.3</v>
      </c>
      <c r="F1567" s="12">
        <v>863.3</v>
      </c>
    </row>
    <row r="1568">
      <c r="A1568" s="12" t="s">
        <v>6064</v>
      </c>
      <c r="B1568" s="12">
        <v>1648.0</v>
      </c>
      <c r="C1568" s="12" t="s">
        <v>1196</v>
      </c>
      <c r="D1568" s="12">
        <v>1.0</v>
      </c>
      <c r="E1568" s="12">
        <v>1129.32</v>
      </c>
      <c r="F1568" s="12">
        <v>1129.32</v>
      </c>
    </row>
    <row r="1569">
      <c r="A1569" s="12" t="s">
        <v>6065</v>
      </c>
      <c r="B1569" s="12">
        <v>1649.0</v>
      </c>
      <c r="C1569" s="12" t="s">
        <v>1196</v>
      </c>
      <c r="D1569" s="12">
        <v>1.0</v>
      </c>
      <c r="E1569" s="12">
        <v>1536.6</v>
      </c>
      <c r="F1569" s="12">
        <v>1536.6</v>
      </c>
    </row>
    <row r="1570">
      <c r="A1570" s="12" t="s">
        <v>6066</v>
      </c>
      <c r="B1570" s="12">
        <v>1658.0</v>
      </c>
      <c r="C1570" s="12" t="s">
        <v>874</v>
      </c>
      <c r="D1570" s="12">
        <v>1.0</v>
      </c>
      <c r="E1570" s="12">
        <v>125.0</v>
      </c>
      <c r="F1570" s="12">
        <v>125.0</v>
      </c>
    </row>
    <row r="1571">
      <c r="A1571" s="12" t="s">
        <v>6068</v>
      </c>
      <c r="B1571" s="12">
        <v>1660.0</v>
      </c>
      <c r="C1571" s="12" t="s">
        <v>911</v>
      </c>
      <c r="D1571" s="12">
        <v>1.0</v>
      </c>
      <c r="E1571" s="12">
        <v>0.0</v>
      </c>
      <c r="F1571" s="12">
        <v>0.0</v>
      </c>
    </row>
    <row r="1572">
      <c r="A1572" s="12" t="s">
        <v>6069</v>
      </c>
      <c r="B1572" s="12">
        <v>1661.0</v>
      </c>
      <c r="C1572" s="12" t="s">
        <v>936</v>
      </c>
      <c r="D1572" s="12">
        <v>1.0</v>
      </c>
      <c r="E1572" s="12">
        <v>523.0</v>
      </c>
      <c r="F1572" s="12">
        <v>523.0</v>
      </c>
    </row>
    <row r="1573">
      <c r="A1573" s="12" t="s">
        <v>6071</v>
      </c>
      <c r="B1573" s="12" t="s">
        <v>1605</v>
      </c>
      <c r="C1573" s="12" t="s">
        <v>3100</v>
      </c>
      <c r="D1573" s="12">
        <v>1.0</v>
      </c>
      <c r="E1573" s="12">
        <v>13.5</v>
      </c>
      <c r="F1573" s="12">
        <v>13.5</v>
      </c>
    </row>
    <row r="1574">
      <c r="A1574" s="12" t="s">
        <v>6073</v>
      </c>
      <c r="B1574" s="12" t="s">
        <v>1617</v>
      </c>
      <c r="C1574" s="12" t="s">
        <v>3661</v>
      </c>
      <c r="D1574" s="12">
        <v>2.0</v>
      </c>
      <c r="E1574" s="12">
        <v>3.5</v>
      </c>
      <c r="F1574" s="12">
        <v>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2">
        <v>4.0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9" t="s">
        <v>2888</v>
      </c>
      <c r="O2" s="27"/>
      <c r="P2" s="27"/>
      <c r="Q2" s="27"/>
      <c r="R2" s="27"/>
      <c r="S2" s="27"/>
      <c r="T2" s="27"/>
      <c r="U2" s="27"/>
      <c r="V2" s="28"/>
    </row>
    <row r="3">
      <c r="A3" s="30" t="s">
        <v>2898</v>
      </c>
      <c r="B3" s="31"/>
      <c r="C3" s="32" t="str">
        <f>A4</f>
        <v>Marcos</v>
      </c>
      <c r="D3" s="31"/>
      <c r="E3" s="33" t="str">
        <f>A5</f>
        <v>Rayana</v>
      </c>
      <c r="F3" s="31"/>
      <c r="G3" s="33" t="str">
        <f>A6</f>
        <v>Erick</v>
      </c>
      <c r="H3" s="31"/>
      <c r="I3" s="33" t="str">
        <f>A7</f>
        <v>Carolina</v>
      </c>
      <c r="J3" s="31"/>
      <c r="K3" s="33" t="str">
        <f>A8</f>
        <v>Sabrine</v>
      </c>
      <c r="L3" s="34"/>
      <c r="M3" s="35"/>
      <c r="N3" s="36" t="str">
        <f>A4</f>
        <v>Marcos</v>
      </c>
      <c r="O3" s="27"/>
      <c r="P3" s="27"/>
      <c r="Q3" s="28"/>
      <c r="R3" s="37"/>
      <c r="S3" s="38" t="str">
        <f>A5</f>
        <v>Rayana</v>
      </c>
      <c r="T3" s="27"/>
      <c r="U3" s="27"/>
      <c r="V3" s="28"/>
    </row>
    <row r="4" ht="15.75" customHeight="1">
      <c r="A4" s="39" t="s">
        <v>2949</v>
      </c>
      <c r="B4" s="40" t="s">
        <v>727</v>
      </c>
      <c r="C4" s="41" t="s">
        <v>1112</v>
      </c>
      <c r="D4" s="42">
        <f>SUMIFS(M29:M504,J29:J504,C4,K29:K504,C3)+SUMIF(P96:P138,A4,Q96:Q138)+D9</f>
        <v>0</v>
      </c>
      <c r="E4" s="43" t="s">
        <v>1112</v>
      </c>
      <c r="F4" s="42">
        <f>SUMIFS(M29:M504,J29:J504,E4,K29:K504,E3)+SUMIF(P96:P138,A5,Q96:Q138)+F9</f>
        <v>0</v>
      </c>
      <c r="G4" s="43" t="s">
        <v>1112</v>
      </c>
      <c r="H4" s="42">
        <f>SUMIFS(M29:M504,J29:J504,C4,K29:K504,G3)+SUMIF(P96:P138,A6,Q96:Q138)+H9</f>
        <v>0</v>
      </c>
      <c r="I4" s="43" t="s">
        <v>1112</v>
      </c>
      <c r="J4" s="42">
        <f>SUMIFS(M29:M504,J29:J504,C4,K29:K504,I3)+SUMIF(P96:P138,A7,Q96:Q138)+J9</f>
        <v>0</v>
      </c>
      <c r="K4" s="43" t="s">
        <v>1112</v>
      </c>
      <c r="L4" s="44">
        <f>SUMIFS(M29:M504,J29:J504,C4,K29:K504,K3)+SUMIF(P96:P138,A8,Q96:Q138)+L9</f>
        <v>0</v>
      </c>
      <c r="M4" s="25"/>
      <c r="N4" s="45" t="str">
        <f>IFERROR(__xludf.DUMMYFUNCTION("query(C28:L504,""select Col1,Col3,Col8,Col9 where (Col8 = 'Adiantamento' or Col8 = 'Consumo') and Col9 = '""&amp;A4&amp;""'"",1)"),"Data")</f>
        <v>Data</v>
      </c>
      <c r="O4" s="46" t="str">
        <f>IFERROR(__xludf.DUMMYFUNCTION("""COMPUTED_VALUE"""),"Valor ")</f>
        <v>Valor </v>
      </c>
      <c r="P4" s="46" t="str">
        <f>IFERROR(__xludf.DUMMYFUNCTION("""COMPUTED_VALUE"""),"Tipo")</f>
        <v>Tipo</v>
      </c>
      <c r="Q4" s="47" t="str">
        <f>IFERROR(__xludf.DUMMYFUNCTION("""COMPUTED_VALUE"""),"Funcionário")</f>
        <v>Funcionário</v>
      </c>
      <c r="R4" s="48"/>
      <c r="S4" s="49" t="str">
        <f>IFERROR(__xludf.DUMMYFUNCTION("query(C28:L504,""select Col1,Col3,Col8,Col9 where (Col8 = 'Adiantamento' or Col8 = 'Consumo') and Col9 = '""&amp;A5&amp;""'"",1)"),"Data")</f>
        <v>Data</v>
      </c>
      <c r="T4" s="49" t="str">
        <f>IFERROR(__xludf.DUMMYFUNCTION("""COMPUTED_VALUE"""),"Valor ")</f>
        <v>Valor </v>
      </c>
      <c r="U4" s="49" t="str">
        <f>IFERROR(__xludf.DUMMYFUNCTION("""COMPUTED_VALUE"""),"Tipo")</f>
        <v>Tipo</v>
      </c>
      <c r="V4" s="50" t="str">
        <f>IFERROR(__xludf.DUMMYFUNCTION("""COMPUTED_VALUE"""),"Funcionário")</f>
        <v>Funcionário</v>
      </c>
    </row>
    <row r="5" ht="15.0" customHeight="1">
      <c r="A5" s="39" t="s">
        <v>3040</v>
      </c>
      <c r="B5" s="40" t="s">
        <v>1183</v>
      </c>
      <c r="C5" s="41" t="s">
        <v>3044</v>
      </c>
      <c r="D5" s="42">
        <f>SUMIFS(M29:M504,J29:J504,C5,K29:K504,C3)</f>
        <v>0</v>
      </c>
      <c r="E5" s="43" t="s">
        <v>3044</v>
      </c>
      <c r="F5" s="42">
        <f>SUMIFS(M29:M504,J29:J504,C5,K29:K504,E3)</f>
        <v>150.04</v>
      </c>
      <c r="G5" s="43" t="s">
        <v>3044</v>
      </c>
      <c r="H5" s="42">
        <f>SUMIFS(M29:M504,J29:J504,C5,K29:K504,G3)</f>
        <v>60.08</v>
      </c>
      <c r="I5" s="43" t="s">
        <v>3044</v>
      </c>
      <c r="J5" s="42">
        <f>SUMIFS(M29:M504,J29:J504,C5,K29:K504,I3)</f>
        <v>108.25</v>
      </c>
      <c r="K5" s="43" t="s">
        <v>3044</v>
      </c>
      <c r="L5" s="44">
        <f>SUMIFS(M29:M504,J29:J504,C5,K29:K504,K3)</f>
        <v>152.72</v>
      </c>
      <c r="M5" s="25"/>
      <c r="N5" s="51"/>
      <c r="O5" s="52"/>
      <c r="P5" s="52"/>
      <c r="Q5" s="53"/>
      <c r="R5" s="54"/>
      <c r="S5" s="55">
        <f>IFERROR(__xludf.DUMMYFUNCTION("""COMPUTED_VALUE"""),45860.77865740741)</f>
        <v>45860.77866</v>
      </c>
      <c r="T5" s="52" t="str">
        <f>IFERROR(__xludf.DUMMYFUNCTION("""COMPUTED_VALUE"""),"R$ 44,22")</f>
        <v>R$ 44,22</v>
      </c>
      <c r="U5" s="52" t="str">
        <f>IFERROR(__xludf.DUMMYFUNCTION("""COMPUTED_VALUE"""),"Consumo")</f>
        <v>Consumo</v>
      </c>
      <c r="V5" s="53" t="str">
        <f>IFERROR(__xludf.DUMMYFUNCTION("""COMPUTED_VALUE"""),"Rayana")</f>
        <v>Rayana</v>
      </c>
    </row>
    <row r="6" ht="16.5" customHeight="1">
      <c r="A6" s="56" t="s">
        <v>3077</v>
      </c>
      <c r="B6" s="40" t="s">
        <v>1192</v>
      </c>
      <c r="C6" s="41" t="s">
        <v>3082</v>
      </c>
      <c r="D6" s="42">
        <f>D5*0.8</f>
        <v>0</v>
      </c>
      <c r="E6" s="43" t="s">
        <v>3082</v>
      </c>
      <c r="F6" s="42">
        <f>F5*0.8</f>
        <v>120.032</v>
      </c>
      <c r="G6" s="43" t="s">
        <v>3082</v>
      </c>
      <c r="H6" s="42">
        <f>H5*0.8</f>
        <v>48.064</v>
      </c>
      <c r="I6" s="43" t="s">
        <v>3082</v>
      </c>
      <c r="J6" s="42">
        <f>J5*0.8</f>
        <v>86.6</v>
      </c>
      <c r="K6" s="57" t="s">
        <v>3082</v>
      </c>
      <c r="L6" s="44">
        <f>L5*0.8</f>
        <v>122.176</v>
      </c>
      <c r="M6" s="25"/>
      <c r="N6" s="51"/>
      <c r="O6" s="52"/>
      <c r="P6" s="52"/>
      <c r="Q6" s="53"/>
      <c r="R6" s="54"/>
      <c r="S6" s="55">
        <f>IFERROR(__xludf.DUMMYFUNCTION("""COMPUTED_VALUE"""),45861.736238425925)</f>
        <v>45861.73624</v>
      </c>
      <c r="T6" s="52" t="str">
        <f>IFERROR(__xludf.DUMMYFUNCTION("""COMPUTED_VALUE"""),"R$ 23,77")</f>
        <v>R$ 23,77</v>
      </c>
      <c r="U6" s="52" t="str">
        <f>IFERROR(__xludf.DUMMYFUNCTION("""COMPUTED_VALUE"""),"Consumo")</f>
        <v>Consumo</v>
      </c>
      <c r="V6" s="53" t="str">
        <f>IFERROR(__xludf.DUMMYFUNCTION("""COMPUTED_VALUE"""),"Rayana")</f>
        <v>Rayana</v>
      </c>
    </row>
    <row r="7" ht="14.25" customHeight="1">
      <c r="A7" s="39" t="s">
        <v>3137</v>
      </c>
      <c r="B7" s="40" t="s">
        <v>62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51"/>
      <c r="O7" s="52"/>
      <c r="P7" s="52"/>
      <c r="Q7" s="53"/>
      <c r="R7" s="54"/>
      <c r="S7" s="55">
        <f>IFERROR(__xludf.DUMMYFUNCTION("""COMPUTED_VALUE"""),45863.77337962963)</f>
        <v>45863.77338</v>
      </c>
      <c r="T7" s="52" t="str">
        <f>IFERROR(__xludf.DUMMYFUNCTION("""COMPUTED_VALUE"""),"R$ 82,05")</f>
        <v>R$ 82,05</v>
      </c>
      <c r="U7" s="52" t="str">
        <f>IFERROR(__xludf.DUMMYFUNCTION("""COMPUTED_VALUE"""),"Consumo")</f>
        <v>Consumo</v>
      </c>
      <c r="V7" s="53" t="str">
        <f>IFERROR(__xludf.DUMMYFUNCTION("""COMPUTED_VALUE"""),"Rayana")</f>
        <v>Rayana</v>
      </c>
    </row>
    <row r="8" ht="14.25" customHeight="1">
      <c r="A8" s="12" t="s">
        <v>3168</v>
      </c>
      <c r="B8" s="40" t="s">
        <v>78</v>
      </c>
      <c r="C8" s="63" t="s">
        <v>3170</v>
      </c>
      <c r="D8" s="64"/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51"/>
      <c r="O8" s="52"/>
      <c r="P8" s="52"/>
      <c r="Q8" s="53"/>
      <c r="R8" s="54"/>
      <c r="S8" s="52"/>
      <c r="T8" s="52"/>
      <c r="U8" s="52"/>
      <c r="V8" s="53"/>
    </row>
    <row r="9">
      <c r="A9" s="39"/>
      <c r="B9" s="40"/>
      <c r="C9" s="70" t="s">
        <v>41</v>
      </c>
      <c r="D9" s="71"/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51"/>
      <c r="O9" s="52"/>
      <c r="P9" s="52"/>
      <c r="Q9" s="53"/>
      <c r="R9" s="54"/>
      <c r="S9" s="52"/>
      <c r="T9" s="52"/>
      <c r="U9" s="52"/>
      <c r="V9" s="53"/>
    </row>
    <row r="10" ht="21.75" customHeight="1">
      <c r="A10" s="39"/>
      <c r="B10" s="40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51"/>
      <c r="O10" s="79"/>
      <c r="P10" s="79"/>
      <c r="Q10" s="80"/>
      <c r="R10" s="81"/>
      <c r="S10" s="79"/>
      <c r="T10" s="79"/>
      <c r="U10" s="79"/>
      <c r="V10" s="80"/>
    </row>
    <row r="11">
      <c r="A11" s="82"/>
      <c r="B11" s="83"/>
      <c r="C11" s="84" t="s">
        <v>1112</v>
      </c>
      <c r="D11" s="85">
        <f>SUMIFS(M29:M511,J29:J511,C11,K29:K511,C10)+SUMIF(P96:P138,A9,Q96:Q138)+D16</f>
        <v>0</v>
      </c>
      <c r="E11" s="86" t="s">
        <v>1112</v>
      </c>
      <c r="F11" s="85">
        <f>SUMIFS(M29:M511,J29:J511,E11,K29:K511,E10)+SUMIF(P96:P138,A10,Q96:Q138)+F16</f>
        <v>0</v>
      </c>
      <c r="G11" s="86" t="s">
        <v>1112</v>
      </c>
      <c r="H11" s="85">
        <f>SUMIFS(M29:M511,J29:J511,C11,K29:K511,G10)+SUMIF(P96:P138,A11,Q96:Q138)+H16</f>
        <v>0</v>
      </c>
      <c r="I11" s="86" t="s">
        <v>1112</v>
      </c>
      <c r="J11" s="85">
        <f>SUMIFS(M29:M511,J29:J511,C11,K29:K511,I10)+SUMIF(P96:P138,A11,Q96:Q138)+J16</f>
        <v>0</v>
      </c>
      <c r="K11" s="86" t="s">
        <v>1112</v>
      </c>
      <c r="L11" s="87">
        <f>SUMIFS(M29:M511,J29:J511,C11,K29:K511,K10)+SUMIF(P96:P138,A13,Q96:Q138)+L16</f>
        <v>0</v>
      </c>
      <c r="M11" s="24"/>
      <c r="N11" s="88"/>
      <c r="O11" s="89"/>
      <c r="P11" s="89"/>
      <c r="Q11" s="90"/>
      <c r="R11" s="91"/>
      <c r="S11" s="89"/>
      <c r="T11" s="89"/>
      <c r="U11" s="89"/>
      <c r="V11" s="90"/>
    </row>
    <row r="12">
      <c r="A12" s="82"/>
      <c r="B12" s="83"/>
      <c r="C12" s="84" t="s">
        <v>3044</v>
      </c>
      <c r="D12" s="85">
        <f>SUMIFS(M36:M511,J36:J511,C12,K36:K511,C10)</f>
        <v>0</v>
      </c>
      <c r="E12" s="86" t="s">
        <v>3044</v>
      </c>
      <c r="F12" s="85">
        <f>SUMIFS(M29:M511,J29:J511,C12,K29:K511,E10)</f>
        <v>0</v>
      </c>
      <c r="G12" s="86" t="s">
        <v>3044</v>
      </c>
      <c r="H12" s="85">
        <f>SUMIFS(M36:M511,J36:J511,C12,K36:K511,G10)</f>
        <v>0</v>
      </c>
      <c r="I12" s="86" t="s">
        <v>3044</v>
      </c>
      <c r="J12" s="85">
        <f>SUMIFS(M29:M511,J29:J511,C12,K29:K511,I10)</f>
        <v>0</v>
      </c>
      <c r="K12" s="86" t="s">
        <v>3044</v>
      </c>
      <c r="L12" s="87">
        <f>SUMIFS(M29:M511,J29:J511,C12,K29:K511,K10)</f>
        <v>0</v>
      </c>
      <c r="M12" s="24"/>
      <c r="N12" s="88"/>
      <c r="O12" s="89"/>
      <c r="P12" s="89"/>
      <c r="Q12" s="90"/>
      <c r="R12" s="91"/>
      <c r="S12" s="89"/>
      <c r="T12" s="89"/>
      <c r="U12" s="89"/>
      <c r="V12" s="90"/>
    </row>
    <row r="13">
      <c r="A13" s="92"/>
      <c r="B13" s="93"/>
      <c r="C13" s="84" t="s">
        <v>3082</v>
      </c>
      <c r="D13" s="85">
        <f>D12*0.8</f>
        <v>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88"/>
      <c r="O13" s="89"/>
      <c r="P13" s="89"/>
      <c r="Q13" s="90"/>
      <c r="R13" s="91"/>
      <c r="S13" s="89"/>
      <c r="T13" s="89"/>
      <c r="U13" s="89"/>
      <c r="V13" s="90"/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88"/>
      <c r="O14" s="89"/>
      <c r="P14" s="89"/>
      <c r="Q14" s="90"/>
      <c r="R14" s="91"/>
      <c r="S14" s="89"/>
      <c r="T14" s="89"/>
      <c r="U14" s="89"/>
      <c r="V14" s="90"/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88"/>
      <c r="O15" s="89"/>
      <c r="P15" s="89"/>
      <c r="Q15" s="90"/>
      <c r="R15" s="91"/>
      <c r="S15" s="89"/>
      <c r="T15" s="89"/>
      <c r="U15" s="89"/>
      <c r="V15" s="90"/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3"/>
      <c r="B19" s="23"/>
      <c r="C19" s="112"/>
      <c r="D19" s="113"/>
      <c r="E19" s="112"/>
      <c r="F19" s="114"/>
      <c r="G19" s="115" t="s">
        <v>3452</v>
      </c>
      <c r="H19" s="116">
        <f>((H20+H21)-H22)-H25</f>
        <v>16544.5</v>
      </c>
      <c r="I19" s="117" t="s">
        <v>3466</v>
      </c>
      <c r="J19" s="118" t="s">
        <v>3467</v>
      </c>
      <c r="K19" s="119" t="s">
        <v>3472</v>
      </c>
      <c r="L19" s="113"/>
      <c r="M19" s="24"/>
      <c r="N19" s="120"/>
      <c r="O19" s="121"/>
      <c r="P19" s="121"/>
      <c r="Q19" s="121"/>
      <c r="R19" s="122"/>
      <c r="S19" s="123" t="str">
        <f>A7</f>
        <v>Carolina</v>
      </c>
      <c r="T19" s="106"/>
      <c r="U19" s="106"/>
      <c r="V19" s="124"/>
    </row>
    <row r="20">
      <c r="A20" s="125"/>
      <c r="B20" s="125"/>
      <c r="C20" s="126" t="s">
        <v>1112</v>
      </c>
      <c r="D20" s="127">
        <f>SUMIFS(M29:M504,J29:J504,C20,K29:K504,C19)+SUMIF(P102:P138,A9,Q102:Q138)+D25</f>
        <v>0</v>
      </c>
      <c r="E20" s="126" t="s">
        <v>1112</v>
      </c>
      <c r="F20" s="128">
        <f>SUMIFS(M29:M504,J29:J504,C20,K29:K504,E19)+SUMIF(P102:P138,A10,Q102:Q138)+F25</f>
        <v>0</v>
      </c>
      <c r="G20" s="129" t="s">
        <v>3505</v>
      </c>
      <c r="H20" s="130">
        <v>0.0</v>
      </c>
      <c r="I20" s="131">
        <f>SUMIF(J29:J504,I19,M29:M504)</f>
        <v>0</v>
      </c>
      <c r="J20" s="132">
        <f>SUMIF(J29:J504,J19,M29:M504)</f>
        <v>82</v>
      </c>
      <c r="K20" s="133" t="s">
        <v>3520</v>
      </c>
      <c r="L20" s="134"/>
      <c r="M20" s="24"/>
      <c r="N20" s="135"/>
      <c r="O20" s="136"/>
      <c r="P20" s="136"/>
      <c r="Q20" s="136"/>
      <c r="R20" s="48"/>
      <c r="S20" s="49" t="str">
        <f>IFERROR(__xludf.DUMMYFUNCTION("query(C28:L504,""select Col1,Col3,Col8,Col9 where (Col8 = 'Adiantamento' or Col8 = 'Consumo') and Col9 = '""&amp;A7&amp;""'"",1)"),"Data")</f>
        <v>Data</v>
      </c>
      <c r="T20" s="49" t="str">
        <f>IFERROR(__xludf.DUMMYFUNCTION("""COMPUTED_VALUE"""),"Valor ")</f>
        <v>Valor </v>
      </c>
      <c r="U20" s="49" t="str">
        <f>IFERROR(__xludf.DUMMYFUNCTION("""COMPUTED_VALUE"""),"Tipo")</f>
        <v>Tipo</v>
      </c>
      <c r="V20" s="50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3044</v>
      </c>
      <c r="D21" s="127">
        <f>SUMIFS(M29:M504,J29:J504,C21,K29:K504,C19)</f>
        <v>0</v>
      </c>
      <c r="E21" s="126" t="s">
        <v>3044</v>
      </c>
      <c r="F21" s="128">
        <f>SUMIFS(M29:M504,J29:J504,E21,K29:K504,E19)</f>
        <v>0</v>
      </c>
      <c r="G21" s="86" t="s">
        <v>3560</v>
      </c>
      <c r="H21" s="127">
        <f>SUMIFS(M29:M504,D29:D504,"Saída",J29:J504,"Sangria")</f>
        <v>16544.5</v>
      </c>
      <c r="I21" s="138"/>
      <c r="J21" s="139"/>
      <c r="K21" s="133" t="s">
        <v>3570</v>
      </c>
      <c r="L21" s="134"/>
      <c r="M21" s="24"/>
      <c r="N21" s="108"/>
      <c r="O21" s="52"/>
      <c r="P21" s="52"/>
      <c r="Q21" s="53"/>
      <c r="R21" s="54"/>
      <c r="S21" s="55">
        <f>IFERROR(__xludf.DUMMYFUNCTION("""COMPUTED_VALUE"""),45860.74157407407)</f>
        <v>45860.74157</v>
      </c>
      <c r="T21" s="52" t="str">
        <f>IFERROR(__xludf.DUMMYFUNCTION("""COMPUTED_VALUE"""),"R$ 42,43")</f>
        <v>R$ 42,43</v>
      </c>
      <c r="U21" s="52" t="str">
        <f>IFERROR(__xludf.DUMMYFUNCTION("""COMPUTED_VALUE"""),"Consumo")</f>
        <v>Consumo</v>
      </c>
      <c r="V21" s="53" t="str">
        <f>IFERROR(__xludf.DUMMYFUNCTION("""COMPUTED_VALUE"""),"Carolina")</f>
        <v>Carolina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SUMIFS(M29:M504,D29:D504,"Entrada",J29:J504,"Sangria")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51"/>
      <c r="O22" s="52"/>
      <c r="P22" s="52"/>
      <c r="Q22" s="53"/>
      <c r="R22" s="54"/>
      <c r="S22" s="55">
        <f>IFERROR(__xludf.DUMMYFUNCTION("""COMPUTED_VALUE"""),45863.772465277776)</f>
        <v>45863.77247</v>
      </c>
      <c r="T22" s="52" t="str">
        <f>IFERROR(__xludf.DUMMYFUNCTION("""COMPUTED_VALUE"""),"R$ 65,82")</f>
        <v>R$ 65,82</v>
      </c>
      <c r="U22" s="52" t="str">
        <f>IFERROR(__xludf.DUMMYFUNCTION("""COMPUTED_VALUE"""),"Consumo")</f>
        <v>Consumo</v>
      </c>
      <c r="V22" s="53" t="str">
        <f>IFERROR(__xludf.DUMMYFUNCTION("""COMPUTED_VALUE"""),"Carolina")</f>
        <v>Carolina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SUMIF(J29:J504,I22,M29:M504)</f>
        <v>0</v>
      </c>
      <c r="J23" s="152"/>
      <c r="K23" s="133" t="s">
        <v>3630</v>
      </c>
      <c r="L23" s="134"/>
      <c r="M23" s="24"/>
      <c r="N23" s="51"/>
      <c r="O23" s="52"/>
      <c r="P23" s="52"/>
      <c r="Q23" s="53"/>
      <c r="R23" s="54"/>
      <c r="S23" s="52"/>
      <c r="T23" s="52"/>
      <c r="U23" s="52"/>
      <c r="V23" s="53"/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SUMIF(L29:L504,G24,M29:M504)</f>
        <v>0</v>
      </c>
      <c r="I24" s="157" t="s">
        <v>3653</v>
      </c>
      <c r="J24" s="150"/>
      <c r="K24" s="133" t="s">
        <v>3656</v>
      </c>
      <c r="L24" s="134"/>
      <c r="M24" s="24"/>
      <c r="N24" s="51"/>
      <c r="O24" s="52"/>
      <c r="P24" s="52"/>
      <c r="Q24" s="53"/>
      <c r="R24" s="54"/>
      <c r="S24" s="52"/>
      <c r="T24" s="52"/>
      <c r="U24" s="52"/>
      <c r="V24" s="53"/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5"/>
      <c r="N25" s="51"/>
      <c r="O25" s="52"/>
      <c r="P25" s="52"/>
      <c r="Q25" s="53"/>
      <c r="R25" s="54"/>
      <c r="S25" s="52"/>
      <c r="T25" s="52"/>
      <c r="U25" s="52"/>
      <c r="V25" s="53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1"/>
      <c r="O26" s="79"/>
      <c r="P26" s="79"/>
      <c r="Q26" s="80"/>
      <c r="R26" s="81"/>
      <c r="S26" s="79"/>
      <c r="T26" s="79"/>
      <c r="U26" s="79"/>
      <c r="V26" s="80"/>
    </row>
    <row r="27">
      <c r="A27" s="168"/>
      <c r="B27" s="169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89"/>
      <c r="T27" s="89"/>
      <c r="U27" s="89"/>
      <c r="V27" s="90"/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177" t="s">
        <v>3724</v>
      </c>
      <c r="M28" s="167"/>
      <c r="N28" s="88"/>
      <c r="O28" s="89"/>
      <c r="P28" s="89"/>
      <c r="Q28" s="90"/>
      <c r="R28" s="91"/>
      <c r="S28" s="89"/>
      <c r="T28" s="89"/>
      <c r="U28" s="89"/>
      <c r="V28" s="90"/>
    </row>
    <row r="29" ht="14.25" customHeight="1">
      <c r="A29" s="178"/>
      <c r="B29" s="10">
        <v>1568260.0</v>
      </c>
      <c r="C29" s="11">
        <v>45850.74686342593</v>
      </c>
      <c r="D29" s="179" t="s">
        <v>50</v>
      </c>
      <c r="E29" s="180" t="s">
        <v>1588</v>
      </c>
      <c r="F29" s="181"/>
      <c r="G29" s="179" t="s">
        <v>3740</v>
      </c>
      <c r="H29" s="182"/>
      <c r="I29" s="182"/>
      <c r="J29" s="183" t="s">
        <v>3746</v>
      </c>
      <c r="K29" s="183" t="s">
        <v>2949</v>
      </c>
      <c r="L29" s="184" t="str">
        <f>IFERROR(__xludf.DUMMYFUNCTION("ifna(IF(and(D29=""Saída"",J29=""Sangria""),if(sum(QUERY(IMPORTRANGE(""https://docs.google.com/spreadsheets/d/1wBSFbIXYswW2S5SMKo44LPsdTG4P4kfP5VRdAS5E_4o"",""BD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'""&amp;YEAR(C29)&amp;""-""&amp;MONTH(C29)&amp;""-""&amp;DAY(C29)&amp;""'""))&gt;0,""Depositada"",if(sum(QUERY(IMPORTRANGE(""https://docs.google.com/spreadsheets/d/1wBSFbIXYswW2S5SMKo44LPsdTG4P4kfP5VRdAS5E_4o"",""BD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Sangria"")"),"#REF!")</f>
        <v>#REF!</v>
      </c>
      <c r="M29" s="185">
        <f>IFERROR(__xludf.DUMMYFUNCTION("ifna(VALUE(REGEXEXTRACT(E29,""[0-9.]+[,]+[0-9]+"")))"),1200.0)</f>
        <v>1200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14.25" customHeight="1">
      <c r="A30" s="178"/>
      <c r="B30" s="10">
        <v>1568595.0</v>
      </c>
      <c r="C30" s="11">
        <v>45850.841782407406</v>
      </c>
      <c r="D30" s="179" t="s">
        <v>50</v>
      </c>
      <c r="E30" s="180" t="s">
        <v>991</v>
      </c>
      <c r="F30" s="181"/>
      <c r="G30" s="179" t="s">
        <v>3740</v>
      </c>
      <c r="H30" s="186"/>
      <c r="I30" s="186"/>
      <c r="J30" s="187" t="s">
        <v>3746</v>
      </c>
      <c r="K30" s="187" t="s">
        <v>2949</v>
      </c>
      <c r="L30" s="184" t="str">
        <f>IFERROR(__xludf.DUMMYFUNCTION("ifna(IF(and(D30=""Saída"",J30=""Sangria""),if(sum(QUERY(IMPORTRANGE(""https://docs.google.com/spreadsheets/d/1wBSFbIXYswW2S5SMKo44LPsdTG4P4kfP5VRdAS5E_4o"",""BD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'""&amp;YEAR(C30)&amp;""-""&amp;MONTH(C30)&amp;""-""&amp;DAY(C30)&amp;""'""))&gt;0,""Depositada"",if(sum(QUERY(IMPORTRANGE(""https://docs.google.com/spreadsheets/d/1wBSFbIXYswW2S5SMKo44LPsdTG4P4kfP5VRdAS5E_4o"",""BD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Sangria"")"),"#REF!")</f>
        <v>#REF!</v>
      </c>
      <c r="M30" s="185">
        <f>IFERROR(__xludf.DUMMYFUNCTION("ifna(VALUE(REGEXEXTRACT(E30,""[0-9.]+[,]+[0-9]+"")))"),700.0)</f>
        <v>700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0">
        <v>1569301.0</v>
      </c>
      <c r="C31" s="11">
        <v>45850.988344907404</v>
      </c>
      <c r="D31" s="179" t="s">
        <v>50</v>
      </c>
      <c r="E31" s="180" t="s">
        <v>3794</v>
      </c>
      <c r="F31" s="181"/>
      <c r="G31" s="179" t="s">
        <v>3796</v>
      </c>
      <c r="H31" s="186"/>
      <c r="I31" s="186"/>
      <c r="J31" s="187" t="s">
        <v>3467</v>
      </c>
      <c r="K31" s="187"/>
      <c r="L31" s="184" t="str">
        <f>IFERROR(__xludf.DUMMYFUNCTION("ifna(IF(and(D31=""Saída"",J31=""Sangria""),if(sum(QUERY(IMPORTRANGE(""https://docs.google.com/spreadsheets/d/1wBSFbIXYswW2S5SMKo44LPsdTG4P4kfP5VRdAS5E_4o"",""BD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'""&amp;YEAR(C31)&amp;""-""&amp;MONTH(C31)&amp;""-""&amp;DAY(C31)&amp;""'""))&gt;0,""Depositada"",if(sum(QUERY(IMPORTRANGE(""https://docs.google.com/spreadsheets/d/1wBSFbIXYswW2S5SMKo44LPsdTG4P4kfP5VRdAS5E_4o"",""BD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Sangria"")"),"")</f>
        <v/>
      </c>
      <c r="M31" s="185">
        <f>IFERROR(__xludf.DUMMYFUNCTION("ifna(VALUE(REGEXEXTRACT(E31,""[0-9.]+[,]+[0-9]+"")))"),82.0)</f>
        <v>82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0">
        <v>1569302.0</v>
      </c>
      <c r="C32" s="11">
        <v>45850.98868055556</v>
      </c>
      <c r="D32" s="179" t="s">
        <v>50</v>
      </c>
      <c r="E32" s="180" t="s">
        <v>3819</v>
      </c>
      <c r="F32" s="181"/>
      <c r="G32" s="179" t="s">
        <v>3822</v>
      </c>
      <c r="H32" s="186"/>
      <c r="I32" s="186"/>
      <c r="J32" s="187" t="s">
        <v>3825</v>
      </c>
      <c r="K32" s="187"/>
      <c r="L32" s="184" t="str">
        <f>IFERROR(__xludf.DUMMYFUNCTION("ifna(IF(and(D32=""Saída"",J32=""Sangria""),if(sum(QUERY(IMPORTRANGE(""https://docs.google.com/spreadsheets/d/1wBSFbIXYswW2S5SMKo44LPsdTG4P4kfP5VRdAS5E_4o"",""BD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'""&amp;YEAR(C32)&amp;""-""&amp;MONTH(C32)&amp;""-""&amp;DAY(C32)&amp;""'""))&gt;0,""Depositada"",if(sum(QUERY(IMPORTRANGE(""https://docs.google.com/spreadsheets/d/1wBSFbIXYswW2S5SMKo44LPsdTG4P4kfP5VRdAS5E_4o"",""BD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IFERROR(__xludf.DUMMYFUNCTION("ifna(VALUE(REGEXEXTRACT(E32,""[0-9.]+[,]+[0-9]+"")))"),110.5)</f>
        <v>110.5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0">
        <v>1569304.0</v>
      </c>
      <c r="C33" s="11">
        <v>45850.98899305556</v>
      </c>
      <c r="D33" s="179" t="s">
        <v>50</v>
      </c>
      <c r="E33" s="180" t="s">
        <v>624</v>
      </c>
      <c r="F33" s="188"/>
      <c r="G33" s="179" t="s">
        <v>3846</v>
      </c>
      <c r="H33" s="186"/>
      <c r="I33" s="186"/>
      <c r="J33" s="187" t="s">
        <v>3825</v>
      </c>
      <c r="K33" s="187"/>
      <c r="L33" s="184" t="str">
        <f>IFERROR(__xludf.DUMMYFUNCTION("ifna(IF(and(D33=""Saída"",J33=""Sangria""),if(sum(QUERY(IMPORTRANGE(""https://docs.google.com/spreadsheets/d/1wBSFbIXYswW2S5SMKo44LPsdTG4P4kfP5VRdAS5E_4o"",""BD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'""&amp;YEAR(C33)&amp;""-""&amp;MONTH(C33)&amp;""-""&amp;DAY(C33)&amp;""'""))&gt;0,""Depositada"",if(sum(QUERY(IMPORTRANGE(""https://docs.google.com/spreadsheets/d/1wBSFbIXYswW2S5SMKo44LPsdTG4P4kfP5VRdAS5E_4o"",""BD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Sangria"")"),"")</f>
        <v/>
      </c>
      <c r="M33" s="185">
        <f>IFERROR(__xludf.DUMMYFUNCTION("ifna(VALUE(REGEXEXTRACT(E33,""[0-9.]+[,]+[0-9]+"")))"),130.0)</f>
        <v>130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0">
        <v>1569700.0</v>
      </c>
      <c r="C34" s="11">
        <v>45851.646782407406</v>
      </c>
      <c r="D34" s="179" t="s">
        <v>227</v>
      </c>
      <c r="E34" s="180" t="s">
        <v>3868</v>
      </c>
      <c r="F34" s="181"/>
      <c r="G34" s="179" t="s">
        <v>3869</v>
      </c>
      <c r="H34" s="186"/>
      <c r="I34" s="186"/>
      <c r="J34" s="187" t="s">
        <v>3874</v>
      </c>
      <c r="K34" s="187"/>
      <c r="L34" s="184" t="str">
        <f>IFERROR(__xludf.DUMMYFUNCTION("ifna(IF(and(D34=""Saída"",J34=""Sangria""),if(sum(QUERY(IMPORTRANGE(""https://docs.google.com/spreadsheets/d/1wBSFbIXYswW2S5SMKo44LPsdTG4P4kfP5VRdAS5E_4o"",""BD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'""&amp;YEAR(C34)&amp;""-""&amp;MONTH(C34)&amp;""-""&amp;DAY(C34)&amp;""'""))&gt;0,""Depositada"",if(sum(QUERY(IMPORTRANGE(""https://docs.google.com/spreadsheets/d/1wBSFbIXYswW2S5SMKo44LPsdTG4P4kfP5VRdAS5E_4o"",""BD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IFERROR(__xludf.DUMMYFUNCTION("ifna(VALUE(REGEXEXTRACT(E34,""[0-9.]+[,]+[0-9]+"")))"),38.0)</f>
        <v>38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0">
        <v>1570119.0</v>
      </c>
      <c r="C35" s="11">
        <v>45851.73341435185</v>
      </c>
      <c r="D35" s="179" t="s">
        <v>227</v>
      </c>
      <c r="E35" s="180" t="s">
        <v>3885</v>
      </c>
      <c r="F35" s="181"/>
      <c r="G35" s="179" t="s">
        <v>3869</v>
      </c>
      <c r="H35" s="186"/>
      <c r="I35" s="186"/>
      <c r="J35" s="187" t="s">
        <v>3874</v>
      </c>
      <c r="K35" s="187"/>
      <c r="L35" s="184" t="str">
        <f>IFERROR(__xludf.DUMMYFUNCTION("ifna(IF(and(D35=""Saída"",J35=""Sangria""),if(sum(QUERY(IMPORTRANGE(""https://docs.google.com/spreadsheets/d/1wBSFbIXYswW2S5SMKo44LPsdTG4P4kfP5VRdAS5E_4o"",""BD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'""&amp;YEAR(C35)&amp;""-""&amp;MONTH(C35)&amp;""-""&amp;DAY(C35)&amp;""'""))&gt;0,""Depositada"",if(sum(QUERY(IMPORTRANGE(""https://docs.google.com/spreadsheets/d/1wBSFbIXYswW2S5SMKo44LPsdTG4P4kfP5VRdAS5E_4o"",""BD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IFERROR(__xludf.DUMMYFUNCTION("ifna(VALUE(REGEXEXTRACT(E35,""[0-9.]+[,]+[0-9]+"")))"),78.0)</f>
        <v>78</v>
      </c>
      <c r="N35" s="108"/>
      <c r="R35" s="110"/>
    </row>
    <row r="36" ht="14.25" customHeight="1">
      <c r="A36" s="178"/>
      <c r="B36" s="10">
        <v>1571338.0</v>
      </c>
      <c r="C36" s="11">
        <v>45851.932280092595</v>
      </c>
      <c r="D36" s="179" t="s">
        <v>50</v>
      </c>
      <c r="E36" s="180" t="s">
        <v>3899</v>
      </c>
      <c r="F36" s="181"/>
      <c r="G36" s="179" t="s">
        <v>3901</v>
      </c>
      <c r="H36" s="186"/>
      <c r="I36" s="186"/>
      <c r="J36" s="187" t="s">
        <v>3903</v>
      </c>
      <c r="K36" s="187"/>
      <c r="L36" s="184" t="str">
        <f>IFERROR(__xludf.DUMMYFUNCTION("ifna(IF(and(D36=""Saída"",J36=""Sangria""),if(sum(QUERY(IMPORTRANGE(""https://docs.google.com/spreadsheets/d/1wBSFbIXYswW2S5SMKo44LPsdTG4P4kfP5VRdAS5E_4o"",""BD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'""&amp;YEAR(C36)&amp;""-""&amp;MONTH(C36)&amp;""-""&amp;DAY(C36)&amp;""'""))&gt;0,""Depositada"",if(sum(QUERY(IMPORTRANGE(""https://docs.google.com/spreadsheets/d/1wBSFbIXYswW2S5SMKo44LPsdTG4P4kfP5VRdAS5E_4o"",""BD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Sangria"")"),"")</f>
        <v/>
      </c>
      <c r="M36" s="185">
        <f>IFERROR(__xludf.DUMMYFUNCTION("ifna(VALUE(REGEXEXTRACT(E36,""[0-9.]+[,]+[0-9]+"")))"),1000.0)</f>
        <v>1000</v>
      </c>
      <c r="N36" s="108"/>
      <c r="R36" s="110"/>
    </row>
    <row r="37" ht="14.25" customHeight="1">
      <c r="A37" s="178"/>
      <c r="B37" s="10">
        <v>1571340.0</v>
      </c>
      <c r="C37" s="11">
        <v>45851.93238425926</v>
      </c>
      <c r="D37" s="179" t="s">
        <v>50</v>
      </c>
      <c r="E37" s="180" t="s">
        <v>3910</v>
      </c>
      <c r="F37" s="181"/>
      <c r="G37" s="179" t="s">
        <v>3746</v>
      </c>
      <c r="H37" s="186"/>
      <c r="I37" s="186"/>
      <c r="J37" s="187" t="s">
        <v>3746</v>
      </c>
      <c r="K37" s="187" t="s">
        <v>2949</v>
      </c>
      <c r="L37" s="184" t="str">
        <f>IFERROR(__xludf.DUMMYFUNCTION("ifna(IF(and(D37=""Saída"",J37=""Sangria""),if(sum(QUERY(IMPORTRANGE(""https://docs.google.com/spreadsheets/d/1wBSFbIXYswW2S5SMKo44LPsdTG4P4kfP5VRdAS5E_4o"",""BD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'""&amp;YEAR(C37)&amp;""-""&amp;MONTH(C37)&amp;""-""&amp;DAY(C37)&amp;""'""))&gt;0,""Depositada"",if(sum(QUERY(IMPORTRANGE(""https://docs.google.com/spreadsheets/d/1wBSFbIXYswW2S5SMKo44LPsdTG4P4kfP5VRdAS5E_4o"",""BD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Sangria"")"),"#REF!")</f>
        <v>#REF!</v>
      </c>
      <c r="M37" s="185">
        <f>IFERROR(__xludf.DUMMYFUNCTION("ifna(VALUE(REGEXEXTRACT(E37,""[0-9.]+[,]+[0-9]+"")))"),2350.0)</f>
        <v>2350</v>
      </c>
      <c r="N37" s="108"/>
      <c r="R37" s="110"/>
    </row>
    <row r="38" ht="14.25" customHeight="1">
      <c r="A38" s="178"/>
      <c r="B38" s="10">
        <v>1571595.0</v>
      </c>
      <c r="C38" s="11">
        <v>45851.96077546296</v>
      </c>
      <c r="D38" s="179" t="s">
        <v>50</v>
      </c>
      <c r="E38" s="180" t="s">
        <v>624</v>
      </c>
      <c r="F38" s="188"/>
      <c r="G38" s="179" t="s">
        <v>3930</v>
      </c>
      <c r="H38" s="186"/>
      <c r="I38" s="186"/>
      <c r="J38" s="187" t="s">
        <v>3825</v>
      </c>
      <c r="K38" s="187"/>
      <c r="L38" s="184" t="str">
        <f>IFERROR(__xludf.DUMMYFUNCTION("ifna(IF(and(D38=""Saída"",J38=""Sangria""),if(sum(QUERY(IMPORTRANGE(""https://docs.google.com/spreadsheets/d/1wBSFbIXYswW2S5SMKo44LPsdTG4P4kfP5VRdAS5E_4o"",""BD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'""&amp;YEAR(C38)&amp;""-""&amp;MONTH(C38)&amp;""-""&amp;DAY(C38)&amp;""'""))&gt;0,""Depositada"",if(sum(QUERY(IMPORTRANGE(""https://docs.google.com/spreadsheets/d/1wBSFbIXYswW2S5SMKo44LPsdTG4P4kfP5VRdAS5E_4o"",""BD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Sangria"")"),"")</f>
        <v/>
      </c>
      <c r="M38" s="185">
        <f>IFERROR(__xludf.DUMMYFUNCTION("ifna(VALUE(REGEXEXTRACT(E38,""[0-9.]+[,]+[0-9]+"")))"),130.0)</f>
        <v>130</v>
      </c>
      <c r="N38" s="108"/>
      <c r="R38" s="110"/>
    </row>
    <row r="39" ht="21.75" customHeight="1">
      <c r="A39" s="178"/>
      <c r="B39" s="10">
        <v>1571598.0</v>
      </c>
      <c r="C39" s="11">
        <v>45851.96113425926</v>
      </c>
      <c r="D39" s="179" t="s">
        <v>50</v>
      </c>
      <c r="E39" s="180" t="s">
        <v>3944</v>
      </c>
      <c r="F39" s="181"/>
      <c r="G39" s="179" t="s">
        <v>3947</v>
      </c>
      <c r="H39" s="186"/>
      <c r="I39" s="186"/>
      <c r="J39" s="187" t="s">
        <v>3825</v>
      </c>
      <c r="K39" s="187"/>
      <c r="L39" s="184" t="str">
        <f>IFERROR(__xludf.DUMMYFUNCTION("ifna(IF(and(D39=""Saída"",J39=""Sangria""),if(sum(QUERY(IMPORTRANGE(""https://docs.google.com/spreadsheets/d/1wBSFbIXYswW2S5SMKo44LPsdTG4P4kfP5VRdAS5E_4o"",""BD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'""&amp;YEAR(C39)&amp;""-""&amp;MONTH(C39)&amp;""-""&amp;DAY(C39)&amp;""'""))&gt;0,""Depositada"",if(sum(QUERY(IMPORTRANGE(""https://docs.google.com/spreadsheets/d/1wBSFbIXYswW2S5SMKo44LPsdTG4P4kfP5VRdAS5E_4o"",""BD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IFERROR(__xludf.DUMMYFUNCTION("ifna(VALUE(REGEXEXTRACT(E39,""[0-9.]+[,]+[0-9]+"")))"),85.0)</f>
        <v>85</v>
      </c>
      <c r="N39" s="108"/>
      <c r="R39" s="110"/>
    </row>
    <row r="40" ht="14.25" customHeight="1">
      <c r="A40" s="178"/>
      <c r="B40" s="10">
        <v>1571600.0</v>
      </c>
      <c r="C40" s="11">
        <v>45851.961435185185</v>
      </c>
      <c r="D40" s="179" t="s">
        <v>50</v>
      </c>
      <c r="E40" s="180" t="s">
        <v>1702</v>
      </c>
      <c r="F40" s="181"/>
      <c r="G40" s="179" t="s">
        <v>3965</v>
      </c>
      <c r="H40" s="186"/>
      <c r="I40" s="186"/>
      <c r="J40" s="187" t="s">
        <v>3825</v>
      </c>
      <c r="K40" s="187"/>
      <c r="L40" s="184" t="str">
        <f>IFERROR(__xludf.DUMMYFUNCTION("ifna(IF(and(D40=""Saída"",J40=""Sangria""),if(sum(QUERY(IMPORTRANGE(""https://docs.google.com/spreadsheets/d/1wBSFbIXYswW2S5SMKo44LPsdTG4P4kfP5VRdAS5E_4o"",""BD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'""&amp;YEAR(C40)&amp;""-""&amp;MONTH(C40)&amp;""-""&amp;DAY(C40)&amp;""'""))&gt;0,""Depositada"",if(sum(QUERY(IMPORTRANGE(""https://docs.google.com/spreadsheets/d/1wBSFbIXYswW2S5SMKo44LPsdTG4P4kfP5VRdAS5E_4o"",""BD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Sangria"")"),"")</f>
        <v/>
      </c>
      <c r="M40" s="185">
        <f>IFERROR(__xludf.DUMMYFUNCTION("ifna(VALUE(REGEXEXTRACT(E40,""[0-9.]+[,]+[0-9]+"")))"),90.0)</f>
        <v>90</v>
      </c>
      <c r="N40" s="108"/>
      <c r="R40" s="110"/>
    </row>
    <row r="41" ht="27.0" customHeight="1">
      <c r="A41" s="178"/>
      <c r="B41" s="10">
        <v>1571782.0</v>
      </c>
      <c r="C41" s="11">
        <v>45852.02587962963</v>
      </c>
      <c r="D41" s="179" t="s">
        <v>50</v>
      </c>
      <c r="E41" s="180" t="s">
        <v>3983</v>
      </c>
      <c r="F41" s="181"/>
      <c r="G41" s="179" t="s">
        <v>3984</v>
      </c>
      <c r="H41" s="186"/>
      <c r="I41" s="186"/>
      <c r="J41" s="187" t="s">
        <v>3874</v>
      </c>
      <c r="K41" s="187"/>
      <c r="L41" s="184" t="str">
        <f>IFERROR(__xludf.DUMMYFUNCTION("ifna(IF(and(D41=""Saída"",J41=""Sangria""),if(sum(QUERY(IMPORTRANGE(""https://docs.google.com/spreadsheets/d/1wBSFbIXYswW2S5SMKo44LPsdTG4P4kfP5VRdAS5E_4o"",""BD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'""&amp;YEAR(C41)&amp;""-""&amp;MONTH(C41)&amp;""-""&amp;DAY(C41)&amp;""'""))&gt;0,""Depositada"",if(sum(QUERY(IMPORTRANGE(""https://docs.google.com/spreadsheets/d/1wBSFbIXYswW2S5SMKo44LPsdTG4P4kfP5VRdAS5E_4o"",""BD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Sangria"")"),"")</f>
        <v/>
      </c>
      <c r="M41" s="185">
        <f>IFERROR(__xludf.DUMMYFUNCTION("ifna(VALUE(REGEXEXTRACT(E41,""[0-9.]+[,]+[0-9]+"")))"),150.0)</f>
        <v>150</v>
      </c>
      <c r="N41" s="108"/>
      <c r="R41" s="110"/>
    </row>
    <row r="42" ht="14.25" customHeight="1">
      <c r="A42" s="178"/>
      <c r="B42" s="10">
        <v>1572958.0</v>
      </c>
      <c r="C42" s="11">
        <v>45852.88800925926</v>
      </c>
      <c r="D42" s="179" t="s">
        <v>50</v>
      </c>
      <c r="E42" s="180" t="s">
        <v>3944</v>
      </c>
      <c r="F42" s="188"/>
      <c r="G42" s="179" t="s">
        <v>4004</v>
      </c>
      <c r="H42" s="186"/>
      <c r="I42" s="186"/>
      <c r="J42" s="187" t="s">
        <v>3825</v>
      </c>
      <c r="K42" s="187"/>
      <c r="L42" s="184" t="str">
        <f>IFERROR(__xludf.DUMMYFUNCTION("ifna(IF(and(D42=""Saída"",J42=""Sangria""),if(sum(QUERY(IMPORTRANGE(""https://docs.google.com/spreadsheets/d/1wBSFbIXYswW2S5SMKo44LPsdTG4P4kfP5VRdAS5E_4o"",""BD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'""&amp;YEAR(C42)&amp;""-""&amp;MONTH(C42)&amp;""-""&amp;DAY(C42)&amp;""'""))&gt;0,""Depositada"",if(sum(QUERY(IMPORTRANGE(""https://docs.google.com/spreadsheets/d/1wBSFbIXYswW2S5SMKo44LPsdTG4P4kfP5VRdAS5E_4o"",""BD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Sangria"")"),"")</f>
        <v/>
      </c>
      <c r="M42" s="185">
        <f>IFERROR(__xludf.DUMMYFUNCTION("ifna(VALUE(REGEXEXTRACT(E42,""[0-9.]+[,]+[0-9]+"")))"),85.0)</f>
        <v>85</v>
      </c>
      <c r="N42" s="108"/>
      <c r="R42" s="110"/>
    </row>
    <row r="43" ht="14.25" customHeight="1">
      <c r="A43" s="178"/>
      <c r="B43" s="10">
        <v>1572959.0</v>
      </c>
      <c r="C43" s="11">
        <v>45852.88836805556</v>
      </c>
      <c r="D43" s="179" t="s">
        <v>50</v>
      </c>
      <c r="E43" s="180" t="s">
        <v>4019</v>
      </c>
      <c r="F43" s="181"/>
      <c r="G43" s="179" t="s">
        <v>4020</v>
      </c>
      <c r="H43" s="189"/>
      <c r="I43" s="189"/>
      <c r="J43" s="187" t="s">
        <v>3825</v>
      </c>
      <c r="K43" s="187"/>
      <c r="L43" s="184" t="str">
        <f>IFERROR(__xludf.DUMMYFUNCTION("ifna(IF(and(D43=""Saída"",J43=""Sangria""),if(sum(QUERY(IMPORTRANGE(""https://docs.google.com/spreadsheets/d/1wBSFbIXYswW2S5SMKo44LPsdTG4P4kfP5VRdAS5E_4o"",""BD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'""&amp;YEAR(C43)&amp;""-""&amp;MONTH(C43)&amp;""-""&amp;DAY(C43)&amp;""'""))&gt;0,""Depositada"",if(sum(QUERY(IMPORTRANGE(""https://docs.google.com/spreadsheets/d/1wBSFbIXYswW2S5SMKo44LPsdTG4P4kfP5VRdAS5E_4o"",""BD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Sangria"")"),"")</f>
        <v/>
      </c>
      <c r="M43" s="185">
        <f>IFERROR(__xludf.DUMMYFUNCTION("ifna(VALUE(REGEXEXTRACT(E43,""[0-9.]+[,]+[0-9]+"")))"),117.0)</f>
        <v>117</v>
      </c>
      <c r="N43" s="108"/>
      <c r="R43" s="110"/>
    </row>
    <row r="44" ht="14.25" customHeight="1">
      <c r="A44" s="178"/>
      <c r="B44" s="10">
        <v>1572961.0</v>
      </c>
      <c r="C44" s="11">
        <v>45852.88880787037</v>
      </c>
      <c r="D44" s="179" t="s">
        <v>50</v>
      </c>
      <c r="E44" s="180" t="s">
        <v>4033</v>
      </c>
      <c r="F44" s="181"/>
      <c r="G44" s="179" t="s">
        <v>4034</v>
      </c>
      <c r="H44" s="189"/>
      <c r="I44" s="189"/>
      <c r="J44" s="187" t="s">
        <v>3746</v>
      </c>
      <c r="K44" s="187" t="s">
        <v>2949</v>
      </c>
      <c r="L44" s="184" t="str">
        <f>IFERROR(__xludf.DUMMYFUNCTION("ifna(IF(and(D44=""Saída"",J44=""Sangria""),if(sum(QUERY(IMPORTRANGE(""https://docs.google.com/spreadsheets/d/1wBSFbIXYswW2S5SMKo44LPsdTG4P4kfP5VRdAS5E_4o"",""BD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'""&amp;YEAR(C44)&amp;""-""&amp;MONTH(C44)&amp;""-""&amp;DAY(C44)&amp;""'""))&gt;0,""Depositada"",if(sum(QUERY(IMPORTRANGE(""https://docs.google.com/spreadsheets/d/1wBSFbIXYswW2S5SMKo44LPsdTG4P4kfP5VRdAS5E_4o"",""BD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Sangria"")"),"#REF!")</f>
        <v>#REF!</v>
      </c>
      <c r="M44" s="185">
        <f>IFERROR(__xludf.DUMMYFUNCTION("ifna(VALUE(REGEXEXTRACT(E44,""[0-9.]+[,]+[0-9]+"")))"),1650.0)</f>
        <v>1650</v>
      </c>
      <c r="N44" s="108"/>
      <c r="R44" s="110"/>
    </row>
    <row r="45" ht="14.25" customHeight="1">
      <c r="A45" s="178"/>
      <c r="B45" s="10">
        <v>1572963.0</v>
      </c>
      <c r="C45" s="11">
        <v>45852.889548611114</v>
      </c>
      <c r="D45" s="179" t="s">
        <v>50</v>
      </c>
      <c r="E45" s="180" t="s">
        <v>4019</v>
      </c>
      <c r="F45" s="181"/>
      <c r="G45" s="179" t="s">
        <v>4047</v>
      </c>
      <c r="H45" s="190"/>
      <c r="I45" s="190"/>
      <c r="J45" s="187" t="s">
        <v>3903</v>
      </c>
      <c r="K45" s="187"/>
      <c r="L45" s="184" t="str">
        <f>IFERROR(__xludf.DUMMYFUNCTION("ifna(IF(and(D45=""Saída"",J45=""Sangria""),if(sum(QUERY(IMPORTRANGE(""https://docs.google.com/spreadsheets/d/1wBSFbIXYswW2S5SMKo44LPsdTG4P4kfP5VRdAS5E_4o"",""BD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'""&amp;YEAR(C45)&amp;""-""&amp;MONTH(C45)&amp;""-""&amp;DAY(C45)&amp;""'""))&gt;0,""Depositada"",if(sum(QUERY(IMPORTRANGE(""https://docs.google.com/spreadsheets/d/1wBSFbIXYswW2S5SMKo44LPsdTG4P4kfP5VRdAS5E_4o"",""BD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Sangria"")"),"")</f>
        <v/>
      </c>
      <c r="M45" s="185">
        <f>IFERROR(__xludf.DUMMYFUNCTION("ifna(VALUE(REGEXEXTRACT(E45,""[0-9.]+[,]+[0-9]+"")))"),117.0)</f>
        <v>117</v>
      </c>
      <c r="N45" s="108"/>
      <c r="R45" s="110"/>
    </row>
    <row r="46" ht="18.75" customHeight="1">
      <c r="A46" s="178"/>
      <c r="B46" s="10">
        <v>1574188.0</v>
      </c>
      <c r="C46" s="11">
        <v>45853.75035879629</v>
      </c>
      <c r="D46" s="179" t="s">
        <v>50</v>
      </c>
      <c r="E46" s="180" t="s">
        <v>4065</v>
      </c>
      <c r="F46" s="181"/>
      <c r="G46" s="179" t="s">
        <v>4066</v>
      </c>
      <c r="H46" s="190"/>
      <c r="I46" s="190"/>
      <c r="J46" s="187" t="s">
        <v>3903</v>
      </c>
      <c r="K46" s="187"/>
      <c r="L46" s="184" t="str">
        <f>IFERROR(__xludf.DUMMYFUNCTION("ifna(IF(and(D46=""Saída"",J46=""Sangria""),if(sum(QUERY(IMPORTRANGE(""https://docs.google.com/spreadsheets/d/1wBSFbIXYswW2S5SMKo44LPsdTG4P4kfP5VRdAS5E_4o"",""BD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'""&amp;YEAR(C46)&amp;""-""&amp;MONTH(C46)&amp;""-""&amp;DAY(C46)&amp;""'""))&gt;0,""Depositada"",if(sum(QUERY(IMPORTRANGE(""https://docs.google.com/spreadsheets/d/1wBSFbIXYswW2S5SMKo44LPsdTG4P4kfP5VRdAS5E_4o"",""BD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Sangria"")"),"")</f>
        <v/>
      </c>
      <c r="M46" s="185">
        <f>IFERROR(__xludf.DUMMYFUNCTION("ifna(VALUE(REGEXEXTRACT(E46,""[0-9.]+[,]+[0-9]+"")))"),12.85)</f>
        <v>12.85</v>
      </c>
      <c r="N46" s="108"/>
      <c r="R46" s="110"/>
    </row>
    <row r="47" ht="14.25" customHeight="1">
      <c r="A47" s="178"/>
      <c r="B47" s="10">
        <v>1574546.0</v>
      </c>
      <c r="C47" s="11">
        <v>45853.888715277775</v>
      </c>
      <c r="D47" s="179" t="s">
        <v>50</v>
      </c>
      <c r="E47" s="180" t="s">
        <v>4080</v>
      </c>
      <c r="F47" s="181"/>
      <c r="G47" s="179" t="s">
        <v>4083</v>
      </c>
      <c r="H47" s="190"/>
      <c r="I47" s="190"/>
      <c r="J47" s="187" t="s">
        <v>3746</v>
      </c>
      <c r="K47" s="187" t="s">
        <v>2949</v>
      </c>
      <c r="L47" s="184" t="str">
        <f>IFERROR(__xludf.DUMMYFUNCTION("ifna(IF(and(D47=""Saída"",J47=""Sangria""),if(sum(QUERY(IMPORTRANGE(""https://docs.google.com/spreadsheets/d/1wBSFbIXYswW2S5SMKo44LPsdTG4P4kfP5VRdAS5E_4o"",""BD M Sangrias!a:i""),""select Col6 where Col7 = 'Depositada' and Col9 = '""&amp;K47&amp;""' and Col6 = """&amp;"&amp;M47&amp;"" and Col4 = date '""&amp;YEAR(C47)&amp;""-""&amp;MONTH(C47)&amp;""-""&amp;DAY(C47)&amp;""'""))&gt;0,""Depositada"",if(sum(QUERY(IMPORTRANGE(""https://docs.google.com/spreadsheets/d/1wBSFbIXYswW2S5SMKo44LPsdTG4P4kfP5VRdAS5E_4o"",""BD M Sangrias!a:i""),""select Col6 where Col7"&amp;" = 'Caixa Atendimento' and Col9 = '""&amp;K47&amp;""' and Col6 = ""&amp;M47&amp;"" and Col4 = date '""&amp;YEAR(C47)&amp;""-""&amp;MONTH(C47)&amp;""-""&amp;DAY(C47)&amp;""'""))&gt;0,""Caixa Atendimento"",""Caixa Sangria"")),""""),""Caixa Sangria"")"),"#REF!")</f>
        <v>#REF!</v>
      </c>
      <c r="M47" s="185">
        <f>IFERROR(__xludf.DUMMYFUNCTION("ifna(VALUE(REGEXEXTRACT(E47,""[0-9.]+[,]+[0-9]+"")))"),1950.0)</f>
        <v>1950</v>
      </c>
      <c r="R47" s="110"/>
    </row>
    <row r="48">
      <c r="A48" s="178"/>
      <c r="B48" s="10">
        <v>1575164.0</v>
      </c>
      <c r="C48" s="11">
        <v>45854.57959490741</v>
      </c>
      <c r="D48" s="179" t="s">
        <v>50</v>
      </c>
      <c r="E48" s="180" t="s">
        <v>4100</v>
      </c>
      <c r="F48" s="181"/>
      <c r="G48" s="179" t="s">
        <v>4103</v>
      </c>
      <c r="H48" s="190"/>
      <c r="I48" s="190"/>
      <c r="J48" s="187" t="s">
        <v>3903</v>
      </c>
      <c r="K48" s="187"/>
      <c r="L48" s="184" t="str">
        <f>IFERROR(__xludf.DUMMYFUNCTION("ifna(IF(and(D48=""Saída"",J48=""Sangria""),if(sum(QUERY(IMPORTRANGE(""https://docs.google.com/spreadsheets/d/1wBSFbIXYswW2S5SMKo44LPsdTG4P4kfP5VRdAS5E_4o"",""BD M Sangrias!a:i""),""select Col6 where Col7 = 'Depositada' and Col9 = '""&amp;K48&amp;""' and Col6 = """&amp;"&amp;M48&amp;"" and Col4 = date '""&amp;YEAR(C48)&amp;""-""&amp;MONTH(C48)&amp;""-""&amp;DAY(C48)&amp;""'""))&gt;0,""Depositada"",if(sum(QUERY(IMPORTRANGE(""https://docs.google.com/spreadsheets/d/1wBSFbIXYswW2S5SMKo44LPsdTG4P4kfP5VRdAS5E_4o"",""BD M Sangrias!a:i""),""select Col6 where Col7"&amp;" = 'Caixa Atendimento' and Col9 = '""&amp;K48&amp;""'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IFERROR(__xludf.DUMMYFUNCTION("ifna(VALUE(REGEXEXTRACT(E48,""[0-9.]+[,]+[0-9]+"")))"),83.75)</f>
        <v>83.75</v>
      </c>
      <c r="N48" s="191" t="str">
        <f>A8</f>
        <v>Sabrine</v>
      </c>
      <c r="O48" s="106"/>
      <c r="P48" s="106"/>
      <c r="Q48" s="106"/>
      <c r="R48" s="110"/>
      <c r="S48" s="123" t="str">
        <f>A9</f>
        <v/>
      </c>
      <c r="T48" s="106"/>
      <c r="U48" s="106"/>
      <c r="V48" s="124"/>
    </row>
    <row r="49" ht="21.0" customHeight="1">
      <c r="A49" s="178"/>
      <c r="B49" s="10">
        <v>1575223.0</v>
      </c>
      <c r="C49" s="11">
        <v>45854.60787037037</v>
      </c>
      <c r="D49" s="179" t="s">
        <v>227</v>
      </c>
      <c r="E49" s="180" t="s">
        <v>4033</v>
      </c>
      <c r="F49" s="181"/>
      <c r="G49" s="179" t="s">
        <v>4131</v>
      </c>
      <c r="H49" s="190"/>
      <c r="I49" s="190"/>
      <c r="J49" s="187" t="s">
        <v>3903</v>
      </c>
      <c r="K49" s="187"/>
      <c r="L49" s="184" t="str">
        <f>IFERROR(__xludf.DUMMYFUNCTION("ifna(IF(and(D49=""Saída"",J49=""Sangria""),if(sum(QUERY(IMPORTRANGE(""https://docs.google.com/spreadsheets/d/1wBSFbIXYswW2S5SMKo44LPsdTG4P4kfP5VRdAS5E_4o"",""BD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'""&amp;YEAR(C49)&amp;""-""&amp;MONTH(C49)&amp;""-""&amp;DAY(C49)&amp;""'""))&gt;0,""Depositada"",if(sum(QUERY(IMPORTRANGE(""https://docs.google.com/spreadsheets/d/1wBSFbIXYswW2S5SMKo44LPsdTG4P4kfP5VRdAS5E_4o"",""BD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IFERROR(__xludf.DUMMYFUNCTION("ifna(VALUE(REGEXEXTRACT(E49,""[0-9.]+[,]+[0-9]+"")))"),1650.0)</f>
        <v>1650</v>
      </c>
      <c r="N49" s="45" t="str">
        <f>IFERROR(__xludf.DUMMYFUNCTION("query(C28:L504,""select Col1,Col3,Col8,Col9 where (Col8 = 'Adiantamento' or Col8 = 'Consumo') and Col9 = '""&amp;A8&amp;""'"",1)"),"Data")</f>
        <v>Data</v>
      </c>
      <c r="O49" s="46" t="str">
        <f>IFERROR(__xludf.DUMMYFUNCTION("""COMPUTED_VALUE"""),"Valor ")</f>
        <v>Valor </v>
      </c>
      <c r="P49" s="46" t="str">
        <f>IFERROR(__xludf.DUMMYFUNCTION("""COMPUTED_VALUE"""),"Tipo")</f>
        <v>Tipo</v>
      </c>
      <c r="Q49" s="46" t="str">
        <f>IFERROR(__xludf.DUMMYFUNCTION("""COMPUTED_VALUE"""),"Funcionário")</f>
        <v>Funcionário</v>
      </c>
      <c r="R49" s="48"/>
      <c r="S49" s="49" t="str">
        <f>IFERROR(__xludf.DUMMYFUNCTION("query(C28:L504,""select Col1,Col3,Col8,Col9 where (Col8 = 'Adiantamento' or Col8 = 'Consumo') and Col9 = '""&amp;A9&amp;""'"",1)"),"Data")</f>
        <v>Data</v>
      </c>
      <c r="T49" s="49" t="str">
        <f>IFERROR(__xludf.DUMMYFUNCTION("""COMPUTED_VALUE"""),"Valor ")</f>
        <v>Valor </v>
      </c>
      <c r="U49" s="49" t="str">
        <f>IFERROR(__xludf.DUMMYFUNCTION("""COMPUTED_VALUE"""),"Tipo")</f>
        <v>Tipo</v>
      </c>
      <c r="V49" s="50" t="str">
        <f>IFERROR(__xludf.DUMMYFUNCTION("""COMPUTED_VALUE"""),"Funcionário")</f>
        <v>Funcionário</v>
      </c>
    </row>
    <row r="50" ht="14.25" customHeight="1">
      <c r="A50" s="178"/>
      <c r="B50" s="10">
        <v>1575224.0</v>
      </c>
      <c r="C50" s="11">
        <v>45854.60928240741</v>
      </c>
      <c r="D50" s="179" t="s">
        <v>227</v>
      </c>
      <c r="E50" s="180" t="s">
        <v>494</v>
      </c>
      <c r="F50" s="181"/>
      <c r="G50" s="179" t="s">
        <v>4155</v>
      </c>
      <c r="H50" s="190"/>
      <c r="I50" s="190"/>
      <c r="J50" s="187" t="s">
        <v>4159</v>
      </c>
      <c r="K50" s="187"/>
      <c r="L50" s="184" t="str">
        <f>IFERROR(__xludf.DUMMYFUNCTION("ifna(IF(and(D50=""Saída"",J50=""Sangria""),if(sum(QUERY(IMPORTRANGE(""https://docs.google.com/spreadsheets/d/1wBSFbIXYswW2S5SMKo44LPsdTG4P4kfP5VRdAS5E_4o"",""BD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'""&amp;YEAR(C50)&amp;""-""&amp;MONTH(C50)&amp;""-""&amp;DAY(C50)&amp;""'""))&gt;0,""Depositada"",if(sum(QUERY(IMPORTRANGE(""https://docs.google.com/spreadsheets/d/1wBSFbIXYswW2S5SMKo44LPsdTG4P4kfP5VRdAS5E_4o"",""BD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Sangria"")"),"")</f>
        <v/>
      </c>
      <c r="M50" s="185">
        <f>IFERROR(__xludf.DUMMYFUNCTION("ifna(VALUE(REGEXEXTRACT(E50,""[0-9.]+[,]+[0-9]+"")))"),0.01)</f>
        <v>0.01</v>
      </c>
      <c r="N50" s="51">
        <f>IFERROR(__xludf.DUMMYFUNCTION("""COMPUTED_VALUE"""),45860.794907407406)</f>
        <v>45860.79491</v>
      </c>
      <c r="O50" s="52" t="str">
        <f>IFERROR(__xludf.DUMMYFUNCTION("""COMPUTED_VALUE"""),"R$ 48,44")</f>
        <v>R$ 48,44</v>
      </c>
      <c r="P50" s="52" t="str">
        <f>IFERROR(__xludf.DUMMYFUNCTION("""COMPUTED_VALUE"""),"Consumo")</f>
        <v>Consumo</v>
      </c>
      <c r="Q50" s="52" t="str">
        <f>IFERROR(__xludf.DUMMYFUNCTION("""COMPUTED_VALUE"""),"Sabrine")</f>
        <v>Sabrine</v>
      </c>
      <c r="R50" s="54"/>
      <c r="S50" s="52"/>
      <c r="T50" s="52"/>
      <c r="U50" s="52"/>
      <c r="V50" s="53"/>
    </row>
    <row r="51" ht="24.75" customHeight="1">
      <c r="A51" s="178"/>
      <c r="B51" s="10">
        <v>1575225.0</v>
      </c>
      <c r="C51" s="11">
        <v>45854.609988425924</v>
      </c>
      <c r="D51" s="179" t="s">
        <v>50</v>
      </c>
      <c r="E51" s="180" t="s">
        <v>4181</v>
      </c>
      <c r="F51" s="181"/>
      <c r="G51" s="179" t="s">
        <v>4184</v>
      </c>
      <c r="H51" s="190"/>
      <c r="I51" s="190"/>
      <c r="J51" s="187" t="s">
        <v>3746</v>
      </c>
      <c r="K51" s="187"/>
      <c r="L51" s="184" t="str">
        <f>IFERROR(__xludf.DUMMYFUNCTION("ifna(IF(and(D51=""Saída"",J51=""Sangria""),if(sum(QUERY(IMPORTRANGE(""https://docs.google.com/spreadsheets/d/1wBSFbIXYswW2S5SMKo44LPsdTG4P4kfP5VRdAS5E_4o"",""BD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'""&amp;YEAR(C51)&amp;""-""&amp;MONTH(C51)&amp;""-""&amp;DAY(C51)&amp;""'""))&gt;0,""Depositada"",if(sum(QUERY(IMPORTRANGE(""https://docs.google.com/spreadsheets/d/1wBSFbIXYswW2S5SMKo44LPsdTG4P4kfP5VRdAS5E_4o"",""BD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Sangria"")"),"#REF!")</f>
        <v>#REF!</v>
      </c>
      <c r="M51" s="185">
        <f>IFERROR(__xludf.DUMMYFUNCTION("ifna(VALUE(REGEXEXTRACT(E51,""[0-9.]+[,]+[0-9]+"")))"),644.5)</f>
        <v>644.5</v>
      </c>
      <c r="N51" s="51">
        <f>IFERROR(__xludf.DUMMYFUNCTION("""COMPUTED_VALUE"""),45861.80472222222)</f>
        <v>45861.80472</v>
      </c>
      <c r="O51" s="52" t="str">
        <f>IFERROR(__xludf.DUMMYFUNCTION("""COMPUTED_VALUE"""),"R$ 48,69")</f>
        <v>R$ 48,69</v>
      </c>
      <c r="P51" s="52" t="str">
        <f>IFERROR(__xludf.DUMMYFUNCTION("""COMPUTED_VALUE"""),"Consumo")</f>
        <v>Consumo</v>
      </c>
      <c r="Q51" s="52" t="str">
        <f>IFERROR(__xludf.DUMMYFUNCTION("""COMPUTED_VALUE"""),"Sabrine")</f>
        <v>Sabrine</v>
      </c>
      <c r="R51" s="54"/>
      <c r="S51" s="52"/>
      <c r="T51" s="52"/>
      <c r="U51" s="52"/>
      <c r="V51" s="53"/>
    </row>
    <row r="52" ht="14.25" customHeight="1">
      <c r="A52" s="178"/>
      <c r="B52" s="10">
        <v>1575610.0</v>
      </c>
      <c r="C52" s="11">
        <v>45854.71673611111</v>
      </c>
      <c r="D52" s="179" t="s">
        <v>50</v>
      </c>
      <c r="E52" s="180" t="s">
        <v>4207</v>
      </c>
      <c r="F52" s="181"/>
      <c r="G52" s="179" t="s">
        <v>4208</v>
      </c>
      <c r="H52" s="190"/>
      <c r="I52" s="190"/>
      <c r="J52" s="187" t="s">
        <v>3903</v>
      </c>
      <c r="K52" s="187"/>
      <c r="L52" s="184" t="str">
        <f>IFERROR(__xludf.DUMMYFUNCTION("ifna(IF(and(D52=""Saída"",J52=""Sangria""),if(sum(QUERY(IMPORTRANGE(""https://docs.google.com/spreadsheets/d/1wBSFbIXYswW2S5SMKo44LPsdTG4P4kfP5VRdAS5E_4o"",""BD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'""&amp;YEAR(C52)&amp;""-""&amp;MONTH(C52)&amp;""-""&amp;DAY(C52)&amp;""'""))&gt;0,""Depositada"",if(sum(QUERY(IMPORTRANGE(""https://docs.google.com/spreadsheets/d/1wBSFbIXYswW2S5SMKo44LPsdTG4P4kfP5VRdAS5E_4o"",""BD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IFERROR(__xludf.DUMMYFUNCTION("ifna(VALUE(REGEXEXTRACT(E52,""[0-9.]+[,]+[0-9]+"")))"),625.0)</f>
        <v>625</v>
      </c>
      <c r="N52" s="51">
        <f>IFERROR(__xludf.DUMMYFUNCTION("""COMPUTED_VALUE"""),45863.803148148145)</f>
        <v>45863.80315</v>
      </c>
      <c r="O52" s="52" t="str">
        <f>IFERROR(__xludf.DUMMYFUNCTION("""COMPUTED_VALUE"""),"R$ 55,59")</f>
        <v>R$ 55,59</v>
      </c>
      <c r="P52" s="52" t="str">
        <f>IFERROR(__xludf.DUMMYFUNCTION("""COMPUTED_VALUE"""),"Consumo")</f>
        <v>Consumo</v>
      </c>
      <c r="Q52" s="52" t="str">
        <f>IFERROR(__xludf.DUMMYFUNCTION("""COMPUTED_VALUE"""),"Sabrine")</f>
        <v>Sabrine</v>
      </c>
      <c r="R52" s="54"/>
      <c r="S52" s="52"/>
      <c r="T52" s="52"/>
      <c r="U52" s="52"/>
      <c r="V52" s="53"/>
    </row>
    <row r="53" ht="14.25" customHeight="1">
      <c r="A53" s="178"/>
      <c r="B53" s="10">
        <v>1575617.0</v>
      </c>
      <c r="C53" s="11">
        <v>45854.71969907408</v>
      </c>
      <c r="D53" s="179" t="s">
        <v>50</v>
      </c>
      <c r="E53" s="180" t="s">
        <v>4225</v>
      </c>
      <c r="F53" s="181"/>
      <c r="G53" s="179" t="s">
        <v>4226</v>
      </c>
      <c r="H53" s="190"/>
      <c r="I53" s="190"/>
      <c r="J53" s="187" t="s">
        <v>3903</v>
      </c>
      <c r="K53" s="187"/>
      <c r="L53" s="184" t="str">
        <f>IFERROR(__xludf.DUMMYFUNCTION("ifna(IF(and(D53=""Saída"",J53=""Sangria""),if(sum(QUERY(IMPORTRANGE(""https://docs.google.com/spreadsheets/d/1wBSFbIXYswW2S5SMKo44LPsdTG4P4kfP5VRdAS5E_4o"",""BD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'""&amp;YEAR(C53)&amp;""-""&amp;MONTH(C53)&amp;""-""&amp;DAY(C53)&amp;""'""))&gt;0,""Depositada"",if(sum(QUERY(IMPORTRANGE(""https://docs.google.com/spreadsheets/d/1wBSFbIXYswW2S5SMKo44LPsdTG4P4kfP5VRdAS5E_4o"",""BD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Sangria"")"),"")</f>
        <v/>
      </c>
      <c r="M53" s="185">
        <f>IFERROR(__xludf.DUMMYFUNCTION("ifna(VALUE(REGEXEXTRACT(E53,""[0-9.]+[,]+[0-9]+"")))"),332.98)</f>
        <v>332.98</v>
      </c>
      <c r="N53" s="51"/>
      <c r="O53" s="52"/>
      <c r="P53" s="52"/>
      <c r="Q53" s="52"/>
      <c r="R53" s="54"/>
      <c r="S53" s="52"/>
      <c r="T53" s="52"/>
      <c r="U53" s="52"/>
      <c r="V53" s="53"/>
    </row>
    <row r="54" ht="14.25" customHeight="1">
      <c r="A54" s="178"/>
      <c r="B54" s="10">
        <v>1576147.0</v>
      </c>
      <c r="C54" s="11">
        <v>45854.90170138889</v>
      </c>
      <c r="D54" s="179" t="s">
        <v>50</v>
      </c>
      <c r="E54" s="180" t="s">
        <v>3819</v>
      </c>
      <c r="F54" s="181"/>
      <c r="G54" s="179" t="s">
        <v>4240</v>
      </c>
      <c r="H54" s="190"/>
      <c r="I54" s="190"/>
      <c r="J54" s="187" t="s">
        <v>3825</v>
      </c>
      <c r="K54" s="187"/>
      <c r="L54" s="184" t="str">
        <f>IFERROR(__xludf.DUMMYFUNCTION("ifna(IF(and(D54=""Saída"",J54=""Sangria""),if(sum(QUERY(IMPORTRANGE(""https://docs.google.com/spreadsheets/d/1wBSFbIXYswW2S5SMKo44LPsdTG4P4kfP5VRdAS5E_4o"",""BD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'""&amp;YEAR(C54)&amp;""-""&amp;MONTH(C54)&amp;""-""&amp;DAY(C54)&amp;""'""))&gt;0,""Depositada"",if(sum(QUERY(IMPORTRANGE(""https://docs.google.com/spreadsheets/d/1wBSFbIXYswW2S5SMKo44LPsdTG4P4kfP5VRdAS5E_4o"",""BD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Sangria"")"),"")</f>
        <v/>
      </c>
      <c r="M54" s="185">
        <f>IFERROR(__xludf.DUMMYFUNCTION("ifna(VALUE(REGEXEXTRACT(E54,""[0-9.]+[,]+[0-9]+"")))"),110.5)</f>
        <v>110.5</v>
      </c>
      <c r="N54" s="51"/>
      <c r="O54" s="52"/>
      <c r="P54" s="52"/>
      <c r="Q54" s="52"/>
      <c r="R54" s="54"/>
      <c r="S54" s="52"/>
      <c r="T54" s="52"/>
      <c r="U54" s="52"/>
      <c r="V54" s="53"/>
    </row>
    <row r="55" ht="14.25" customHeight="1">
      <c r="A55" s="178"/>
      <c r="B55" s="10">
        <v>1576151.0</v>
      </c>
      <c r="C55" s="11">
        <v>45854.90226851852</v>
      </c>
      <c r="D55" s="179" t="s">
        <v>50</v>
      </c>
      <c r="E55" s="180" t="s">
        <v>4019</v>
      </c>
      <c r="F55" s="188"/>
      <c r="G55" s="179" t="s">
        <v>4255</v>
      </c>
      <c r="H55" s="190"/>
      <c r="I55" s="190"/>
      <c r="J55" s="187" t="s">
        <v>3825</v>
      </c>
      <c r="K55" s="187"/>
      <c r="L55" s="184" t="str">
        <f>IFERROR(__xludf.DUMMYFUNCTION("ifna(IF(and(D55=""Saída"",J55=""Sangria""),if(sum(QUERY(IMPORTRANGE(""https://docs.google.com/spreadsheets/d/1wBSFbIXYswW2S5SMKo44LPsdTG4P4kfP5VRdAS5E_4o"",""BD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'""&amp;YEAR(C55)&amp;""-""&amp;MONTH(C55)&amp;""-""&amp;DAY(C55)&amp;""'""))&gt;0,""Depositada"",if(sum(QUERY(IMPORTRANGE(""https://docs.google.com/spreadsheets/d/1wBSFbIXYswW2S5SMKo44LPsdTG4P4kfP5VRdAS5E_4o"",""BD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Sangria"")"),"")</f>
        <v/>
      </c>
      <c r="M55" s="185">
        <f>IFERROR(__xludf.DUMMYFUNCTION("ifna(VALUE(REGEXEXTRACT(E55,""[0-9.]+[,]+[0-9]+"")))"),117.0)</f>
        <v>117</v>
      </c>
      <c r="N55" s="51"/>
      <c r="O55" s="79"/>
      <c r="P55" s="79"/>
      <c r="Q55" s="79"/>
      <c r="R55" s="81"/>
      <c r="S55" s="79"/>
      <c r="T55" s="79"/>
      <c r="U55" s="79"/>
      <c r="V55" s="80"/>
    </row>
    <row r="56" ht="14.25" customHeight="1">
      <c r="A56" s="178"/>
      <c r="B56" s="10">
        <v>1576171.0</v>
      </c>
      <c r="C56" s="11">
        <v>45854.90635416667</v>
      </c>
      <c r="D56" s="179" t="s">
        <v>50</v>
      </c>
      <c r="E56" s="180" t="s">
        <v>4276</v>
      </c>
      <c r="F56" s="181"/>
      <c r="G56" s="179" t="s">
        <v>4279</v>
      </c>
      <c r="H56" s="190"/>
      <c r="I56" s="190"/>
      <c r="J56" s="187" t="s">
        <v>3746</v>
      </c>
      <c r="K56" s="187" t="s">
        <v>2949</v>
      </c>
      <c r="L56" s="184" t="str">
        <f>IFERROR(__xludf.DUMMYFUNCTION("ifna(IF(and(D56=""Saída"",J56=""Sangria""),if(sum(QUERY(IMPORTRANGE(""https://docs.google.com/spreadsheets/d/1wBSFbIXYswW2S5SMKo44LPsdTG4P4kfP5VRdAS5E_4o"",""BD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'""&amp;YEAR(C56)&amp;""-""&amp;MONTH(C56)&amp;""-""&amp;DAY(C56)&amp;""'""))&gt;0,""Depositada"",if(sum(QUERY(IMPORTRANGE(""https://docs.google.com/spreadsheets/d/1wBSFbIXYswW2S5SMKo44LPsdTG4P4kfP5VRdAS5E_4o"",""BD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Sangria"")"),"#REF!")</f>
        <v>#REF!</v>
      </c>
      <c r="M56" s="185">
        <f>IFERROR(__xludf.DUMMYFUNCTION("ifna(VALUE(REGEXEXTRACT(E56,""[0-9.]+[,]+[0-9]+"")))"),1500.0)</f>
        <v>1500</v>
      </c>
      <c r="N56" s="88"/>
      <c r="O56" s="89"/>
      <c r="P56" s="89"/>
      <c r="Q56" s="89"/>
      <c r="R56" s="91"/>
      <c r="S56" s="89"/>
      <c r="T56" s="89"/>
      <c r="U56" s="89"/>
      <c r="V56" s="90"/>
    </row>
    <row r="57" ht="17.25" customHeight="1">
      <c r="A57" s="178"/>
      <c r="B57" s="10">
        <v>1577503.0</v>
      </c>
      <c r="C57" s="11">
        <v>45855.85996527778</v>
      </c>
      <c r="D57" s="179" t="s">
        <v>50</v>
      </c>
      <c r="E57" s="180" t="s">
        <v>4300</v>
      </c>
      <c r="F57" s="181"/>
      <c r="G57" s="179" t="s">
        <v>4302</v>
      </c>
      <c r="H57" s="190"/>
      <c r="I57" s="190"/>
      <c r="J57" s="187" t="s">
        <v>3825</v>
      </c>
      <c r="K57" s="187"/>
      <c r="L57" s="184" t="str">
        <f>IFERROR(__xludf.DUMMYFUNCTION("ifna(IF(and(D57=""Saída"",J57=""Sangria""),if(sum(QUERY(IMPORTRANGE(""https://docs.google.com/spreadsheets/d/1wBSFbIXYswW2S5SMKo44LPsdTG4P4kfP5VRdAS5E_4o"",""BD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'""&amp;YEAR(C57)&amp;""-""&amp;MONTH(C57)&amp;""-""&amp;DAY(C57)&amp;""'""))&gt;0,""Depositada"",if(sum(QUERY(IMPORTRANGE(""https://docs.google.com/spreadsheets/d/1wBSFbIXYswW2S5SMKo44LPsdTG4P4kfP5VRdAS5E_4o"",""BD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Sangria"")"),"")</f>
        <v/>
      </c>
      <c r="M57" s="185">
        <f>IFERROR(__xludf.DUMMYFUNCTION("ifna(VALUE(REGEXEXTRACT(E57,""[0-9.]+[,]+[0-9]+"")))"),104.0)</f>
        <v>104</v>
      </c>
      <c r="N57" s="88"/>
      <c r="O57" s="89"/>
      <c r="P57" s="89"/>
      <c r="Q57" s="89"/>
      <c r="R57" s="91"/>
      <c r="S57" s="89"/>
      <c r="T57" s="89"/>
      <c r="U57" s="89"/>
      <c r="V57" s="90"/>
    </row>
    <row r="58" ht="14.25" customHeight="1">
      <c r="A58" s="178"/>
      <c r="B58" s="10">
        <v>1579049.0</v>
      </c>
      <c r="C58" s="11">
        <v>45856.87027777778</v>
      </c>
      <c r="D58" s="179" t="s">
        <v>50</v>
      </c>
      <c r="E58" s="180" t="s">
        <v>4322</v>
      </c>
      <c r="F58" s="181"/>
      <c r="G58" s="179" t="s">
        <v>4326</v>
      </c>
      <c r="H58" s="190"/>
      <c r="I58" s="190"/>
      <c r="J58" s="187" t="s">
        <v>3903</v>
      </c>
      <c r="K58" s="187"/>
      <c r="L58" s="184" t="str">
        <f>IFERROR(__xludf.DUMMYFUNCTION("ifna(IF(and(D58=""Saída"",J58=""Sangria""),if(sum(QUERY(IMPORTRANGE(""https://docs.google.com/spreadsheets/d/1wBSFbIXYswW2S5SMKo44LPsdTG4P4kfP5VRdAS5E_4o"",""BD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'""&amp;YEAR(C58)&amp;""-""&amp;MONTH(C58)&amp;""-""&amp;DAY(C58)&amp;""'""))&gt;0,""Depositada"",if(sum(QUERY(IMPORTRANGE(""https://docs.google.com/spreadsheets/d/1wBSFbIXYswW2S5SMKo44LPsdTG4P4kfP5VRdAS5E_4o"",""BD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IFERROR(__xludf.DUMMYFUNCTION("ifna(VALUE(REGEXEXTRACT(E58,""[0-9.]+[,]+[0-9]+"")))"),596.73)</f>
        <v>596.73</v>
      </c>
      <c r="N58" s="88"/>
      <c r="O58" s="89"/>
      <c r="P58" s="89"/>
      <c r="Q58" s="89"/>
      <c r="R58" s="91"/>
      <c r="S58" s="89"/>
      <c r="T58" s="89"/>
      <c r="U58" s="89"/>
      <c r="V58" s="90"/>
    </row>
    <row r="59" ht="14.25" customHeight="1">
      <c r="A59" s="178"/>
      <c r="B59" s="10">
        <v>1579068.0</v>
      </c>
      <c r="C59" s="11">
        <v>45856.873773148145</v>
      </c>
      <c r="D59" s="179" t="s">
        <v>50</v>
      </c>
      <c r="E59" s="180" t="s">
        <v>4340</v>
      </c>
      <c r="F59" s="181"/>
      <c r="G59" s="179" t="s">
        <v>4341</v>
      </c>
      <c r="H59" s="190"/>
      <c r="I59" s="190"/>
      <c r="J59" s="187" t="s">
        <v>3903</v>
      </c>
      <c r="K59" s="187"/>
      <c r="L59" s="184" t="str">
        <f>IFERROR(__xludf.DUMMYFUNCTION("ifna(IF(and(D59=""Saída"",J59=""Sangria""),if(sum(QUERY(IMPORTRANGE(""https://docs.google.com/spreadsheets/d/1wBSFbIXYswW2S5SMKo44LPsdTG4P4kfP5VRdAS5E_4o"",""BD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'""&amp;YEAR(C59)&amp;""-""&amp;MONTH(C59)&amp;""-""&amp;DAY(C59)&amp;""'""))&gt;0,""Depositada"",if(sum(QUERY(IMPORTRANGE(""https://docs.google.com/spreadsheets/d/1wBSFbIXYswW2S5SMKo44LPsdTG4P4kfP5VRdAS5E_4o"",""BD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>
        <f>IFERROR(__xludf.DUMMYFUNCTION("ifna(VALUE(REGEXEXTRACT(E59,""[0-9.]+[,]+[0-9]+"")))"),136.9)</f>
        <v>136.9</v>
      </c>
      <c r="N59" s="88"/>
      <c r="O59" s="89"/>
      <c r="P59" s="89"/>
      <c r="Q59" s="89"/>
      <c r="R59" s="91"/>
      <c r="S59" s="89"/>
      <c r="T59" s="89"/>
      <c r="U59" s="89"/>
      <c r="V59" s="90"/>
    </row>
    <row r="60" ht="14.25" customHeight="1">
      <c r="A60" s="178"/>
      <c r="B60" s="10">
        <v>1579125.0</v>
      </c>
      <c r="C60" s="11">
        <v>45856.891539351855</v>
      </c>
      <c r="D60" s="179" t="s">
        <v>50</v>
      </c>
      <c r="E60" s="180" t="s">
        <v>4358</v>
      </c>
      <c r="F60" s="181"/>
      <c r="G60" s="179" t="s">
        <v>4363</v>
      </c>
      <c r="H60" s="190"/>
      <c r="I60" s="190"/>
      <c r="J60" s="187" t="s">
        <v>3903</v>
      </c>
      <c r="K60" s="187"/>
      <c r="L60" s="184" t="str">
        <f>IFERROR(__xludf.DUMMYFUNCTION("ifna(IF(and(D60=""Saída"",J60=""Sangria""),if(sum(QUERY(IMPORTRANGE(""https://docs.google.com/spreadsheets/d/1wBSFbIXYswW2S5SMKo44LPsdTG4P4kfP5VRdAS5E_4o"",""BD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'""&amp;YEAR(C60)&amp;""-""&amp;MONTH(C60)&amp;""-""&amp;DAY(C60)&amp;""'""))&gt;0,""Depositada"",if(sum(QUERY(IMPORTRANGE(""https://docs.google.com/spreadsheets/d/1wBSFbIXYswW2S5SMKo44LPsdTG4P4kfP5VRdAS5E_4o"",""BD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Sangria"")"),"")</f>
        <v/>
      </c>
      <c r="M60" s="185">
        <f>IFERROR(__xludf.DUMMYFUNCTION("ifna(VALUE(REGEXEXTRACT(E60,""[0-9.]+[,]+[0-9]+"")))"),124.5)</f>
        <v>124.5</v>
      </c>
      <c r="N60" s="192"/>
      <c r="O60" s="193"/>
      <c r="P60" s="194"/>
      <c r="Q60" s="195"/>
      <c r="R60" s="91"/>
      <c r="S60" s="89"/>
      <c r="T60" s="89"/>
      <c r="U60" s="89"/>
      <c r="V60" s="90"/>
    </row>
    <row r="61" ht="14.25" customHeight="1">
      <c r="A61" s="178"/>
      <c r="B61" s="10">
        <v>1580883.0</v>
      </c>
      <c r="C61" s="11">
        <v>45857.901967592596</v>
      </c>
      <c r="D61" s="179" t="s">
        <v>50</v>
      </c>
      <c r="E61" s="180" t="s">
        <v>4388</v>
      </c>
      <c r="F61" s="181"/>
      <c r="G61" s="179" t="s">
        <v>4390</v>
      </c>
      <c r="H61" s="190"/>
      <c r="I61" s="190"/>
      <c r="J61" s="187" t="s">
        <v>3903</v>
      </c>
      <c r="K61" s="187"/>
      <c r="L61" s="184" t="str">
        <f>IFERROR(__xludf.DUMMYFUNCTION("ifna(IF(and(D61=""Saída"",J61=""Sangria""),if(sum(QUERY(IMPORTRANGE(""https://docs.google.com/spreadsheets/d/1wBSFbIXYswW2S5SMKo44LPsdTG4P4kfP5VRdAS5E_4o"",""BD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'""&amp;YEAR(C61)&amp;""-""&amp;MONTH(C61)&amp;""-""&amp;DAY(C61)&amp;""'""))&gt;0,""Depositada"",if(sum(QUERY(IMPORTRANGE(""https://docs.google.com/spreadsheets/d/1wBSFbIXYswW2S5SMKo44LPsdTG4P4kfP5VRdAS5E_4o"",""BD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IFERROR(__xludf.DUMMYFUNCTION("ifna(VALUE(REGEXEXTRACT(E61,""[0-9.]+[,]+[0-9]+"")))"),204.0)</f>
        <v>204</v>
      </c>
      <c r="N61" s="88"/>
      <c r="O61" s="89"/>
      <c r="P61" s="89"/>
      <c r="Q61" s="89"/>
      <c r="R61" s="91"/>
      <c r="S61" s="89"/>
      <c r="T61" s="89"/>
      <c r="U61" s="89"/>
      <c r="V61" s="90"/>
    </row>
    <row r="62" ht="14.25" customHeight="1">
      <c r="A62" s="178"/>
      <c r="B62" s="10">
        <v>1580893.0</v>
      </c>
      <c r="C62" s="11">
        <v>45857.90378472222</v>
      </c>
      <c r="D62" s="179" t="s">
        <v>50</v>
      </c>
      <c r="E62" s="180" t="s">
        <v>4403</v>
      </c>
      <c r="F62" s="188"/>
      <c r="G62" s="179" t="s">
        <v>4404</v>
      </c>
      <c r="H62" s="190"/>
      <c r="I62" s="190"/>
      <c r="J62" s="187" t="s">
        <v>3903</v>
      </c>
      <c r="K62" s="187"/>
      <c r="L62" s="184" t="str">
        <f>IFERROR(__xludf.DUMMYFUNCTION("ifna(IF(and(D62=""Saída"",J62=""Sangria""),if(sum(QUERY(IMPORTRANGE(""https://docs.google.com/spreadsheets/d/1wBSFbIXYswW2S5SMKo44LPsdTG4P4kfP5VRdAS5E_4o"",""BD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'""&amp;YEAR(C62)&amp;""-""&amp;MONTH(C62)&amp;""-""&amp;DAY(C62)&amp;""'""))&gt;0,""Depositada"",if(sum(QUERY(IMPORTRANGE(""https://docs.google.com/spreadsheets/d/1wBSFbIXYswW2S5SMKo44LPsdTG4P4kfP5VRdAS5E_4o"",""BD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Sangria"")"),"")</f>
        <v/>
      </c>
      <c r="M62" s="185">
        <f>IFERROR(__xludf.DUMMYFUNCTION("ifna(VALUE(REGEXEXTRACT(E62,""[0-9.]+[,]+[0-9]+"")))"),8.75)</f>
        <v>8.75</v>
      </c>
      <c r="N62" s="88"/>
      <c r="O62" s="89"/>
      <c r="P62" s="89"/>
      <c r="Q62" s="89"/>
      <c r="R62" s="91"/>
      <c r="S62" s="89"/>
      <c r="T62" s="89"/>
      <c r="U62" s="89"/>
      <c r="V62" s="90"/>
    </row>
    <row r="63" ht="14.25" customHeight="1">
      <c r="A63" s="178"/>
      <c r="B63" s="10">
        <v>1580908.0</v>
      </c>
      <c r="C63" s="11">
        <v>45857.90660879629</v>
      </c>
      <c r="D63" s="179" t="s">
        <v>50</v>
      </c>
      <c r="E63" s="180" t="s">
        <v>624</v>
      </c>
      <c r="F63" s="181"/>
      <c r="G63" s="179" t="s">
        <v>4424</v>
      </c>
      <c r="H63" s="190"/>
      <c r="I63" s="190"/>
      <c r="J63" s="187" t="s">
        <v>3825</v>
      </c>
      <c r="K63" s="187"/>
      <c r="L63" s="184" t="str">
        <f>IFERROR(__xludf.DUMMYFUNCTION("ifna(IF(and(D63=""Saída"",J63=""Sangria""),if(sum(QUERY(IMPORTRANGE(""https://docs.google.com/spreadsheets/d/1wBSFbIXYswW2S5SMKo44LPsdTG4P4kfP5VRdAS5E_4o"",""BD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'""&amp;YEAR(C63)&amp;""-""&amp;MONTH(C63)&amp;""-""&amp;DAY(C63)&amp;""'""))&gt;0,""Depositada"",if(sum(QUERY(IMPORTRANGE(""https://docs.google.com/spreadsheets/d/1wBSFbIXYswW2S5SMKo44LPsdTG4P4kfP5VRdAS5E_4o"",""BD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Sangria"")"),"")</f>
        <v/>
      </c>
      <c r="M63" s="185">
        <f>IFERROR(__xludf.DUMMYFUNCTION("ifna(VALUE(REGEXEXTRACT(E63,""[0-9.]+[,]+[0-9]+"")))"),130.0)</f>
        <v>130</v>
      </c>
      <c r="N63" s="108"/>
      <c r="O63" s="109"/>
      <c r="P63" s="109"/>
      <c r="Q63" s="109"/>
      <c r="R63" s="110"/>
      <c r="S63" s="109"/>
      <c r="T63" s="109"/>
      <c r="U63" s="109"/>
      <c r="V63" s="111"/>
    </row>
    <row r="64" ht="14.25" customHeight="1">
      <c r="A64" s="178"/>
      <c r="B64" s="10">
        <v>1580938.0</v>
      </c>
      <c r="C64" s="11">
        <v>45857.91006944444</v>
      </c>
      <c r="D64" s="179" t="s">
        <v>50</v>
      </c>
      <c r="E64" s="180" t="s">
        <v>4449</v>
      </c>
      <c r="F64" s="181"/>
      <c r="G64" s="179" t="s">
        <v>4450</v>
      </c>
      <c r="H64" s="190"/>
      <c r="I64" s="190"/>
      <c r="J64" s="187" t="s">
        <v>3825</v>
      </c>
      <c r="K64" s="187"/>
      <c r="L64" s="184" t="str">
        <f>IFERROR(__xludf.DUMMYFUNCTION("ifna(IF(and(D64=""Saída"",J64=""Sangria""),if(sum(QUERY(IMPORTRANGE(""https://docs.google.com/spreadsheets/d/1wBSFbIXYswW2S5SMKo44LPsdTG4P4kfP5VRdAS5E_4o"",""BD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'""&amp;YEAR(C64)&amp;""-""&amp;MONTH(C64)&amp;""-""&amp;DAY(C64)&amp;""'""))&gt;0,""Depositada"",if(sum(QUERY(IMPORTRANGE(""https://docs.google.com/spreadsheets/d/1wBSFbIXYswW2S5SMKo44LPsdTG4P4kfP5VRdAS5E_4o"",""BD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IFERROR(__xludf.DUMMYFUNCTION("ifna(VALUE(REGEXEXTRACT(E64,""[0-9.]+[,]+[0-9]+"")))"),124.0)</f>
        <v>124</v>
      </c>
      <c r="R64" s="24"/>
    </row>
    <row r="65" ht="14.25" customHeight="1">
      <c r="A65" s="178"/>
      <c r="B65" s="10">
        <v>1580952.0</v>
      </c>
      <c r="C65" s="11">
        <v>45857.912824074076</v>
      </c>
      <c r="D65" s="179" t="s">
        <v>50</v>
      </c>
      <c r="E65" s="180" t="s">
        <v>1588</v>
      </c>
      <c r="F65" s="181"/>
      <c r="G65" s="179" t="s">
        <v>4464</v>
      </c>
      <c r="H65" s="190"/>
      <c r="I65" s="190"/>
      <c r="J65" s="187" t="s">
        <v>3746</v>
      </c>
      <c r="K65" s="187" t="s">
        <v>3040</v>
      </c>
      <c r="L65" s="184" t="str">
        <f>IFERROR(__xludf.DUMMYFUNCTION("ifna(IF(and(D65=""Saída"",J65=""Sangria""),if(sum(QUERY(IMPORTRANGE(""https://docs.google.com/spreadsheets/d/1wBSFbIXYswW2S5SMKo44LPsdTG4P4kfP5VRdAS5E_4o"",""BD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'""&amp;YEAR(C65)&amp;""-""&amp;MONTH(C65)&amp;""-""&amp;DAY(C65)&amp;""'""))&gt;0,""Depositada"",if(sum(QUERY(IMPORTRANGE(""https://docs.google.com/spreadsheets/d/1wBSFbIXYswW2S5SMKo44LPsdTG4P4kfP5VRdAS5E_4o"",""BD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Sangria"")"),"#REF!")</f>
        <v>#REF!</v>
      </c>
      <c r="M65" s="185">
        <f>IFERROR(__xludf.DUMMYFUNCTION("ifna(VALUE(REGEXEXTRACT(E65,""[0-9.]+[,]+[0-9]+"")))"),1200.0)</f>
        <v>1200</v>
      </c>
      <c r="R65" s="24"/>
    </row>
    <row r="66" ht="14.25" customHeight="1">
      <c r="A66" s="178"/>
      <c r="B66" s="10">
        <v>1582959.0</v>
      </c>
      <c r="C66" s="11">
        <v>45858.8774537037</v>
      </c>
      <c r="D66" s="179" t="s">
        <v>50</v>
      </c>
      <c r="E66" s="180" t="s">
        <v>4300</v>
      </c>
      <c r="F66" s="181"/>
      <c r="G66" s="179" t="s">
        <v>4474</v>
      </c>
      <c r="H66" s="190"/>
      <c r="I66" s="190"/>
      <c r="J66" s="187" t="s">
        <v>3825</v>
      </c>
      <c r="K66" s="187"/>
      <c r="L66" s="184" t="str">
        <f>IFERROR(__xludf.DUMMYFUNCTION("ifna(IF(and(D66=""Saída"",J66=""Sangria""),if(sum(QUERY(IMPORTRANGE(""https://docs.google.com/spreadsheets/d/1wBSFbIXYswW2S5SMKo44LPsdTG4P4kfP5VRdAS5E_4o"",""BD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'""&amp;YEAR(C66)&amp;""-""&amp;MONTH(C66)&amp;""-""&amp;DAY(C66)&amp;""'""))&gt;0,""Depositada"",if(sum(QUERY(IMPORTRANGE(""https://docs.google.com/spreadsheets/d/1wBSFbIXYswW2S5SMKo44LPsdTG4P4kfP5VRdAS5E_4o"",""BD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IFERROR(__xludf.DUMMYFUNCTION("ifna(VALUE(REGEXEXTRACT(E66,""[0-9.]+[,]+[0-9]+"")))"),104.0)</f>
        <v>104</v>
      </c>
      <c r="R66" s="24"/>
    </row>
    <row r="67" ht="14.25" customHeight="1">
      <c r="A67" s="178"/>
      <c r="B67" s="10">
        <v>1582980.0</v>
      </c>
      <c r="C67" s="11">
        <v>45858.878587962965</v>
      </c>
      <c r="D67" s="179" t="s">
        <v>50</v>
      </c>
      <c r="E67" s="180" t="s">
        <v>4490</v>
      </c>
      <c r="F67" s="181"/>
      <c r="G67" s="179" t="s">
        <v>4492</v>
      </c>
      <c r="H67" s="190"/>
      <c r="I67" s="190"/>
      <c r="J67" s="187" t="s">
        <v>3903</v>
      </c>
      <c r="K67" s="187"/>
      <c r="L67" s="184" t="str">
        <f>IFERROR(__xludf.DUMMYFUNCTION("ifna(IF(and(D67=""Saída"",J67=""Sangria""),if(sum(QUERY(IMPORTRANGE(""https://docs.google.com/spreadsheets/d/1wBSFbIXYswW2S5SMKo44LPsdTG4P4kfP5VRdAS5E_4o"",""BD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'""&amp;YEAR(C67)&amp;""-""&amp;MONTH(C67)&amp;""-""&amp;DAY(C67)&amp;""'""))&gt;0,""Depositada"",if(sum(QUERY(IMPORTRANGE(""https://docs.google.com/spreadsheets/d/1wBSFbIXYswW2S5SMKo44LPsdTG4P4kfP5VRdAS5E_4o"",""BD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IFERROR(__xludf.DUMMYFUNCTION("ifna(VALUE(REGEXEXTRACT(E67,""[0-9.]+[,]+[0-9]+"")))"),194.18)</f>
        <v>194.18</v>
      </c>
      <c r="R67" s="24"/>
    </row>
    <row r="68">
      <c r="A68" s="178"/>
      <c r="B68" s="10">
        <v>1583011.0</v>
      </c>
      <c r="C68" s="11">
        <v>45858.88146990741</v>
      </c>
      <c r="D68" s="179" t="s">
        <v>50</v>
      </c>
      <c r="E68" s="180" t="s">
        <v>4506</v>
      </c>
      <c r="F68" s="181"/>
      <c r="G68" s="179" t="s">
        <v>4508</v>
      </c>
      <c r="H68" s="190"/>
      <c r="I68" s="190"/>
      <c r="J68" s="187" t="s">
        <v>3825</v>
      </c>
      <c r="K68" s="187"/>
      <c r="L68" s="184" t="str">
        <f>IFERROR(__xludf.DUMMYFUNCTION("ifna(IF(and(D68=""Saída"",J68=""Sangria""),if(sum(QUERY(IMPORTRANGE(""https://docs.google.com/spreadsheets/d/1wBSFbIXYswW2S5SMKo44LPsdTG4P4kfP5VRdAS5E_4o"",""BD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'""&amp;YEAR(C68)&amp;""-""&amp;MONTH(C68)&amp;""-""&amp;DAY(C68)&amp;""'""))&gt;0,""Depositada"",if(sum(QUERY(IMPORTRANGE(""https://docs.google.com/spreadsheets/d/1wBSFbIXYswW2S5SMKo44LPsdTG4P4kfP5VRdAS5E_4o"",""BD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Sangria"")"),"")</f>
        <v/>
      </c>
      <c r="M68" s="185">
        <f>IFERROR(__xludf.DUMMYFUNCTION("ifna(VALUE(REGEXEXTRACT(E68,""[0-9.]+[,]+[0-9]+"")))"),91.0)</f>
        <v>91</v>
      </c>
      <c r="N68" s="191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0">
        <v>1583020.0</v>
      </c>
      <c r="C69" s="11">
        <v>45858.88214120371</v>
      </c>
      <c r="D69" s="179" t="s">
        <v>50</v>
      </c>
      <c r="E69" s="180" t="s">
        <v>4533</v>
      </c>
      <c r="F69" s="181"/>
      <c r="G69" s="179" t="s">
        <v>4535</v>
      </c>
      <c r="H69" s="190"/>
      <c r="I69" s="190"/>
      <c r="J69" s="187" t="s">
        <v>3903</v>
      </c>
      <c r="K69" s="187"/>
      <c r="L69" s="184" t="str">
        <f>IFERROR(__xludf.DUMMYFUNCTION("ifna(IF(and(D69=""Saída"",J69=""Sangria""),if(sum(QUERY(IMPORTRANGE(""https://docs.google.com/spreadsheets/d/1wBSFbIXYswW2S5SMKo44LPsdTG4P4kfP5VRdAS5E_4o"",""BD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'""&amp;YEAR(C69)&amp;""-""&amp;MONTH(C69)&amp;""-""&amp;DAY(C69)&amp;""'""))&gt;0,""Depositada"",if(sum(QUERY(IMPORTRANGE(""https://docs.google.com/spreadsheets/d/1wBSFbIXYswW2S5SMKo44LPsdTG4P4kfP5VRdAS5E_4o"",""BD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Sangria"")"),"")</f>
        <v/>
      </c>
      <c r="M69" s="185">
        <f>IFERROR(__xludf.DUMMYFUNCTION("ifna(VALUE(REGEXEXTRACT(E69,""[0-9.]+[,]+[0-9]+"")))"),17.19)</f>
        <v>17.19</v>
      </c>
      <c r="N69" s="45" t="str">
        <f>IFERROR(__xludf.DUMMYFUNCTION("query(C28:L504,""select Col1,Col3,Col8,Col9 where (Col8 = 'Adiantamento' or Col8 = 'Consumo') and Col9 = '""&amp;A10&amp;""'"",1)"),"Data")</f>
        <v>Data</v>
      </c>
      <c r="O69" s="46" t="str">
        <f>IFERROR(__xludf.DUMMYFUNCTION("""COMPUTED_VALUE"""),"Valor ")</f>
        <v>Valor </v>
      </c>
      <c r="P69" s="46" t="str">
        <f>IFERROR(__xludf.DUMMYFUNCTION("""COMPUTED_VALUE"""),"Tipo")</f>
        <v>Tipo</v>
      </c>
      <c r="Q69" s="46" t="str">
        <f>IFERROR(__xludf.DUMMYFUNCTION("""COMPUTED_VALUE"""),"Funcionário")</f>
        <v>Funcionário</v>
      </c>
      <c r="R69" s="48"/>
      <c r="S69" s="49" t="str">
        <f>IFERROR(__xludf.DUMMYFUNCTION("query(C28:L504,""select Col1,Col3,Col8,Col9 where (Col8 = 'Adiantamento' or Col8 = 'Consumo') and Col9 = '""&amp;A11&amp;""'"",1)"),"Data")</f>
        <v>Data</v>
      </c>
      <c r="T69" s="49" t="str">
        <f>IFERROR(__xludf.DUMMYFUNCTION("""COMPUTED_VALUE"""),"Valor ")</f>
        <v>Valor </v>
      </c>
      <c r="U69" s="49" t="str">
        <f>IFERROR(__xludf.DUMMYFUNCTION("""COMPUTED_VALUE"""),"Tipo")</f>
        <v>Tipo</v>
      </c>
      <c r="V69" s="50" t="str">
        <f>IFERROR(__xludf.DUMMYFUNCTION("""COMPUTED_VALUE"""),"Funcionário")</f>
        <v>Funcionário</v>
      </c>
    </row>
    <row r="70" ht="24.75" customHeight="1">
      <c r="A70" s="178"/>
      <c r="B70" s="10">
        <v>1583050.0</v>
      </c>
      <c r="C70" s="11">
        <v>45858.886724537035</v>
      </c>
      <c r="D70" s="179" t="s">
        <v>50</v>
      </c>
      <c r="E70" s="180" t="s">
        <v>4300</v>
      </c>
      <c r="F70" s="181"/>
      <c r="G70" s="179" t="s">
        <v>4567</v>
      </c>
      <c r="H70" s="190"/>
      <c r="I70" s="190"/>
      <c r="J70" s="187" t="s">
        <v>3825</v>
      </c>
      <c r="K70" s="187"/>
      <c r="L70" s="184" t="str">
        <f>IFERROR(__xludf.DUMMYFUNCTION("ifna(IF(and(D70=""Saída"",J70=""Sangria""),if(sum(QUERY(IMPORTRANGE(""https://docs.google.com/spreadsheets/d/1wBSFbIXYswW2S5SMKo44LPsdTG4P4kfP5VRdAS5E_4o"",""BD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'""&amp;YEAR(C70)&amp;""-""&amp;MONTH(C70)&amp;""-""&amp;DAY(C70)&amp;""'""))&gt;0,""Depositada"",if(sum(QUERY(IMPORTRANGE(""https://docs.google.com/spreadsheets/d/1wBSFbIXYswW2S5SMKo44LPsdTG4P4kfP5VRdAS5E_4o"",""BD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Sangria"")"),"")</f>
        <v/>
      </c>
      <c r="M70" s="185">
        <f>IFERROR(__xludf.DUMMYFUNCTION("ifna(VALUE(REGEXEXTRACT(E70,""[0-9.]+[,]+[0-9]+"")))"),104.0)</f>
        <v>104</v>
      </c>
      <c r="N70" s="51"/>
      <c r="O70" s="52"/>
      <c r="P70" s="52"/>
      <c r="Q70" s="52"/>
      <c r="R70" s="54"/>
      <c r="S70" s="52"/>
      <c r="T70" s="52"/>
      <c r="U70" s="52"/>
      <c r="V70" s="53"/>
    </row>
    <row r="71" ht="14.25" customHeight="1">
      <c r="A71" s="178"/>
      <c r="B71" s="10">
        <v>1583087.0</v>
      </c>
      <c r="C71" s="11">
        <v>45858.89266203704</v>
      </c>
      <c r="D71" s="179" t="s">
        <v>50</v>
      </c>
      <c r="E71" s="180" t="s">
        <v>4583</v>
      </c>
      <c r="F71" s="181"/>
      <c r="G71" s="179" t="s">
        <v>4586</v>
      </c>
      <c r="H71" s="190"/>
      <c r="I71" s="190"/>
      <c r="J71" s="187" t="s">
        <v>3746</v>
      </c>
      <c r="K71" s="187" t="s">
        <v>3168</v>
      </c>
      <c r="L71" s="184" t="str">
        <f>IFERROR(__xludf.DUMMYFUNCTION("ifna(IF(and(D71=""Saída"",J71=""Sangria""),if(sum(QUERY(IMPORTRANGE(""https://docs.google.com/spreadsheets/d/1wBSFbIXYswW2S5SMKo44LPsdTG4P4kfP5VRdAS5E_4o"",""BD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'""&amp;YEAR(C71)&amp;""-""&amp;MONTH(C71)&amp;""-""&amp;DAY(C71)&amp;""'""))&gt;0,""Depositada"",if(sum(QUERY(IMPORTRANGE(""https://docs.google.com/spreadsheets/d/1wBSFbIXYswW2S5SMKo44LPsdTG4P4kfP5VRdAS5E_4o"",""BD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Sangria"")"),"#REF!")</f>
        <v>#REF!</v>
      </c>
      <c r="M71" s="185">
        <f>IFERROR(__xludf.DUMMYFUNCTION("ifna(VALUE(REGEXEXTRACT(E71,""[0-9.]+[,]+[0-9]+"")))"),3150.0)</f>
        <v>3150</v>
      </c>
      <c r="N71" s="51"/>
      <c r="O71" s="52"/>
      <c r="P71" s="52"/>
      <c r="Q71" s="52"/>
      <c r="R71" s="54"/>
      <c r="S71" s="52"/>
      <c r="T71" s="52"/>
      <c r="U71" s="52"/>
      <c r="V71" s="53"/>
    </row>
    <row r="72" ht="14.25" customHeight="1">
      <c r="A72" s="178"/>
      <c r="B72" s="10">
        <v>1585071.0</v>
      </c>
      <c r="C72" s="11">
        <v>45859.88783564815</v>
      </c>
      <c r="D72" s="179" t="s">
        <v>50</v>
      </c>
      <c r="E72" s="180" t="s">
        <v>1228</v>
      </c>
      <c r="F72" s="181"/>
      <c r="G72" s="179" t="s">
        <v>4605</v>
      </c>
      <c r="H72" s="190"/>
      <c r="I72" s="190"/>
      <c r="J72" s="187" t="s">
        <v>3746</v>
      </c>
      <c r="K72" s="187" t="s">
        <v>3168</v>
      </c>
      <c r="L72" s="184" t="str">
        <f>IFERROR(__xludf.DUMMYFUNCTION("ifna(IF(and(D72=""Saída"",J72=""Sangria""),if(sum(QUERY(IMPORTRANGE(""https://docs.google.com/spreadsheets/d/1wBSFbIXYswW2S5SMKo44LPsdTG4P4kfP5VRdAS5E_4o"",""BD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'""&amp;YEAR(C72)&amp;""-""&amp;MONTH(C72)&amp;""-""&amp;DAY(C72)&amp;""'""))&gt;0,""Depositada"",if(sum(QUERY(IMPORTRANGE(""https://docs.google.com/spreadsheets/d/1wBSFbIXYswW2S5SMKo44LPsdTG4P4kfP5VRdAS5E_4o"",""BD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Sangria"")"),"#REF!")</f>
        <v>#REF!</v>
      </c>
      <c r="M72" s="185">
        <f>IFERROR(__xludf.DUMMYFUNCTION("ifna(VALUE(REGEXEXTRACT(E72,""[0-9.]+[,]+[0-9]+"")))"),450.0)</f>
        <v>450</v>
      </c>
      <c r="N72" s="51"/>
      <c r="O72" s="52"/>
      <c r="P72" s="52"/>
      <c r="Q72" s="52"/>
      <c r="R72" s="54"/>
      <c r="S72" s="52"/>
      <c r="T72" s="52"/>
      <c r="U72" s="52"/>
      <c r="V72" s="53"/>
    </row>
    <row r="73" ht="27.75" customHeight="1">
      <c r="A73" s="178"/>
      <c r="B73" s="10">
        <v>1585079.0</v>
      </c>
      <c r="C73" s="11">
        <v>45859.889756944445</v>
      </c>
      <c r="D73" s="179" t="s">
        <v>50</v>
      </c>
      <c r="E73" s="180" t="s">
        <v>4618</v>
      </c>
      <c r="F73" s="188"/>
      <c r="G73" s="179" t="s">
        <v>4620</v>
      </c>
      <c r="H73" s="190"/>
      <c r="I73" s="190"/>
      <c r="J73" s="187" t="s">
        <v>3825</v>
      </c>
      <c r="K73" s="187"/>
      <c r="L73" s="184" t="str">
        <f>IFERROR(__xludf.DUMMYFUNCTION("ifna(IF(and(D73=""Saída"",J73=""Sangria""),if(sum(QUERY(IMPORTRANGE(""https://docs.google.com/spreadsheets/d/1wBSFbIXYswW2S5SMKo44LPsdTG4P4kfP5VRdAS5E_4o"",""BD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'""&amp;YEAR(C73)&amp;""-""&amp;MONTH(C73)&amp;""-""&amp;DAY(C73)&amp;""'""))&gt;0,""Depositada"",if(sum(QUERY(IMPORTRANGE(""https://docs.google.com/spreadsheets/d/1wBSFbIXYswW2S5SMKo44LPsdTG4P4kfP5VRdAS5E_4o"",""BD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IFERROR(__xludf.DUMMYFUNCTION("ifna(VALUE(REGEXEXTRACT(E73,""[0-9.]+[,]+[0-9]+"")))"),560.0)</f>
        <v>560</v>
      </c>
      <c r="N73" s="51"/>
      <c r="O73" s="52"/>
      <c r="P73" s="52"/>
      <c r="Q73" s="52"/>
      <c r="R73" s="54"/>
      <c r="S73" s="52"/>
      <c r="T73" s="52"/>
      <c r="U73" s="52"/>
      <c r="V73" s="53"/>
    </row>
    <row r="74" ht="14.25" customHeight="1">
      <c r="A74" s="178"/>
      <c r="B74" s="10">
        <v>1586201.0</v>
      </c>
      <c r="C74" s="11">
        <v>45860.741574074076</v>
      </c>
      <c r="D74" s="179" t="s">
        <v>50</v>
      </c>
      <c r="E74" s="180" t="s">
        <v>4638</v>
      </c>
      <c r="F74" s="181"/>
      <c r="G74" s="179" t="s">
        <v>4639</v>
      </c>
      <c r="H74" s="190"/>
      <c r="I74" s="190"/>
      <c r="J74" s="187" t="s">
        <v>3044</v>
      </c>
      <c r="K74" s="187" t="s">
        <v>3137</v>
      </c>
      <c r="L74" s="184" t="str">
        <f>IFERROR(__xludf.DUMMYFUNCTION("ifna(IF(and(D74=""Saída"",J74=""Sangria""),if(sum(QUERY(IMPORTRANGE(""https://docs.google.com/spreadsheets/d/1wBSFbIXYswW2S5SMKo44LPsdTG4P4kfP5VRdAS5E_4o"",""BD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'""&amp;YEAR(C74)&amp;""-""&amp;MONTH(C74)&amp;""-""&amp;DAY(C74)&amp;""'""))&gt;0,""Depositada"",if(sum(QUERY(IMPORTRANGE(""https://docs.google.com/spreadsheets/d/1wBSFbIXYswW2S5SMKo44LPsdTG4P4kfP5VRdAS5E_4o"",""BD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Sangria"")"),"")</f>
        <v/>
      </c>
      <c r="M74" s="185">
        <f>IFERROR(__xludf.DUMMYFUNCTION("ifna(VALUE(REGEXEXTRACT(E74,""[0-9.]+[,]+[0-9]+"")))"),42.43)</f>
        <v>42.43</v>
      </c>
      <c r="N74" s="51"/>
      <c r="O74" s="52"/>
      <c r="P74" s="52"/>
      <c r="Q74" s="52"/>
      <c r="R74" s="54"/>
      <c r="S74" s="52"/>
      <c r="T74" s="52"/>
      <c r="U74" s="52"/>
      <c r="V74" s="53"/>
    </row>
    <row r="75" ht="14.25" customHeight="1">
      <c r="A75" s="178"/>
      <c r="B75" s="10">
        <v>1586338.0</v>
      </c>
      <c r="C75" s="11">
        <v>45860.778657407405</v>
      </c>
      <c r="D75" s="179" t="s">
        <v>50</v>
      </c>
      <c r="E75" s="180" t="s">
        <v>4662</v>
      </c>
      <c r="F75" s="181"/>
      <c r="G75" s="179" t="s">
        <v>4665</v>
      </c>
      <c r="H75" s="190"/>
      <c r="I75" s="190"/>
      <c r="J75" s="187" t="s">
        <v>3044</v>
      </c>
      <c r="K75" s="187" t="s">
        <v>3040</v>
      </c>
      <c r="L75" s="184" t="str">
        <f>IFERROR(__xludf.DUMMYFUNCTION("ifna(IF(and(D75=""Saída"",J75=""Sangria""),if(sum(QUERY(IMPORTRANGE(""https://docs.google.com/spreadsheets/d/1wBSFbIXYswW2S5SMKo44LPsdTG4P4kfP5VRdAS5E_4o"",""BD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'""&amp;YEAR(C75)&amp;""-""&amp;MONTH(C75)&amp;""-""&amp;DAY(C75)&amp;""'""))&gt;0,""Depositada"",if(sum(QUERY(IMPORTRANGE(""https://docs.google.com/spreadsheets/d/1wBSFbIXYswW2S5SMKo44LPsdTG4P4kfP5VRdAS5E_4o"",""BD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IFERROR(__xludf.DUMMYFUNCTION("ifna(VALUE(REGEXEXTRACT(E75,""[0-9.]+[,]+[0-9]+"")))"),44.22)</f>
        <v>44.22</v>
      </c>
      <c r="N75" s="51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0">
        <v>1586380.0</v>
      </c>
      <c r="C76" s="11">
        <v>45860.794907407406</v>
      </c>
      <c r="D76" s="179" t="s">
        <v>50</v>
      </c>
      <c r="E76" s="180" t="s">
        <v>4688</v>
      </c>
      <c r="F76" s="181"/>
      <c r="G76" s="179" t="s">
        <v>4690</v>
      </c>
      <c r="H76" s="190"/>
      <c r="I76" s="190"/>
      <c r="J76" s="187" t="s">
        <v>3044</v>
      </c>
      <c r="K76" s="187" t="s">
        <v>3168</v>
      </c>
      <c r="L76" s="184" t="str">
        <f>IFERROR(__xludf.DUMMYFUNCTION("ifna(IF(and(D76=""Saída"",J76=""Sangria""),if(sum(QUERY(IMPORTRANGE(""https://docs.google.com/spreadsheets/d/1wBSFbIXYswW2S5SMKo44LPsdTG4P4kfP5VRdAS5E_4o"",""BD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'""&amp;YEAR(C76)&amp;""-""&amp;MONTH(C76)&amp;""-""&amp;DAY(C76)&amp;""'""))&gt;0,""Depositada"",if(sum(QUERY(IMPORTRANGE(""https://docs.google.com/spreadsheets/d/1wBSFbIXYswW2S5SMKo44LPsdTG4P4kfP5VRdAS5E_4o"",""BD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Sangria"")"),"")</f>
        <v/>
      </c>
      <c r="M76" s="185">
        <f>IFERROR(__xludf.DUMMYFUNCTION("ifna(VALUE(REGEXEXTRACT(E76,""[0-9.]+[,]+[0-9]+"")))"),48.44)</f>
        <v>48.44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0">
        <v>1586421.0</v>
      </c>
      <c r="C77" s="11">
        <v>45860.81314814815</v>
      </c>
      <c r="D77" s="179" t="s">
        <v>50</v>
      </c>
      <c r="E77" s="180" t="s">
        <v>4702</v>
      </c>
      <c r="F77" s="181"/>
      <c r="G77" s="179" t="s">
        <v>4704</v>
      </c>
      <c r="H77" s="190"/>
      <c r="I77" s="190"/>
      <c r="J77" s="187" t="s">
        <v>3044</v>
      </c>
      <c r="K77" s="187" t="s">
        <v>3077</v>
      </c>
      <c r="L77" s="184" t="str">
        <f>IFERROR(__xludf.DUMMYFUNCTION("ifna(IF(and(D77=""Saída"",J77=""Sangria""),if(sum(QUERY(IMPORTRANGE(""https://docs.google.com/spreadsheets/d/1wBSFbIXYswW2S5SMKo44LPsdTG4P4kfP5VRdAS5E_4o"",""BD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'""&amp;YEAR(C77)&amp;""-""&amp;MONTH(C77)&amp;""-""&amp;DAY(C77)&amp;""'""))&gt;0,""Depositada"",if(sum(QUERY(IMPORTRANGE(""https://docs.google.com/spreadsheets/d/1wBSFbIXYswW2S5SMKo44LPsdTG4P4kfP5VRdAS5E_4o"",""BD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IFERROR(__xludf.DUMMYFUNCTION("ifna(VALUE(REGEXEXTRACT(E77,""[0-9.]+[,]+[0-9]+"")))"),19.04)</f>
        <v>19.04</v>
      </c>
      <c r="N77" s="192"/>
      <c r="O77" s="193"/>
      <c r="P77" s="194"/>
      <c r="Q77" s="195"/>
      <c r="R77" s="91"/>
      <c r="S77" s="89"/>
      <c r="T77" s="89"/>
      <c r="U77" s="89"/>
      <c r="V77" s="90"/>
    </row>
    <row r="78" ht="33.0" customHeight="1">
      <c r="A78" s="178"/>
      <c r="B78" s="10">
        <v>1586680.0</v>
      </c>
      <c r="C78" s="11">
        <v>45860.89802083333</v>
      </c>
      <c r="D78" s="179" t="s">
        <v>50</v>
      </c>
      <c r="E78" s="180" t="s">
        <v>4727</v>
      </c>
      <c r="F78" s="181"/>
      <c r="G78" s="179" t="s">
        <v>4729</v>
      </c>
      <c r="H78" s="190"/>
      <c r="I78" s="190"/>
      <c r="J78" s="196"/>
      <c r="K78" s="187"/>
      <c r="L78" s="184" t="str">
        <f>IFERROR(__xludf.DUMMYFUNCTION("ifna(IF(and(D78=""Saída"",J78=""Sangria""),if(sum(QUERY(IMPORTRANGE(""https://docs.google.com/spreadsheets/d/1wBSFbIXYswW2S5SMKo44LPsdTG4P4kfP5VRdAS5E_4o"",""BD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'""&amp;YEAR(C78)&amp;""-""&amp;MONTH(C78)&amp;""-""&amp;DAY(C78)&amp;""'""))&gt;0,""Depositada"",if(sum(QUERY(IMPORTRANGE(""https://docs.google.com/spreadsheets/d/1wBSFbIXYswW2S5SMKo44LPsdTG4P4kfP5VRdAS5E_4o"",""BD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IFERROR(__xludf.DUMMYFUNCTION("ifna(VALUE(REGEXEXTRACT(E78,""[0-9.]+[,]+[0-9]+"")))"),113.8)</f>
        <v>113.8</v>
      </c>
      <c r="N78" s="192"/>
      <c r="O78" s="193"/>
      <c r="P78" s="194"/>
      <c r="Q78" s="195"/>
      <c r="R78" s="91"/>
      <c r="S78" s="89"/>
      <c r="T78" s="89"/>
      <c r="U78" s="89"/>
      <c r="V78" s="90"/>
    </row>
    <row r="79" ht="14.25" customHeight="1">
      <c r="A79" s="178"/>
      <c r="B79" s="10">
        <v>1586682.0</v>
      </c>
      <c r="C79" s="11">
        <v>45860.89885416667</v>
      </c>
      <c r="D79" s="179" t="s">
        <v>50</v>
      </c>
      <c r="E79" s="180" t="s">
        <v>4745</v>
      </c>
      <c r="F79" s="181"/>
      <c r="G79" s="179" t="s">
        <v>4746</v>
      </c>
      <c r="H79" s="190"/>
      <c r="I79" s="190"/>
      <c r="J79" s="187" t="s">
        <v>3903</v>
      </c>
      <c r="K79" s="187"/>
      <c r="L79" s="184" t="str">
        <f>IFERROR(__xludf.DUMMYFUNCTION("ifna(IF(and(D79=""Saída"",J79=""Sangria""),if(sum(QUERY(IMPORTRANGE(""https://docs.google.com/spreadsheets/d/1wBSFbIXYswW2S5SMKo44LPsdTG4P4kfP5VRdAS5E_4o"",""BD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'""&amp;YEAR(C79)&amp;""-""&amp;MONTH(C79)&amp;""-""&amp;DAY(C79)&amp;""'""))&gt;0,""Depositada"",if(sum(QUERY(IMPORTRANGE(""https://docs.google.com/spreadsheets/d/1wBSFbIXYswW2S5SMKo44LPsdTG4P4kfP5VRdAS5E_4o"",""BD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IFERROR(__xludf.DUMMYFUNCTION("ifna(VALUE(REGEXEXTRACT(E79,""[0-9.]+[,]+[0-9]+"")))"),2.0)</f>
        <v>2</v>
      </c>
      <c r="N79" s="192"/>
      <c r="O79" s="193"/>
      <c r="P79" s="194"/>
      <c r="Q79" s="195"/>
      <c r="R79" s="91"/>
      <c r="S79" s="89"/>
      <c r="T79" s="89"/>
      <c r="U79" s="89"/>
      <c r="V79" s="90"/>
    </row>
    <row r="80" ht="14.25" customHeight="1">
      <c r="A80" s="178"/>
      <c r="B80" s="10">
        <v>1586685.0</v>
      </c>
      <c r="C80" s="11">
        <v>45860.89996527778</v>
      </c>
      <c r="D80" s="179" t="s">
        <v>50</v>
      </c>
      <c r="E80" s="180" t="s">
        <v>4761</v>
      </c>
      <c r="F80" s="181"/>
      <c r="G80" s="179" t="s">
        <v>4763</v>
      </c>
      <c r="H80" s="190"/>
      <c r="I80" s="190"/>
      <c r="J80" s="187" t="s">
        <v>3903</v>
      </c>
      <c r="K80" s="187"/>
      <c r="L80" s="184" t="str">
        <f>IFERROR(__xludf.DUMMYFUNCTION("ifna(IF(and(D80=""Saída"",J80=""Sangria""),if(sum(QUERY(IMPORTRANGE(""https://docs.google.com/spreadsheets/d/1wBSFbIXYswW2S5SMKo44LPsdTG4P4kfP5VRdAS5E_4o"",""BD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'""&amp;YEAR(C80)&amp;""-""&amp;MONTH(C80)&amp;""-""&amp;DAY(C80)&amp;""'""))&gt;0,""Depositada"",if(sum(QUERY(IMPORTRANGE(""https://docs.google.com/spreadsheets/d/1wBSFbIXYswW2S5SMKo44LPsdTG4P4kfP5VRdAS5E_4o"",""BD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Sangria"")"),"")</f>
        <v/>
      </c>
      <c r="M80" s="185">
        <f>IFERROR(__xludf.DUMMYFUNCTION("ifna(VALUE(REGEXEXTRACT(E80,""[0-9.]+[,]+[0-9]+"")))"),129.57)</f>
        <v>129.57</v>
      </c>
      <c r="N80" s="192"/>
      <c r="O80" s="193"/>
      <c r="P80" s="194"/>
      <c r="Q80" s="195"/>
      <c r="R80" s="91"/>
      <c r="S80" s="89"/>
      <c r="T80" s="89"/>
      <c r="U80" s="89"/>
      <c r="V80" s="90"/>
    </row>
    <row r="81" ht="14.25" customHeight="1">
      <c r="A81" s="178"/>
      <c r="B81" s="10">
        <v>1586688.0</v>
      </c>
      <c r="C81" s="11">
        <v>45860.901342592595</v>
      </c>
      <c r="D81" s="179" t="s">
        <v>50</v>
      </c>
      <c r="E81" s="180" t="s">
        <v>4775</v>
      </c>
      <c r="F81" s="188"/>
      <c r="G81" s="179" t="s">
        <v>4776</v>
      </c>
      <c r="H81" s="190"/>
      <c r="I81" s="190"/>
      <c r="J81" s="187" t="s">
        <v>3903</v>
      </c>
      <c r="K81" s="187"/>
      <c r="L81" s="184" t="str">
        <f>IFERROR(__xludf.DUMMYFUNCTION("ifna(IF(and(D81=""Saída"",J81=""Sangria""),if(sum(QUERY(IMPORTRANGE(""https://docs.google.com/spreadsheets/d/1wBSFbIXYswW2S5SMKo44LPsdTG4P4kfP5VRdAS5E_4o"",""BD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'""&amp;YEAR(C81)&amp;""-""&amp;MONTH(C81)&amp;""-""&amp;DAY(C81)&amp;""'""))&gt;0,""Depositada"",if(sum(QUERY(IMPORTRANGE(""https://docs.google.com/spreadsheets/d/1wBSFbIXYswW2S5SMKo44LPsdTG4P4kfP5VRdAS5E_4o"",""BD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Sangria"")"),"")</f>
        <v/>
      </c>
      <c r="M81" s="185">
        <f>IFERROR(__xludf.DUMMYFUNCTION("ifna(VALUE(REGEXEXTRACT(E81,""[0-9.]+[,]+[0-9]+"")))"),189.32)</f>
        <v>189.32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0">
        <v>1586855.0</v>
      </c>
      <c r="C82" s="11">
        <v>45860.92358796296</v>
      </c>
      <c r="D82" s="179" t="s">
        <v>50</v>
      </c>
      <c r="E82" s="180" t="s">
        <v>4794</v>
      </c>
      <c r="F82" s="181"/>
      <c r="G82" s="179" t="s">
        <v>4796</v>
      </c>
      <c r="H82" s="190"/>
      <c r="I82" s="190"/>
      <c r="J82" s="187" t="s">
        <v>3746</v>
      </c>
      <c r="K82" s="187" t="s">
        <v>2949</v>
      </c>
      <c r="L82" s="184" t="str">
        <f>IFERROR(__xludf.DUMMYFUNCTION("ifna(IF(and(D82=""Saída"",J82=""Sangria""),if(sum(QUERY(IMPORTRANGE(""https://docs.google.com/spreadsheets/d/1wBSFbIXYswW2S5SMKo44LPsdTG4P4kfP5VRdAS5E_4o"",""BD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'""&amp;YEAR(C82)&amp;""-""&amp;MONTH(C82)&amp;""-""&amp;DAY(C82)&amp;""'""))&gt;0,""Depositada"",if(sum(QUERY(IMPORTRANGE(""https://docs.google.com/spreadsheets/d/1wBSFbIXYswW2S5SMKo44LPsdTG4P4kfP5VRdAS5E_4o"",""BD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Sangria"")"),"#REF!")</f>
        <v>#REF!</v>
      </c>
      <c r="M82" s="185">
        <f>IFERROR(__xludf.DUMMYFUNCTION("ifna(VALUE(REGEXEXTRACT(E82,""[0-9.]+[,]+[0-9]+"")))"),750.0)</f>
        <v>750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0">
        <v>1587260.0</v>
      </c>
      <c r="C83" s="11">
        <v>45861.562476851854</v>
      </c>
      <c r="D83" s="179" t="s">
        <v>50</v>
      </c>
      <c r="E83" s="180" t="s">
        <v>4819</v>
      </c>
      <c r="F83" s="181"/>
      <c r="G83" s="179" t="s">
        <v>4822</v>
      </c>
      <c r="H83" s="190"/>
      <c r="I83" s="190"/>
      <c r="J83" s="187" t="s">
        <v>3903</v>
      </c>
      <c r="K83" s="187"/>
      <c r="L83" s="184" t="str">
        <f>IFERROR(__xludf.DUMMYFUNCTION("ifna(IF(and(D83=""Saída"",J83=""Sangria""),if(sum(QUERY(IMPORTRANGE(""https://docs.google.com/spreadsheets/d/1wBSFbIXYswW2S5SMKo44LPsdTG4P4kfP5VRdAS5E_4o"",""BD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'""&amp;YEAR(C83)&amp;""-""&amp;MONTH(C83)&amp;""-""&amp;DAY(C83)&amp;""'""))&gt;0,""Depositada"",if(sum(QUERY(IMPORTRANGE(""https://docs.google.com/spreadsheets/d/1wBSFbIXYswW2S5SMKo44LPsdTG4P4kfP5VRdAS5E_4o"",""BD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Sangria"")"),"")</f>
        <v/>
      </c>
      <c r="M83" s="185">
        <f>IFERROR(__xludf.DUMMYFUNCTION("ifna(VALUE(REGEXEXTRACT(E83,""[0-9.]+[,]+[0-9]+"")))"),63.92)</f>
        <v>63.92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0">
        <v>1587779.0</v>
      </c>
      <c r="C84" s="11">
        <v>45861.736238425925</v>
      </c>
      <c r="D84" s="179" t="s">
        <v>50</v>
      </c>
      <c r="E84" s="180" t="s">
        <v>4847</v>
      </c>
      <c r="F84" s="181"/>
      <c r="G84" s="179" t="s">
        <v>4665</v>
      </c>
      <c r="H84" s="190"/>
      <c r="I84" s="190"/>
      <c r="J84" s="187" t="s">
        <v>3044</v>
      </c>
      <c r="K84" s="187" t="s">
        <v>3040</v>
      </c>
      <c r="L84" s="184" t="str">
        <f>IFERROR(__xludf.DUMMYFUNCTION("ifna(IF(and(D84=""Saída"",J84=""Sangria""),if(sum(QUERY(IMPORTRANGE(""https://docs.google.com/spreadsheets/d/1wBSFbIXYswW2S5SMKo44LPsdTG4P4kfP5VRdAS5E_4o"",""BD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'""&amp;YEAR(C84)&amp;""-""&amp;MONTH(C84)&amp;""-""&amp;DAY(C84)&amp;""'""))&gt;0,""Depositada"",if(sum(QUERY(IMPORTRANGE(""https://docs.google.com/spreadsheets/d/1wBSFbIXYswW2S5SMKo44LPsdTG4P4kfP5VRdAS5E_4o"",""BD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IFERROR(__xludf.DUMMYFUNCTION("ifna(VALUE(REGEXEXTRACT(E84,""[0-9.]+[,]+[0-9]+"")))"),23.77)</f>
        <v>23.77</v>
      </c>
      <c r="N84" s="197"/>
      <c r="O84" s="198"/>
      <c r="P84" s="198"/>
      <c r="Q84" s="198"/>
      <c r="R84" s="91"/>
      <c r="S84" s="198"/>
      <c r="T84" s="198"/>
      <c r="U84" s="198"/>
      <c r="V84" s="199"/>
    </row>
    <row r="85" ht="14.25" customHeight="1">
      <c r="A85" s="178"/>
      <c r="B85" s="10">
        <v>1588014.0</v>
      </c>
      <c r="C85" s="11">
        <v>45861.80472222222</v>
      </c>
      <c r="D85" s="179" t="s">
        <v>50</v>
      </c>
      <c r="E85" s="180" t="s">
        <v>4869</v>
      </c>
      <c r="F85" s="181"/>
      <c r="G85" s="179" t="s">
        <v>4690</v>
      </c>
      <c r="H85" s="190"/>
      <c r="I85" s="190"/>
      <c r="J85" s="187" t="s">
        <v>3044</v>
      </c>
      <c r="K85" s="187" t="s">
        <v>3168</v>
      </c>
      <c r="L85" s="184" t="str">
        <f>IFERROR(__xludf.DUMMYFUNCTION("ifna(IF(and(D85=""Saída"",J85=""Sangria""),if(sum(QUERY(IMPORTRANGE(""https://docs.google.com/spreadsheets/d/1wBSFbIXYswW2S5SMKo44LPsdTG4P4kfP5VRdAS5E_4o"",""BD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'""&amp;YEAR(C85)&amp;""-""&amp;MONTH(C85)&amp;""-""&amp;DAY(C85)&amp;""'""))&gt;0,""Depositada"",if(sum(QUERY(IMPORTRANGE(""https://docs.google.com/spreadsheets/d/1wBSFbIXYswW2S5SMKo44LPsdTG4P4kfP5VRdAS5E_4o"",""BD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IFERROR(__xludf.DUMMYFUNCTION("ifna(VALUE(REGEXEXTRACT(E85,""[0-9.]+[,]+[0-9]+"")))"),48.69)</f>
        <v>48.69</v>
      </c>
      <c r="N85" s="197"/>
      <c r="O85" s="198"/>
      <c r="P85" s="198"/>
      <c r="Q85" s="198"/>
      <c r="R85" s="91"/>
      <c r="S85" s="198"/>
      <c r="T85" s="198"/>
      <c r="U85" s="198"/>
      <c r="V85" s="199"/>
    </row>
    <row r="86" ht="14.25" customHeight="1">
      <c r="A86" s="178"/>
      <c r="B86" s="10">
        <v>1588049.0</v>
      </c>
      <c r="C86" s="11">
        <v>45861.82418981481</v>
      </c>
      <c r="D86" s="179" t="s">
        <v>50</v>
      </c>
      <c r="E86" s="180" t="s">
        <v>4890</v>
      </c>
      <c r="F86" s="181"/>
      <c r="G86" s="179" t="s">
        <v>4704</v>
      </c>
      <c r="H86" s="190"/>
      <c r="I86" s="190"/>
      <c r="J86" s="187" t="s">
        <v>3044</v>
      </c>
      <c r="K86" s="187" t="s">
        <v>3077</v>
      </c>
      <c r="L86" s="184" t="str">
        <f>IFERROR(__xludf.DUMMYFUNCTION("ifna(IF(and(D86=""Saída"",J86=""Sangria""),if(sum(QUERY(IMPORTRANGE(""https://docs.google.com/spreadsheets/d/1wBSFbIXYswW2S5SMKo44LPsdTG4P4kfP5VRdAS5E_4o"",""BD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'""&amp;YEAR(C86)&amp;""-""&amp;MONTH(C86)&amp;""-""&amp;DAY(C86)&amp;""'""))&gt;0,""Depositada"",if(sum(QUERY(IMPORTRANGE(""https://docs.google.com/spreadsheets/d/1wBSFbIXYswW2S5SMKo44LPsdTG4P4kfP5VRdAS5E_4o"",""BD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IFERROR(__xludf.DUMMYFUNCTION("ifna(VALUE(REGEXEXTRACT(E86,""[0-9.]+[,]+[0-9]+"")))"),21.49)</f>
        <v>21.49</v>
      </c>
      <c r="N86" s="197"/>
      <c r="O86" s="198"/>
      <c r="P86" s="198"/>
      <c r="Q86" s="198"/>
      <c r="R86" s="91"/>
      <c r="S86" s="198"/>
      <c r="T86" s="198"/>
      <c r="U86" s="198"/>
      <c r="V86" s="199"/>
    </row>
    <row r="87" ht="14.25" customHeight="1">
      <c r="A87" s="178"/>
      <c r="B87" s="10">
        <v>1588268.0</v>
      </c>
      <c r="C87" s="11">
        <v>45861.902962962966</v>
      </c>
      <c r="D87" s="179" t="s">
        <v>50</v>
      </c>
      <c r="E87" s="180" t="s">
        <v>719</v>
      </c>
      <c r="F87" s="181"/>
      <c r="G87" s="179" t="s">
        <v>4913</v>
      </c>
      <c r="H87" s="190"/>
      <c r="I87" s="190"/>
      <c r="J87" s="187" t="s">
        <v>3746</v>
      </c>
      <c r="K87" s="187" t="s">
        <v>3168</v>
      </c>
      <c r="L87" s="184" t="str">
        <f>IFERROR(__xludf.DUMMYFUNCTION("ifna(IF(and(D87=""Saída"",J87=""Sangria""),if(sum(QUERY(IMPORTRANGE(""https://docs.google.com/spreadsheets/d/1wBSFbIXYswW2S5SMKo44LPsdTG4P4kfP5VRdAS5E_4o"",""BD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'""&amp;YEAR(C87)&amp;""-""&amp;MONTH(C87)&amp;""-""&amp;DAY(C87)&amp;""'""))&gt;0,""Depositada"",if(sum(QUERY(IMPORTRANGE(""https://docs.google.com/spreadsheets/d/1wBSFbIXYswW2S5SMKo44LPsdTG4P4kfP5VRdAS5E_4o"",""BD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Sangria"")"),"#REF!")</f>
        <v>#REF!</v>
      </c>
      <c r="M87" s="185">
        <f>IFERROR(__xludf.DUMMYFUNCTION("ifna(VALUE(REGEXEXTRACT(E87,""[0-9.]+[,]+[0-9]+"")))"),500.0)</f>
        <v>500</v>
      </c>
      <c r="N87" s="197"/>
      <c r="O87" s="198"/>
      <c r="P87" s="198"/>
      <c r="Q87" s="198"/>
      <c r="R87" s="91"/>
      <c r="S87" s="198"/>
      <c r="T87" s="198"/>
      <c r="U87" s="198"/>
      <c r="V87" s="199"/>
    </row>
    <row r="88" ht="14.25" customHeight="1">
      <c r="A88" s="178"/>
      <c r="B88" s="10">
        <v>1590690.0</v>
      </c>
      <c r="C88" s="11">
        <v>45863.772465277776</v>
      </c>
      <c r="D88" s="179" t="s">
        <v>50</v>
      </c>
      <c r="E88" s="180" t="s">
        <v>4925</v>
      </c>
      <c r="F88" s="181"/>
      <c r="G88" s="179" t="s">
        <v>4927</v>
      </c>
      <c r="H88" s="190"/>
      <c r="I88" s="190"/>
      <c r="J88" s="187" t="s">
        <v>3044</v>
      </c>
      <c r="K88" s="187" t="s">
        <v>3137</v>
      </c>
      <c r="L88" s="184" t="str">
        <f>IFERROR(__xludf.DUMMYFUNCTION("ifna(IF(and(D88=""Saída"",J88=""Sangria""),if(sum(QUERY(IMPORTRANGE(""https://docs.google.com/spreadsheets/d/1wBSFbIXYswW2S5SMKo44LPsdTG4P4kfP5VRdAS5E_4o"",""BD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'""&amp;YEAR(C88)&amp;""-""&amp;MONTH(C88)&amp;""-""&amp;DAY(C88)&amp;""'""))&gt;0,""Depositada"",if(sum(QUERY(IMPORTRANGE(""https://docs.google.com/spreadsheets/d/1wBSFbIXYswW2S5SMKo44LPsdTG4P4kfP5VRdAS5E_4o"",""BD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Sangria"")"),"")</f>
        <v/>
      </c>
      <c r="M88" s="185">
        <f>IFERROR(__xludf.DUMMYFUNCTION("ifna(VALUE(REGEXEXTRACT(E88,""[0-9.]+[,]+[0-9]+"")))"),65.82)</f>
        <v>65.82</v>
      </c>
      <c r="N88" s="200"/>
      <c r="O88" s="201"/>
      <c r="P88" s="201"/>
      <c r="Q88" s="201"/>
      <c r="R88" s="202"/>
      <c r="S88" s="201"/>
      <c r="T88" s="201"/>
      <c r="U88" s="201"/>
      <c r="V88" s="203"/>
    </row>
    <row r="89" ht="14.25" customHeight="1">
      <c r="A89" s="178"/>
      <c r="B89" s="10">
        <v>1590692.0</v>
      </c>
      <c r="C89" s="11">
        <v>45863.77337962963</v>
      </c>
      <c r="D89" s="179" t="s">
        <v>50</v>
      </c>
      <c r="E89" s="180" t="s">
        <v>4940</v>
      </c>
      <c r="F89" s="181"/>
      <c r="G89" s="179" t="s">
        <v>4943</v>
      </c>
      <c r="H89" s="190"/>
      <c r="I89" s="190"/>
      <c r="J89" s="187" t="s">
        <v>3044</v>
      </c>
      <c r="K89" s="187" t="s">
        <v>3040</v>
      </c>
      <c r="L89" s="184" t="str">
        <f>IFERROR(__xludf.DUMMYFUNCTION("ifna(IF(and(D89=""Saída"",J89=""Sangria""),if(sum(QUERY(IMPORTRANGE(""https://docs.google.com/spreadsheets/d/1wBSFbIXYswW2S5SMKo44LPsdTG4P4kfP5VRdAS5E_4o"",""BD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'""&amp;YEAR(C89)&amp;""-""&amp;MONTH(C89)&amp;""-""&amp;DAY(C89)&amp;""'""))&gt;0,""Depositada"",if(sum(QUERY(IMPORTRANGE(""https://docs.google.com/spreadsheets/d/1wBSFbIXYswW2S5SMKo44LPsdTG4P4kfP5VRdAS5E_4o"",""BD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Sangria"")"),"")</f>
        <v/>
      </c>
      <c r="M89" s="185">
        <f>IFERROR(__xludf.DUMMYFUNCTION("ifna(VALUE(REGEXEXTRACT(E89,""[0-9.]+[,]+[0-9]+"")))"),82.05)</f>
        <v>82.05</v>
      </c>
      <c r="N89" s="24"/>
      <c r="O89" s="24"/>
      <c r="P89" s="24"/>
      <c r="Q89" s="24"/>
      <c r="R89" s="24"/>
      <c r="S89" s="24"/>
      <c r="T89" s="24"/>
      <c r="U89" s="24"/>
      <c r="V89" s="24"/>
    </row>
    <row r="90" ht="14.25" customHeight="1">
      <c r="A90" s="178"/>
      <c r="B90" s="10">
        <v>1590765.0</v>
      </c>
      <c r="C90" s="11">
        <v>45863.803148148145</v>
      </c>
      <c r="D90" s="179" t="s">
        <v>50</v>
      </c>
      <c r="E90" s="180" t="s">
        <v>4958</v>
      </c>
      <c r="F90" s="181"/>
      <c r="G90" s="179" t="s">
        <v>4960</v>
      </c>
      <c r="H90" s="190"/>
      <c r="I90" s="190"/>
      <c r="J90" s="187" t="s">
        <v>3044</v>
      </c>
      <c r="K90" s="187" t="s">
        <v>3168</v>
      </c>
      <c r="L90" s="184" t="str">
        <f>IFERROR(__xludf.DUMMYFUNCTION("ifna(IF(and(D90=""Saída"",J90=""Sangria""),if(sum(QUERY(IMPORTRANGE(""https://docs.google.com/spreadsheets/d/1wBSFbIXYswW2S5SMKo44LPsdTG4P4kfP5VRdAS5E_4o"",""BD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'""&amp;YEAR(C90)&amp;""-""&amp;MONTH(C90)&amp;""-""&amp;DAY(C90)&amp;""'""))&gt;0,""Depositada"",if(sum(QUERY(IMPORTRANGE(""https://docs.google.com/spreadsheets/d/1wBSFbIXYswW2S5SMKo44LPsdTG4P4kfP5VRdAS5E_4o"",""BD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IFERROR(__xludf.DUMMYFUNCTION("ifna(VALUE(REGEXEXTRACT(E90,""[0-9.]+[,]+[0-9]+"")))"),55.59)</f>
        <v>55.59</v>
      </c>
      <c r="N90" s="24"/>
      <c r="O90" s="24"/>
      <c r="P90" s="24"/>
      <c r="Q90" s="24"/>
      <c r="R90" s="24"/>
      <c r="S90" s="24"/>
      <c r="T90" s="24"/>
      <c r="U90" s="24"/>
      <c r="V90" s="24"/>
    </row>
    <row r="91" ht="14.25" customHeight="1">
      <c r="A91" s="178"/>
      <c r="B91" s="10">
        <v>1590864.0</v>
      </c>
      <c r="C91" s="11">
        <v>45863.83902777778</v>
      </c>
      <c r="D91" s="179" t="s">
        <v>50</v>
      </c>
      <c r="E91" s="180" t="s">
        <v>4980</v>
      </c>
      <c r="F91" s="188"/>
      <c r="G91" s="179" t="s">
        <v>4983</v>
      </c>
      <c r="H91" s="190"/>
      <c r="I91" s="190"/>
      <c r="J91" s="187" t="s">
        <v>3044</v>
      </c>
      <c r="K91" s="187" t="s">
        <v>3077</v>
      </c>
      <c r="L91" s="184" t="str">
        <f>IFERROR(__xludf.DUMMYFUNCTION("ifna(IF(and(D91=""Saída"",J91=""Sangria""),if(sum(QUERY(IMPORTRANGE(""https://docs.google.com/spreadsheets/d/1wBSFbIXYswW2S5SMKo44LPsdTG4P4kfP5VRdAS5E_4o"",""BD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'""&amp;YEAR(C91)&amp;""-""&amp;MONTH(C91)&amp;""-""&amp;DAY(C91)&amp;""'""))&gt;0,""Depositada"",if(sum(QUERY(IMPORTRANGE(""https://docs.google.com/spreadsheets/d/1wBSFbIXYswW2S5SMKo44LPsdTG4P4kfP5VRdAS5E_4o"",""BD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Sangria"")"),"")</f>
        <v/>
      </c>
      <c r="M91" s="185">
        <f>IFERROR(__xludf.DUMMYFUNCTION("ifna(VALUE(REGEXEXTRACT(E91,""[0-9.]+[,]+[0-9]+"")))"),19.55)</f>
        <v>19.55</v>
      </c>
      <c r="N91" s="24"/>
      <c r="O91" s="24"/>
      <c r="P91" s="24"/>
      <c r="Q91" s="24"/>
      <c r="R91" s="24"/>
      <c r="S91" s="24"/>
      <c r="T91" s="24"/>
      <c r="U91" s="24"/>
      <c r="V91" s="24"/>
    </row>
    <row r="92" ht="14.25" customHeight="1">
      <c r="A92" s="178"/>
      <c r="B92" s="10">
        <v>1590967.0</v>
      </c>
      <c r="C92" s="11">
        <v>45863.87577546296</v>
      </c>
      <c r="D92" s="179" t="s">
        <v>50</v>
      </c>
      <c r="E92" s="180" t="s">
        <v>5005</v>
      </c>
      <c r="F92" s="181"/>
      <c r="G92" s="179" t="s">
        <v>5009</v>
      </c>
      <c r="H92" s="190"/>
      <c r="I92" s="190"/>
      <c r="J92" s="187" t="s">
        <v>3903</v>
      </c>
      <c r="K92" s="187"/>
      <c r="L92" s="184" t="str">
        <f>IFERROR(__xludf.DUMMYFUNCTION("ifna(IF(and(D92=""Saída"",J92=""Sangria""),if(sum(QUERY(IMPORTRANGE(""https://docs.google.com/spreadsheets/d/1wBSFbIXYswW2S5SMKo44LPsdTG4P4kfP5VRdAS5E_4o"",""BD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'""&amp;YEAR(C92)&amp;""-""&amp;MONTH(C92)&amp;""-""&amp;DAY(C92)&amp;""'""))&gt;0,""Depositada"",if(sum(QUERY(IMPORTRANGE(""https://docs.google.com/spreadsheets/d/1wBSFbIXYswW2S5SMKo44LPsdTG4P4kfP5VRdAS5E_4o"",""BD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Sangria"")"),"")</f>
        <v/>
      </c>
      <c r="M92" s="185">
        <f>IFERROR(__xludf.DUMMYFUNCTION("ifna(VALUE(REGEXEXTRACT(E92,""[0-9.]+[,]+[0-9]+"")))"),15.25)</f>
        <v>15.25</v>
      </c>
      <c r="N92" s="24"/>
      <c r="O92" s="24"/>
      <c r="P92" s="24"/>
      <c r="Q92" s="24"/>
      <c r="R92" s="24"/>
      <c r="S92" s="24"/>
      <c r="T92" s="185"/>
      <c r="U92" s="185"/>
      <c r="V92" s="185"/>
    </row>
    <row r="93" ht="14.25" customHeight="1">
      <c r="A93" s="178"/>
      <c r="B93" s="10">
        <v>1590969.0</v>
      </c>
      <c r="C93" s="11">
        <v>45863.87616898148</v>
      </c>
      <c r="D93" s="179" t="s">
        <v>50</v>
      </c>
      <c r="E93" s="180" t="s">
        <v>5023</v>
      </c>
      <c r="F93" s="181"/>
      <c r="G93" s="179" t="s">
        <v>5024</v>
      </c>
      <c r="H93" s="190"/>
      <c r="I93" s="190"/>
      <c r="J93" s="187" t="s">
        <v>3903</v>
      </c>
      <c r="K93" s="187"/>
      <c r="L93" s="184" t="str">
        <f>IFERROR(__xludf.DUMMYFUNCTION("ifna(IF(and(D93=""Saída"",J93=""Sangria""),if(sum(QUERY(IMPORTRANGE(""https://docs.google.com/spreadsheets/d/1wBSFbIXYswW2S5SMKo44LPsdTG4P4kfP5VRdAS5E_4o"",""BD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'""&amp;YEAR(C93)&amp;""-""&amp;MONTH(C93)&amp;""-""&amp;DAY(C93)&amp;""'""))&gt;0,""Depositada"",if(sum(QUERY(IMPORTRANGE(""https://docs.google.com/spreadsheets/d/1wBSFbIXYswW2S5SMKo44LPsdTG4P4kfP5VRdAS5E_4o"",""BD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IFERROR(__xludf.DUMMYFUNCTION("ifna(VALUE(REGEXEXTRACT(E93,""[0-9.]+[,]+[0-9]+"")))"),477.63)</f>
        <v>477.63</v>
      </c>
      <c r="N93" s="204" t="s">
        <v>5033</v>
      </c>
      <c r="O93" s="205"/>
      <c r="P93" s="205"/>
      <c r="Q93" s="205"/>
      <c r="R93" s="205"/>
      <c r="S93" s="59"/>
      <c r="T93" s="185"/>
      <c r="U93" s="185"/>
      <c r="V93" s="185"/>
    </row>
    <row r="94" ht="14.25" customHeight="1">
      <c r="A94" s="178"/>
      <c r="B94" s="10">
        <v>1591001.0</v>
      </c>
      <c r="C94" s="11">
        <v>45863.88591435185</v>
      </c>
      <c r="D94" s="179" t="s">
        <v>50</v>
      </c>
      <c r="E94" s="180" t="s">
        <v>719</v>
      </c>
      <c r="F94" s="181"/>
      <c r="G94" s="179" t="s">
        <v>5048</v>
      </c>
      <c r="H94" s="190"/>
      <c r="I94" s="190"/>
      <c r="J94" s="187" t="s">
        <v>3746</v>
      </c>
      <c r="K94" s="187" t="s">
        <v>3168</v>
      </c>
      <c r="L94" s="184" t="str">
        <f>IFERROR(__xludf.DUMMYFUNCTION("ifna(IF(and(D94=""Saída"",J94=""Sangria""),if(sum(QUERY(IMPORTRANGE(""https://docs.google.com/spreadsheets/d/1wBSFbIXYswW2S5SMKo44LPsdTG4P4kfP5VRdAS5E_4o"",""BD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'""&amp;YEAR(C94)&amp;""-""&amp;MONTH(C94)&amp;""-""&amp;DAY(C94)&amp;""'""))&gt;0,""Depositada"",if(sum(QUERY(IMPORTRANGE(""https://docs.google.com/spreadsheets/d/1wBSFbIXYswW2S5SMKo44LPsdTG4P4kfP5VRdAS5E_4o"",""BD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Sangria"")"),"#REF!")</f>
        <v>#REF!</v>
      </c>
      <c r="M94" s="185">
        <f>IFERROR(__xludf.DUMMYFUNCTION("ifna(VALUE(REGEXEXTRACT(E94,""[0-9.]+[,]+[0-9]+"")))"),500.0)</f>
        <v>500</v>
      </c>
      <c r="N94" s="206"/>
      <c r="S94" s="207"/>
      <c r="T94" s="185"/>
      <c r="U94" s="185"/>
      <c r="V94" s="185"/>
    </row>
    <row r="95" ht="14.25" customHeight="1">
      <c r="A95" s="178"/>
      <c r="B95" s="10"/>
      <c r="C95" s="11"/>
      <c r="D95" s="179"/>
      <c r="E95" s="180"/>
      <c r="F95" s="181"/>
      <c r="G95" s="179"/>
      <c r="H95" s="190"/>
      <c r="I95" s="190"/>
      <c r="J95" s="187"/>
      <c r="K95" s="187"/>
      <c r="L95" s="184" t="str">
        <f>IFERROR(__xludf.DUMMYFUNCTION("ifna(IF(and(D95=""Saída"",J95=""Sangria""),if(sum(QUERY(IMPORTRANGE(""https://docs.google.com/spreadsheets/d/1wBSFbIXYswW2S5SMKo44LPsdTG4P4kfP5VRdAS5E_4o"",""BD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'""&amp;YEAR(C95)&amp;""-""&amp;MONTH(C95)&amp;""-""&amp;DAY(C95)&amp;""'""))&gt;0,""Depositada"",if(sum(QUERY(IMPORTRANGE(""https://docs.google.com/spreadsheets/d/1wBSFbIXYswW2S5SMKo44LPsdTG4P4kfP5VRdAS5E_4o"",""BD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 t="str">
        <f>IFERROR(__xludf.DUMMYFUNCTION("ifna(VALUE(REGEXEXTRACT(E95,""[0-9.]+[,]+[0-9]+"")))"),"")</f>
        <v/>
      </c>
      <c r="N95" s="208" t="s">
        <v>4</v>
      </c>
      <c r="O95" s="209" t="s">
        <v>1</v>
      </c>
      <c r="P95" s="209" t="s">
        <v>5084</v>
      </c>
      <c r="Q95" s="209" t="s">
        <v>41</v>
      </c>
      <c r="R95" s="210" t="s">
        <v>17</v>
      </c>
      <c r="S95" s="207"/>
      <c r="T95" s="185"/>
      <c r="U95" s="185"/>
      <c r="V95" s="185"/>
    </row>
    <row r="96" ht="14.25" customHeight="1">
      <c r="A96" s="178"/>
      <c r="B96" s="10"/>
      <c r="C96" s="11"/>
      <c r="D96" s="179"/>
      <c r="E96" s="180"/>
      <c r="F96" s="181"/>
      <c r="G96" s="179"/>
      <c r="H96" s="190"/>
      <c r="I96" s="190"/>
      <c r="J96" s="187"/>
      <c r="K96" s="187"/>
      <c r="L96" s="184" t="str">
        <f>IFERROR(__xludf.DUMMYFUNCTION("ifna(IF(and(D96=""Saída"",J96=""Sangria""),if(sum(QUERY(IMPORTRANGE(""https://docs.google.com/spreadsheets/d/1wBSFbIXYswW2S5SMKo44LPsdTG4P4kfP5VRdAS5E_4o"",""BD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'""&amp;YEAR(C96)&amp;""-""&amp;MONTH(C96)&amp;""-""&amp;DAY(C96)&amp;""'""))&gt;0,""Depositada"",if(sum(QUERY(IMPORTRANGE(""https://docs.google.com/spreadsheets/d/1wBSFbIXYswW2S5SMKo44LPsdTG4P4kfP5VRdAS5E_4o"",""BD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Sangria"")"),"")</f>
        <v/>
      </c>
      <c r="M96" s="185" t="str">
        <f>IFERROR(__xludf.DUMMYFUNCTION("ifna(VALUE(REGEXEXTRACT(E96,""[0-9.]+[,]+[0-9]+"")))"),"")</f>
        <v/>
      </c>
      <c r="N96" s="211"/>
      <c r="O96" s="193"/>
      <c r="P96" s="194"/>
      <c r="Q96" s="195"/>
      <c r="R96" s="212"/>
      <c r="S96" s="213" t="str">
        <f t="shared" ref="S96:S116" si="1">IFERROR(VLOOKUP(P96, $A$4:$B$11, 2, FALSE), "")</f>
        <v/>
      </c>
      <c r="T96" s="185"/>
      <c r="U96" s="185"/>
      <c r="V96" s="185"/>
    </row>
    <row r="97" ht="14.25" customHeight="1">
      <c r="A97" s="178"/>
      <c r="B97" s="10"/>
      <c r="C97" s="11"/>
      <c r="D97" s="179"/>
      <c r="E97" s="180"/>
      <c r="F97" s="181"/>
      <c r="G97" s="179"/>
      <c r="H97" s="190"/>
      <c r="I97" s="190"/>
      <c r="J97" s="187"/>
      <c r="K97" s="187"/>
      <c r="L97" s="184" t="str">
        <f>IFERROR(__xludf.DUMMYFUNCTION("ifna(IF(and(D97=""Saída"",J97=""Sangria""),if(sum(QUERY(IMPORTRANGE(""https://docs.google.com/spreadsheets/d/1E4szPcLzsqlw4uyBAoJ61L1ChCgpz4wVP8tHfHW1g_c"",""BD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'""&amp;YEAR(C97)&amp;""-""&amp;MONTH(C97)&amp;""-""&amp;DAY(C97)&amp;""'""))&gt;0,""Depositada"",if(sum(QUERY(IMPORTRANGE(""https://docs.google.com/spreadsheets/d/1EcLIvUgMoBC5as4ikW0wuQsGH5yVZ6cQ1y16qEfgPnk"",""BD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Sangria"")"),"")</f>
        <v/>
      </c>
      <c r="M97" s="185" t="str">
        <f>IFERROR(__xludf.DUMMYFUNCTION("ifna(VALUE(REGEXEXTRACT(E97,""[0-9.]+[,]+[0-9]+"")))"),"")</f>
        <v/>
      </c>
      <c r="N97" s="211"/>
      <c r="O97" s="193"/>
      <c r="P97" s="194"/>
      <c r="Q97" s="195"/>
      <c r="R97" s="214"/>
      <c r="S97" s="213" t="str">
        <f t="shared" si="1"/>
        <v/>
      </c>
      <c r="T97" s="185"/>
      <c r="U97" s="185"/>
      <c r="V97" s="185"/>
    </row>
    <row r="98" ht="14.25" customHeight="1">
      <c r="A98" s="178"/>
      <c r="B98" s="10"/>
      <c r="C98" s="11"/>
      <c r="D98" s="179"/>
      <c r="E98" s="180"/>
      <c r="F98" s="181"/>
      <c r="G98" s="179"/>
      <c r="H98" s="190"/>
      <c r="I98" s="190"/>
      <c r="J98" s="196"/>
      <c r="K98" s="187"/>
      <c r="L98" s="184" t="str">
        <f>IFERROR(__xludf.DUMMYFUNCTION("ifna(IF(and(D98=""Saída"",J98=""Sangria""),if(sum(QUERY(IMPORTRANGE(""https://docs.google.com/spreadsheets/d/1E4szPcLzsqlw4uyBAoJ61L1ChCgpz4wVP8tHfHW1g_c"",""BD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'""&amp;YEAR(C98)&amp;""-""&amp;MONTH(C98)&amp;""-""&amp;DAY(C98)&amp;""'""))&gt;0,""Depositada"",if(sum(QUERY(IMPORTRANGE(""https://docs.google.com/spreadsheets/d/1EcLIvUgMoBC5as4ikW0wuQsGH5yVZ6cQ1y16qEfgPnk"",""BD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Sangria"")"),"")</f>
        <v/>
      </c>
      <c r="M98" s="185" t="str">
        <f>IFERROR(__xludf.DUMMYFUNCTION("ifna(VALUE(REGEXEXTRACT(E98,""[0-9.]+[,]+[0-9]+"")))"),"")</f>
        <v/>
      </c>
      <c r="N98" s="211"/>
      <c r="O98" s="193"/>
      <c r="P98" s="194"/>
      <c r="Q98" s="195"/>
      <c r="R98" s="215"/>
      <c r="S98" s="213" t="str">
        <f t="shared" si="1"/>
        <v/>
      </c>
      <c r="T98" s="185"/>
      <c r="U98" s="185"/>
      <c r="V98" s="185"/>
    </row>
    <row r="99" ht="14.25" customHeight="1">
      <c r="A99" s="178"/>
      <c r="B99" s="10"/>
      <c r="C99" s="11"/>
      <c r="D99" s="179"/>
      <c r="E99" s="180"/>
      <c r="F99" s="181"/>
      <c r="G99" s="179"/>
      <c r="H99" s="190"/>
      <c r="I99" s="190"/>
      <c r="J99" s="187"/>
      <c r="K99" s="187"/>
      <c r="L99" s="184" t="str">
        <f>IFERROR(__xludf.DUMMYFUNCTION("ifna(IF(and(D99=""Saída"",J99=""Sangria""),if(sum(QUERY(IMPORTRANGE(""https://docs.google.com/spreadsheets/d/1E4szPcLzsqlw4uyBAoJ61L1ChCgpz4wVP8tHfHW1g_c"",""BD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'""&amp;YEAR(C99)&amp;""-""&amp;MONTH(C99)&amp;""-""&amp;DAY(C99)&amp;""'""))&gt;0,""Depositada"",if(sum(QUERY(IMPORTRANGE(""https://docs.google.com/spreadsheets/d/1EcLIvUgMoBC5as4ikW0wuQsGH5yVZ6cQ1y16qEfgPnk"",""BD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Sangria"")"),"")</f>
        <v/>
      </c>
      <c r="M99" s="185" t="str">
        <f>IFERROR(__xludf.DUMMYFUNCTION("ifna(VALUE(REGEXEXTRACT(E99,""[0-9.]+[,]+[0-9]+"")))"),"")</f>
        <v/>
      </c>
      <c r="N99" s="211"/>
      <c r="O99" s="193"/>
      <c r="P99" s="194"/>
      <c r="Q99" s="195"/>
      <c r="R99" s="216"/>
      <c r="S99" s="213" t="str">
        <f t="shared" si="1"/>
        <v/>
      </c>
      <c r="T99" s="185"/>
      <c r="U99" s="185"/>
      <c r="V99" s="185"/>
    </row>
    <row r="100" ht="14.25" customHeight="1">
      <c r="A100" s="178"/>
      <c r="B100" s="10"/>
      <c r="C100" s="11"/>
      <c r="D100" s="179"/>
      <c r="E100" s="180"/>
      <c r="F100" s="181"/>
      <c r="G100" s="179"/>
      <c r="H100" s="190"/>
      <c r="I100" s="190"/>
      <c r="J100" s="187"/>
      <c r="K100" s="187"/>
      <c r="L100" s="184" t="str">
        <f>IFERROR(__xludf.DUMMYFUNCTION("ifna(IF(and(D100=""Saída"",J100=""Sangria""),if(sum(QUERY(IMPORTRANGE(""https://docs.google.com/spreadsheets/d/1E4szPcLzsqlw4uyBAoJ61L1ChCgpz4wVP8tHfHW1g_c"",""BD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'""&amp;YEAR(C100)&amp;""-""&amp;MONTH(C100)&amp;""-""&amp;DAY(C100)&amp;""'""))&gt;0,""Depositada"",if(sum(QUERY(IMPORTRANGE(""https://docs.google.com/spreadsheets/d/1EcLIvUgMoBC5as4ikW0wuQsGH5yVZ6cQ1y16qEfgPnk"",""BD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 t="str">
        <f>IFERROR(__xludf.DUMMYFUNCTION("ifna(VALUE(REGEXEXTRACT(E100,""[0-9.]+[,]+[0-9]+"")))"),"")</f>
        <v/>
      </c>
      <c r="N100" s="211"/>
      <c r="O100" s="193"/>
      <c r="P100" s="194"/>
      <c r="Q100" s="195"/>
      <c r="R100" s="215"/>
      <c r="S100" s="213" t="str">
        <f t="shared" si="1"/>
        <v/>
      </c>
      <c r="T100" s="185"/>
      <c r="U100" s="185"/>
      <c r="V100" s="185"/>
    </row>
    <row r="101" ht="14.25" customHeight="1">
      <c r="A101" s="178"/>
      <c r="B101" s="10"/>
      <c r="C101" s="11"/>
      <c r="D101" s="179"/>
      <c r="E101" s="180"/>
      <c r="F101" s="188"/>
      <c r="G101" s="179"/>
      <c r="H101" s="190"/>
      <c r="I101" s="190"/>
      <c r="J101" s="187"/>
      <c r="K101" s="187"/>
      <c r="L101" s="184" t="str">
        <f>IFERROR(__xludf.DUMMYFUNCTION("ifna(IF(and(D101=""Saída"",J101=""Sangria""),if(sum(QUERY(IMPORTRANGE(""https://docs.google.com/spreadsheets/d/1E4szPcLzsqlw4uyBAoJ61L1ChCgpz4wVP8tHfHW1g_c"",""BD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'""&amp;YEAR(C101)&amp;""-""&amp;MONTH(C101)&amp;""-""&amp;DAY(C101)&amp;""'""))&gt;0,""Depositada"",if(sum(QUERY(IMPORTRANGE(""https://docs.google.com/spreadsheets/d/1EcLIvUgMoBC5as4ikW0wuQsGH5yVZ6cQ1y16qEfgPnk"",""BD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Sangria"")"),"")</f>
        <v/>
      </c>
      <c r="M101" s="185" t="str">
        <f>IFERROR(__xludf.DUMMYFUNCTION("ifna(VALUE(REGEXEXTRACT(E101,""[0-9.]+[,]+[0-9]+"")))"),"")</f>
        <v/>
      </c>
      <c r="N101" s="217"/>
      <c r="O101" s="218"/>
      <c r="P101" s="219"/>
      <c r="Q101" s="220"/>
      <c r="R101" s="216"/>
      <c r="S101" s="213" t="str">
        <f t="shared" si="1"/>
        <v/>
      </c>
      <c r="T101" s="185"/>
      <c r="U101" s="185"/>
      <c r="V101" s="185"/>
    </row>
    <row r="102" ht="14.25" customHeight="1">
      <c r="A102" s="178"/>
      <c r="B102" s="10"/>
      <c r="C102" s="11"/>
      <c r="D102" s="179"/>
      <c r="E102" s="180"/>
      <c r="F102" s="181"/>
      <c r="G102" s="179"/>
      <c r="H102" s="190"/>
      <c r="I102" s="190"/>
      <c r="J102" s="187"/>
      <c r="K102" s="187"/>
      <c r="L102" s="184" t="str">
        <f>IFERROR(__xludf.DUMMYFUNCTION("ifna(IF(and(D102=""Saída"",J102=""Sangria""),if(sum(QUERY(IMPORTRANGE(""https://docs.google.com/spreadsheets/d/1E4szPcLzsqlw4uyBAoJ61L1ChCgpz4wVP8tHfHW1g_c"",""BD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'""&amp;YEAR(C102)&amp;""-""&amp;MONTH(C102)&amp;""-""&amp;DAY(C102)&amp;""'""))&gt;0,""Depositada"",if(sum(QUERY(IMPORTRANGE(""https://docs.google.com/spreadsheets/d/1EcLIvUgMoBC5as4ikW0wuQsGH5yVZ6cQ1y16qEfgPnk"",""BD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Sangria"")"),"")</f>
        <v/>
      </c>
      <c r="M102" s="185" t="str">
        <f>IFERROR(__xludf.DUMMYFUNCTION("ifna(VALUE(REGEXEXTRACT(E102,""[0-9.]+[,]+[0-9]+"")))"),"")</f>
        <v/>
      </c>
      <c r="N102" s="221"/>
      <c r="O102" s="222"/>
      <c r="P102" s="215"/>
      <c r="Q102" s="223" t="str">
        <f t="shared" ref="Q102:Q138" si="2">IFERROR(VLOOKUP(P102, $B$4:$C$18, 2, FALSE), "")</f>
        <v/>
      </c>
      <c r="R102" s="215" t="str">
        <f t="shared" ref="R102:R138" si="3">IFERROR(VLOOKUP(P102, $A$4:$B$18, 2, FALSE), "")</f>
        <v/>
      </c>
      <c r="S102" s="213" t="str">
        <f t="shared" si="1"/>
        <v/>
      </c>
      <c r="T102" s="185"/>
      <c r="U102" s="185"/>
      <c r="V102" s="185"/>
    </row>
    <row r="103" ht="14.25" customHeight="1">
      <c r="A103" s="178"/>
      <c r="B103" s="10"/>
      <c r="C103" s="11"/>
      <c r="D103" s="179"/>
      <c r="E103" s="180"/>
      <c r="F103" s="181"/>
      <c r="G103" s="179"/>
      <c r="H103" s="190"/>
      <c r="I103" s="190"/>
      <c r="J103" s="187"/>
      <c r="K103" s="187"/>
      <c r="L103" s="184" t="str">
        <f>IFERROR(__xludf.DUMMYFUNCTION("ifna(IF(and(D103=""Saída"",J103=""Sangria""),if(sum(QUERY(IMPORTRANGE(""https://docs.google.com/spreadsheets/d/1E4szPcLzsqlw4uyBAoJ61L1ChCgpz4wVP8tHfHW1g_c"",""BD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'""&amp;YEAR(C103)&amp;""-""&amp;MONTH(C103)&amp;""-""&amp;DAY(C103)&amp;""'""))&gt;0,""Depositada"",if(sum(QUERY(IMPORTRANGE(""https://docs.google.com/spreadsheets/d/1EcLIvUgMoBC5as4ikW0wuQsGH5yVZ6cQ1y16qEfgPnk"",""BD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Sangria"")"),"")</f>
        <v/>
      </c>
      <c r="M103" s="185" t="str">
        <f>IFERROR(__xludf.DUMMYFUNCTION("ifna(VALUE(REGEXEXTRACT(E103,""[0-9.]+[,]+[0-9]+"")))"),"")</f>
        <v/>
      </c>
      <c r="N103" s="224"/>
      <c r="O103" s="225"/>
      <c r="P103" s="216"/>
      <c r="Q103" s="226" t="str">
        <f t="shared" si="2"/>
        <v/>
      </c>
      <c r="R103" s="216" t="str">
        <f t="shared" si="3"/>
        <v/>
      </c>
      <c r="S103" s="213" t="str">
        <f t="shared" si="1"/>
        <v/>
      </c>
      <c r="T103" s="185"/>
      <c r="U103" s="185"/>
      <c r="V103" s="185"/>
    </row>
    <row r="104" ht="14.25" customHeight="1">
      <c r="A104" s="178"/>
      <c r="B104" s="10"/>
      <c r="C104" s="11"/>
      <c r="D104" s="179"/>
      <c r="E104" s="180"/>
      <c r="F104" s="181"/>
      <c r="G104" s="179"/>
      <c r="H104" s="190"/>
      <c r="I104" s="190"/>
      <c r="J104" s="187"/>
      <c r="K104" s="187"/>
      <c r="L104" s="184" t="str">
        <f>IFERROR(__xludf.DUMMYFUNCTION("ifna(IF(and(D104=""Saída"",J104=""Sangria""),if(sum(QUERY(IMPORTRANGE(""https://docs.google.com/spreadsheets/d/1E4szPcLzsqlw4uyBAoJ61L1ChCgpz4wVP8tHfHW1g_c"",""BD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'""&amp;YEAR(C104)&amp;""-""&amp;MONTH(C104)&amp;""-""&amp;DAY(C104)&amp;""'""))&gt;0,""Depositada"",if(sum(QUERY(IMPORTRANGE(""https://docs.google.com/spreadsheets/d/1EcLIvUgMoBC5as4ikW0wuQsGH5yVZ6cQ1y16qEfgPnk"",""BD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Sangria"")"),"")</f>
        <v/>
      </c>
      <c r="M104" s="185" t="str">
        <f>IFERROR(__xludf.DUMMYFUNCTION("ifna(VALUE(REGEXEXTRACT(E104,""[0-9.]+[,]+[0-9]+"")))"),"")</f>
        <v/>
      </c>
      <c r="N104" s="221"/>
      <c r="O104" s="222"/>
      <c r="P104" s="215"/>
      <c r="Q104" s="223" t="str">
        <f t="shared" si="2"/>
        <v/>
      </c>
      <c r="R104" s="215" t="str">
        <f t="shared" si="3"/>
        <v/>
      </c>
      <c r="S104" s="213" t="str">
        <f t="shared" si="1"/>
        <v/>
      </c>
      <c r="T104" s="185"/>
      <c r="U104" s="185"/>
      <c r="V104" s="185"/>
    </row>
    <row r="105" ht="14.25" customHeight="1">
      <c r="A105" s="178"/>
      <c r="B105" s="10"/>
      <c r="C105" s="11"/>
      <c r="D105" s="179"/>
      <c r="E105" s="180"/>
      <c r="F105" s="181"/>
      <c r="G105" s="179"/>
      <c r="H105" s="190"/>
      <c r="I105" s="190"/>
      <c r="J105" s="187"/>
      <c r="K105" s="187"/>
      <c r="L105" s="184" t="str">
        <f>IFERROR(__xludf.DUMMYFUNCTION("ifna(IF(and(D105=""Saída"",J105=""Sangria""),if(sum(QUERY(IMPORTRANGE(""https://docs.google.com/spreadsheets/d/1E4szPcLzsqlw4uyBAoJ61L1ChCgpz4wVP8tHfHW1g_c"",""BD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'""&amp;YEAR(C105)&amp;""-""&amp;MONTH(C105)&amp;""-""&amp;DAY(C105)&amp;""'""))&gt;0,""Depositada"",if(sum(QUERY(IMPORTRANGE(""https://docs.google.com/spreadsheets/d/1EcLIvUgMoBC5as4ikW0wuQsGH5yVZ6cQ1y16qEfgPnk"",""BD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Sangria"")"),"")</f>
        <v/>
      </c>
      <c r="M105" s="185" t="str">
        <f>IFERROR(__xludf.DUMMYFUNCTION("ifna(VALUE(REGEXEXTRACT(E105,""[0-9.]+[,]+[0-9]+"")))"),"")</f>
        <v/>
      </c>
      <c r="N105" s="224"/>
      <c r="O105" s="225"/>
      <c r="P105" s="216"/>
      <c r="Q105" s="226" t="str">
        <f t="shared" si="2"/>
        <v/>
      </c>
      <c r="R105" s="216" t="str">
        <f t="shared" si="3"/>
        <v/>
      </c>
      <c r="S105" s="213" t="str">
        <f t="shared" si="1"/>
        <v/>
      </c>
      <c r="T105" s="185"/>
      <c r="U105" s="185"/>
      <c r="V105" s="185"/>
    </row>
    <row r="106" ht="14.25" customHeight="1">
      <c r="A106" s="178"/>
      <c r="B106" s="10"/>
      <c r="C106" s="11"/>
      <c r="D106" s="179"/>
      <c r="E106" s="180"/>
      <c r="F106" s="181"/>
      <c r="G106" s="179"/>
      <c r="H106" s="190"/>
      <c r="I106" s="190"/>
      <c r="J106" s="196"/>
      <c r="K106" s="187"/>
      <c r="L106" s="184" t="str">
        <f>IFERROR(__xludf.DUMMYFUNCTION("ifna(IF(and(D106=""Saída"",J106=""Sangria""),if(sum(QUERY(IMPORTRANGE(""https://docs.google.com/spreadsheets/d/1E4szPcLzsqlw4uyBAoJ61L1ChCgpz4wVP8tHfHW1g_c"",""BD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'""&amp;YEAR(C106)&amp;""-""&amp;MONTH(C106)&amp;""-""&amp;DAY(C106)&amp;""'""))&gt;0,""Depositada"",if(sum(QUERY(IMPORTRANGE(""https://docs.google.com/spreadsheets/d/1EcLIvUgMoBC5as4ikW0wuQsGH5yVZ6cQ1y16qEfgPnk"",""BD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Sangria"")"),"")</f>
        <v/>
      </c>
      <c r="M106" s="185" t="str">
        <f>IFERROR(__xludf.DUMMYFUNCTION("ifna(VALUE(REGEXEXTRACT(E106,""[0-9.]+[,]+[0-9]+"")))"),"")</f>
        <v/>
      </c>
      <c r="N106" s="221"/>
      <c r="O106" s="222"/>
      <c r="P106" s="215"/>
      <c r="Q106" s="223" t="str">
        <f t="shared" si="2"/>
        <v/>
      </c>
      <c r="R106" s="215" t="str">
        <f t="shared" si="3"/>
        <v/>
      </c>
      <c r="S106" s="213" t="str">
        <f t="shared" si="1"/>
        <v/>
      </c>
      <c r="T106" s="185"/>
      <c r="U106" s="185"/>
      <c r="V106" s="185"/>
    </row>
    <row r="107" ht="14.25" customHeight="1">
      <c r="A107" s="178"/>
      <c r="B107" s="10"/>
      <c r="C107" s="11"/>
      <c r="D107" s="179"/>
      <c r="E107" s="180"/>
      <c r="F107" s="181"/>
      <c r="G107" s="179"/>
      <c r="H107" s="190"/>
      <c r="I107" s="190"/>
      <c r="J107" s="187"/>
      <c r="K107" s="187"/>
      <c r="L107" s="184" t="str">
        <f>IFERROR(__xludf.DUMMYFUNCTION("ifna(IF(and(D107=""Saída"",J107=""Sangria""),if(sum(QUERY(IMPORTRANGE(""https://docs.google.com/spreadsheets/d/1E4szPcLzsqlw4uyBAoJ61L1ChCgpz4wVP8tHfHW1g_c"",""BD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'""&amp;YEAR(C107)&amp;""-""&amp;MONTH(C107)&amp;""-""&amp;DAY(C107)&amp;""'""))&gt;0,""Depositada"",if(sum(QUERY(IMPORTRANGE(""https://docs.google.com/spreadsheets/d/1EcLIvUgMoBC5as4ikW0wuQsGH5yVZ6cQ1y16qEfgPnk"",""BD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Sangria"")"),"")</f>
        <v/>
      </c>
      <c r="M107" s="185" t="str">
        <f>IFERROR(__xludf.DUMMYFUNCTION("ifna(VALUE(REGEXEXTRACT(E107,""[0-9.]+[,]+[0-9]+"")))"),"")</f>
        <v/>
      </c>
      <c r="N107" s="224"/>
      <c r="O107" s="216"/>
      <c r="P107" s="216"/>
      <c r="Q107" s="226" t="str">
        <f t="shared" si="2"/>
        <v/>
      </c>
      <c r="R107" s="216" t="str">
        <f t="shared" si="3"/>
        <v/>
      </c>
      <c r="S107" s="213" t="str">
        <f t="shared" si="1"/>
        <v/>
      </c>
      <c r="T107" s="185"/>
      <c r="U107" s="185"/>
      <c r="V107" s="185"/>
    </row>
    <row r="108" ht="14.25" customHeight="1">
      <c r="A108" s="178"/>
      <c r="B108" s="10"/>
      <c r="C108" s="11"/>
      <c r="D108" s="179"/>
      <c r="E108" s="180"/>
      <c r="F108" s="188"/>
      <c r="G108" s="179"/>
      <c r="H108" s="190"/>
      <c r="I108" s="190"/>
      <c r="J108" s="187"/>
      <c r="K108" s="187"/>
      <c r="L108" s="184" t="str">
        <f>IFERROR(__xludf.DUMMYFUNCTION("ifna(IF(and(D108=""Saída"",J108=""Sangria""),if(sum(QUERY(IMPORTRANGE(""https://docs.google.com/spreadsheets/d/1E4szPcLzsqlw4uyBAoJ61L1ChCgpz4wVP8tHfHW1g_c"",""BD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'""&amp;YEAR(C108)&amp;""-""&amp;MONTH(C108)&amp;""-""&amp;DAY(C108)&amp;""'""))&gt;0,""Depositada"",if(sum(QUERY(IMPORTRANGE(""https://docs.google.com/spreadsheets/d/1EcLIvUgMoBC5as4ikW0wuQsGH5yVZ6cQ1y16qEfgPnk"",""BD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Sangria"")"),"")</f>
        <v/>
      </c>
      <c r="M108" s="185" t="str">
        <f>IFERROR(__xludf.DUMMYFUNCTION("ifna(VALUE(REGEXEXTRACT(E108,""[0-9.]+[,]+[0-9]+"")))"),"")</f>
        <v/>
      </c>
      <c r="N108" s="221"/>
      <c r="O108" s="215"/>
      <c r="P108" s="215"/>
      <c r="Q108" s="223" t="str">
        <f t="shared" si="2"/>
        <v/>
      </c>
      <c r="R108" s="215" t="str">
        <f t="shared" si="3"/>
        <v/>
      </c>
      <c r="S108" s="213" t="str">
        <f t="shared" si="1"/>
        <v/>
      </c>
      <c r="T108" s="185"/>
      <c r="U108" s="185"/>
      <c r="V108" s="185"/>
    </row>
    <row r="109" ht="14.25" customHeight="1">
      <c r="A109" s="178"/>
      <c r="B109" s="10"/>
      <c r="C109" s="11"/>
      <c r="D109" s="179"/>
      <c r="E109" s="180"/>
      <c r="F109" s="181"/>
      <c r="G109" s="179"/>
      <c r="H109" s="190"/>
      <c r="I109" s="190"/>
      <c r="J109" s="187"/>
      <c r="K109" s="187"/>
      <c r="L109" s="184" t="str">
        <f>IFERROR(__xludf.DUMMYFUNCTION("ifna(IF(and(D109=""Saída"",J109=""Sangria""),if(sum(QUERY(IMPORTRANGE(""https://docs.google.com/spreadsheets/d/1E4szPcLzsqlw4uyBAoJ61L1ChCgpz4wVP8tHfHW1g_c"",""BD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'""&amp;YEAR(C109)&amp;""-""&amp;MONTH(C109)&amp;""-""&amp;DAY(C109)&amp;""'""))&gt;0,""Depositada"",if(sum(QUERY(IMPORTRANGE(""https://docs.google.com/spreadsheets/d/1EcLIvUgMoBC5as4ikW0wuQsGH5yVZ6cQ1y16qEfgPnk"",""BD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 t="str">
        <f>IFERROR(__xludf.DUMMYFUNCTION("ifna(VALUE(REGEXEXTRACT(E109,""[0-9.]+[,]+[0-9]+"")))"),"")</f>
        <v/>
      </c>
      <c r="N109" s="224"/>
      <c r="O109" s="216"/>
      <c r="P109" s="216"/>
      <c r="Q109" s="226" t="str">
        <f t="shared" si="2"/>
        <v/>
      </c>
      <c r="R109" s="216" t="str">
        <f t="shared" si="3"/>
        <v/>
      </c>
      <c r="S109" s="213" t="str">
        <f t="shared" si="1"/>
        <v/>
      </c>
      <c r="T109" s="185"/>
      <c r="U109" s="185"/>
      <c r="V109" s="185"/>
    </row>
    <row r="110" ht="14.25" customHeight="1">
      <c r="A110" s="178"/>
      <c r="B110" s="10"/>
      <c r="C110" s="11"/>
      <c r="D110" s="179"/>
      <c r="E110" s="180"/>
      <c r="F110" s="181"/>
      <c r="G110" s="179"/>
      <c r="H110" s="190"/>
      <c r="I110" s="190"/>
      <c r="J110" s="187"/>
      <c r="K110" s="187"/>
      <c r="L110" s="184" t="str">
        <f>IFERROR(__xludf.DUMMYFUNCTION("ifna(IF(and(D110=""Saída"",J110=""Sangria""),if(sum(QUERY(IMPORTRANGE(""https://docs.google.com/spreadsheets/d/1E4szPcLzsqlw4uyBAoJ61L1ChCgpz4wVP8tHfHW1g_c"",""BD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'""&amp;YEAR(C110)&amp;""-""&amp;MONTH(C110)&amp;""-""&amp;DAY(C110)&amp;""'""))&gt;0,""Depositada"",if(sum(QUERY(IMPORTRANGE(""https://docs.google.com/spreadsheets/d/1EcLIvUgMoBC5as4ikW0wuQsGH5yVZ6cQ1y16qEfgPnk"",""BD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Sangria"")"),"")</f>
        <v/>
      </c>
      <c r="M110" s="185" t="str">
        <f>IFERROR(__xludf.DUMMYFUNCTION("ifna(VALUE(REGEXEXTRACT(E110,""[0-9.]+[,]+[0-9]+"")))"),"")</f>
        <v/>
      </c>
      <c r="N110" s="221"/>
      <c r="O110" s="215"/>
      <c r="P110" s="215"/>
      <c r="Q110" s="223" t="str">
        <f t="shared" si="2"/>
        <v/>
      </c>
      <c r="R110" s="215" t="str">
        <f t="shared" si="3"/>
        <v/>
      </c>
      <c r="S110" s="213" t="str">
        <f t="shared" si="1"/>
        <v/>
      </c>
      <c r="T110" s="185"/>
      <c r="U110" s="185"/>
      <c r="V110" s="185"/>
    </row>
    <row r="111" ht="14.25" customHeight="1">
      <c r="A111" s="178"/>
      <c r="B111" s="10"/>
      <c r="C111" s="11"/>
      <c r="D111" s="179"/>
      <c r="E111" s="180"/>
      <c r="F111" s="181"/>
      <c r="G111" s="179"/>
      <c r="H111" s="190"/>
      <c r="I111" s="190"/>
      <c r="J111" s="187"/>
      <c r="K111" s="187"/>
      <c r="L111" s="184" t="str">
        <f>IFERROR(__xludf.DUMMYFUNCTION("ifna(IF(and(D111=""Saída"",J111=""Sangria""),if(sum(QUERY(IMPORTRANGE(""https://docs.google.com/spreadsheets/d/1E4szPcLzsqlw4uyBAoJ61L1ChCgpz4wVP8tHfHW1g_c"",""BD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'""&amp;YEAR(C111)&amp;""-""&amp;MONTH(C111)&amp;""-""&amp;DAY(C111)&amp;""'""))&gt;0,""Depositada"",if(sum(QUERY(IMPORTRANGE(""https://docs.google.com/spreadsheets/d/1EcLIvUgMoBC5as4ikW0wuQsGH5yVZ6cQ1y16qEfgPnk"",""BD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 t="str">
        <f>IFERROR(__xludf.DUMMYFUNCTION("ifna(VALUE(REGEXEXTRACT(E111,""[0-9.]+[,]+[0-9]+"")))"),"")</f>
        <v/>
      </c>
      <c r="N111" s="224"/>
      <c r="O111" s="216"/>
      <c r="P111" s="216"/>
      <c r="Q111" s="226" t="str">
        <f t="shared" si="2"/>
        <v/>
      </c>
      <c r="R111" s="216" t="str">
        <f t="shared" si="3"/>
        <v/>
      </c>
      <c r="S111" s="213" t="str">
        <f t="shared" si="1"/>
        <v/>
      </c>
      <c r="T111" s="185"/>
      <c r="U111" s="185"/>
      <c r="V111" s="185"/>
    </row>
    <row r="112" ht="14.25" customHeight="1">
      <c r="A112" s="178"/>
      <c r="B112" s="10"/>
      <c r="C112" s="11"/>
      <c r="D112" s="179"/>
      <c r="E112" s="180"/>
      <c r="F112" s="181"/>
      <c r="G112" s="179"/>
      <c r="H112" s="190"/>
      <c r="I112" s="190"/>
      <c r="J112" s="187"/>
      <c r="K112" s="187"/>
      <c r="L112" s="184" t="str">
        <f>IFERROR(__xludf.DUMMYFUNCTION("ifna(IF(and(D112=""Saída"",J112=""Sangria""),if(sum(QUERY(IMPORTRANGE(""https://docs.google.com/spreadsheets/d/1E4szPcLzsqlw4uyBAoJ61L1ChCgpz4wVP8tHfHW1g_c"",""BD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'""&amp;YEAR(C112)&amp;""-""&amp;MONTH(C112)&amp;""-""&amp;DAY(C112)&amp;""'""))&gt;0,""Depositada"",if(sum(QUERY(IMPORTRANGE(""https://docs.google.com/spreadsheets/d/1EcLIvUgMoBC5as4ikW0wuQsGH5yVZ6cQ1y16qEfgPnk"",""BD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 t="str">
        <f>IFERROR(__xludf.DUMMYFUNCTION("ifna(VALUE(REGEXEXTRACT(E112,""[0-9.]+[,]+[0-9]+"")))"),"")</f>
        <v/>
      </c>
      <c r="N112" s="221"/>
      <c r="O112" s="215"/>
      <c r="P112" s="215"/>
      <c r="Q112" s="223" t="str">
        <f t="shared" si="2"/>
        <v/>
      </c>
      <c r="R112" s="215" t="str">
        <f t="shared" si="3"/>
        <v/>
      </c>
      <c r="S112" s="213" t="str">
        <f t="shared" si="1"/>
        <v/>
      </c>
      <c r="T112" s="185"/>
      <c r="U112" s="185"/>
      <c r="V112" s="185"/>
    </row>
    <row r="113" ht="14.25" customHeight="1">
      <c r="A113" s="178"/>
      <c r="B113" s="10"/>
      <c r="C113" s="11"/>
      <c r="D113" s="179"/>
      <c r="E113" s="180"/>
      <c r="F113" s="181"/>
      <c r="G113" s="179"/>
      <c r="H113" s="190"/>
      <c r="I113" s="190"/>
      <c r="J113" s="187"/>
      <c r="K113" s="187"/>
      <c r="L113" s="184" t="str">
        <f>IFERROR(__xludf.DUMMYFUNCTION("ifna(IF(and(D113=""Saída"",J113=""Sangria""),if(sum(QUERY(IMPORTRANGE(""https://docs.google.com/spreadsheets/d/1E4szPcLzsqlw4uyBAoJ61L1ChCgpz4wVP8tHfHW1g_c"",""BD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'""&amp;YEAR(C113)&amp;""-""&amp;MONTH(C113)&amp;""-""&amp;DAY(C113)&amp;""'""))&gt;0,""Depositada"",if(sum(QUERY(IMPORTRANGE(""https://docs.google.com/spreadsheets/d/1EcLIvUgMoBC5as4ikW0wuQsGH5yVZ6cQ1y16qEfgPnk"",""BD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 t="str">
        <f>IFERROR(__xludf.DUMMYFUNCTION("ifna(VALUE(REGEXEXTRACT(E113,""[0-9.]+[,]+[0-9]+"")))"),"")</f>
        <v/>
      </c>
      <c r="N113" s="224"/>
      <c r="O113" s="216"/>
      <c r="P113" s="216"/>
      <c r="Q113" s="226" t="str">
        <f t="shared" si="2"/>
        <v/>
      </c>
      <c r="R113" s="216" t="str">
        <f t="shared" si="3"/>
        <v/>
      </c>
      <c r="S113" s="213" t="str">
        <f t="shared" si="1"/>
        <v/>
      </c>
      <c r="T113" s="185"/>
      <c r="U113" s="185"/>
      <c r="V113" s="185"/>
    </row>
    <row r="114" ht="14.25" customHeight="1">
      <c r="A114" s="178"/>
      <c r="B114" s="10"/>
      <c r="C114" s="11"/>
      <c r="D114" s="179"/>
      <c r="E114" s="180"/>
      <c r="F114" s="181"/>
      <c r="G114" s="179"/>
      <c r="H114" s="190"/>
      <c r="I114" s="190"/>
      <c r="J114" s="187"/>
      <c r="K114" s="187"/>
      <c r="L114" s="184" t="str">
        <f>IFERROR(__xludf.DUMMYFUNCTION("ifna(IF(and(D114=""Saída"",J114=""Sangria""),if(sum(QUERY(IMPORTRANGE(""https://docs.google.com/spreadsheets/d/1E4szPcLzsqlw4uyBAoJ61L1ChCgpz4wVP8tHfHW1g_c"",""BD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'""&amp;YEAR(C114)&amp;""-""&amp;MONTH(C114)&amp;""-""&amp;DAY(C114)&amp;""'""))&gt;0,""Depositada"",if(sum(QUERY(IMPORTRANGE(""https://docs.google.com/spreadsheets/d/1EcLIvUgMoBC5as4ikW0wuQsGH5yVZ6cQ1y16qEfgPnk"",""BD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 t="str">
        <f>IFERROR(__xludf.DUMMYFUNCTION("ifna(VALUE(REGEXEXTRACT(E114,""[0-9.]+[,]+[0-9]+"")))"),"")</f>
        <v/>
      </c>
      <c r="N114" s="221"/>
      <c r="O114" s="215"/>
      <c r="P114" s="215"/>
      <c r="Q114" s="223" t="str">
        <f t="shared" si="2"/>
        <v/>
      </c>
      <c r="R114" s="215" t="str">
        <f t="shared" si="3"/>
        <v/>
      </c>
      <c r="S114" s="213" t="str">
        <f t="shared" si="1"/>
        <v/>
      </c>
      <c r="T114" s="185"/>
      <c r="U114" s="185"/>
      <c r="V114" s="185"/>
    </row>
    <row r="115" ht="14.25" customHeight="1">
      <c r="A115" s="178"/>
      <c r="B115" s="10"/>
      <c r="C115" s="11"/>
      <c r="D115" s="179"/>
      <c r="E115" s="180"/>
      <c r="F115" s="181"/>
      <c r="G115" s="179"/>
      <c r="H115" s="190"/>
      <c r="I115" s="190"/>
      <c r="J115" s="187"/>
      <c r="K115" s="187"/>
      <c r="L115" s="184" t="str">
        <f>IFERROR(__xludf.DUMMYFUNCTION("ifna(IF(and(D115=""Saída"",J115=""Sangria""),if(sum(QUERY(IMPORTRANGE(""https://docs.google.com/spreadsheets/d/1E4szPcLzsqlw4uyBAoJ61L1ChCgpz4wVP8tHfHW1g_c"",""BD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'""&amp;YEAR(C115)&amp;""-""&amp;MONTH(C115)&amp;""-""&amp;DAY(C115)&amp;""'""))&gt;0,""Depositada"",if(sum(QUERY(IMPORTRANGE(""https://docs.google.com/spreadsheets/d/1EcLIvUgMoBC5as4ikW0wuQsGH5yVZ6cQ1y16qEfgPnk"",""BD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 t="str">
        <f>IFERROR(__xludf.DUMMYFUNCTION("ifna(VALUE(REGEXEXTRACT(E115,""[0-9.]+[,]+[0-9]+"")))"),"")</f>
        <v/>
      </c>
      <c r="N115" s="224"/>
      <c r="O115" s="216"/>
      <c r="P115" s="216"/>
      <c r="Q115" s="226" t="str">
        <f t="shared" si="2"/>
        <v/>
      </c>
      <c r="R115" s="216" t="str">
        <f t="shared" si="3"/>
        <v/>
      </c>
      <c r="S115" s="213" t="str">
        <f t="shared" si="1"/>
        <v/>
      </c>
      <c r="T115" s="185"/>
      <c r="U115" s="185"/>
      <c r="V115" s="185"/>
    </row>
    <row r="116" ht="14.25" customHeight="1">
      <c r="A116" s="178"/>
      <c r="B116" s="10"/>
      <c r="C116" s="11"/>
      <c r="D116" s="179"/>
      <c r="E116" s="180"/>
      <c r="F116" s="181"/>
      <c r="G116" s="179"/>
      <c r="H116" s="190"/>
      <c r="I116" s="190"/>
      <c r="J116" s="187"/>
      <c r="K116" s="187"/>
      <c r="L116" s="184" t="str">
        <f>IFERROR(__xludf.DUMMYFUNCTION("ifna(IF(and(D116=""Saída"",J116=""Sangria""),if(sum(QUERY(IMPORTRANGE(""https://docs.google.com/spreadsheets/d/1E4szPcLzsqlw4uyBAoJ61L1ChCgpz4wVP8tHfHW1g_c"",""BD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'""&amp;YEAR(C116)&amp;""-""&amp;MONTH(C116)&amp;""-""&amp;DAY(C116)&amp;""'""))&gt;0,""Depositada"",if(sum(QUERY(IMPORTRANGE(""https://docs.google.com/spreadsheets/d/1EcLIvUgMoBC5as4ikW0wuQsGH5yVZ6cQ1y16qEfgPnk"",""BD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Sangria"")"),"")</f>
        <v/>
      </c>
      <c r="M116" s="185" t="str">
        <f>IFERROR(__xludf.DUMMYFUNCTION("ifna(VALUE(REGEXEXTRACT(E116,""[0-9.]+[,]+[0-9]+"")))"),"")</f>
        <v/>
      </c>
      <c r="N116" s="221"/>
      <c r="O116" s="215"/>
      <c r="P116" s="215"/>
      <c r="Q116" s="223" t="str">
        <f t="shared" si="2"/>
        <v/>
      </c>
      <c r="R116" s="215" t="str">
        <f t="shared" si="3"/>
        <v/>
      </c>
      <c r="S116" s="213" t="str">
        <f t="shared" si="1"/>
        <v/>
      </c>
      <c r="T116" s="185"/>
      <c r="U116" s="185"/>
      <c r="V116" s="185"/>
    </row>
    <row r="117" ht="14.25" customHeight="1">
      <c r="A117" s="178"/>
      <c r="B117" s="10"/>
      <c r="C117" s="11"/>
      <c r="D117" s="179"/>
      <c r="E117" s="180"/>
      <c r="F117" s="181"/>
      <c r="G117" s="179"/>
      <c r="H117" s="190"/>
      <c r="I117" s="190"/>
      <c r="J117" s="187"/>
      <c r="K117" s="187"/>
      <c r="L117" s="184" t="str">
        <f>IFERROR(__xludf.DUMMYFUNCTION("ifna(IF(and(D117=""Saída"",J117=""Sangria""),if(sum(QUERY(IMPORTRANGE(""https://docs.google.com/spreadsheets/d/1E4szPcLzsqlw4uyBAoJ61L1ChCgpz4wVP8tHfHW1g_c"",""BD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'""&amp;YEAR(C117)&amp;""-""&amp;MONTH(C117)&amp;""-""&amp;DAY(C117)&amp;""'""))&gt;0,""Depositada"",if(sum(QUERY(IMPORTRANGE(""https://docs.google.com/spreadsheets/d/1EcLIvUgMoBC5as4ikW0wuQsGH5yVZ6cQ1y16qEfgPnk"",""BD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 t="str">
        <f>IFERROR(__xludf.DUMMYFUNCTION("ifna(VALUE(REGEXEXTRACT(E117,""[0-9.]+[,]+[0-9]+"")))"),"")</f>
        <v/>
      </c>
      <c r="N117" s="224"/>
      <c r="O117" s="216"/>
      <c r="P117" s="216"/>
      <c r="Q117" s="226" t="str">
        <f t="shared" si="2"/>
        <v/>
      </c>
      <c r="R117" s="216" t="str">
        <f t="shared" si="3"/>
        <v/>
      </c>
      <c r="S117" s="227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0"/>
      <c r="C118" s="11"/>
      <c r="D118" s="179"/>
      <c r="E118" s="180"/>
      <c r="F118" s="188"/>
      <c r="G118" s="179"/>
      <c r="H118" s="190"/>
      <c r="I118" s="190"/>
      <c r="J118" s="187"/>
      <c r="K118" s="187"/>
      <c r="L118" s="184" t="str">
        <f>IFERROR(__xludf.DUMMYFUNCTION("ifna(IF(and(D118=""Saída"",J118=""Sangria""),if(sum(QUERY(IMPORTRANGE(""https://docs.google.com/spreadsheets/d/1E4szPcLzsqlw4uyBAoJ61L1ChCgpz4wVP8tHfHW1g_c"",""BD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'""&amp;YEAR(C118)&amp;""-""&amp;MONTH(C118)&amp;""-""&amp;DAY(C118)&amp;""'""))&gt;0,""Depositada"",if(sum(QUERY(IMPORTRANGE(""https://docs.google.com/spreadsheets/d/1EcLIvUgMoBC5as4ikW0wuQsGH5yVZ6cQ1y16qEfgPnk"",""BD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Sangria"")"),"")</f>
        <v/>
      </c>
      <c r="M118" s="185" t="str">
        <f>IFERROR(__xludf.DUMMYFUNCTION("ifna(VALUE(REGEXEXTRACT(E118,""[0-9.]+[,]+[0-9]+"")))"),"")</f>
        <v/>
      </c>
      <c r="N118" s="221"/>
      <c r="O118" s="215"/>
      <c r="P118" s="215"/>
      <c r="Q118" s="223" t="str">
        <f t="shared" si="2"/>
        <v/>
      </c>
      <c r="R118" s="215" t="str">
        <f t="shared" si="3"/>
        <v/>
      </c>
      <c r="S118" s="227" t="str">
        <f t="shared" si="4"/>
        <v/>
      </c>
      <c r="T118" s="185"/>
      <c r="U118" s="185"/>
      <c r="V118" s="185"/>
    </row>
    <row r="119" ht="14.25" customHeight="1">
      <c r="A119" s="178"/>
      <c r="B119" s="10"/>
      <c r="C119" s="11"/>
      <c r="D119" s="179"/>
      <c r="E119" s="180"/>
      <c r="F119" s="181"/>
      <c r="G119" s="179"/>
      <c r="H119" s="190"/>
      <c r="I119" s="190"/>
      <c r="J119" s="187"/>
      <c r="K119" s="187"/>
      <c r="L119" s="184" t="str">
        <f>IFERROR(__xludf.DUMMYFUNCTION("ifna(IF(and(D119=""Saída"",J119=""Sangria""),if(sum(QUERY(IMPORTRANGE(""https://docs.google.com/spreadsheets/d/1E4szPcLzsqlw4uyBAoJ61L1ChCgpz4wVP8tHfHW1g_c"",""BD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'""&amp;YEAR(C119)&amp;""-""&amp;MONTH(C119)&amp;""-""&amp;DAY(C119)&amp;""'""))&gt;0,""Depositada"",if(sum(QUERY(IMPORTRANGE(""https://docs.google.com/spreadsheets/d/1EcLIvUgMoBC5as4ikW0wuQsGH5yVZ6cQ1y16qEfgPnk"",""BD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 t="str">
        <f>IFERROR(__xludf.DUMMYFUNCTION("ifna(VALUE(REGEXEXTRACT(E119,""[0-9.]+[,]+[0-9]+"")))"),"")</f>
        <v/>
      </c>
      <c r="N119" s="224"/>
      <c r="O119" s="216"/>
      <c r="P119" s="216"/>
      <c r="Q119" s="226" t="str">
        <f t="shared" si="2"/>
        <v/>
      </c>
      <c r="R119" s="216" t="str">
        <f t="shared" si="3"/>
        <v/>
      </c>
      <c r="S119" s="227" t="str">
        <f t="shared" si="4"/>
        <v/>
      </c>
      <c r="T119" s="185"/>
      <c r="U119" s="185"/>
      <c r="V119" s="185"/>
    </row>
    <row r="120" ht="14.25" customHeight="1">
      <c r="A120" s="178"/>
      <c r="B120" s="10"/>
      <c r="C120" s="11"/>
      <c r="D120" s="179"/>
      <c r="E120" s="180"/>
      <c r="F120" s="181"/>
      <c r="G120" s="179"/>
      <c r="H120" s="190"/>
      <c r="I120" s="190"/>
      <c r="J120" s="187"/>
      <c r="K120" s="187"/>
      <c r="L120" s="184" t="str">
        <f>IFERROR(__xludf.DUMMYFUNCTION("ifna(IF(and(D120=""Saída"",J120=""Sangria""),if(sum(QUERY(IMPORTRANGE(""https://docs.google.com/spreadsheets/d/1E4szPcLzsqlw4uyBAoJ61L1ChCgpz4wVP8tHfHW1g_c"",""BD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'""&amp;YEAR(C120)&amp;""-""&amp;MONTH(C120)&amp;""-""&amp;DAY(C120)&amp;""'""))&gt;0,""Depositada"",if(sum(QUERY(IMPORTRANGE(""https://docs.google.com/spreadsheets/d/1EcLIvUgMoBC5as4ikW0wuQsGH5yVZ6cQ1y16qEfgPnk"",""BD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Sangria"")"),"")</f>
        <v/>
      </c>
      <c r="M120" s="185" t="str">
        <f>IFERROR(__xludf.DUMMYFUNCTION("ifna(VALUE(REGEXEXTRACT(E120,""[0-9.]+[,]+[0-9]+"")))"),"")</f>
        <v/>
      </c>
      <c r="N120" s="221"/>
      <c r="O120" s="215"/>
      <c r="P120" s="215"/>
      <c r="Q120" s="223" t="str">
        <f t="shared" si="2"/>
        <v/>
      </c>
      <c r="R120" s="215" t="str">
        <f t="shared" si="3"/>
        <v/>
      </c>
      <c r="S120" s="227" t="str">
        <f t="shared" si="4"/>
        <v/>
      </c>
      <c r="T120" s="185"/>
      <c r="U120" s="185"/>
      <c r="V120" s="185"/>
    </row>
    <row r="121" ht="14.25" customHeight="1">
      <c r="A121" s="178"/>
      <c r="B121" s="10"/>
      <c r="C121" s="11"/>
      <c r="D121" s="179"/>
      <c r="E121" s="180"/>
      <c r="F121" s="181"/>
      <c r="G121" s="179"/>
      <c r="H121" s="190"/>
      <c r="I121" s="190"/>
      <c r="J121" s="187"/>
      <c r="K121" s="187"/>
      <c r="L121" s="184" t="str">
        <f>IFERROR(__xludf.DUMMYFUNCTION("ifna(IF(and(D121=""Saída"",J121=""Sangria""),if(sum(QUERY(IMPORTRANGE(""https://docs.google.com/spreadsheets/d/1E4szPcLzsqlw4uyBAoJ61L1ChCgpz4wVP8tHfHW1g_c"",""BD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'""&amp;YEAR(C121)&amp;""-""&amp;MONTH(C121)&amp;""-""&amp;DAY(C121)&amp;""'""))&gt;0,""Depositada"",if(sum(QUERY(IMPORTRANGE(""https://docs.google.com/spreadsheets/d/1EcLIvUgMoBC5as4ikW0wuQsGH5yVZ6cQ1y16qEfgPnk"",""BD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 t="str">
        <f>IFERROR(__xludf.DUMMYFUNCTION("ifna(VALUE(REGEXEXTRACT(E121,""[0-9.]+[,]+[0-9]+"")))"),"")</f>
        <v/>
      </c>
      <c r="N121" s="224"/>
      <c r="O121" s="216"/>
      <c r="P121" s="216"/>
      <c r="Q121" s="226" t="str">
        <f t="shared" si="2"/>
        <v/>
      </c>
      <c r="R121" s="216" t="str">
        <f t="shared" si="3"/>
        <v/>
      </c>
      <c r="S121" s="227" t="str">
        <f t="shared" si="4"/>
        <v/>
      </c>
      <c r="T121" s="185"/>
      <c r="U121" s="185"/>
      <c r="V121" s="185"/>
    </row>
    <row r="122" ht="14.25" customHeight="1">
      <c r="A122" s="178"/>
      <c r="B122" s="10"/>
      <c r="C122" s="11"/>
      <c r="D122" s="179"/>
      <c r="E122" s="180"/>
      <c r="F122" s="188"/>
      <c r="G122" s="179"/>
      <c r="H122" s="190"/>
      <c r="I122" s="190"/>
      <c r="J122" s="187"/>
      <c r="K122" s="187"/>
      <c r="L122" s="184" t="str">
        <f>IFERROR(__xludf.DUMMYFUNCTION("ifna(IF(and(D122=""Saída"",J122=""Sangria""),if(sum(QUERY(IMPORTRANGE(""https://docs.google.com/spreadsheets/d/1E4szPcLzsqlw4uyBAoJ61L1ChCgpz4wVP8tHfHW1g_c"",""BD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'""&amp;YEAR(C122)&amp;""-""&amp;MONTH(C122)&amp;""-""&amp;DAY(C122)&amp;""'""))&gt;0,""Depositada"",if(sum(QUERY(IMPORTRANGE(""https://docs.google.com/spreadsheets/d/1EcLIvUgMoBC5as4ikW0wuQsGH5yVZ6cQ1y16qEfgPnk"",""BD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Sangria"")"),"")</f>
        <v/>
      </c>
      <c r="M122" s="185" t="str">
        <f>IFERROR(__xludf.DUMMYFUNCTION("ifna(VALUE(REGEXEXTRACT(E122,""[0-9.]+[,]+[0-9]+"")))"),"")</f>
        <v/>
      </c>
      <c r="N122" s="221"/>
      <c r="O122" s="215"/>
      <c r="P122" s="215"/>
      <c r="Q122" s="223" t="str">
        <f t="shared" si="2"/>
        <v/>
      </c>
      <c r="R122" s="215" t="str">
        <f t="shared" si="3"/>
        <v/>
      </c>
      <c r="S122" s="227" t="str">
        <f t="shared" si="4"/>
        <v/>
      </c>
      <c r="T122" s="185"/>
      <c r="U122" s="185"/>
      <c r="V122" s="185"/>
    </row>
    <row r="123" ht="14.25" customHeight="1">
      <c r="A123" s="178"/>
      <c r="B123" s="10"/>
      <c r="C123" s="11"/>
      <c r="D123" s="179"/>
      <c r="E123" s="180"/>
      <c r="F123" s="181"/>
      <c r="G123" s="179"/>
      <c r="H123" s="190"/>
      <c r="I123" s="190"/>
      <c r="J123" s="187"/>
      <c r="K123" s="187"/>
      <c r="L123" s="184" t="str">
        <f>IFERROR(__xludf.DUMMYFUNCTION("ifna(IF(and(D123=""Saída"",J123=""Sangria""),if(sum(QUERY(IMPORTRANGE(""https://docs.google.com/spreadsheets/d/1E4szPcLzsqlw4uyBAoJ61L1ChCgpz4wVP8tHfHW1g_c"",""BD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'""&amp;YEAR(C123)&amp;""-""&amp;MONTH(C123)&amp;""-""&amp;DAY(C123)&amp;""'""))&gt;0,""Depositada"",if(sum(QUERY(IMPORTRANGE(""https://docs.google.com/spreadsheets/d/1EcLIvUgMoBC5as4ikW0wuQsGH5yVZ6cQ1y16qEfgPnk"",""BD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Sangria"")"),"")</f>
        <v/>
      </c>
      <c r="M123" s="185" t="str">
        <f>IFERROR(__xludf.DUMMYFUNCTION("ifna(VALUE(REGEXEXTRACT(E123,""[0-9.]+[,]+[0-9]+"")))"),"")</f>
        <v/>
      </c>
      <c r="N123" s="224"/>
      <c r="O123" s="216"/>
      <c r="P123" s="216"/>
      <c r="Q123" s="226" t="str">
        <f t="shared" si="2"/>
        <v/>
      </c>
      <c r="R123" s="216" t="str">
        <f t="shared" si="3"/>
        <v/>
      </c>
      <c r="S123" s="227" t="str">
        <f t="shared" si="4"/>
        <v/>
      </c>
      <c r="T123" s="185"/>
      <c r="U123" s="185"/>
      <c r="V123" s="185"/>
    </row>
    <row r="124" ht="14.25" customHeight="1">
      <c r="A124" s="178"/>
      <c r="B124" s="10"/>
      <c r="C124" s="11"/>
      <c r="D124" s="179"/>
      <c r="E124" s="180"/>
      <c r="F124" s="181"/>
      <c r="G124" s="179"/>
      <c r="H124" s="190"/>
      <c r="I124" s="190"/>
      <c r="J124" s="187"/>
      <c r="K124" s="187"/>
      <c r="L124" s="184" t="str">
        <f>IFERROR(__xludf.DUMMYFUNCTION("ifna(IF(and(D124=""Saída"",J124=""Sangria""),if(sum(QUERY(IMPORTRANGE(""https://docs.google.com/spreadsheets/d/1E4szPcLzsqlw4uyBAoJ61L1ChCgpz4wVP8tHfHW1g_c"",""BD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'""&amp;YEAR(C124)&amp;""-""&amp;MONTH(C124)&amp;""-""&amp;DAY(C124)&amp;""'""))&gt;0,""Depositada"",if(sum(QUERY(IMPORTRANGE(""https://docs.google.com/spreadsheets/d/1EcLIvUgMoBC5as4ikW0wuQsGH5yVZ6cQ1y16qEfgPnk"",""BD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Sangria"")"),"")</f>
        <v/>
      </c>
      <c r="M124" s="185" t="str">
        <f>IFERROR(__xludf.DUMMYFUNCTION("ifna(VALUE(REGEXEXTRACT(E124,""[0-9.]+[,]+[0-9]+"")))"),"")</f>
        <v/>
      </c>
      <c r="N124" s="221"/>
      <c r="O124" s="215"/>
      <c r="P124" s="215"/>
      <c r="Q124" s="223" t="str">
        <f t="shared" si="2"/>
        <v/>
      </c>
      <c r="R124" s="215" t="str">
        <f t="shared" si="3"/>
        <v/>
      </c>
      <c r="S124" s="227" t="str">
        <f t="shared" si="4"/>
        <v/>
      </c>
      <c r="T124" s="185"/>
      <c r="U124" s="185"/>
      <c r="V124" s="185"/>
    </row>
    <row r="125" ht="14.25" customHeight="1">
      <c r="A125" s="178"/>
      <c r="B125" s="10"/>
      <c r="C125" s="11"/>
      <c r="D125" s="179"/>
      <c r="E125" s="180"/>
      <c r="F125" s="181"/>
      <c r="G125" s="179"/>
      <c r="H125" s="190"/>
      <c r="I125" s="190"/>
      <c r="J125" s="187"/>
      <c r="K125" s="187"/>
      <c r="L125" s="184" t="str">
        <f>IFERROR(__xludf.DUMMYFUNCTION("ifna(IF(and(D125=""Saída"",J125=""Sangria""),if(sum(QUERY(IMPORTRANGE(""https://docs.google.com/spreadsheets/d/1E4szPcLzsqlw4uyBAoJ61L1ChCgpz4wVP8tHfHW1g_c"",""BD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'""&amp;YEAR(C125)&amp;""-""&amp;MONTH(C125)&amp;""-""&amp;DAY(C125)&amp;""'""))&gt;0,""Depositada"",if(sum(QUERY(IMPORTRANGE(""https://docs.google.com/spreadsheets/d/1EcLIvUgMoBC5as4ikW0wuQsGH5yVZ6cQ1y16qEfgPnk"",""BD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 t="str">
        <f>IFERROR(__xludf.DUMMYFUNCTION("ifna(VALUE(REGEXEXTRACT(E125,""[0-9.]+[,]+[0-9]+"")))"),"")</f>
        <v/>
      </c>
      <c r="N125" s="224"/>
      <c r="O125" s="216"/>
      <c r="P125" s="216"/>
      <c r="Q125" s="226" t="str">
        <f t="shared" si="2"/>
        <v/>
      </c>
      <c r="R125" s="216" t="str">
        <f t="shared" si="3"/>
        <v/>
      </c>
      <c r="S125" s="227" t="str">
        <f t="shared" si="4"/>
        <v/>
      </c>
      <c r="T125" s="185"/>
      <c r="U125" s="185"/>
      <c r="V125" s="185"/>
    </row>
    <row r="126" ht="14.25" customHeight="1">
      <c r="A126" s="178"/>
      <c r="B126" s="10"/>
      <c r="C126" s="11"/>
      <c r="D126" s="179"/>
      <c r="E126" s="180"/>
      <c r="F126" s="181"/>
      <c r="G126" s="179"/>
      <c r="H126" s="190"/>
      <c r="I126" s="190"/>
      <c r="J126" s="187"/>
      <c r="K126" s="187"/>
      <c r="L126" s="184" t="str">
        <f>IFERROR(__xludf.DUMMYFUNCTION("ifna(IF(and(D126=""Saída"",J126=""Sangria""),if(sum(QUERY(IMPORTRANGE(""https://docs.google.com/spreadsheets/d/1E4szPcLzsqlw4uyBAoJ61L1ChCgpz4wVP8tHfHW1g_c"",""BD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'""&amp;YEAR(C126)&amp;""-""&amp;MONTH(C126)&amp;""-""&amp;DAY(C126)&amp;""'""))&gt;0,""Depositada"",if(sum(QUERY(IMPORTRANGE(""https://docs.google.com/spreadsheets/d/1EcLIvUgMoBC5as4ikW0wuQsGH5yVZ6cQ1y16qEfgPnk"",""BD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 t="str">
        <f>IFERROR(__xludf.DUMMYFUNCTION("ifna(VALUE(REGEXEXTRACT(E126,""[0-9.]+[,]+[0-9]+"")))"),"")</f>
        <v/>
      </c>
      <c r="N126" s="221"/>
      <c r="O126" s="215"/>
      <c r="P126" s="215"/>
      <c r="Q126" s="223" t="str">
        <f t="shared" si="2"/>
        <v/>
      </c>
      <c r="R126" s="215" t="str">
        <f t="shared" si="3"/>
        <v/>
      </c>
      <c r="S126" s="227" t="str">
        <f t="shared" si="4"/>
        <v/>
      </c>
      <c r="T126" s="185"/>
      <c r="U126" s="185"/>
      <c r="V126" s="185"/>
    </row>
    <row r="127" ht="14.25" customHeight="1">
      <c r="A127" s="178"/>
      <c r="B127" s="10"/>
      <c r="C127" s="11"/>
      <c r="D127" s="179"/>
      <c r="E127" s="180"/>
      <c r="F127" s="181"/>
      <c r="G127" s="179"/>
      <c r="H127" s="190"/>
      <c r="I127" s="190"/>
      <c r="J127" s="187"/>
      <c r="K127" s="187"/>
      <c r="L127" s="184" t="str">
        <f>IFERROR(__xludf.DUMMYFUNCTION("ifna(IF(and(D127=""Saída"",J127=""Sangria""),if(sum(QUERY(IMPORTRANGE(""https://docs.google.com/spreadsheets/d/1E4szPcLzsqlw4uyBAoJ61L1ChCgpz4wVP8tHfHW1g_c"",""BD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'""&amp;YEAR(C127)&amp;""-""&amp;MONTH(C127)&amp;""-""&amp;DAY(C127)&amp;""'""))&gt;0,""Depositada"",if(sum(QUERY(IMPORTRANGE(""https://docs.google.com/spreadsheets/d/1EcLIvUgMoBC5as4ikW0wuQsGH5yVZ6cQ1y16qEfgPnk"",""BD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 t="str">
        <f>IFERROR(__xludf.DUMMYFUNCTION("ifna(VALUE(REGEXEXTRACT(E127,""[0-9.]+[,]+[0-9]+"")))"),"")</f>
        <v/>
      </c>
      <c r="N127" s="224"/>
      <c r="O127" s="216"/>
      <c r="P127" s="216"/>
      <c r="Q127" s="226" t="str">
        <f t="shared" si="2"/>
        <v/>
      </c>
      <c r="R127" s="216" t="str">
        <f t="shared" si="3"/>
        <v/>
      </c>
      <c r="S127" s="227" t="str">
        <f t="shared" si="4"/>
        <v/>
      </c>
      <c r="T127" s="185"/>
      <c r="U127" s="185"/>
      <c r="V127" s="185"/>
    </row>
    <row r="128" ht="14.25" customHeight="1">
      <c r="A128" s="178"/>
      <c r="B128" s="10"/>
      <c r="C128" s="11"/>
      <c r="D128" s="179"/>
      <c r="E128" s="180"/>
      <c r="F128" s="181"/>
      <c r="G128" s="179"/>
      <c r="H128" s="190"/>
      <c r="I128" s="190"/>
      <c r="J128" s="187"/>
      <c r="K128" s="187"/>
      <c r="L128" s="184" t="str">
        <f>IFERROR(__xludf.DUMMYFUNCTION("ifna(IF(and(D128=""Saída"",J128=""Sangria""),if(sum(QUERY(IMPORTRANGE(""https://docs.google.com/spreadsheets/d/1E4szPcLzsqlw4uyBAoJ61L1ChCgpz4wVP8tHfHW1g_c"",""BD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'""&amp;YEAR(C128)&amp;""-""&amp;MONTH(C128)&amp;""-""&amp;DAY(C128)&amp;""'""))&gt;0,""Depositada"",if(sum(QUERY(IMPORTRANGE(""https://docs.google.com/spreadsheets/d/1EcLIvUgMoBC5as4ikW0wuQsGH5yVZ6cQ1y16qEfgPnk"",""BD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 t="str">
        <f>IFERROR(__xludf.DUMMYFUNCTION("ifna(VALUE(REGEXEXTRACT(E128,""[0-9.]+[,]+[0-9]+"")))"),"")</f>
        <v/>
      </c>
      <c r="N128" s="221"/>
      <c r="O128" s="215"/>
      <c r="P128" s="215"/>
      <c r="Q128" s="223" t="str">
        <f t="shared" si="2"/>
        <v/>
      </c>
      <c r="R128" s="215" t="str">
        <f t="shared" si="3"/>
        <v/>
      </c>
      <c r="S128" s="227" t="str">
        <f t="shared" si="4"/>
        <v/>
      </c>
      <c r="T128" s="185"/>
      <c r="U128" s="185"/>
      <c r="V128" s="185"/>
    </row>
    <row r="129" ht="14.25" customHeight="1">
      <c r="A129" s="178"/>
      <c r="B129" s="10"/>
      <c r="C129" s="11"/>
      <c r="D129" s="179"/>
      <c r="E129" s="180"/>
      <c r="F129" s="181"/>
      <c r="G129" s="179"/>
      <c r="H129" s="190"/>
      <c r="I129" s="190"/>
      <c r="J129" s="187"/>
      <c r="K129" s="187"/>
      <c r="L129" s="184" t="str">
        <f>IFERROR(__xludf.DUMMYFUNCTION("ifna(IF(and(D129=""Saída"",J129=""Sangria""),if(sum(QUERY(IMPORTRANGE(""https://docs.google.com/spreadsheets/d/1E4szPcLzsqlw4uyBAoJ61L1ChCgpz4wVP8tHfHW1g_c"",""BD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'""&amp;YEAR(C129)&amp;""-""&amp;MONTH(C129)&amp;""-""&amp;DAY(C129)&amp;""'""))&gt;0,""Depositada"",if(sum(QUERY(IMPORTRANGE(""https://docs.google.com/spreadsheets/d/1EcLIvUgMoBC5as4ikW0wuQsGH5yVZ6cQ1y16qEfgPnk"",""BD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 t="str">
        <f>IFERROR(__xludf.DUMMYFUNCTION("ifna(VALUE(REGEXEXTRACT(E129,""[0-9.]+[,]+[0-9]+"")))"),"")</f>
        <v/>
      </c>
      <c r="N129" s="224"/>
      <c r="O129" s="216"/>
      <c r="P129" s="216"/>
      <c r="Q129" s="226" t="str">
        <f t="shared" si="2"/>
        <v/>
      </c>
      <c r="R129" s="216" t="str">
        <f t="shared" si="3"/>
        <v/>
      </c>
      <c r="S129" s="227" t="str">
        <f t="shared" si="4"/>
        <v/>
      </c>
      <c r="T129" s="185"/>
      <c r="U129" s="185"/>
      <c r="V129" s="185"/>
    </row>
    <row r="130" ht="14.25" customHeight="1">
      <c r="A130" s="178"/>
      <c r="B130" s="10"/>
      <c r="C130" s="11"/>
      <c r="D130" s="179"/>
      <c r="E130" s="180"/>
      <c r="F130" s="188"/>
      <c r="G130" s="179"/>
      <c r="H130" s="190"/>
      <c r="I130" s="190"/>
      <c r="J130" s="187"/>
      <c r="K130" s="187"/>
      <c r="L130" s="184" t="str">
        <f>IFERROR(__xludf.DUMMYFUNCTION("ifna(IF(and(D130=""Saída"",J130=""Sangria""),if(sum(QUERY(IMPORTRANGE(""https://docs.google.com/spreadsheets/d/1E4szPcLzsqlw4uyBAoJ61L1ChCgpz4wVP8tHfHW1g_c"",""BD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'""&amp;YEAR(C130)&amp;""-""&amp;MONTH(C130)&amp;""-""&amp;DAY(C130)&amp;""'""))&gt;0,""Depositada"",if(sum(QUERY(IMPORTRANGE(""https://docs.google.com/spreadsheets/d/1EcLIvUgMoBC5as4ikW0wuQsGH5yVZ6cQ1y16qEfgPnk"",""BD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 t="str">
        <f>IFERROR(__xludf.DUMMYFUNCTION("ifna(VALUE(REGEXEXTRACT(E130,""[0-9.]+[,]+[0-9]+"")))"),"")</f>
        <v/>
      </c>
      <c r="N130" s="221"/>
      <c r="O130" s="215"/>
      <c r="P130" s="215"/>
      <c r="Q130" s="223" t="str">
        <f t="shared" si="2"/>
        <v/>
      </c>
      <c r="R130" s="215" t="str">
        <f t="shared" si="3"/>
        <v/>
      </c>
      <c r="S130" s="227" t="str">
        <f t="shared" si="4"/>
        <v/>
      </c>
      <c r="T130" s="185"/>
      <c r="U130" s="185"/>
      <c r="V130" s="185"/>
    </row>
    <row r="131" ht="14.25" customHeight="1">
      <c r="A131" s="178"/>
      <c r="B131" s="10"/>
      <c r="C131" s="11"/>
      <c r="D131" s="179"/>
      <c r="E131" s="180"/>
      <c r="F131" s="181"/>
      <c r="G131" s="179"/>
      <c r="H131" s="190"/>
      <c r="I131" s="190"/>
      <c r="J131" s="228"/>
      <c r="K131" s="187"/>
      <c r="L131" s="184" t="str">
        <f>IFERROR(__xludf.DUMMYFUNCTION("ifna(IF(and(D131=""Saída"",J131=""Sangria""),if(sum(QUERY(IMPORTRANGE(""https://docs.google.com/spreadsheets/d/1E4szPcLzsqlw4uyBAoJ61L1ChCgpz4wVP8tHfHW1g_c"",""BD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'""&amp;YEAR(C131)&amp;""-""&amp;MONTH(C131)&amp;""-""&amp;DAY(C131)&amp;""'""))&gt;0,""Depositada"",if(sum(QUERY(IMPORTRANGE(""https://docs.google.com/spreadsheets/d/1EcLIvUgMoBC5as4ikW0wuQsGH5yVZ6cQ1y16qEfgPnk"",""BD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 t="str">
        <f>IFERROR(__xludf.DUMMYFUNCTION("ifna(VALUE(REGEXEXTRACT(E131,""[0-9.]+[,]+[0-9]+"")))"),"")</f>
        <v/>
      </c>
      <c r="N131" s="224"/>
      <c r="O131" s="216"/>
      <c r="P131" s="216"/>
      <c r="Q131" s="226" t="str">
        <f t="shared" si="2"/>
        <v/>
      </c>
      <c r="R131" s="216" t="str">
        <f t="shared" si="3"/>
        <v/>
      </c>
      <c r="S131" s="227" t="str">
        <f t="shared" si="4"/>
        <v/>
      </c>
      <c r="T131" s="185"/>
      <c r="U131" s="185"/>
      <c r="V131" s="185"/>
    </row>
    <row r="132" ht="14.25" customHeight="1">
      <c r="A132" s="178"/>
      <c r="B132" s="10"/>
      <c r="C132" s="11"/>
      <c r="D132" s="179"/>
      <c r="E132" s="180"/>
      <c r="F132" s="181"/>
      <c r="G132" s="179"/>
      <c r="H132" s="190"/>
      <c r="I132" s="190"/>
      <c r="J132" s="187"/>
      <c r="K132" s="187"/>
      <c r="L132" s="184" t="str">
        <f>IFERROR(__xludf.DUMMYFUNCTION("ifna(IF(and(D132=""Saída"",J132=""Sangria""),if(sum(QUERY(IMPORTRANGE(""https://docs.google.com/spreadsheets/d/1E4szPcLzsqlw4uyBAoJ61L1ChCgpz4wVP8tHfHW1g_c"",""BD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'""&amp;YEAR(C132)&amp;""-""&amp;MONTH(C132)&amp;""-""&amp;DAY(C132)&amp;""'""))&gt;0,""Depositada"",if(sum(QUERY(IMPORTRANGE(""https://docs.google.com/spreadsheets/d/1EcLIvUgMoBC5as4ikW0wuQsGH5yVZ6cQ1y16qEfgPnk"",""BD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Sangria"")"),"")</f>
        <v/>
      </c>
      <c r="M132" s="185" t="str">
        <f>IFERROR(__xludf.DUMMYFUNCTION("ifna(VALUE(REGEXEXTRACT(E132,""[0-9.]+[,]+[0-9]+"")))"),"")</f>
        <v/>
      </c>
      <c r="N132" s="221"/>
      <c r="O132" s="215"/>
      <c r="P132" s="215"/>
      <c r="Q132" s="223" t="str">
        <f t="shared" si="2"/>
        <v/>
      </c>
      <c r="R132" s="215" t="str">
        <f t="shared" si="3"/>
        <v/>
      </c>
      <c r="S132" s="227" t="str">
        <f t="shared" si="4"/>
        <v/>
      </c>
      <c r="T132" s="185"/>
      <c r="U132" s="185"/>
      <c r="V132" s="185"/>
    </row>
    <row r="133" ht="14.25" customHeight="1">
      <c r="A133" s="178"/>
      <c r="B133" s="10"/>
      <c r="C133" s="11"/>
      <c r="D133" s="179"/>
      <c r="E133" s="180"/>
      <c r="F133" s="181"/>
      <c r="G133" s="179"/>
      <c r="H133" s="190"/>
      <c r="I133" s="190"/>
      <c r="K133" s="187"/>
      <c r="L133" s="184" t="str">
        <f>IFERROR(__xludf.DUMMYFUNCTION("ifna(IF(and(D133=""Saída"",J132=""Sangria""),if(sum(QUERY(IMPORTRANGE(""https://docs.google.com/spreadsheets/d/1E4szPcLzsqlw4uyBAoJ61L1ChCgpz4wVP8tHfHW1g_c"",""BD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'""&amp;YEAR(C133)&amp;""-""&amp;MONTH(C133)&amp;""-""&amp;DAY(C133)&amp;""'""))&gt;0,""Depositada"",if(sum(QUERY(IMPORTRANGE(""https://docs.google.com/spreadsheets/d/1EcLIvUgMoBC5as4ikW0wuQsGH5yVZ6cQ1y16qEfgPnk"",""BD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 t="str">
        <f>IFERROR(__xludf.DUMMYFUNCTION("ifna(VALUE(REGEXEXTRACT(E133,""[0-9.]+[,]+[0-9]+"")))"),"")</f>
        <v/>
      </c>
      <c r="N133" s="229"/>
      <c r="O133" s="230"/>
      <c r="P133" s="230"/>
      <c r="Q133" s="231" t="str">
        <f t="shared" si="2"/>
        <v/>
      </c>
      <c r="R133" s="230" t="str">
        <f t="shared" si="3"/>
        <v/>
      </c>
      <c r="S133" s="227" t="str">
        <f t="shared" si="4"/>
        <v/>
      </c>
      <c r="T133" s="185"/>
      <c r="U133" s="185"/>
      <c r="V133" s="185"/>
    </row>
    <row r="134" ht="14.25" customHeight="1">
      <c r="A134" s="178"/>
      <c r="B134" s="10"/>
      <c r="C134" s="11"/>
      <c r="D134" s="179"/>
      <c r="E134" s="180"/>
      <c r="F134" s="188"/>
      <c r="G134" s="179"/>
      <c r="H134" s="190"/>
      <c r="I134" s="190"/>
      <c r="J134" s="187"/>
      <c r="K134" s="187"/>
      <c r="L134" s="184" t="str">
        <f>IFERROR(__xludf.DUMMYFUNCTION("ifna(IF(and(D134=""Saída"",J134=""Sangria""),if(sum(QUERY(IMPORTRANGE(""https://docs.google.com/spreadsheets/d/1E4szPcLzsqlw4uyBAoJ61L1ChCgpz4wVP8tHfHW1g_c"",""BD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'""&amp;YEAR(C134)&amp;""-""&amp;MONTH(C134)&amp;""-""&amp;DAY(C134)&amp;""'""))&gt;0,""Depositada"",if(sum(QUERY(IMPORTRANGE(""https://docs.google.com/spreadsheets/d/1EcLIvUgMoBC5as4ikW0wuQsGH5yVZ6cQ1y16qEfgPnk"",""BD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 t="str">
        <f>IFERROR(__xludf.DUMMYFUNCTION("ifna(VALUE(REGEXEXTRACT(E134,""[0-9.]+[,]+[0-9]+"")))"),"")</f>
        <v/>
      </c>
      <c r="N134" s="229"/>
      <c r="O134" s="230"/>
      <c r="P134" s="230"/>
      <c r="Q134" s="231" t="str">
        <f t="shared" si="2"/>
        <v/>
      </c>
      <c r="R134" s="230" t="str">
        <f t="shared" si="3"/>
        <v/>
      </c>
      <c r="S134" s="227" t="str">
        <f t="shared" si="4"/>
        <v/>
      </c>
      <c r="T134" s="185"/>
      <c r="U134" s="185"/>
      <c r="V134" s="185"/>
    </row>
    <row r="135" ht="14.25" customHeight="1">
      <c r="A135" s="178"/>
      <c r="B135" s="10"/>
      <c r="C135" s="11"/>
      <c r="D135" s="179"/>
      <c r="E135" s="180"/>
      <c r="F135" s="181"/>
      <c r="G135" s="179"/>
      <c r="H135" s="190"/>
      <c r="I135" s="190"/>
      <c r="J135" s="187"/>
      <c r="K135" s="187"/>
      <c r="L135" s="184" t="str">
        <f>IFERROR(__xludf.DUMMYFUNCTION("ifna(IF(and(D135=""Saída"",J135=""Sangria""),if(sum(QUERY(IMPORTRANGE(""https://docs.google.com/spreadsheets/d/1E4szPcLzsqlw4uyBAoJ61L1ChCgpz4wVP8tHfHW1g_c"",""BD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'""&amp;YEAR(C135)&amp;""-""&amp;MONTH(C135)&amp;""-""&amp;DAY(C135)&amp;""'""))&gt;0,""Depositada"",if(sum(QUERY(IMPORTRANGE(""https://docs.google.com/spreadsheets/d/1EcLIvUgMoBC5as4ikW0wuQsGH5yVZ6cQ1y16qEfgPnk"",""BD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Sangria"")"),"")</f>
        <v/>
      </c>
      <c r="M135" s="185" t="str">
        <f>IFERROR(__xludf.DUMMYFUNCTION("ifna(VALUE(REGEXEXTRACT(E135,""[0-9.]+[,]+[0-9]+"")))"),"")</f>
        <v/>
      </c>
      <c r="N135" s="229"/>
      <c r="O135" s="230"/>
      <c r="P135" s="230"/>
      <c r="Q135" s="231" t="str">
        <f t="shared" si="2"/>
        <v/>
      </c>
      <c r="R135" s="230" t="str">
        <f t="shared" si="3"/>
        <v/>
      </c>
      <c r="S135" s="227" t="str">
        <f t="shared" si="4"/>
        <v/>
      </c>
      <c r="T135" s="185"/>
      <c r="U135" s="185"/>
      <c r="V135" s="185"/>
    </row>
    <row r="136" ht="14.25" customHeight="1">
      <c r="A136" s="178"/>
      <c r="B136" s="10"/>
      <c r="C136" s="11"/>
      <c r="D136" s="179"/>
      <c r="E136" s="180"/>
      <c r="F136" s="181"/>
      <c r="G136" s="179"/>
      <c r="H136" s="190"/>
      <c r="I136" s="190"/>
      <c r="J136" s="187"/>
      <c r="K136" s="187"/>
      <c r="L136" s="184" t="str">
        <f>IFERROR(__xludf.DUMMYFUNCTION("ifna(IF(and(D136=""Saída"",J136=""Sangria""),if(sum(QUERY(IMPORTRANGE(""https://docs.google.com/spreadsheets/d/1E4szPcLzsqlw4uyBAoJ61L1ChCgpz4wVP8tHfHW1g_c"",""BD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'""&amp;YEAR(C136)&amp;""-""&amp;MONTH(C136)&amp;""-""&amp;DAY(C136)&amp;""'""))&gt;0,""Depositada"",if(sum(QUERY(IMPORTRANGE(""https://docs.google.com/spreadsheets/d/1EcLIvUgMoBC5as4ikW0wuQsGH5yVZ6cQ1y16qEfgPnk"",""BD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Sangria"")"),"")</f>
        <v/>
      </c>
      <c r="M136" s="185" t="str">
        <f>IFERROR(__xludf.DUMMYFUNCTION("ifna(VALUE(REGEXEXTRACT(E136,""[0-9.]+[,]+[0-9]+"")))"),"")</f>
        <v/>
      </c>
      <c r="N136" s="229"/>
      <c r="O136" s="230"/>
      <c r="P136" s="230"/>
      <c r="Q136" s="231" t="str">
        <f t="shared" si="2"/>
        <v/>
      </c>
      <c r="R136" s="230" t="str">
        <f t="shared" si="3"/>
        <v/>
      </c>
      <c r="S136" s="227" t="str">
        <f t="shared" si="4"/>
        <v/>
      </c>
      <c r="T136" s="185"/>
      <c r="U136" s="185"/>
      <c r="V136" s="185"/>
    </row>
    <row r="137" ht="14.25" customHeight="1">
      <c r="A137" s="178"/>
      <c r="B137" s="10"/>
      <c r="C137" s="11"/>
      <c r="D137" s="179"/>
      <c r="E137" s="180"/>
      <c r="F137" s="181"/>
      <c r="G137" s="179"/>
      <c r="H137" s="190"/>
      <c r="I137" s="190"/>
      <c r="J137" s="187"/>
      <c r="K137" s="187"/>
      <c r="L137" s="184" t="str">
        <f>IFERROR(__xludf.DUMMYFUNCTION("ifna(IF(and(D137=""Saída"",J137=""Sangria""),if(sum(QUERY(IMPORTRANGE(""https://docs.google.com/spreadsheets/d/1E4szPcLzsqlw4uyBAoJ61L1ChCgpz4wVP8tHfHW1g_c"",""BD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'""&amp;YEAR(C137)&amp;""-""&amp;MONTH(C137)&amp;""-""&amp;DAY(C137)&amp;""'""))&gt;0,""Depositada"",if(sum(QUERY(IMPORTRANGE(""https://docs.google.com/spreadsheets/d/1EcLIvUgMoBC5as4ikW0wuQsGH5yVZ6cQ1y16qEfgPnk"",""BD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 t="str">
        <f>IFERROR(__xludf.DUMMYFUNCTION("ifna(VALUE(REGEXEXTRACT(E137,""[0-9.]+[,]+[0-9]+"")))"),"")</f>
        <v/>
      </c>
      <c r="N137" s="229"/>
      <c r="O137" s="230"/>
      <c r="P137" s="230"/>
      <c r="Q137" s="231" t="str">
        <f t="shared" si="2"/>
        <v/>
      </c>
      <c r="R137" s="230" t="str">
        <f t="shared" si="3"/>
        <v/>
      </c>
      <c r="S137" s="227" t="str">
        <f t="shared" si="4"/>
        <v/>
      </c>
      <c r="T137" s="185"/>
      <c r="U137" s="185"/>
      <c r="V137" s="185"/>
    </row>
    <row r="138" ht="14.25" customHeight="1">
      <c r="A138" s="178"/>
      <c r="B138" s="10"/>
      <c r="C138" s="11"/>
      <c r="D138" s="179"/>
      <c r="E138" s="180"/>
      <c r="F138" s="181"/>
      <c r="G138" s="179"/>
      <c r="H138" s="190"/>
      <c r="I138" s="190"/>
      <c r="J138" s="187"/>
      <c r="K138" s="187"/>
      <c r="L138" s="184" t="str">
        <f>IFERROR(__xludf.DUMMYFUNCTION("ifna(IF(and(D138=""Saída"",J138=""Sangria""),if(sum(QUERY(IMPORTRANGE(""https://docs.google.com/spreadsheets/d/1E4szPcLzsqlw4uyBAoJ61L1ChCgpz4wVP8tHfHW1g_c"",""BD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'""&amp;YEAR(C138)&amp;""-""&amp;MONTH(C138)&amp;""-""&amp;DAY(C138)&amp;""'""))&gt;0,""Depositada"",if(sum(QUERY(IMPORTRANGE(""https://docs.google.com/spreadsheets/d/1EcLIvUgMoBC5as4ikW0wuQsGH5yVZ6cQ1y16qEfgPnk"",""BD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Sangria"")"),"")</f>
        <v/>
      </c>
      <c r="M138" s="185" t="str">
        <f>IFERROR(__xludf.DUMMYFUNCTION("ifna(VALUE(REGEXEXTRACT(E138,""[0-9.]+[,]+[0-9]+"")))"),"")</f>
        <v/>
      </c>
      <c r="N138" s="232"/>
      <c r="O138" s="233"/>
      <c r="P138" s="233"/>
      <c r="Q138" s="234" t="str">
        <f t="shared" si="2"/>
        <v/>
      </c>
      <c r="R138" s="233" t="str">
        <f t="shared" si="3"/>
        <v/>
      </c>
      <c r="S138" s="235" t="str">
        <f t="shared" si="4"/>
        <v/>
      </c>
      <c r="T138" s="185"/>
      <c r="U138" s="185"/>
      <c r="V138" s="185"/>
    </row>
    <row r="139" ht="14.25" customHeight="1">
      <c r="A139" s="178"/>
      <c r="B139" s="10"/>
      <c r="C139" s="11"/>
      <c r="D139" s="179"/>
      <c r="E139" s="180"/>
      <c r="F139" s="181"/>
      <c r="G139" s="179"/>
      <c r="H139" s="190"/>
      <c r="I139" s="190"/>
      <c r="J139" s="187"/>
      <c r="K139" s="187"/>
      <c r="L139" s="184" t="str">
        <f>IFERROR(__xludf.DUMMYFUNCTION("ifna(IF(and(D139=""Saída"",J139=""Sangria""),if(sum(QUERY(IMPORTRANGE(""https://docs.google.com/spreadsheets/d/1E4szPcLzsqlw4uyBAoJ61L1ChCgpz4wVP8tHfHW1g_c"",""BD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'""&amp;YEAR(C139)&amp;""-""&amp;MONTH(C139)&amp;""-""&amp;DAY(C139)&amp;""'""))&gt;0,""Depositada"",if(sum(QUERY(IMPORTRANGE(""https://docs.google.com/spreadsheets/d/1EcLIvUgMoBC5as4ikW0wuQsGH5yVZ6cQ1y16qEfgPnk"",""BD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 t="str">
        <f>IFERROR(__xludf.DUMMYFUNCTION("ifna(VALUE(REGEXEXTRACT(E139,""[0-9.]+[,]+[0-9]+"")))"),"")</f>
        <v/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0"/>
      <c r="C140" s="11"/>
      <c r="D140" s="179"/>
      <c r="E140" s="180"/>
      <c r="F140" s="181"/>
      <c r="G140" s="179"/>
      <c r="H140" s="190"/>
      <c r="I140" s="190"/>
      <c r="J140" s="187"/>
      <c r="K140" s="187"/>
      <c r="L140" s="184" t="str">
        <f>IFERROR(__xludf.DUMMYFUNCTION("ifna(IF(and(D140=""Saída"",J140=""Sangria""),if(sum(QUERY(IMPORTRANGE(""https://docs.google.com/spreadsheets/d/1E4szPcLzsqlw4uyBAoJ61L1ChCgpz4wVP8tHfHW1g_c"",""BD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'""&amp;YEAR(C140)&amp;""-""&amp;MONTH(C140)&amp;""-""&amp;DAY(C140)&amp;""'""))&gt;0,""Depositada"",if(sum(QUERY(IMPORTRANGE(""https://docs.google.com/spreadsheets/d/1EcLIvUgMoBC5as4ikW0wuQsGH5yVZ6cQ1y16qEfgPnk"",""BD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Sangria"")"),"")</f>
        <v/>
      </c>
      <c r="M140" s="185" t="str">
        <f>IFERROR(__xludf.DUMMYFUNCTION("ifna(VALUE(REGEXEXTRACT(E140,""[0-9.]+[,]+[0-9]+"")))"),"")</f>
        <v/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0"/>
      <c r="C141" s="11"/>
      <c r="D141" s="179"/>
      <c r="E141" s="180"/>
      <c r="F141" s="181"/>
      <c r="G141" s="179"/>
      <c r="H141" s="190"/>
      <c r="I141" s="190"/>
      <c r="J141" s="187"/>
      <c r="K141" s="187"/>
      <c r="L141" s="184" t="str">
        <f>IFERROR(__xludf.DUMMYFUNCTION("ifna(IF(and(D141=""Saída"",J141=""Sangria""),if(sum(QUERY(IMPORTRANGE(""https://docs.google.com/spreadsheets/d/1E4szPcLzsqlw4uyBAoJ61L1ChCgpz4wVP8tHfHW1g_c"",""BD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'""&amp;YEAR(C141)&amp;""-""&amp;MONTH(C141)&amp;""-""&amp;DAY(C141)&amp;""'""))&gt;0,""Depositada"",if(sum(QUERY(IMPORTRANGE(""https://docs.google.com/spreadsheets/d/1EcLIvUgMoBC5as4ikW0wuQsGH5yVZ6cQ1y16qEfgPnk"",""BD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 t="str">
        <f>IFERROR(__xludf.DUMMYFUNCTION("ifna(VALUE(REGEXEXTRACT(E141,""[0-9.]+[,]+[0-9]+"")))"),"")</f>
        <v/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0"/>
      <c r="C142" s="11"/>
      <c r="D142" s="179"/>
      <c r="E142" s="180"/>
      <c r="F142" s="181"/>
      <c r="G142" s="179"/>
      <c r="H142" s="190"/>
      <c r="I142" s="190"/>
      <c r="J142" s="187"/>
      <c r="K142" s="187"/>
      <c r="L142" s="184" t="str">
        <f>IFERROR(__xludf.DUMMYFUNCTION("ifna(IF(and(D142=""Saída"",J142=""Sangria""),if(sum(QUERY(IMPORTRANGE(""https://docs.google.com/spreadsheets/d/1E4szPcLzsqlw4uyBAoJ61L1ChCgpz4wVP8tHfHW1g_c"",""BD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'""&amp;YEAR(C142)&amp;""-""&amp;MONTH(C142)&amp;""-""&amp;DAY(C142)&amp;""'""))&gt;0,""Depositada"",if(sum(QUERY(IMPORTRANGE(""https://docs.google.com/spreadsheets/d/1EcLIvUgMoBC5as4ikW0wuQsGH5yVZ6cQ1y16qEfgPnk"",""BD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Sangria"")"),"")</f>
        <v/>
      </c>
      <c r="M142" s="185" t="str">
        <f>IFERROR(__xludf.DUMMYFUNCTION("ifna(VALUE(REGEXEXTRACT(E142,""[0-9.]+[,]+[0-9]+"")))"),"")</f>
        <v/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0"/>
      <c r="C143" s="11"/>
      <c r="D143" s="179"/>
      <c r="E143" s="180"/>
      <c r="F143" s="188"/>
      <c r="G143" s="179"/>
      <c r="H143" s="190"/>
      <c r="I143" s="190"/>
      <c r="J143" s="187"/>
      <c r="K143" s="187"/>
      <c r="L143" s="184" t="str">
        <f>IFERROR(__xludf.DUMMYFUNCTION("ifna(IF(and(D143=""Saída"",J143=""Sangria""),if(sum(QUERY(IMPORTRANGE(""https://docs.google.com/spreadsheets/d/1E4szPcLzsqlw4uyBAoJ61L1ChCgpz4wVP8tHfHW1g_c"",""BD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'""&amp;YEAR(C143)&amp;""-""&amp;MONTH(C143)&amp;""-""&amp;DAY(C143)&amp;""'""))&gt;0,""Depositada"",if(sum(QUERY(IMPORTRANGE(""https://docs.google.com/spreadsheets/d/1EcLIvUgMoBC5as4ikW0wuQsGH5yVZ6cQ1y16qEfgPnk"",""BD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 t="str">
        <f>IFERROR(__xludf.DUMMYFUNCTION("ifna(VALUE(REGEXEXTRACT(E143,""[0-9.]+[,]+[0-9]+"")))"),"")</f>
        <v/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0"/>
      <c r="C144" s="11"/>
      <c r="D144" s="179"/>
      <c r="E144" s="180"/>
      <c r="F144" s="181"/>
      <c r="G144" s="179"/>
      <c r="H144" s="190"/>
      <c r="I144" s="190"/>
      <c r="J144" s="187"/>
      <c r="K144" s="187"/>
      <c r="L144" s="184" t="str">
        <f>IFERROR(__xludf.DUMMYFUNCTION("ifna(IF(and(D144=""Saída"",J144=""Sangria""),if(sum(QUERY(IMPORTRANGE(""https://docs.google.com/spreadsheets/d/1E4szPcLzsqlw4uyBAoJ61L1ChCgpz4wVP8tHfHW1g_c"",""BD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'""&amp;YEAR(C144)&amp;""-""&amp;MONTH(C144)&amp;""-""&amp;DAY(C144)&amp;""'""))&gt;0,""Depositada"",if(sum(QUERY(IMPORTRANGE(""https://docs.google.com/spreadsheets/d/1EcLIvUgMoBC5as4ikW0wuQsGH5yVZ6cQ1y16qEfgPnk"",""BD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 t="str">
        <f>IFERROR(__xludf.DUMMYFUNCTION("ifna(VALUE(REGEXEXTRACT(E144,""[0-9.]+[,]+[0-9]+"")))"),"")</f>
        <v/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0"/>
      <c r="C145" s="11"/>
      <c r="D145" s="179"/>
      <c r="E145" s="180"/>
      <c r="F145" s="181"/>
      <c r="G145" s="179"/>
      <c r="H145" s="190"/>
      <c r="I145" s="190"/>
      <c r="J145" s="187"/>
      <c r="K145" s="187"/>
      <c r="L145" s="184" t="str">
        <f>IFERROR(__xludf.DUMMYFUNCTION("ifna(IF(and(D145=""Saída"",J145=""Sangria""),if(sum(QUERY(IMPORTRANGE(""https://docs.google.com/spreadsheets/d/1E4szPcLzsqlw4uyBAoJ61L1ChCgpz4wVP8tHfHW1g_c"",""BD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'""&amp;YEAR(C145)&amp;""-""&amp;MONTH(C145)&amp;""-""&amp;DAY(C145)&amp;""'""))&gt;0,""Depositada"",if(sum(QUERY(IMPORTRANGE(""https://docs.google.com/spreadsheets/d/1EcLIvUgMoBC5as4ikW0wuQsGH5yVZ6cQ1y16qEfgPnk"",""BD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 t="str">
        <f>IFERROR(__xludf.DUMMYFUNCTION("ifna(VALUE(REGEXEXTRACT(E145,""[0-9.]+[,]+[0-9]+"")))"),"")</f>
        <v/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4.25" customHeight="1">
      <c r="A146" s="178"/>
      <c r="B146" s="10"/>
      <c r="C146" s="11"/>
      <c r="D146" s="179"/>
      <c r="E146" s="180"/>
      <c r="F146" s="181"/>
      <c r="G146" s="179"/>
      <c r="H146" s="190"/>
      <c r="I146" s="190"/>
      <c r="J146" s="187"/>
      <c r="K146" s="187"/>
      <c r="L146" s="184" t="str">
        <f>IFERROR(__xludf.DUMMYFUNCTION("ifna(IF(and(D146=""Saída"",J146=""Sangria""),if(sum(QUERY(IMPORTRANGE(""https://docs.google.com/spreadsheets/d/1E4szPcLzsqlw4uyBAoJ61L1ChCgpz4wVP8tHfHW1g_c"",""BD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'""&amp;YEAR(C146)&amp;""-""&amp;MONTH(C146)&amp;""-""&amp;DAY(C146)&amp;""'""))&gt;0,""Depositada"",if(sum(QUERY(IMPORTRANGE(""https://docs.google.com/spreadsheets/d/1EcLIvUgMoBC5as4ikW0wuQsGH5yVZ6cQ1y16qEfgPnk"",""BD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 t="str">
        <f>IFERROR(__xludf.DUMMYFUNCTION("ifna(VALUE(REGEXEXTRACT(E146,""[0-9.]+[,]+[0-9]+"")))"),"")</f>
        <v/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0"/>
      <c r="C147" s="11"/>
      <c r="D147" s="179"/>
      <c r="E147" s="180"/>
      <c r="F147" s="181"/>
      <c r="G147" s="179"/>
      <c r="H147" s="190"/>
      <c r="I147" s="190"/>
      <c r="J147" s="187"/>
      <c r="K147" s="187"/>
      <c r="L147" s="184" t="str">
        <f>IFERROR(__xludf.DUMMYFUNCTION("ifna(IF(and(D147=""Saída"",J147=""Sangria""),if(sum(QUERY(IMPORTRANGE(""https://docs.google.com/spreadsheets/d/1E4szPcLzsqlw4uyBAoJ61L1ChCgpz4wVP8tHfHW1g_c"",""BD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'""&amp;YEAR(C147)&amp;""-""&amp;MONTH(C147)&amp;""-""&amp;DAY(C147)&amp;""'""))&gt;0,""Depositada"",if(sum(QUERY(IMPORTRANGE(""https://docs.google.com/spreadsheets/d/1EcLIvUgMoBC5as4ikW0wuQsGH5yVZ6cQ1y16qEfgPnk"",""BD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 t="str">
        <f>IFERROR(__xludf.DUMMYFUNCTION("ifna(VALUE(REGEXEXTRACT(E147,""[0-9.]+[,]+[0-9]+"")))"),"")</f>
        <v/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0"/>
      <c r="C148" s="11"/>
      <c r="D148" s="179"/>
      <c r="E148" s="180"/>
      <c r="F148" s="181"/>
      <c r="G148" s="179"/>
      <c r="H148" s="190"/>
      <c r="I148" s="190"/>
      <c r="J148" s="187"/>
      <c r="K148" s="187"/>
      <c r="L148" s="184" t="str">
        <f>IFERROR(__xludf.DUMMYFUNCTION("ifna(IF(and(D148=""Saída"",J148=""Sangria""),if(sum(QUERY(IMPORTRANGE(""https://docs.google.com/spreadsheets/d/1E4szPcLzsqlw4uyBAoJ61L1ChCgpz4wVP8tHfHW1g_c"",""BD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'""&amp;YEAR(C148)&amp;""-""&amp;MONTH(C148)&amp;""-""&amp;DAY(C148)&amp;""'""))&gt;0,""Depositada"",if(sum(QUERY(IMPORTRANGE(""https://docs.google.com/spreadsheets/d/1EcLIvUgMoBC5as4ikW0wuQsGH5yVZ6cQ1y16qEfgPnk"",""BD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Sangria"")"),"")</f>
        <v/>
      </c>
      <c r="M148" s="185" t="str">
        <f>IFERROR(__xludf.DUMMYFUNCTION("ifna(VALUE(REGEXEXTRACT(E148,""[0-9.]+[,]+[0-9]+"")))"),"")</f>
        <v/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0"/>
      <c r="C149" s="11"/>
      <c r="D149" s="179"/>
      <c r="E149" s="180"/>
      <c r="F149" s="181"/>
      <c r="G149" s="179"/>
      <c r="H149" s="190"/>
      <c r="I149" s="190"/>
      <c r="J149" s="187"/>
      <c r="K149" s="187"/>
      <c r="L149" s="184" t="str">
        <f>IFERROR(__xludf.DUMMYFUNCTION("ifna(IF(and(D149=""Saída"",J149=""Sangria""),if(sum(QUERY(IMPORTRANGE(""https://docs.google.com/spreadsheets/d/1E4szPcLzsqlw4uyBAoJ61L1ChCgpz4wVP8tHfHW1g_c"",""BD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'""&amp;YEAR(C149)&amp;""-""&amp;MONTH(C149)&amp;""-""&amp;DAY(C149)&amp;""'""))&gt;0,""Depositada"",if(sum(QUERY(IMPORTRANGE(""https://docs.google.com/spreadsheets/d/1EcLIvUgMoBC5as4ikW0wuQsGH5yVZ6cQ1y16qEfgPnk"",""BD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 t="str">
        <f>IFERROR(__xludf.DUMMYFUNCTION("ifna(VALUE(REGEXEXTRACT(E149,""[0-9.]+[,]+[0-9]+"")))"),"")</f>
        <v/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0"/>
      <c r="C150" s="11"/>
      <c r="D150" s="179"/>
      <c r="E150" s="180"/>
      <c r="F150" s="181"/>
      <c r="G150" s="179"/>
      <c r="H150" s="190"/>
      <c r="I150" s="190"/>
      <c r="J150" s="187"/>
      <c r="K150" s="187"/>
      <c r="L150" s="184" t="str">
        <f>IFERROR(__xludf.DUMMYFUNCTION("ifna(IF(and(D150=""Saída"",J150=""Sangria""),if(sum(QUERY(IMPORTRANGE(""https://docs.google.com/spreadsheets/d/1E4szPcLzsqlw4uyBAoJ61L1ChCgpz4wVP8tHfHW1g_c"",""BD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'""&amp;YEAR(C150)&amp;""-""&amp;MONTH(C150)&amp;""-""&amp;DAY(C150)&amp;""'""))&gt;0,""Depositada"",if(sum(QUERY(IMPORTRANGE(""https://docs.google.com/spreadsheets/d/1EcLIvUgMoBC5as4ikW0wuQsGH5yVZ6cQ1y16qEfgPnk"",""BD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 t="str">
        <f>IFERROR(__xludf.DUMMYFUNCTION("ifna(VALUE(REGEXEXTRACT(E150,""[0-9.]+[,]+[0-9]+"")))"),"")</f>
        <v/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0"/>
      <c r="C151" s="11"/>
      <c r="D151" s="179"/>
      <c r="E151" s="180"/>
      <c r="F151" s="181"/>
      <c r="G151" s="179"/>
      <c r="H151" s="190"/>
      <c r="I151" s="190"/>
      <c r="J151" s="187"/>
      <c r="K151" s="187"/>
      <c r="L151" s="184" t="str">
        <f>IFERROR(__xludf.DUMMYFUNCTION("ifna(IF(and(D151=""Saída"",J151=""Sangria""),if(sum(QUERY(IMPORTRANGE(""https://docs.google.com/spreadsheets/d/1E4szPcLzsqlw4uyBAoJ61L1ChCgpz4wVP8tHfHW1g_c"",""BD M Sangrias!a:i""),""select Col6 where Col7 = 'Depositada' and Col9 = '""&amp;K151&amp;""' and Col6 ="&amp;" ""&amp;M151&amp;""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'""&amp;K151&amp;""' and Col6 = ""&amp;M151&amp;"" and Col4 = date '""&amp;YEAR(#REF!)&amp;""-""&amp;MONTH(#REF!)&amp;""-""&amp;DAY(#REF!)&amp;""'""))&gt;0,""Caixa Atendimento"",""Caixa Sangria"")),""""),""Caixa Sangria"")"),"")</f>
        <v/>
      </c>
      <c r="M151" s="185" t="str">
        <f>IFERROR(__xludf.DUMMYFUNCTION("ifna(VALUE(REGEXEXTRACT(E151,""[0-9.]+[,]+[0-9]+"")))"),"")</f>
        <v/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0"/>
      <c r="C152" s="11"/>
      <c r="D152" s="179"/>
      <c r="E152" s="180"/>
      <c r="F152" s="181"/>
      <c r="G152" s="179"/>
      <c r="H152" s="190"/>
      <c r="I152" s="190"/>
      <c r="J152" s="187"/>
      <c r="K152" s="187"/>
      <c r="L152" s="184" t="str">
        <f>IFERROR(__xludf.DUMMYFUNCTION("ifna(IF(and(D152=""Saída"",J152=""Sangria""),if(sum(QUERY(IMPORTRANGE(""https://docs.google.com/spreadsheets/d/1E4szPcLzsqlw4uyBAoJ61L1ChCgpz4wVP8tHfHW1g_c"",""BD M Sangrias!a:i""),""select Col6 where Col7 = 'Depositada' and Col9 = '""&amp;K152&amp;""' and Col6 ="&amp;" ""&amp;M152&amp;"" and Col4 = date '""&amp;YEAR(C151)&amp;""-""&amp;MONTH(C151)&amp;""-""&amp;DAY(C151)&amp;""'""))&gt;0,""Depositada"",if(sum(QUERY(IMPORTRANGE(""https://docs.google.com/spreadsheets/d/1EcLIvUgMoBC5as4ikW0wuQsGH5yVZ6cQ1y16qEfgPnk"",""BD M Sangrias!a:i""),""select Col6 whe"&amp;"re Col7 = 'Caixa Atendimento' and Col9 = '""&amp;K152&amp;""' and Col6 = ""&amp;M152&amp;"" and Col4 = date '""&amp;YEAR(C151)&amp;""-""&amp;MONTH(C151)&amp;""-""&amp;DAY(C151)&amp;""'""))&gt;0,""Caixa Atendimento"",""Caixa Sangria"")),""""),""Caixa Sangria"")"),"")</f>
        <v/>
      </c>
      <c r="M152" s="185" t="str">
        <f>IFERROR(__xludf.DUMMYFUNCTION("ifna(VALUE(REGEXEXTRACT(E152,""[0-9.]+[,]+[0-9]+"")))"),"")</f>
        <v/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0"/>
      <c r="C153" s="11"/>
      <c r="D153" s="179"/>
      <c r="E153" s="180"/>
      <c r="F153" s="188"/>
      <c r="G153" s="179"/>
      <c r="H153" s="190"/>
      <c r="I153" s="190"/>
      <c r="J153" s="187"/>
      <c r="K153" s="187"/>
      <c r="L153" s="184" t="str">
        <f>IFERROR(__xludf.DUMMYFUNCTION("ifna(IF(and(D153=""Saída"",J153=""Sangria""),if(sum(QUERY(IMPORTRANGE(""https://docs.google.com/spreadsheets/d/1E4szPcLzsqlw4uyBAoJ61L1ChCgpz4wVP8tHfHW1g_c"",""BD M Sangrias!a:i""),""select Col6 where Col7 = 'Depositada' and Col9 = '""&amp;K153&amp;""' and Col6 ="&amp;" ""&amp;M153&amp;""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'""&amp;K153&amp;""' and Col6 = ""&amp;M153&amp;"" and Col4 = date '""&amp;YEAR(#REF!)&amp;""-""&amp;MONTH(#REF!)&amp;""-""&amp;DAY(#REF!)&amp;""'""))&gt;0,""Caixa Atendimento"",""Caixa Sangria"")),""""),""Caixa Sangria"")"),"")</f>
        <v/>
      </c>
      <c r="M153" s="185" t="str">
        <f>IFERROR(__xludf.DUMMYFUNCTION("ifna(VALUE(REGEXEXTRACT(E153,""[0-9.]+[,]+[0-9]+"")))"),"")</f>
        <v/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0"/>
      <c r="C154" s="11"/>
      <c r="D154" s="179"/>
      <c r="E154" s="180"/>
      <c r="F154" s="188"/>
      <c r="G154" s="179"/>
      <c r="H154" s="190"/>
      <c r="I154" s="190"/>
      <c r="J154" s="187"/>
      <c r="K154" s="187"/>
      <c r="L154" s="184" t="str">
        <f>IFERROR(__xludf.DUMMYFUNCTION("ifna(IF(and(D154=""Saída"",J154=""Sangria""),if(sum(QUERY(IMPORTRANGE(""https://docs.google.com/spreadsheets/d/1E4szPcLzsqlw4uyBAoJ61L1ChCgpz4wVP8tHfHW1g_c"",""BD M Sangrias!a:i""),""select Col6 where Col7 = 'Depositada' and Col9 = '""&amp;K154&amp;""' and Col6 ="&amp;" ""&amp;M154&amp;"" and Col4 = date '""&amp;YEAR(C153)&amp;""-""&amp;MONTH(C153)&amp;""-""&amp;DAY(C153)&amp;""'""))&gt;0,""Depositada"",if(sum(QUERY(IMPORTRANGE(""https://docs.google.com/spreadsheets/d/1EcLIvUgMoBC5as4ikW0wuQsGH5yVZ6cQ1y16qEfgPnk"",""BD M Sangrias!a:i""),""select Col6 whe"&amp;"re Col7 = 'Caixa Atendimento' and Col9 = '""&amp;K154&amp;""' and Col6 = ""&amp;M154&amp;"" and Col4 = date '""&amp;YEAR(C153)&amp;""-""&amp;MONTH(C153)&amp;""-""&amp;DAY(C153)&amp;""'""))&gt;0,""Caixa Atendimento"",""Caixa Sangria"")),""""),""Caixa Sangria"")"),"")</f>
        <v/>
      </c>
      <c r="M154" s="185" t="str">
        <f>IFERROR(__xludf.DUMMYFUNCTION("ifna(VALUE(REGEXEXTRACT(E154,""[0-9.]+[,]+[0-9]+"")))"),"")</f>
        <v/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0"/>
      <c r="C155" s="11"/>
      <c r="D155" s="179"/>
      <c r="E155" s="180"/>
      <c r="F155" s="181"/>
      <c r="G155" s="179"/>
      <c r="H155" s="190"/>
      <c r="I155" s="190"/>
      <c r="J155" s="187"/>
      <c r="K155" s="187"/>
      <c r="L155" s="184" t="str">
        <f>IFERROR(__xludf.DUMMYFUNCTION("ifna(IF(and(D155=""Saída"",J155=""Sangria""),if(sum(QUERY(IMPORTRANGE(""https://docs.google.com/spreadsheets/d/1E4szPcLzsqlw4uyBAoJ61L1ChCgpz4wVP8tHfHW1g_c"",""BD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'""&amp;YEAR(C155)&amp;""-""&amp;MONTH(C155)&amp;""-""&amp;DAY(C155)&amp;""'""))&gt;0,""Depositada"",if(sum(QUERY(IMPORTRANGE(""https://docs.google.com/spreadsheets/d/1EcLIvUgMoBC5as4ikW0wuQsGH5yVZ6cQ1y16qEfgPnk"",""BD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 t="str">
        <f>IFERROR(__xludf.DUMMYFUNCTION("ifna(VALUE(REGEXEXTRACT(E155,""[0-9.]+[,]+[0-9]+"")))"),"")</f>
        <v/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0"/>
      <c r="C156" s="11"/>
      <c r="D156" s="179"/>
      <c r="E156" s="180"/>
      <c r="F156" s="181"/>
      <c r="G156" s="179"/>
      <c r="H156" s="190"/>
      <c r="I156" s="190"/>
      <c r="J156" s="187"/>
      <c r="K156" s="187"/>
      <c r="L156" s="184" t="str">
        <f>IFERROR(__xludf.DUMMYFUNCTION("ifna(IF(and(D156=""Saída"",J156=""Sangria""),if(sum(QUERY(IMPORTRANGE(""https://docs.google.com/spreadsheets/d/1E4szPcLzsqlw4uyBAoJ61L1ChCgpz4wVP8tHfHW1g_c"",""BD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'""&amp;YEAR(C156)&amp;""-""&amp;MONTH(C156)&amp;""-""&amp;DAY(C156)&amp;""'""))&gt;0,""Depositada"",if(sum(QUERY(IMPORTRANGE(""https://docs.google.com/spreadsheets/d/1EcLIvUgMoBC5as4ikW0wuQsGH5yVZ6cQ1y16qEfgPnk"",""BD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Sangria"")"),"")</f>
        <v/>
      </c>
      <c r="M156" s="185" t="str">
        <f>IFERROR(__xludf.DUMMYFUNCTION("ifna(VALUE(REGEXEXTRACT(E156,""[0-9.]+[,]+[0-9]+"")))"),"")</f>
        <v/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0"/>
      <c r="C157" s="11"/>
      <c r="D157" s="179"/>
      <c r="E157" s="180"/>
      <c r="F157" s="181"/>
      <c r="G157" s="179"/>
      <c r="H157" s="190"/>
      <c r="I157" s="190"/>
      <c r="J157" s="187"/>
      <c r="K157" s="187"/>
      <c r="L157" s="184" t="str">
        <f>IFERROR(__xludf.DUMMYFUNCTION("ifna(IF(and(D157=""Saída"",J157=""Sangria""),if(sum(QUERY(IMPORTRANGE(""https://docs.google.com/spreadsheets/d/1E4szPcLzsqlw4uyBAoJ61L1ChCgpz4wVP8tHfHW1g_c"",""BD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'""&amp;YEAR(C157)&amp;""-""&amp;MONTH(C157)&amp;""-""&amp;DAY(C157)&amp;""'""))&gt;0,""Depositada"",if(sum(QUERY(IMPORTRANGE(""https://docs.google.com/spreadsheets/d/1EcLIvUgMoBC5as4ikW0wuQsGH5yVZ6cQ1y16qEfgPnk"",""BD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 t="str">
        <f>IFERROR(__xludf.DUMMYFUNCTION("ifna(VALUE(REGEXEXTRACT(E157,""[0-9.]+[,]+[0-9]+"")))"),"")</f>
        <v/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14.25" customHeight="1">
      <c r="A158" s="178"/>
      <c r="B158" s="10"/>
      <c r="C158" s="11"/>
      <c r="D158" s="179"/>
      <c r="E158" s="180"/>
      <c r="F158" s="188"/>
      <c r="G158" s="179"/>
      <c r="H158" s="190"/>
      <c r="I158" s="190"/>
      <c r="J158" s="187"/>
      <c r="K158" s="187"/>
      <c r="L158" s="184" t="str">
        <f>IFERROR(__xludf.DUMMYFUNCTION("ifna(IF(and(D158=""Saída"",J158=""Sangria""),if(sum(QUERY(IMPORTRANGE(""https://docs.google.com/spreadsheets/d/1E4szPcLzsqlw4uyBAoJ61L1ChCgpz4wVP8tHfHW1g_c"",""BD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'""&amp;YEAR(C158)&amp;""-""&amp;MONTH(C158)&amp;""-""&amp;DAY(C158)&amp;""'""))&gt;0,""Depositada"",if(sum(QUERY(IMPORTRANGE(""https://docs.google.com/spreadsheets/d/1EcLIvUgMoBC5as4ikW0wuQsGH5yVZ6cQ1y16qEfgPnk"",""BD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 t="str">
        <f>IFERROR(__xludf.DUMMYFUNCTION("ifna(VALUE(REGEXEXTRACT(E158,""[0-9.]+[,]+[0-9]+"")))"),"")</f>
        <v/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4.25" customHeight="1">
      <c r="A159" s="178"/>
      <c r="B159" s="10"/>
      <c r="C159" s="11"/>
      <c r="D159" s="179"/>
      <c r="E159" s="180"/>
      <c r="F159" s="181"/>
      <c r="G159" s="179"/>
      <c r="H159" s="190"/>
      <c r="I159" s="190"/>
      <c r="J159" s="187"/>
      <c r="K159" s="187"/>
      <c r="L159" s="184" t="str">
        <f>IFERROR(__xludf.DUMMYFUNCTION("ifna(IF(and(D159=""Saída"",J159=""Sangria""),if(sum(QUERY(IMPORTRANGE(""https://docs.google.com/spreadsheets/d/1E4szPcLzsqlw4uyBAoJ61L1ChCgpz4wVP8tHfHW1g_c"",""BD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'""&amp;YEAR(C159)&amp;""-""&amp;MONTH(C159)&amp;""-""&amp;DAY(C159)&amp;""'""))&gt;0,""Depositada"",if(sum(QUERY(IMPORTRANGE(""https://docs.google.com/spreadsheets/d/1EcLIvUgMoBC5as4ikW0wuQsGH5yVZ6cQ1y16qEfgPnk"",""BD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 t="str">
        <f>IFERROR(__xludf.DUMMYFUNCTION("ifna(VALUE(REGEXEXTRACT(E159,""[0-9.]+[,]+[0-9]+"")))"),"")</f>
        <v/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4.25" customHeight="1">
      <c r="A160" s="178"/>
      <c r="B160" s="10"/>
      <c r="C160" s="11"/>
      <c r="D160" s="179"/>
      <c r="E160" s="180"/>
      <c r="F160" s="181"/>
      <c r="G160" s="179"/>
      <c r="H160" s="190"/>
      <c r="I160" s="190"/>
      <c r="J160" s="187"/>
      <c r="K160" s="187"/>
      <c r="L160" s="184" t="str">
        <f>IFERROR(__xludf.DUMMYFUNCTION("ifna(IF(and(D160=""Saída"",J160=""Sangria""),if(sum(QUERY(IMPORTRANGE(""https://docs.google.com/spreadsheets/d/1E4szPcLzsqlw4uyBAoJ61L1ChCgpz4wVP8tHfHW1g_c"",""BD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'""&amp;YEAR(C160)&amp;""-""&amp;MONTH(C160)&amp;""-""&amp;DAY(C160)&amp;""'""))&gt;0,""Depositada"",if(sum(QUERY(IMPORTRANGE(""https://docs.google.com/spreadsheets/d/1EcLIvUgMoBC5as4ikW0wuQsGH5yVZ6cQ1y16qEfgPnk"",""BD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 t="str">
        <f>IFERROR(__xludf.DUMMYFUNCTION("ifna(VALUE(REGEXEXTRACT(E160,""[0-9.]+[,]+[0-9]+"")))"),"")</f>
        <v/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4.25" customHeight="1">
      <c r="A161" s="178"/>
      <c r="B161" s="10"/>
      <c r="C161" s="11"/>
      <c r="D161" s="179"/>
      <c r="E161" s="180"/>
      <c r="F161" s="188"/>
      <c r="G161" s="179"/>
      <c r="H161" s="190"/>
      <c r="I161" s="190"/>
      <c r="J161" s="187"/>
      <c r="K161" s="187"/>
      <c r="L161" s="184" t="str">
        <f>IFERROR(__xludf.DUMMYFUNCTION("ifna(IF(and(D161=""Saída"",J161=""Sangria""),if(sum(QUERY(IMPORTRANGE(""https://docs.google.com/spreadsheets/d/1E4szPcLzsqlw4uyBAoJ61L1ChCgpz4wVP8tHfHW1g_c"",""BD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'""&amp;YEAR(C161)&amp;""-""&amp;MONTH(C161)&amp;""-""&amp;DAY(C161)&amp;""'""))&gt;0,""Depositada"",if(sum(QUERY(IMPORTRANGE(""https://docs.google.com/spreadsheets/d/1EcLIvUgMoBC5as4ikW0wuQsGH5yVZ6cQ1y16qEfgPnk"",""BD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 t="str">
        <f>IFERROR(__xludf.DUMMYFUNCTION("ifna(VALUE(REGEXEXTRACT(E161,""[0-9.]+[,]+[0-9]+"")))"),"")</f>
        <v/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0"/>
      <c r="C162" s="11"/>
      <c r="D162" s="179"/>
      <c r="E162" s="180"/>
      <c r="F162" s="181"/>
      <c r="G162" s="179"/>
      <c r="H162" s="190"/>
      <c r="I162" s="190"/>
      <c r="J162" s="187"/>
      <c r="K162" s="187"/>
      <c r="L162" s="184" t="str">
        <f>IFERROR(__xludf.DUMMYFUNCTION("ifna(IF(and(D162=""Saída"",J162=""Sangria""),if(sum(QUERY(IMPORTRANGE(""https://docs.google.com/spreadsheets/d/1E4szPcLzsqlw4uyBAoJ61L1ChCgpz4wVP8tHfHW1g_c"",""BD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'""&amp;YEAR(C162)&amp;""-""&amp;MONTH(C162)&amp;""-""&amp;DAY(C162)&amp;""'""))&gt;0,""Depositada"",if(sum(QUERY(IMPORTRANGE(""https://docs.google.com/spreadsheets/d/1EcLIvUgMoBC5as4ikW0wuQsGH5yVZ6cQ1y16qEfgPnk"",""BD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 t="str">
        <f>IFERROR(__xludf.DUMMYFUNCTION("ifna(VALUE(REGEXEXTRACT(E162,""[0-9.]+[,]+[0-9]+"")))"),"")</f>
        <v/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0"/>
      <c r="C163" s="11"/>
      <c r="D163" s="179"/>
      <c r="E163" s="180"/>
      <c r="F163" s="181"/>
      <c r="G163" s="179"/>
      <c r="H163" s="190"/>
      <c r="I163" s="190"/>
      <c r="J163" s="187"/>
      <c r="K163" s="187"/>
      <c r="L163" s="184" t="str">
        <f>IFERROR(__xludf.DUMMYFUNCTION("ifna(IF(and(D163=""Saída"",J163=""Sangria""),if(sum(QUERY(IMPORTRANGE(""https://docs.google.com/spreadsheets/d/1E4szPcLzsqlw4uyBAoJ61L1ChCgpz4wVP8tHfHW1g_c"",""BD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'""&amp;YEAR(C163)&amp;""-""&amp;MONTH(C163)&amp;""-""&amp;DAY(C163)&amp;""'""))&gt;0,""Depositada"",if(sum(QUERY(IMPORTRANGE(""https://docs.google.com/spreadsheets/d/1EcLIvUgMoBC5as4ikW0wuQsGH5yVZ6cQ1y16qEfgPnk"",""BD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 t="str">
        <f>IFERROR(__xludf.DUMMYFUNCTION("ifna(VALUE(REGEXEXTRACT(E163,""[0-9.]+[,]+[0-9]+"")))"),"")</f>
        <v/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0"/>
      <c r="C164" s="11"/>
      <c r="D164" s="179"/>
      <c r="E164" s="180"/>
      <c r="F164" s="181"/>
      <c r="G164" s="179"/>
      <c r="H164" s="190"/>
      <c r="I164" s="190"/>
      <c r="J164" s="187"/>
      <c r="K164" s="187"/>
      <c r="L164" s="184" t="str">
        <f>IFERROR(__xludf.DUMMYFUNCTION("ifna(IF(and(D164=""Saída"",J164=""Sangria""),if(sum(QUERY(IMPORTRANGE(""https://docs.google.com/spreadsheets/d/1E4szPcLzsqlw4uyBAoJ61L1ChCgpz4wVP8tHfHW1g_c"",""BD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'""&amp;YEAR(C164)&amp;""-""&amp;MONTH(C164)&amp;""-""&amp;DAY(C164)&amp;""'""))&gt;0,""Depositada"",if(sum(QUERY(IMPORTRANGE(""https://docs.google.com/spreadsheets/d/1EcLIvUgMoBC5as4ikW0wuQsGH5yVZ6cQ1y16qEfgPnk"",""BD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 t="str">
        <f>IFERROR(__xludf.DUMMYFUNCTION("ifna(VALUE(REGEXEXTRACT(E164,""[0-9.]+[,]+[0-9]+"")))"),"")</f>
        <v/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0"/>
      <c r="C165" s="11"/>
      <c r="D165" s="179"/>
      <c r="E165" s="180"/>
      <c r="F165" s="181"/>
      <c r="G165" s="179"/>
      <c r="H165" s="190"/>
      <c r="I165" s="190"/>
      <c r="J165" s="187"/>
      <c r="K165" s="187"/>
      <c r="L165" s="184" t="str">
        <f>IFERROR(__xludf.DUMMYFUNCTION("ifna(IF(and(D165=""Saída"",J165=""Sangria""),if(sum(QUERY(IMPORTRANGE(""https://docs.google.com/spreadsheets/d/1E4szPcLzsqlw4uyBAoJ61L1ChCgpz4wVP8tHfHW1g_c"",""BD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'""&amp;YEAR(C165)&amp;""-""&amp;MONTH(C165)&amp;""-""&amp;DAY(C165)&amp;""'""))&gt;0,""Depositada"",if(sum(QUERY(IMPORTRANGE(""https://docs.google.com/spreadsheets/d/1EcLIvUgMoBC5as4ikW0wuQsGH5yVZ6cQ1y16qEfgPnk"",""BD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 t="str">
        <f>IFERROR(__xludf.DUMMYFUNCTION("ifna(VALUE(REGEXEXTRACT(E165,""[0-9.]+[,]+[0-9]+"")))"),"")</f>
        <v/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0"/>
      <c r="C166" s="11"/>
      <c r="D166" s="179"/>
      <c r="E166" s="180"/>
      <c r="F166" s="188"/>
      <c r="G166" s="179"/>
      <c r="H166" s="190"/>
      <c r="I166" s="190"/>
      <c r="J166" s="187"/>
      <c r="K166" s="187"/>
      <c r="L166" s="184" t="str">
        <f>IFERROR(__xludf.DUMMYFUNCTION("ifna(IF(and(D166=""Saída"",J166=""Sangria""),if(sum(QUERY(IMPORTRANGE(""https://docs.google.com/spreadsheets/d/1E4szPcLzsqlw4uyBAoJ61L1ChCgpz4wVP8tHfHW1g_c"",""BD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'""&amp;YEAR(C166)&amp;""-""&amp;MONTH(C166)&amp;""-""&amp;DAY(C166)&amp;""'""))&gt;0,""Depositada"",if(sum(QUERY(IMPORTRANGE(""https://docs.google.com/spreadsheets/d/1EcLIvUgMoBC5as4ikW0wuQsGH5yVZ6cQ1y16qEfgPnk"",""BD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 t="str">
        <f>IFERROR(__xludf.DUMMYFUNCTION("ifna(VALUE(REGEXEXTRACT(E166,""[0-9.]+[,]+[0-9]+"")))"),"")</f>
        <v/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0"/>
      <c r="C167" s="11"/>
      <c r="D167" s="179"/>
      <c r="E167" s="180"/>
      <c r="F167" s="181"/>
      <c r="G167" s="179"/>
      <c r="H167" s="190"/>
      <c r="I167" s="190"/>
      <c r="J167" s="187"/>
      <c r="K167" s="187"/>
      <c r="L167" s="184" t="str">
        <f>IFERROR(__xludf.DUMMYFUNCTION("ifna(IF(and(D167=""Saída"",J167=""Sangria""),if(sum(QUERY(IMPORTRANGE(""https://docs.google.com/spreadsheets/d/1E4szPcLzsqlw4uyBAoJ61L1ChCgpz4wVP8tHfHW1g_c"",""BD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'""&amp;YEAR(C167)&amp;""-""&amp;MONTH(C167)&amp;""-""&amp;DAY(C167)&amp;""'""))&gt;0,""Depositada"",if(sum(QUERY(IMPORTRANGE(""https://docs.google.com/spreadsheets/d/1EcLIvUgMoBC5as4ikW0wuQsGH5yVZ6cQ1y16qEfgPnk"",""BD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Sangria"")"),"")</f>
        <v/>
      </c>
      <c r="M167" s="185" t="str">
        <f>IFERROR(__xludf.DUMMYFUNCTION("ifna(VALUE(REGEXEXTRACT(E167,""[0-9.]+[,]+[0-9]+"")))"),"")</f>
        <v/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0"/>
      <c r="C168" s="11"/>
      <c r="D168" s="179"/>
      <c r="E168" s="180"/>
      <c r="F168" s="181"/>
      <c r="G168" s="179"/>
      <c r="H168" s="190"/>
      <c r="I168" s="190"/>
      <c r="J168" s="187"/>
      <c r="K168" s="187"/>
      <c r="L168" s="184" t="str">
        <f>IFERROR(__xludf.DUMMYFUNCTION("ifna(IF(and(D168=""Saída"",J168=""Sangria""),if(sum(QUERY(IMPORTRANGE(""https://docs.google.com/spreadsheets/d/1E4szPcLzsqlw4uyBAoJ61L1ChCgpz4wVP8tHfHW1g_c"",""BD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'""&amp;YEAR(C168)&amp;""-""&amp;MONTH(C168)&amp;""-""&amp;DAY(C168)&amp;""'""))&gt;0,""Depositada"",if(sum(QUERY(IMPORTRANGE(""https://docs.google.com/spreadsheets/d/1EcLIvUgMoBC5as4ikW0wuQsGH5yVZ6cQ1y16qEfgPnk"",""BD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 t="str">
        <f>IFERROR(__xludf.DUMMYFUNCTION("ifna(VALUE(REGEXEXTRACT(E168,""[0-9.]+[,]+[0-9]+"")))"),"")</f>
        <v/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0"/>
      <c r="C169" s="11"/>
      <c r="D169" s="179"/>
      <c r="E169" s="180"/>
      <c r="F169" s="181"/>
      <c r="G169" s="179"/>
      <c r="H169" s="190"/>
      <c r="I169" s="190"/>
      <c r="J169" s="187"/>
      <c r="K169" s="187"/>
      <c r="L169" s="184" t="str">
        <f>IFERROR(__xludf.DUMMYFUNCTION("ifna(IF(and(D169=""Saída"",J169=""Sangria""),if(sum(QUERY(IMPORTRANGE(""https://docs.google.com/spreadsheets/d/1E4szPcLzsqlw4uyBAoJ61L1ChCgpz4wVP8tHfHW1g_c"",""BD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'""&amp;YEAR(C169)&amp;""-""&amp;MONTH(C169)&amp;""-""&amp;DAY(C169)&amp;""'""))&gt;0,""Depositada"",if(sum(QUERY(IMPORTRANGE(""https://docs.google.com/spreadsheets/d/1EcLIvUgMoBC5as4ikW0wuQsGH5yVZ6cQ1y16qEfgPnk"",""BD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 t="str">
        <f>IFERROR(__xludf.DUMMYFUNCTION("ifna(VALUE(REGEXEXTRACT(E169,""[0-9.]+[,]+[0-9]+"")))"),"")</f>
        <v/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0"/>
      <c r="C170" s="11"/>
      <c r="D170" s="179"/>
      <c r="E170" s="180"/>
      <c r="F170" s="181"/>
      <c r="G170" s="179"/>
      <c r="H170" s="190"/>
      <c r="I170" s="190"/>
      <c r="J170" s="187"/>
      <c r="K170" s="187"/>
      <c r="L170" s="184" t="str">
        <f>IFERROR(__xludf.DUMMYFUNCTION("ifna(IF(and(D170=""Saída"",J170=""Sangria""),if(sum(QUERY(IMPORTRANGE(""https://docs.google.com/spreadsheets/d/1E4szPcLzsqlw4uyBAoJ61L1ChCgpz4wVP8tHfHW1g_c"",""BD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'""&amp;YEAR(C170)&amp;""-""&amp;MONTH(C170)&amp;""-""&amp;DAY(C170)&amp;""'""))&gt;0,""Depositada"",if(sum(QUERY(IMPORTRANGE(""https://docs.google.com/spreadsheets/d/1EcLIvUgMoBC5as4ikW0wuQsGH5yVZ6cQ1y16qEfgPnk"",""BD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 t="str">
        <f>IFERROR(__xludf.DUMMYFUNCTION("ifna(VALUE(REGEXEXTRACT(E170,""[0-9.]+[,]+[0-9]+"")))"),"")</f>
        <v/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0"/>
      <c r="C171" s="11"/>
      <c r="D171" s="179"/>
      <c r="E171" s="180"/>
      <c r="F171" s="181"/>
      <c r="G171" s="179"/>
      <c r="H171" s="190"/>
      <c r="I171" s="190"/>
      <c r="J171" s="187"/>
      <c r="K171" s="187"/>
      <c r="L171" s="184" t="str">
        <f>IFERROR(__xludf.DUMMYFUNCTION("ifna(IF(and(D171=""Saída"",J171=""Sangria""),if(sum(QUERY(IMPORTRANGE(""https://docs.google.com/spreadsheets/d/1E4szPcLzsqlw4uyBAoJ61L1ChCgpz4wVP8tHfHW1g_c"",""BD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'""&amp;YEAR(C171)&amp;""-""&amp;MONTH(C171)&amp;""-""&amp;DAY(C171)&amp;""'""))&gt;0,""Depositada"",if(sum(QUERY(IMPORTRANGE(""https://docs.google.com/spreadsheets/d/1EcLIvUgMoBC5as4ikW0wuQsGH5yVZ6cQ1y16qEfgPnk"",""BD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 t="str">
        <f>IFERROR(__xludf.DUMMYFUNCTION("ifna(VALUE(REGEXEXTRACT(E171,""[0-9.]+[,]+[0-9]+"")))"),"")</f>
        <v/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0"/>
      <c r="C172" s="11"/>
      <c r="D172" s="179"/>
      <c r="E172" s="180"/>
      <c r="F172" s="181"/>
      <c r="G172" s="179"/>
      <c r="H172" s="190"/>
      <c r="I172" s="190"/>
      <c r="J172" s="187"/>
      <c r="K172" s="187"/>
      <c r="L172" s="184" t="str">
        <f>IFERROR(__xludf.DUMMYFUNCTION("ifna(IF(and(D172=""Saída"",J172=""Sangria""),if(sum(QUERY(IMPORTRANGE(""https://docs.google.com/spreadsheets/d/1E4szPcLzsqlw4uyBAoJ61L1ChCgpz4wVP8tHfHW1g_c"",""BD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'""&amp;YEAR(C172)&amp;""-""&amp;MONTH(C172)&amp;""-""&amp;DAY(C172)&amp;""'""))&gt;0,""Depositada"",if(sum(QUERY(IMPORTRANGE(""https://docs.google.com/spreadsheets/d/1EcLIvUgMoBC5as4ikW0wuQsGH5yVZ6cQ1y16qEfgPnk"",""BD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 t="str">
        <f>IFERROR(__xludf.DUMMYFUNCTION("ifna(VALUE(REGEXEXTRACT(E172,""[0-9.]+[,]+[0-9]+"")))"),"")</f>
        <v/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0"/>
      <c r="C173" s="11"/>
      <c r="D173" s="179"/>
      <c r="E173" s="180"/>
      <c r="F173" s="181"/>
      <c r="G173" s="179"/>
      <c r="H173" s="190"/>
      <c r="I173" s="190"/>
      <c r="J173" s="187"/>
      <c r="K173" s="187"/>
      <c r="L173" s="184" t="str">
        <f>IFERROR(__xludf.DUMMYFUNCTION("ifna(IF(and(D173=""Saída"",J173=""Sangria""),if(sum(QUERY(IMPORTRANGE(""https://docs.google.com/spreadsheets/d/1E4szPcLzsqlw4uyBAoJ61L1ChCgpz4wVP8tHfHW1g_c"",""BD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'""&amp;YEAR(C173)&amp;""-""&amp;MONTH(C173)&amp;""-""&amp;DAY(C173)&amp;""'""))&gt;0,""Depositada"",if(sum(QUERY(IMPORTRANGE(""https://docs.google.com/spreadsheets/d/1EcLIvUgMoBC5as4ikW0wuQsGH5yVZ6cQ1y16qEfgPnk"",""BD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 t="str">
        <f>IFERROR(__xludf.DUMMYFUNCTION("ifna(VALUE(REGEXEXTRACT(E173,""[0-9.]+[,]+[0-9]+"")))"),"")</f>
        <v/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0"/>
      <c r="C174" s="11"/>
      <c r="D174" s="179"/>
      <c r="E174" s="180"/>
      <c r="F174" s="181"/>
      <c r="G174" s="179"/>
      <c r="H174" s="190"/>
      <c r="I174" s="190"/>
      <c r="J174" s="187"/>
      <c r="K174" s="187"/>
      <c r="L174" s="184" t="str">
        <f>IFERROR(__xludf.DUMMYFUNCTION("ifna(IF(and(D174=""Saída"",J174=""Sangria""),if(sum(QUERY(IMPORTRANGE(""https://docs.google.com/spreadsheets/d/1E4szPcLzsqlw4uyBAoJ61L1ChCgpz4wVP8tHfHW1g_c"",""BD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'""&amp;YEAR(C174)&amp;""-""&amp;MONTH(C174)&amp;""-""&amp;DAY(C174)&amp;""'""))&gt;0,""Depositada"",if(sum(QUERY(IMPORTRANGE(""https://docs.google.com/spreadsheets/d/1EcLIvUgMoBC5as4ikW0wuQsGH5yVZ6cQ1y16qEfgPnk"",""BD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 t="str">
        <f>IFERROR(__xludf.DUMMYFUNCTION("ifna(VALUE(REGEXEXTRACT(E174,""[0-9.]+[,]+[0-9]+"")))"),"")</f>
        <v/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0"/>
      <c r="C175" s="11"/>
      <c r="D175" s="179"/>
      <c r="E175" s="180"/>
      <c r="F175" s="181"/>
      <c r="G175" s="179"/>
      <c r="H175" s="190"/>
      <c r="I175" s="190"/>
      <c r="J175" s="187"/>
      <c r="K175" s="187"/>
      <c r="L175" s="184" t="str">
        <f>IFERROR(__xludf.DUMMYFUNCTION("ifna(IF(and(D175=""Saída"",J175=""Sangria""),if(sum(QUERY(IMPORTRANGE(""https://docs.google.com/spreadsheets/d/1E4szPcLzsqlw4uyBAoJ61L1ChCgpz4wVP8tHfHW1g_c"",""BD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'""&amp;YEAR(C175)&amp;""-""&amp;MONTH(C175)&amp;""-""&amp;DAY(C175)&amp;""'""))&gt;0,""Depositada"",if(sum(QUERY(IMPORTRANGE(""https://docs.google.com/spreadsheets/d/1EcLIvUgMoBC5as4ikW0wuQsGH5yVZ6cQ1y16qEfgPnk"",""BD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 t="str">
        <f>IFERROR(__xludf.DUMMYFUNCTION("ifna(VALUE(REGEXEXTRACT(E175,""[0-9.]+[,]+[0-9]+"")))"),"")</f>
        <v/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0"/>
      <c r="C176" s="11"/>
      <c r="D176" s="179"/>
      <c r="E176" s="180"/>
      <c r="F176" s="188"/>
      <c r="G176" s="179"/>
      <c r="H176" s="190"/>
      <c r="I176" s="190"/>
      <c r="J176" s="187"/>
      <c r="K176" s="187"/>
      <c r="L176" s="184" t="str">
        <f>IFERROR(__xludf.DUMMYFUNCTION("ifna(IF(and(D176=""Saída"",#REF!=""Sangria""),if(sum(QUERY(IMPORTRANGE(""https://docs.google.com/spreadsheets/d/1E4szPcLzsqlw4uyBAoJ61L1ChCgpz4wVP8tHfHW1g_c"",""BD M Sangrias!a:i""),""select Col6 where Col7 = 'Depositada' and Col9 = '""&amp;K176&amp;""' and Col6 "&amp;"= ""&amp;M176&amp;"" and Col4 = date '""&amp;YEAR(C176)&amp;""-""&amp;MONTH(C176)&amp;""-""&amp;DAY(C176)&amp;""'""))&gt;0,""Depositada"",if(sum(QUERY(IMPORTRANGE(""https://docs.google.com/spreadsheets/d/1EcLIvUgMoBC5as4ikW0wuQsGH5yVZ6cQ1y16qEfgPnk"",""BD M Sangrias!a:i""),""select Col6 wh"&amp;"ere Col7 = 'Caixa Atendimento' and Col9 = '""&amp;K176&amp;""' and Col6 = ""&amp;M176&amp;"" and Col4 = date '""&amp;YEAR(C176)&amp;""-""&amp;MONTH(C176)&amp;""-""&amp;DAY(C176)&amp;""'""))&gt;0,""Caixa Atendimento"",""Caixa Sangria"")),""""),""Caixa Sangria"")"),"#REF!")</f>
        <v>#REF!</v>
      </c>
      <c r="M176" s="185" t="str">
        <f>IFERROR(__xludf.DUMMYFUNCTION("ifna(VALUE(REGEXEXTRACT(E176,""[0-9.]+[,]+[0-9]+"")))"),"")</f>
        <v/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0"/>
      <c r="C177" s="11"/>
      <c r="D177" s="179"/>
      <c r="E177" s="180"/>
      <c r="F177" s="181"/>
      <c r="G177" s="179"/>
      <c r="H177" s="190"/>
      <c r="I177" s="190"/>
      <c r="K177" s="187"/>
      <c r="L177" s="184" t="str">
        <f>IFERROR(__xludf.DUMMYFUNCTION("ifna(IF(and(D177=""Saída"",J176=""Sangria""),if(sum(QUERY(IMPORTRANGE(""https://docs.google.com/spreadsheets/d/1E4szPcLzsqlw4uyBAoJ61L1ChCgpz4wVP8tHfHW1g_c"",""BD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'""&amp;YEAR(C177)&amp;""-""&amp;MONTH(C177)&amp;""-""&amp;DAY(C177)&amp;""'""))&gt;0,""Depositada"",if(sum(QUERY(IMPORTRANGE(""https://docs.google.com/spreadsheets/d/1EcLIvUgMoBC5as4ikW0wuQsGH5yVZ6cQ1y16qEfgPnk"",""BD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 t="str">
        <f>IFERROR(__xludf.DUMMYFUNCTION("ifna(VALUE(REGEXEXTRACT(E177,""[0-9.]+[,]+[0-9]+"")))"),"")</f>
        <v/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0"/>
      <c r="C178" s="11"/>
      <c r="D178" s="179"/>
      <c r="E178" s="180"/>
      <c r="F178" s="181"/>
      <c r="G178" s="179"/>
      <c r="H178" s="190"/>
      <c r="I178" s="190"/>
      <c r="J178" s="187"/>
      <c r="K178" s="187"/>
      <c r="L178" s="184" t="str">
        <f>IFERROR(__xludf.DUMMYFUNCTION("ifna(IF(and(D178=""Saída"",J178=""Sangria""),if(sum(QUERY(IMPORTRANGE(""https://docs.google.com/spreadsheets/d/1E4szPcLzsqlw4uyBAoJ61L1ChCgpz4wVP8tHfHW1g_c"",""BD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'""&amp;YEAR(C178)&amp;""-""&amp;MONTH(C178)&amp;""-""&amp;DAY(C178)&amp;""'""))&gt;0,""Depositada"",if(sum(QUERY(IMPORTRANGE(""https://docs.google.com/spreadsheets/d/1EcLIvUgMoBC5as4ikW0wuQsGH5yVZ6cQ1y16qEfgPnk"",""BD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 t="str">
        <f>IFERROR(__xludf.DUMMYFUNCTION("ifna(VALUE(REGEXEXTRACT(E178,""[0-9.]+[,]+[0-9]+"")))"),"")</f>
        <v/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0"/>
      <c r="C179" s="11"/>
      <c r="D179" s="179"/>
      <c r="E179" s="180"/>
      <c r="F179" s="181"/>
      <c r="G179" s="179"/>
      <c r="H179" s="190"/>
      <c r="I179" s="190"/>
      <c r="J179" s="187"/>
      <c r="K179" s="187"/>
      <c r="L179" s="184" t="str">
        <f>IFERROR(__xludf.DUMMYFUNCTION("ifna(IF(and(D179=""Saída"",J179=""Sangria""),if(sum(QUERY(IMPORTRANGE(""https://docs.google.com/spreadsheets/d/1E4szPcLzsqlw4uyBAoJ61L1ChCgpz4wVP8tHfHW1g_c"",""BD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'""&amp;YEAR(C179)&amp;""-""&amp;MONTH(C179)&amp;""-""&amp;DAY(C179)&amp;""'""))&gt;0,""Depositada"",if(sum(QUERY(IMPORTRANGE(""https://docs.google.com/spreadsheets/d/1EcLIvUgMoBC5as4ikW0wuQsGH5yVZ6cQ1y16qEfgPnk"",""BD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 t="str">
        <f>IFERROR(__xludf.DUMMYFUNCTION("ifna(VALUE(REGEXEXTRACT(E179,""[0-9.]+[,]+[0-9]+"")))"),"")</f>
        <v/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0"/>
      <c r="C180" s="11"/>
      <c r="D180" s="179"/>
      <c r="E180" s="180"/>
      <c r="F180" s="188"/>
      <c r="G180" s="179"/>
      <c r="H180" s="190"/>
      <c r="I180" s="190"/>
      <c r="K180" s="187"/>
      <c r="L180" s="184" t="str">
        <f>IFERROR(__xludf.DUMMYFUNCTION("ifna(IF(and(D180=""Saída"",J180=""Sangria""),if(sum(QUERY(IMPORTRANGE(""https://docs.google.com/spreadsheets/d/1E4szPcLzsqlw4uyBAoJ61L1ChCgpz4wVP8tHfHW1g_c"",""BD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'""&amp;YEAR(C180)&amp;""-""&amp;MONTH(C180)&amp;""-""&amp;DAY(C180)&amp;""'""))&gt;0,""Depositada"",if(sum(QUERY(IMPORTRANGE(""https://docs.google.com/spreadsheets/d/1EcLIvUgMoBC5as4ikW0wuQsGH5yVZ6cQ1y16qEfgPnk"",""BD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 t="str">
        <f>IFERROR(__xludf.DUMMYFUNCTION("ifna(VALUE(REGEXEXTRACT(E180,""[0-9.]+[,]+[0-9]+"")))"),"")</f>
        <v/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0"/>
      <c r="C181" s="11"/>
      <c r="D181" s="179"/>
      <c r="E181" s="180"/>
      <c r="F181" s="181"/>
      <c r="G181" s="179"/>
      <c r="H181" s="190"/>
      <c r="I181" s="190"/>
      <c r="J181" s="187"/>
      <c r="K181" s="187"/>
      <c r="L181" s="184" t="str">
        <f>IFERROR(__xludf.DUMMYFUNCTION("ifna(IF(and(D181=""Saída"",J181=""Sangria""),if(sum(QUERY(IMPORTRANGE(""https://docs.google.com/spreadsheets/d/1E4szPcLzsqlw4uyBAoJ61L1ChCgpz4wVP8tHfHW1g_c"",""BD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'""&amp;YEAR(C181)&amp;""-""&amp;MONTH(C181)&amp;""-""&amp;DAY(C181)&amp;""'""))&gt;0,""Depositada"",if(sum(QUERY(IMPORTRANGE(""https://docs.google.com/spreadsheets/d/1EcLIvUgMoBC5as4ikW0wuQsGH5yVZ6cQ1y16qEfgPnk"",""BD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 t="str">
        <f>IFERROR(__xludf.DUMMYFUNCTION("ifna(VALUE(REGEXEXTRACT(E181,""[0-9.]+[,]+[0-9]+"")))"),"")</f>
        <v/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0"/>
      <c r="C182" s="11"/>
      <c r="D182" s="179"/>
      <c r="E182" s="180"/>
      <c r="F182" s="181"/>
      <c r="G182" s="179"/>
      <c r="H182" s="190"/>
      <c r="I182" s="190"/>
      <c r="J182" s="187"/>
      <c r="K182" s="187"/>
      <c r="L182" s="184" t="str">
        <f>IFERROR(__xludf.DUMMYFUNCTION("ifna(IF(and(D182=""Saída"",J182=""Sangria""),if(sum(QUERY(IMPORTRANGE(""https://docs.google.com/spreadsheets/d/1E4szPcLzsqlw4uyBAoJ61L1ChCgpz4wVP8tHfHW1g_c"",""BD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'""&amp;YEAR(C182)&amp;""-""&amp;MONTH(C182)&amp;""-""&amp;DAY(C182)&amp;""'""))&gt;0,""Depositada"",if(sum(QUERY(IMPORTRANGE(""https://docs.google.com/spreadsheets/d/1EcLIvUgMoBC5as4ikW0wuQsGH5yVZ6cQ1y16qEfgPnk"",""BD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 t="str">
        <f>IFERROR(__xludf.DUMMYFUNCTION("ifna(VALUE(REGEXEXTRACT(E182,""[0-9.]+[,]+[0-9]+"")))"),"")</f>
        <v/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0"/>
      <c r="C183" s="11"/>
      <c r="D183" s="179"/>
      <c r="E183" s="180"/>
      <c r="F183" s="181"/>
      <c r="G183" s="179"/>
      <c r="H183" s="190"/>
      <c r="I183" s="190"/>
      <c r="J183" s="187"/>
      <c r="K183" s="187"/>
      <c r="L183" s="184" t="str">
        <f>IFERROR(__xludf.DUMMYFUNCTION("ifna(IF(and(D183=""Saída"",J183=""Sangria""),if(sum(QUERY(IMPORTRANGE(""https://docs.google.com/spreadsheets/d/1E4szPcLzsqlw4uyBAoJ61L1ChCgpz4wVP8tHfHW1g_c"",""BD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'""&amp;YEAR(C183)&amp;""-""&amp;MONTH(C183)&amp;""-""&amp;DAY(C183)&amp;""'""))&gt;0,""Depositada"",if(sum(QUERY(IMPORTRANGE(""https://docs.google.com/spreadsheets/d/1EcLIvUgMoBC5as4ikW0wuQsGH5yVZ6cQ1y16qEfgPnk"",""BD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 t="str">
        <f>IFERROR(__xludf.DUMMYFUNCTION("ifna(VALUE(REGEXEXTRACT(E183,""[0-9.]+[,]+[0-9]+"")))"),"")</f>
        <v/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0"/>
      <c r="C184" s="11"/>
      <c r="D184" s="179"/>
      <c r="E184" s="180"/>
      <c r="F184" s="188"/>
      <c r="G184" s="179"/>
      <c r="H184" s="190"/>
      <c r="I184" s="190"/>
      <c r="J184" s="187"/>
      <c r="K184" s="187"/>
      <c r="L184" s="184" t="str">
        <f>IFERROR(__xludf.DUMMYFUNCTION("ifna(IF(and(D184=""Saída"",J184=""Sangria""),if(sum(QUERY(IMPORTRANGE(""https://docs.google.com/spreadsheets/d/1E4szPcLzsqlw4uyBAoJ61L1ChCgpz4wVP8tHfHW1g_c"",""BD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'""&amp;YEAR(C184)&amp;""-""&amp;MONTH(C184)&amp;""-""&amp;DAY(C184)&amp;""'""))&gt;0,""Depositada"",if(sum(QUERY(IMPORTRANGE(""https://docs.google.com/spreadsheets/d/1EcLIvUgMoBC5as4ikW0wuQsGH5yVZ6cQ1y16qEfgPnk"",""BD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 t="str">
        <f>IFERROR(__xludf.DUMMYFUNCTION("ifna(VALUE(REGEXEXTRACT(E184,""[0-9.]+[,]+[0-9]+"")))"),"")</f>
        <v/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0"/>
      <c r="C185" s="11"/>
      <c r="D185" s="179"/>
      <c r="E185" s="180"/>
      <c r="F185" s="181"/>
      <c r="G185" s="179"/>
      <c r="H185" s="190"/>
      <c r="I185" s="190"/>
      <c r="J185" s="187"/>
      <c r="K185" s="187"/>
      <c r="L185" s="184" t="str">
        <f>IFERROR(__xludf.DUMMYFUNCTION("ifna(IF(and(D185=""Saída"",J185=""Sangria""),if(sum(QUERY(IMPORTRANGE(""https://docs.google.com/spreadsheets/d/1E4szPcLzsqlw4uyBAoJ61L1ChCgpz4wVP8tHfHW1g_c"",""BD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'""&amp;YEAR(C185)&amp;""-""&amp;MONTH(C185)&amp;""-""&amp;DAY(C185)&amp;""'""))&gt;0,""Depositada"",if(sum(QUERY(IMPORTRANGE(""https://docs.google.com/spreadsheets/d/1EcLIvUgMoBC5as4ikW0wuQsGH5yVZ6cQ1y16qEfgPnk"",""BD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 t="str">
        <f>IFERROR(__xludf.DUMMYFUNCTION("ifna(VALUE(REGEXEXTRACT(E185,""[0-9.]+[,]+[0-9]+"")))"),"")</f>
        <v/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0"/>
      <c r="C186" s="11"/>
      <c r="D186" s="179"/>
      <c r="E186" s="180"/>
      <c r="F186" s="188"/>
      <c r="G186" s="179"/>
      <c r="H186" s="190"/>
      <c r="I186" s="190"/>
      <c r="J186" s="187"/>
      <c r="K186" s="187"/>
      <c r="L186" s="184" t="str">
        <f>IFERROR(__xludf.DUMMYFUNCTION("ifna(IF(and(D186=""Saída"",J186=""Sangria""),if(sum(QUERY(IMPORTRANGE(""https://docs.google.com/spreadsheets/d/1E4szPcLzsqlw4uyBAoJ61L1ChCgpz4wVP8tHfHW1g_c"",""BD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'""&amp;YEAR(C186)&amp;""-""&amp;MONTH(C186)&amp;""-""&amp;DAY(C186)&amp;""'""))&gt;0,""Depositada"",if(sum(QUERY(IMPORTRANGE(""https://docs.google.com/spreadsheets/d/1EcLIvUgMoBC5as4ikW0wuQsGH5yVZ6cQ1y16qEfgPnk"",""BD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 t="str">
        <f>IFERROR(__xludf.DUMMYFUNCTION("ifna(VALUE(REGEXEXTRACT(E186,""[0-9.]+[,]+[0-9]+"")))"),"")</f>
        <v/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0"/>
      <c r="C187" s="11"/>
      <c r="D187" s="179"/>
      <c r="E187" s="180"/>
      <c r="F187" s="181"/>
      <c r="G187" s="179"/>
      <c r="H187" s="190"/>
      <c r="I187" s="190"/>
      <c r="J187" s="187"/>
      <c r="K187" s="187"/>
      <c r="L187" s="184" t="str">
        <f>IFERROR(__xludf.DUMMYFUNCTION("ifna(IF(and(D187=""Saída"",J187=""Sangria""),if(sum(QUERY(IMPORTRANGE(""https://docs.google.com/spreadsheets/d/1E4szPcLzsqlw4uyBAoJ61L1ChCgpz4wVP8tHfHW1g_c"",""BD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'""&amp;YEAR(C187)&amp;""-""&amp;MONTH(C187)&amp;""-""&amp;DAY(C187)&amp;""'""))&gt;0,""Depositada"",if(sum(QUERY(IMPORTRANGE(""https://docs.google.com/spreadsheets/d/1EcLIvUgMoBC5as4ikW0wuQsGH5yVZ6cQ1y16qEfgPnk"",""BD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 t="str">
        <f>IFERROR(__xludf.DUMMYFUNCTION("ifna(VALUE(REGEXEXTRACT(E187,""[0-9.]+[,]+[0-9]+"")))"),"")</f>
        <v/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0"/>
      <c r="C188" s="11"/>
      <c r="D188" s="179"/>
      <c r="E188" s="180"/>
      <c r="F188" s="181"/>
      <c r="G188" s="179"/>
      <c r="H188" s="190"/>
      <c r="I188" s="190"/>
      <c r="J188" s="187"/>
      <c r="K188" s="187"/>
      <c r="L188" s="184" t="str">
        <f>IFERROR(__xludf.DUMMYFUNCTION("ifna(IF(and(D188=""Saída"",J188=""Sangria""),if(sum(QUERY(IMPORTRANGE(""https://docs.google.com/spreadsheets/d/1E4szPcLzsqlw4uyBAoJ61L1ChCgpz4wVP8tHfHW1g_c"",""BD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'""&amp;YEAR(C188)&amp;""-""&amp;MONTH(C188)&amp;""-""&amp;DAY(C188)&amp;""'""))&gt;0,""Depositada"",if(sum(QUERY(IMPORTRANGE(""https://docs.google.com/spreadsheets/d/1EcLIvUgMoBC5as4ikW0wuQsGH5yVZ6cQ1y16qEfgPnk"",""BD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 t="str">
        <f>IFERROR(__xludf.DUMMYFUNCTION("ifna(VALUE(REGEXEXTRACT(E188,""[0-9.]+[,]+[0-9]+"")))"),"")</f>
        <v/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0"/>
      <c r="C189" s="11"/>
      <c r="D189" s="179"/>
      <c r="E189" s="180"/>
      <c r="F189" s="181"/>
      <c r="G189" s="179"/>
      <c r="H189" s="190"/>
      <c r="I189" s="190"/>
      <c r="J189" s="187"/>
      <c r="K189" s="187"/>
      <c r="L189" s="184" t="str">
        <f>IFERROR(__xludf.DUMMYFUNCTION("ifna(IF(and(D189=""Saída"",J189=""Sangria""),if(sum(QUERY(IMPORTRANGE(""https://docs.google.com/spreadsheets/d/1E4szPcLzsqlw4uyBAoJ61L1ChCgpz4wVP8tHfHW1g_c"",""BD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'""&amp;YEAR(C189)&amp;""-""&amp;MONTH(C189)&amp;""-""&amp;DAY(C189)&amp;""'""))&gt;0,""Depositada"",if(sum(QUERY(IMPORTRANGE(""https://docs.google.com/spreadsheets/d/1EcLIvUgMoBC5as4ikW0wuQsGH5yVZ6cQ1y16qEfgPnk"",""BD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 t="str">
        <f>IFERROR(__xludf.DUMMYFUNCTION("ifna(VALUE(REGEXEXTRACT(E189,""[0-9.]+[,]+[0-9]+"")))"),"")</f>
        <v/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0"/>
      <c r="C190" s="11"/>
      <c r="D190" s="179"/>
      <c r="E190" s="180"/>
      <c r="F190" s="181"/>
      <c r="G190" s="179"/>
      <c r="H190" s="190"/>
      <c r="I190" s="190"/>
      <c r="J190" s="187"/>
      <c r="K190" s="187"/>
      <c r="L190" s="184" t="str">
        <f>IFERROR(__xludf.DUMMYFUNCTION("ifna(IF(and(D190=""Saída"",J190=""Sangria""),if(sum(QUERY(IMPORTRANGE(""https://docs.google.com/spreadsheets/d/1E4szPcLzsqlw4uyBAoJ61L1ChCgpz4wVP8tHfHW1g_c"",""BD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'""&amp;YEAR(C190)&amp;""-""&amp;MONTH(C190)&amp;""-""&amp;DAY(C190)&amp;""'""))&gt;0,""Depositada"",if(sum(QUERY(IMPORTRANGE(""https://docs.google.com/spreadsheets/d/1EcLIvUgMoBC5as4ikW0wuQsGH5yVZ6cQ1y16qEfgPnk"",""BD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 t="str">
        <f>IFERROR(__xludf.DUMMYFUNCTION("ifna(VALUE(REGEXEXTRACT(E190,""[0-9.]+[,]+[0-9]+"")))"),"")</f>
        <v/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0"/>
      <c r="C191" s="11"/>
      <c r="D191" s="179"/>
      <c r="E191" s="180"/>
      <c r="F191" s="181"/>
      <c r="G191" s="179"/>
      <c r="H191" s="190"/>
      <c r="I191" s="190"/>
      <c r="J191" s="228"/>
      <c r="K191" s="187"/>
      <c r="L191" s="184" t="str">
        <f>IFERROR(__xludf.DUMMYFUNCTION("ifna(IF(and(D191=""Saída"",J191=""Sangria""),if(sum(QUERY(IMPORTRANGE(""https://docs.google.com/spreadsheets/d/1E4szPcLzsqlw4uyBAoJ61L1ChCgpz4wVP8tHfHW1g_c"",""BD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'""&amp;YEAR(C191)&amp;""-""&amp;MONTH(C191)&amp;""-""&amp;DAY(C191)&amp;""'""))&gt;0,""Depositada"",if(sum(QUERY(IMPORTRANGE(""https://docs.google.com/spreadsheets/d/1EcLIvUgMoBC5as4ikW0wuQsGH5yVZ6cQ1y16qEfgPnk"",""BD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 t="str">
        <f>IFERROR(__xludf.DUMMYFUNCTION("ifna(VALUE(REGEXEXTRACT(E191,""[0-9.]+[,]+[0-9]+"")))"),"")</f>
        <v/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0"/>
      <c r="C192" s="11"/>
      <c r="D192" s="179"/>
      <c r="E192" s="180"/>
      <c r="F192" s="188"/>
      <c r="G192" s="179"/>
      <c r="H192" s="190"/>
      <c r="I192" s="190"/>
      <c r="J192" s="187"/>
      <c r="K192" s="187"/>
      <c r="L192" s="184" t="str">
        <f>IFERROR(__xludf.DUMMYFUNCTION("ifna(IF(and(D192=""Saída"",J192=""Sangria""),if(sum(QUERY(IMPORTRANGE(""https://docs.google.com/spreadsheets/d/1E4szPcLzsqlw4uyBAoJ61L1ChCgpz4wVP8tHfHW1g_c"",""BD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'""&amp;YEAR(C192)&amp;""-""&amp;MONTH(C192)&amp;""-""&amp;DAY(C192)&amp;""'""))&gt;0,""Depositada"",if(sum(QUERY(IMPORTRANGE(""https://docs.google.com/spreadsheets/d/1EcLIvUgMoBC5as4ikW0wuQsGH5yVZ6cQ1y16qEfgPnk"",""BD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 t="str">
        <f>IFERROR(__xludf.DUMMYFUNCTION("ifna(VALUE(REGEXEXTRACT(E192,""[0-9.]+[,]+[0-9]+"")))"),"")</f>
        <v/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0"/>
      <c r="C193" s="11"/>
      <c r="D193" s="179"/>
      <c r="E193" s="180"/>
      <c r="F193" s="181"/>
      <c r="G193" s="179"/>
      <c r="H193" s="190"/>
      <c r="I193" s="190"/>
      <c r="J193" s="187"/>
      <c r="K193" s="187"/>
      <c r="L193" s="184" t="str">
        <f>IFERROR(__xludf.DUMMYFUNCTION("ifna(IF(and(D193=""Saída"",J193=""Sangria""),if(sum(QUERY(IMPORTRANGE(""https://docs.google.com/spreadsheets/d/1E4szPcLzsqlw4uyBAoJ61L1ChCgpz4wVP8tHfHW1g_c"",""BD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'""&amp;YEAR(C193)&amp;""-""&amp;MONTH(C193)&amp;""-""&amp;DAY(C193)&amp;""'""))&gt;0,""Depositada"",if(sum(QUERY(IMPORTRANGE(""https://docs.google.com/spreadsheets/d/1EcLIvUgMoBC5as4ikW0wuQsGH5yVZ6cQ1y16qEfgPnk"",""BD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 t="str">
        <f>IFERROR(__xludf.DUMMYFUNCTION("ifna(VALUE(REGEXEXTRACT(E193,""[0-9.]+[,]+[0-9]+"")))"),"")</f>
        <v/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0"/>
      <c r="C194" s="11"/>
      <c r="D194" s="179"/>
      <c r="E194" s="180"/>
      <c r="F194" s="181"/>
      <c r="G194" s="179"/>
      <c r="H194" s="190"/>
      <c r="I194" s="190"/>
      <c r="J194" s="187"/>
      <c r="K194" s="187"/>
      <c r="L194" s="184" t="str">
        <f>IFERROR(__xludf.DUMMYFUNCTION("ifna(IF(and(D194=""Saída"",J194=""Sangria""),if(sum(QUERY(IMPORTRANGE(""https://docs.google.com/spreadsheets/d/1E4szPcLzsqlw4uyBAoJ61L1ChCgpz4wVP8tHfHW1g_c"",""BD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'""&amp;YEAR(C194)&amp;""-""&amp;MONTH(C194)&amp;""-""&amp;DAY(C194)&amp;""'""))&gt;0,""Depositada"",if(sum(QUERY(IMPORTRANGE(""https://docs.google.com/spreadsheets/d/1EcLIvUgMoBC5as4ikW0wuQsGH5yVZ6cQ1y16qEfgPnk"",""BD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 t="str">
        <f>IFERROR(__xludf.DUMMYFUNCTION("ifna(VALUE(REGEXEXTRACT(E194,""[0-9.]+[,]+[0-9]+"")))"),"")</f>
        <v/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0"/>
      <c r="C195" s="11"/>
      <c r="D195" s="179"/>
      <c r="E195" s="180"/>
      <c r="F195" s="188"/>
      <c r="G195" s="179"/>
      <c r="H195" s="190"/>
      <c r="I195" s="190"/>
      <c r="J195" s="187"/>
      <c r="K195" s="187"/>
      <c r="L195" s="184" t="str">
        <f>IFERROR(__xludf.DUMMYFUNCTION("ifna(IF(and(D195=""Saída"",J195=""Sangria""),if(sum(QUERY(IMPORTRANGE(""https://docs.google.com/spreadsheets/d/1E4szPcLzsqlw4uyBAoJ61L1ChCgpz4wVP8tHfHW1g_c"",""BD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'""&amp;YEAR(C195)&amp;""-""&amp;MONTH(C195)&amp;""-""&amp;DAY(C195)&amp;""'""))&gt;0,""Depositada"",if(sum(QUERY(IMPORTRANGE(""https://docs.google.com/spreadsheets/d/1EcLIvUgMoBC5as4ikW0wuQsGH5yVZ6cQ1y16qEfgPnk"",""BD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 t="str">
        <f>IFERROR(__xludf.DUMMYFUNCTION("ifna(VALUE(REGEXEXTRACT(E195,""[0-9.]+[,]+[0-9]+"")))"),"")</f>
        <v/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0"/>
      <c r="C196" s="11"/>
      <c r="D196" s="179"/>
      <c r="E196" s="180"/>
      <c r="F196" s="181"/>
      <c r="G196" s="179"/>
      <c r="H196" s="190"/>
      <c r="I196" s="190"/>
      <c r="K196" s="187"/>
      <c r="L196" s="184" t="str">
        <f>IFERROR(__xludf.DUMMYFUNCTION("ifna(IF(and(D196=""Saída"",J197=""Sangria""),if(sum(QUERY(IMPORTRANGE(""https://docs.google.com/spreadsheets/d/1E4szPcLzsqlw4uyBAoJ61L1ChCgpz4wVP8tHfHW1g_c"",""BD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'""&amp;YEAR(C196)&amp;""-""&amp;MONTH(C196)&amp;""-""&amp;DAY(C196)&amp;""'""))&gt;0,""Depositada"",if(sum(QUERY(IMPORTRANGE(""https://docs.google.com/spreadsheets/d/1EcLIvUgMoBC5as4ikW0wuQsGH5yVZ6cQ1y16qEfgPnk"",""BD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 t="str">
        <f>IFERROR(__xludf.DUMMYFUNCTION("ifna(VALUE(REGEXEXTRACT(E196,""[0-9.]+[,]+[0-9]+"")))"),"")</f>
        <v/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0"/>
      <c r="C197" s="11"/>
      <c r="D197" s="179"/>
      <c r="E197" s="180"/>
      <c r="F197" s="181"/>
      <c r="G197" s="179"/>
      <c r="H197" s="190"/>
      <c r="I197" s="190"/>
      <c r="J197" s="187"/>
      <c r="K197" s="187"/>
      <c r="L197" s="184" t="str">
        <f>IFERROR(__xludf.DUMMYFUNCTION("ifna(IF(and(D197=""Saída"",J198=""Sangria""),if(sum(QUERY(IMPORTRANGE(""https://docs.google.com/spreadsheets/d/1E4szPcLzsqlw4uyBAoJ61L1ChCgpz4wVP8tHfHW1g_c"",""BD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'""&amp;YEAR(C197)&amp;""-""&amp;MONTH(C197)&amp;""-""&amp;DAY(C197)&amp;""'""))&gt;0,""Depositada"",if(sum(QUERY(IMPORTRANGE(""https://docs.google.com/spreadsheets/d/1EcLIvUgMoBC5as4ikW0wuQsGH5yVZ6cQ1y16qEfgPnk"",""BD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 t="str">
        <f>IFERROR(__xludf.DUMMYFUNCTION("ifna(VALUE(REGEXEXTRACT(E197,""[0-9.]+[,]+[0-9]+"")))"),"")</f>
        <v/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0"/>
      <c r="C198" s="11"/>
      <c r="D198" s="179"/>
      <c r="E198" s="180"/>
      <c r="F198" s="181"/>
      <c r="G198" s="179"/>
      <c r="H198" s="190"/>
      <c r="I198" s="190"/>
      <c r="J198" s="187"/>
      <c r="K198" s="187"/>
      <c r="L198" s="184"/>
      <c r="M198" s="185" t="str">
        <f>IFERROR(__xludf.DUMMYFUNCTION("ifna(VALUE(REGEXEXTRACT(E198,""[0-9.]+[,]+[0-9]+"")))"),"")</f>
        <v/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0"/>
      <c r="C199" s="11"/>
      <c r="D199" s="179"/>
      <c r="E199" s="180"/>
      <c r="F199" s="181"/>
      <c r="G199" s="179"/>
      <c r="H199" s="190"/>
      <c r="I199" s="190"/>
      <c r="J199" s="187"/>
      <c r="K199" s="187"/>
      <c r="L199" s="184" t="str">
        <f>IFERROR(__xludf.DUMMYFUNCTION("ifna(IF(and(D199=""Saída"",J199=""Sangria""),if(sum(QUERY(IMPORTRANGE(""https://docs.google.com/spreadsheets/d/1E4szPcLzsqlw4uyBAoJ61L1ChCgpz4wVP8tHfHW1g_c"",""BD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'""&amp;YEAR(C199)&amp;""-""&amp;MONTH(C199)&amp;""-""&amp;DAY(C199)&amp;""'""))&gt;0,""Depositada"",if(sum(QUERY(IMPORTRANGE(""https://docs.google.com/spreadsheets/d/1EcLIvUgMoBC5as4ikW0wuQsGH5yVZ6cQ1y16qEfgPnk"",""BD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 t="str">
        <f>IFERROR(__xludf.DUMMYFUNCTION("ifna(VALUE(REGEXEXTRACT(E199,""[0-9.]+[,]+[0-9]+"")))"),"")</f>
        <v/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0"/>
      <c r="C200" s="11"/>
      <c r="D200" s="179"/>
      <c r="E200" s="180"/>
      <c r="F200" s="181"/>
      <c r="G200" s="179"/>
      <c r="H200" s="190"/>
      <c r="I200" s="190"/>
      <c r="J200" s="187"/>
      <c r="K200" s="187"/>
      <c r="L200" s="184" t="str">
        <f>IFERROR(__xludf.DUMMYFUNCTION("ifna(IF(and(D200=""Saída"",J200=""Sangria""),if(sum(QUERY(IMPORTRANGE(""https://docs.google.com/spreadsheets/d/1E4szPcLzsqlw4uyBAoJ61L1ChCgpz4wVP8tHfHW1g_c"",""BD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'""&amp;YEAR(C200)&amp;""-""&amp;MONTH(C200)&amp;""-""&amp;DAY(C200)&amp;""'""))&gt;0,""Depositada"",if(sum(QUERY(IMPORTRANGE(""https://docs.google.com/spreadsheets/d/1EcLIvUgMoBC5as4ikW0wuQsGH5yVZ6cQ1y16qEfgPnk"",""BD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 t="str">
        <f>IFERROR(__xludf.DUMMYFUNCTION("ifna(VALUE(REGEXEXTRACT(E200,""[0-9.]+[,]+[0-9]+"")))"),"")</f>
        <v/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0"/>
      <c r="C201" s="11"/>
      <c r="D201" s="179"/>
      <c r="E201" s="180"/>
      <c r="F201" s="181"/>
      <c r="G201" s="179"/>
      <c r="H201" s="190"/>
      <c r="I201" s="190"/>
      <c r="J201" s="187"/>
      <c r="K201" s="187"/>
      <c r="L201" s="184" t="str">
        <f>IFERROR(__xludf.DUMMYFUNCTION("ifna(IF(and(D201=""Saída"",J201=""Sangria""),if(sum(QUERY(IMPORTRANGE(""https://docs.google.com/spreadsheets/d/1E4szPcLzsqlw4uyBAoJ61L1ChCgpz4wVP8tHfHW1g_c"",""BD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'""&amp;YEAR(C201)&amp;""-""&amp;MONTH(C201)&amp;""-""&amp;DAY(C201)&amp;""'""))&gt;0,""Depositada"",if(sum(QUERY(IMPORTRANGE(""https://docs.google.com/spreadsheets/d/1EcLIvUgMoBC5as4ikW0wuQsGH5yVZ6cQ1y16qEfgPnk"",""BD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 t="str">
        <f>IFERROR(__xludf.DUMMYFUNCTION("ifna(VALUE(REGEXEXTRACT(E201,""[0-9.]+[,]+[0-9]+"")))"),"")</f>
        <v/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0"/>
      <c r="C202" s="11"/>
      <c r="D202" s="179"/>
      <c r="E202" s="180"/>
      <c r="F202" s="181"/>
      <c r="G202" s="179"/>
      <c r="H202" s="190"/>
      <c r="I202" s="190"/>
      <c r="J202" s="187"/>
      <c r="K202" s="187"/>
      <c r="L202" s="184" t="str">
        <f>IFERROR(__xludf.DUMMYFUNCTION("ifna(IF(and(D202=""Saída"",J202=""Sangria""),if(sum(QUERY(IMPORTRANGE(""https://docs.google.com/spreadsheets/d/1E4szPcLzsqlw4uyBAoJ61L1ChCgpz4wVP8tHfHW1g_c"",""BD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'""&amp;YEAR(C202)&amp;""-""&amp;MONTH(C202)&amp;""-""&amp;DAY(C202)&amp;""'""))&gt;0,""Depositada"",if(sum(QUERY(IMPORTRANGE(""https://docs.google.com/spreadsheets/d/1EcLIvUgMoBC5as4ikW0wuQsGH5yVZ6cQ1y16qEfgPnk"",""BD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 t="str">
        <f>IFERROR(__xludf.DUMMYFUNCTION("ifna(VALUE(REGEXEXTRACT(E202,""[0-9.]+[,]+[0-9]+"")))"),"")</f>
        <v/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0"/>
      <c r="C203" s="11"/>
      <c r="D203" s="179"/>
      <c r="E203" s="180"/>
      <c r="F203" s="181"/>
      <c r="G203" s="179"/>
      <c r="H203" s="190"/>
      <c r="I203" s="190"/>
      <c r="J203" s="187"/>
      <c r="K203" s="187"/>
      <c r="L203" s="184" t="str">
        <f>IFERROR(__xludf.DUMMYFUNCTION("ifna(IF(and(D203=""Saída"",J203=""Sangria""),if(sum(QUERY(IMPORTRANGE(""https://docs.google.com/spreadsheets/d/1E4szPcLzsqlw4uyBAoJ61L1ChCgpz4wVP8tHfHW1g_c"",""BD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'""&amp;YEAR(C203)&amp;""-""&amp;MONTH(C203)&amp;""-""&amp;DAY(C203)&amp;""'""))&gt;0,""Depositada"",if(sum(QUERY(IMPORTRANGE(""https://docs.google.com/spreadsheets/d/1EcLIvUgMoBC5as4ikW0wuQsGH5yVZ6cQ1y16qEfgPnk"",""BD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 t="str">
        <f>IFERROR(__xludf.DUMMYFUNCTION("ifna(VALUE(REGEXEXTRACT(E203,""[0-9.]+[,]+[0-9]+"")))"),"")</f>
        <v/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0"/>
      <c r="C204" s="11"/>
      <c r="D204" s="179"/>
      <c r="E204" s="180"/>
      <c r="F204" s="181"/>
      <c r="G204" s="179"/>
      <c r="H204" s="190"/>
      <c r="I204" s="190"/>
      <c r="J204" s="187"/>
      <c r="K204" s="187"/>
      <c r="L204" s="184" t="str">
        <f>IFERROR(__xludf.DUMMYFUNCTION("ifna(IF(and(D204=""Saída"",J204=""Sangria""),if(sum(QUERY(IMPORTRANGE(""https://docs.google.com/spreadsheets/d/1E4szPcLzsqlw4uyBAoJ61L1ChCgpz4wVP8tHfHW1g_c"",""BD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'""&amp;YEAR(C204)&amp;""-""&amp;MONTH(C204)&amp;""-""&amp;DAY(C204)&amp;""'""))&gt;0,""Depositada"",if(sum(QUERY(IMPORTRANGE(""https://docs.google.com/spreadsheets/d/1EcLIvUgMoBC5as4ikW0wuQsGH5yVZ6cQ1y16qEfgPnk"",""BD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 t="str">
        <f>IFERROR(__xludf.DUMMYFUNCTION("ifna(VALUE(REGEXEXTRACT(E204,""[0-9.]+[,]+[0-9]+"")))"),"")</f>
        <v/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0"/>
      <c r="C205" s="11"/>
      <c r="D205" s="179"/>
      <c r="E205" s="180"/>
      <c r="F205" s="188"/>
      <c r="G205" s="179"/>
      <c r="H205" s="190"/>
      <c r="I205" s="190"/>
      <c r="J205" s="187"/>
      <c r="K205" s="187"/>
      <c r="L205" s="184" t="str">
        <f>IFERROR(__xludf.DUMMYFUNCTION("ifna(IF(and(D205=""Saída"",J205=""Sangria""),if(sum(QUERY(IMPORTRANGE(""https://docs.google.com/spreadsheets/d/1E4szPcLzsqlw4uyBAoJ61L1ChCgpz4wVP8tHfHW1g_c"",""BD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'""&amp;YEAR(C205)&amp;""-""&amp;MONTH(C205)&amp;""-""&amp;DAY(C205)&amp;""'""))&gt;0,""Depositada"",if(sum(QUERY(IMPORTRANGE(""https://docs.google.com/spreadsheets/d/1EcLIvUgMoBC5as4ikW0wuQsGH5yVZ6cQ1y16qEfgPnk"",""BD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 t="str">
        <f>IFERROR(__xludf.DUMMYFUNCTION("ifna(VALUE(REGEXEXTRACT(E205,""[0-9.]+[,]+[0-9]+"")))"),"")</f>
        <v/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0"/>
      <c r="C206" s="11"/>
      <c r="D206" s="179"/>
      <c r="E206" s="180"/>
      <c r="F206" s="181"/>
      <c r="G206" s="179"/>
      <c r="H206" s="190"/>
      <c r="I206" s="190"/>
      <c r="J206" s="187"/>
      <c r="K206" s="187"/>
      <c r="L206" s="184" t="str">
        <f>IFERROR(__xludf.DUMMYFUNCTION("ifna(IF(and(D206=""Saída"",J206=""Sangria""),if(sum(QUERY(IMPORTRANGE(""https://docs.google.com/spreadsheets/d/1E4szPcLzsqlw4uyBAoJ61L1ChCgpz4wVP8tHfHW1g_c"",""BD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'""&amp;YEAR(C206)&amp;""-""&amp;MONTH(C206)&amp;""-""&amp;DAY(C206)&amp;""'""))&gt;0,""Depositada"",if(sum(QUERY(IMPORTRANGE(""https://docs.google.com/spreadsheets/d/1EcLIvUgMoBC5as4ikW0wuQsGH5yVZ6cQ1y16qEfgPnk"",""BD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 t="str">
        <f>IFERROR(__xludf.DUMMYFUNCTION("ifna(VALUE(REGEXEXTRACT(E206,""[0-9.]+[,]+[0-9]+"")))"),"")</f>
        <v/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0"/>
      <c r="C207" s="11"/>
      <c r="D207" s="179"/>
      <c r="E207" s="180"/>
      <c r="F207" s="181"/>
      <c r="G207" s="179"/>
      <c r="H207" s="190"/>
      <c r="I207" s="190"/>
      <c r="J207" s="187"/>
      <c r="K207" s="187"/>
      <c r="L207" s="184" t="str">
        <f>IFERROR(__xludf.DUMMYFUNCTION("ifna(IF(and(D207=""Saída"",J207=""Sangria""),if(sum(QUERY(IMPORTRANGE(""https://docs.google.com/spreadsheets/d/1E4szPcLzsqlw4uyBAoJ61L1ChCgpz4wVP8tHfHW1g_c"",""BD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'""&amp;YEAR(C207)&amp;""-""&amp;MONTH(C207)&amp;""-""&amp;DAY(C207)&amp;""'""))&gt;0,""Depositada"",if(sum(QUERY(IMPORTRANGE(""https://docs.google.com/spreadsheets/d/1EcLIvUgMoBC5as4ikW0wuQsGH5yVZ6cQ1y16qEfgPnk"",""BD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 t="str">
        <f>IFERROR(__xludf.DUMMYFUNCTION("ifna(VALUE(REGEXEXTRACT(E207,""[0-9.]+[,]+[0-9]+"")))"),"")</f>
        <v/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0"/>
      <c r="C208" s="11"/>
      <c r="D208" s="179"/>
      <c r="E208" s="180"/>
      <c r="F208" s="181"/>
      <c r="G208" s="179"/>
      <c r="H208" s="190"/>
      <c r="I208" s="190"/>
      <c r="J208" s="187"/>
      <c r="K208" s="187"/>
      <c r="L208" s="184"/>
      <c r="M208" s="185" t="str">
        <f>IFERROR(__xludf.DUMMYFUNCTION("ifna(VALUE(REGEXEXTRACT(E208,""[0-9.]+[,]+[0-9]+"")))"),"")</f>
        <v/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0"/>
      <c r="C209" s="11"/>
      <c r="D209" s="179"/>
      <c r="E209" s="180"/>
      <c r="F209" s="181"/>
      <c r="G209" s="179"/>
      <c r="H209" s="190"/>
      <c r="I209" s="190"/>
      <c r="K209" s="187"/>
      <c r="L209" s="184" t="str">
        <f>IFERROR(__xludf.DUMMYFUNCTION("ifna(IF(and(D209=""Saída"",J208=""Sangria""),if(sum(QUERY(IMPORTRANGE(""https://docs.google.com/spreadsheets/d/1E4szPcLzsqlw4uyBAoJ61L1ChCgpz4wVP8tHfHW1g_c"",""BD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'""&amp;YEAR(C209)&amp;""-""&amp;MONTH(C209)&amp;""-""&amp;DAY(C209)&amp;""'""))&gt;0,""Depositada"",if(sum(QUERY(IMPORTRANGE(""https://docs.google.com/spreadsheets/d/1EcLIvUgMoBC5as4ikW0wuQsGH5yVZ6cQ1y16qEfgPnk"",""BD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 t="str">
        <f>IFERROR(__xludf.DUMMYFUNCTION("ifna(VALUE(REGEXEXTRACT(E209,""[0-9.]+[,]+[0-9]+"")))"),"")</f>
        <v/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0"/>
      <c r="C210" s="11"/>
      <c r="D210" s="179"/>
      <c r="E210" s="180"/>
      <c r="F210" s="188"/>
      <c r="G210" s="179"/>
      <c r="H210" s="190"/>
      <c r="I210" s="190"/>
      <c r="J210" s="187"/>
      <c r="K210" s="187"/>
      <c r="L210" s="184" t="str">
        <f>IFERROR(__xludf.DUMMYFUNCTION("ifna(IF(and(D210=""Saída"",J210=""Sangria""),if(sum(QUERY(IMPORTRANGE(""https://docs.google.com/spreadsheets/d/1E4szPcLzsqlw4uyBAoJ61L1ChCgpz4wVP8tHfHW1g_c"",""BD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'""&amp;YEAR(C210)&amp;""-""&amp;MONTH(C210)&amp;""-""&amp;DAY(C210)&amp;""'""))&gt;0,""Depositada"",if(sum(QUERY(IMPORTRANGE(""https://docs.google.com/spreadsheets/d/1EcLIvUgMoBC5as4ikW0wuQsGH5yVZ6cQ1y16qEfgPnk"",""BD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 t="str">
        <f>IFERROR(__xludf.DUMMYFUNCTION("ifna(VALUE(REGEXEXTRACT(E210,""[0-9.]+[,]+[0-9]+"")))"),"")</f>
        <v/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0"/>
      <c r="C211" s="11"/>
      <c r="D211" s="179"/>
      <c r="E211" s="180"/>
      <c r="F211" s="181"/>
      <c r="G211" s="179"/>
      <c r="H211" s="190"/>
      <c r="I211" s="190"/>
      <c r="J211" s="187"/>
      <c r="K211" s="187"/>
      <c r="L211" s="184" t="str">
        <f>IFERROR(__xludf.DUMMYFUNCTION("ifna(IF(and(D211=""Saída"",J211=""Sangria""),if(sum(QUERY(IMPORTRANGE(""https://docs.google.com/spreadsheets/d/1E4szPcLzsqlw4uyBAoJ61L1ChCgpz4wVP8tHfHW1g_c"",""BD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'""&amp;YEAR(C211)&amp;""-""&amp;MONTH(C211)&amp;""-""&amp;DAY(C211)&amp;""'""))&gt;0,""Depositada"",if(sum(QUERY(IMPORTRANGE(""https://docs.google.com/spreadsheets/d/1EcLIvUgMoBC5as4ikW0wuQsGH5yVZ6cQ1y16qEfgPnk"",""BD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 t="str">
        <f>IFERROR(__xludf.DUMMYFUNCTION("ifna(VALUE(REGEXEXTRACT(E211,""[0-9.]+[,]+[0-9]+"")))"),"")</f>
        <v/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0"/>
      <c r="C212" s="11"/>
      <c r="D212" s="179"/>
      <c r="E212" s="180"/>
      <c r="F212" s="188"/>
      <c r="G212" s="179"/>
      <c r="H212" s="190"/>
      <c r="I212" s="190"/>
      <c r="J212" s="187"/>
      <c r="K212" s="187"/>
      <c r="L212" s="184" t="str">
        <f>IFERROR(__xludf.DUMMYFUNCTION("ifna(IF(and(D212=""Saída"",J212=""Sangria""),if(sum(QUERY(IMPORTRANGE(""https://docs.google.com/spreadsheets/d/1E4szPcLzsqlw4uyBAoJ61L1ChCgpz4wVP8tHfHW1g_c"",""BD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'""&amp;YEAR(C212)&amp;""-""&amp;MONTH(C212)&amp;""-""&amp;DAY(C212)&amp;""'""))&gt;0,""Depositada"",if(sum(QUERY(IMPORTRANGE(""https://docs.google.com/spreadsheets/d/1EcLIvUgMoBC5as4ikW0wuQsGH5yVZ6cQ1y16qEfgPnk"",""BD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 t="str">
        <f>IFERROR(__xludf.DUMMYFUNCTION("ifna(VALUE(REGEXEXTRACT(E212,""[0-9.]+[,]+[0-9]+"")))"),"")</f>
        <v/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0"/>
      <c r="C213" s="11"/>
      <c r="D213" s="179"/>
      <c r="E213" s="180"/>
      <c r="F213" s="181"/>
      <c r="G213" s="179"/>
      <c r="H213" s="190"/>
      <c r="I213" s="190"/>
      <c r="J213" s="187"/>
      <c r="K213" s="187"/>
      <c r="L213" s="184" t="str">
        <f>IFERROR(__xludf.DUMMYFUNCTION("ifna(IF(and(D213=""Saída"",J213=""Sangria""),if(sum(QUERY(IMPORTRANGE(""https://docs.google.com/spreadsheets/d/1E4szPcLzsqlw4uyBAoJ61L1ChCgpz4wVP8tHfHW1g_c"",""BD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'""&amp;YEAR(C213)&amp;""-""&amp;MONTH(C213)&amp;""-""&amp;DAY(C213)&amp;""'""))&gt;0,""Depositada"",if(sum(QUERY(IMPORTRANGE(""https://docs.google.com/spreadsheets/d/1EcLIvUgMoBC5as4ikW0wuQsGH5yVZ6cQ1y16qEfgPnk"",""BD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 t="str">
        <f>IFERROR(__xludf.DUMMYFUNCTION("ifna(VALUE(REGEXEXTRACT(E213,""[0-9.]+[,]+[0-9]+"")))"),"")</f>
        <v/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0"/>
      <c r="C214" s="11"/>
      <c r="D214" s="179"/>
      <c r="E214" s="180"/>
      <c r="F214" s="181"/>
      <c r="G214" s="179"/>
      <c r="H214" s="190"/>
      <c r="I214" s="190"/>
      <c r="J214" s="187"/>
      <c r="K214" s="187"/>
      <c r="L214" s="184" t="str">
        <f>IFERROR(__xludf.DUMMYFUNCTION("ifna(IF(and(D214=""Saída"",J214=""Sangria""),if(sum(QUERY(IMPORTRANGE(""https://docs.google.com/spreadsheets/d/1E4szPcLzsqlw4uyBAoJ61L1ChCgpz4wVP8tHfHW1g_c"",""BD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'""&amp;YEAR(C214)&amp;""-""&amp;MONTH(C214)&amp;""-""&amp;DAY(C214)&amp;""'""))&gt;0,""Depositada"",if(sum(QUERY(IMPORTRANGE(""https://docs.google.com/spreadsheets/d/1EcLIvUgMoBC5as4ikW0wuQsGH5yVZ6cQ1y16qEfgPnk"",""BD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 t="str">
        <f>IFERROR(__xludf.DUMMYFUNCTION("ifna(VALUE(REGEXEXTRACT(#REF!,""[0-9.]+[,]+[0-9]+"")))"),"#REF!")</f>
        <v>#REF!</v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0"/>
      <c r="C215" s="11"/>
      <c r="D215" s="179"/>
      <c r="E215" s="180"/>
      <c r="F215" s="181"/>
      <c r="G215" s="179"/>
      <c r="H215" s="190"/>
      <c r="I215" s="190"/>
      <c r="J215" s="187"/>
      <c r="K215" s="187"/>
      <c r="L215" s="184" t="str">
        <f>IFERROR(__xludf.DUMMYFUNCTION("ifna(IF(and(D215=""Saída"",J215=""Sangria""),if(sum(QUERY(IMPORTRANGE(""https://docs.google.com/spreadsheets/d/1E4szPcLzsqlw4uyBAoJ61L1ChCgpz4wVP8tHfHW1g_c"",""BD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'""&amp;YEAR(C215)&amp;""-""&amp;MONTH(C215)&amp;""-""&amp;DAY(C215)&amp;""'""))&gt;0,""Depositada"",if(sum(QUERY(IMPORTRANGE(""https://docs.google.com/spreadsheets/d/1EcLIvUgMoBC5as4ikW0wuQsGH5yVZ6cQ1y16qEfgPnk"",""BD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 t="str">
        <f>IFERROR(__xludf.DUMMYFUNCTION("ifna(VALUE(REGEXEXTRACT(E214,""[0-9.]+[,]+[0-9]+"")))"),"")</f>
        <v/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0"/>
      <c r="C216" s="11"/>
      <c r="D216" s="179"/>
      <c r="E216" s="180"/>
      <c r="F216" s="188"/>
      <c r="G216" s="179"/>
      <c r="H216" s="190"/>
      <c r="I216" s="190"/>
      <c r="J216" s="187"/>
      <c r="K216" s="187"/>
      <c r="L216" s="184" t="str">
        <f>IFERROR(__xludf.DUMMYFUNCTION("ifna(IF(and(D216=""Saída"",J216=""Sangria""),if(sum(QUERY(IMPORTRANGE(""https://docs.google.com/spreadsheets/d/1E4szPcLzsqlw4uyBAoJ61L1ChCgpz4wVP8tHfHW1g_c"",""BD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'""&amp;YEAR(C216)&amp;""-""&amp;MONTH(C216)&amp;""-""&amp;DAY(C216)&amp;""'""))&gt;0,""Depositada"",if(sum(QUERY(IMPORTRANGE(""https://docs.google.com/spreadsheets/d/1EcLIvUgMoBC5as4ikW0wuQsGH5yVZ6cQ1y16qEfgPnk"",""BD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 t="str">
        <f>IFERROR(__xludf.DUMMYFUNCTION("ifna(VALUE(REGEXEXTRACT(E216,""[0-9.]+[,]+[0-9]+"")))"),"")</f>
        <v/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0"/>
      <c r="C217" s="11"/>
      <c r="D217" s="179"/>
      <c r="E217" s="180"/>
      <c r="F217" s="181"/>
      <c r="G217" s="179"/>
      <c r="H217" s="190"/>
      <c r="I217" s="190"/>
      <c r="J217" s="187"/>
      <c r="K217" s="187"/>
      <c r="L217" s="184" t="str">
        <f>IFERROR(__xludf.DUMMYFUNCTION("ifna(IF(and(D217=""Saída"",J217=""Sangria""),if(sum(QUERY(IMPORTRANGE(""https://docs.google.com/spreadsheets/d/1E4szPcLzsqlw4uyBAoJ61L1ChCgpz4wVP8tHfHW1g_c"",""BD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'""&amp;YEAR(C217)&amp;""-""&amp;MONTH(C217)&amp;""-""&amp;DAY(C217)&amp;""'""))&gt;0,""Depositada"",if(sum(QUERY(IMPORTRANGE(""https://docs.google.com/spreadsheets/d/1EcLIvUgMoBC5as4ikW0wuQsGH5yVZ6cQ1y16qEfgPnk"",""BD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 t="str">
        <f>IFERROR(__xludf.DUMMYFUNCTION("ifna(VALUE(REGEXEXTRACT(E217,""[0-9.]+[,]+[0-9]+"")))"),"")</f>
        <v/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0"/>
      <c r="C218" s="11"/>
      <c r="D218" s="179"/>
      <c r="E218" s="180"/>
      <c r="F218" s="181"/>
      <c r="G218" s="179"/>
      <c r="H218" s="190"/>
      <c r="I218" s="190"/>
      <c r="J218" s="187"/>
      <c r="K218" s="187"/>
      <c r="L218" s="184" t="str">
        <f>IFERROR(__xludf.DUMMYFUNCTION("ifna(IF(and(D218=""Saída"",J218=""Sangria""),if(sum(QUERY(IMPORTRANGE(""https://docs.google.com/spreadsheets/d/1E4szPcLzsqlw4uyBAoJ61L1ChCgpz4wVP8tHfHW1g_c"",""BD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'""&amp;YEAR(C218)&amp;""-""&amp;MONTH(C218)&amp;""-""&amp;DAY(C218)&amp;""'""))&gt;0,""Depositada"",if(sum(QUERY(IMPORTRANGE(""https://docs.google.com/spreadsheets/d/1EcLIvUgMoBC5as4ikW0wuQsGH5yVZ6cQ1y16qEfgPnk"",""BD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 t="str">
        <f>IFERROR(__xludf.DUMMYFUNCTION("ifna(VALUE(REGEXEXTRACT(E218,""[0-9.]+[,]+[0-9]+"")))"),"")</f>
        <v/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0"/>
      <c r="C219" s="11"/>
      <c r="D219" s="179"/>
      <c r="E219" s="180"/>
      <c r="F219" s="181"/>
      <c r="G219" s="179"/>
      <c r="H219" s="190"/>
      <c r="I219" s="190"/>
      <c r="J219" s="187"/>
      <c r="K219" s="187"/>
      <c r="L219" s="184" t="str">
        <f>IFERROR(__xludf.DUMMYFUNCTION("ifna(IF(and(D219=""Saída"",J219=""Sangria""),if(sum(QUERY(IMPORTRANGE(""https://docs.google.com/spreadsheets/d/1E4szPcLzsqlw4uyBAoJ61L1ChCgpz4wVP8tHfHW1g_c"",""BD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'""&amp;YEAR(C219)&amp;""-""&amp;MONTH(C219)&amp;""-""&amp;DAY(C219)&amp;""'""))&gt;0,""Depositada"",if(sum(QUERY(IMPORTRANGE(""https://docs.google.com/spreadsheets/d/1EcLIvUgMoBC5as4ikW0wuQsGH5yVZ6cQ1y16qEfgPnk"",""BD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 t="str">
        <f>IFERROR(__xludf.DUMMYFUNCTION("ifna(VALUE(REGEXEXTRACT(E219,""[0-9.]+[,]+[0-9]+"")))"),"")</f>
        <v/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0"/>
      <c r="C220" s="11"/>
      <c r="D220" s="179"/>
      <c r="E220" s="180"/>
      <c r="F220" s="181"/>
      <c r="G220" s="179"/>
      <c r="H220" s="190"/>
      <c r="I220" s="190"/>
      <c r="J220" s="187"/>
      <c r="K220" s="187"/>
      <c r="L220" s="184" t="str">
        <f>IFERROR(__xludf.DUMMYFUNCTION("ifna(IF(and(D220=""Saída"",J220=""Sangria""),if(sum(QUERY(IMPORTRANGE(""https://docs.google.com/spreadsheets/d/1E4szPcLzsqlw4uyBAoJ61L1ChCgpz4wVP8tHfHW1g_c"",""BD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'""&amp;YEAR(C220)&amp;""-""&amp;MONTH(C220)&amp;""-""&amp;DAY(C220)&amp;""'""))&gt;0,""Depositada"",if(sum(QUERY(IMPORTRANGE(""https://docs.google.com/spreadsheets/d/1EcLIvUgMoBC5as4ikW0wuQsGH5yVZ6cQ1y16qEfgPnk"",""BD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 t="str">
        <f>IFERROR(__xludf.DUMMYFUNCTION("ifna(VALUE(REGEXEXTRACT(E220,""[0-9.]+[,]+[0-9]+"")))"),"")</f>
        <v/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0"/>
      <c r="C221" s="11"/>
      <c r="D221" s="179"/>
      <c r="E221" s="180"/>
      <c r="F221" s="181"/>
      <c r="G221" s="179"/>
      <c r="H221" s="190"/>
      <c r="I221" s="190"/>
      <c r="J221" s="187"/>
      <c r="K221" s="187"/>
      <c r="L221" s="184" t="str">
        <f>IFERROR(__xludf.DUMMYFUNCTION("ifna(IF(and(D221=""Saída"",J221=""Sangria""),if(sum(QUERY(IMPORTRANGE(""https://docs.google.com/spreadsheets/d/1E4szPcLzsqlw4uyBAoJ61L1ChCgpz4wVP8tHfHW1g_c"",""BD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'""&amp;YEAR(C221)&amp;""-""&amp;MONTH(C221)&amp;""-""&amp;DAY(C221)&amp;""'""))&gt;0,""Depositada"",if(sum(QUERY(IMPORTRANGE(""https://docs.google.com/spreadsheets/d/1EcLIvUgMoBC5as4ikW0wuQsGH5yVZ6cQ1y16qEfgPnk"",""BD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 t="str">
        <f>IFERROR(__xludf.DUMMYFUNCTION("ifna(VALUE(REGEXEXTRACT(E221,""[0-9.]+[,]+[0-9]+"")))"),"")</f>
        <v/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0"/>
      <c r="C222" s="11"/>
      <c r="D222" s="179"/>
      <c r="E222" s="180"/>
      <c r="F222" s="181"/>
      <c r="G222" s="179"/>
      <c r="H222" s="190"/>
      <c r="I222" s="190"/>
      <c r="J222" s="187"/>
      <c r="K222" s="187"/>
      <c r="L222" s="184" t="str">
        <f>IFERROR(__xludf.DUMMYFUNCTION("ifna(IF(and(D222=""Saída"",J222=""Sangria""),if(sum(QUERY(IMPORTRANGE(""https://docs.google.com/spreadsheets/d/1E4szPcLzsqlw4uyBAoJ61L1ChCgpz4wVP8tHfHW1g_c"",""BD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'""&amp;YEAR(C222)&amp;""-""&amp;MONTH(C222)&amp;""-""&amp;DAY(C222)&amp;""'""))&gt;0,""Depositada"",if(sum(QUERY(IMPORTRANGE(""https://docs.google.com/spreadsheets/d/1EcLIvUgMoBC5as4ikW0wuQsGH5yVZ6cQ1y16qEfgPnk"",""BD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 t="str">
        <f>IFERROR(__xludf.DUMMYFUNCTION("ifna(VALUE(REGEXEXTRACT(E222,""[0-9.]+[,]+[0-9]+"")))"),"")</f>
        <v/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0"/>
      <c r="C223" s="11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IFERROR(__xludf.DUMMYFUNCTION("ifna(IF(and(D223=""Saída"",J223=""Sangria""),if(sum(QUERY(IMPORTRANGE(""https://docs.google.com/spreadsheets/d/1E4szPcLzsqlw4uyBAoJ61L1ChCgpz4wVP8tHfHW1g_c"",""BD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'""&amp;YEAR(C223)&amp;""-""&amp;MONTH(C223)&amp;""-""&amp;DAY(C223)&amp;""'""))&gt;0,""Depositada"",if(sum(QUERY(IMPORTRANGE(""https://docs.google.com/spreadsheets/d/1EcLIvUgMoBC5as4ikW0wuQsGH5yVZ6cQ1y16qEfgPnk"",""BD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0"/>
      <c r="C224" s="11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IFERROR(__xludf.DUMMYFUNCTION("ifna(IF(and(D224=""Saída"",J224=""Sangria""),if(sum(QUERY(IMPORTRANGE(""https://docs.google.com/spreadsheets/d/1E4szPcLzsqlw4uyBAoJ61L1ChCgpz4wVP8tHfHW1g_c"",""BD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'""&amp;YEAR(C224)&amp;""-""&amp;MONTH(C224)&amp;""-""&amp;DAY(C224)&amp;""'""))&gt;0,""Depositada"",if(sum(QUERY(IMPORTRANGE(""https://docs.google.com/spreadsheets/d/1EcLIvUgMoBC5as4ikW0wuQsGH5yVZ6cQ1y16qEfgPnk"",""BD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0"/>
      <c r="C225" s="11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IFERROR(__xludf.DUMMYFUNCTION("ifna(IF(and(D225=""Saída"",J225=""Sangria""),if(sum(QUERY(IMPORTRANGE(""https://docs.google.com/spreadsheets/d/1E4szPcLzsqlw4uyBAoJ61L1ChCgpz4wVP8tHfHW1g_c"",""BD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'""&amp;YEAR(C225)&amp;""-""&amp;MONTH(C225)&amp;""-""&amp;DAY(C225)&amp;""'""))&gt;0,""Depositada"",if(sum(QUERY(IMPORTRANGE(""https://docs.google.com/spreadsheets/d/1EcLIvUgMoBC5as4ikW0wuQsGH5yVZ6cQ1y16qEfgPnk"",""BD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0"/>
      <c r="C226" s="11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IFERROR(__xludf.DUMMYFUNCTION("ifna(IF(and(D226=""Saída"",J226=""Sangria""),if(sum(QUERY(IMPORTRANGE(""https://docs.google.com/spreadsheets/d/1E4szPcLzsqlw4uyBAoJ61L1ChCgpz4wVP8tHfHW1g_c"",""BD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'""&amp;YEAR(C226)&amp;""-""&amp;MONTH(C226)&amp;""-""&amp;DAY(C226)&amp;""'""))&gt;0,""Depositada"",if(sum(QUERY(IMPORTRANGE(""https://docs.google.com/spreadsheets/d/1EcLIvUgMoBC5as4ikW0wuQsGH5yVZ6cQ1y16qEfgPnk"",""BD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0"/>
      <c r="C227" s="11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IFERROR(__xludf.DUMMYFUNCTION("ifna(IF(and(D227=""Saída"",J227=""Sangria""),if(sum(QUERY(IMPORTRANGE(""https://docs.google.com/spreadsheets/d/1E4szPcLzsqlw4uyBAoJ61L1ChCgpz4wVP8tHfHW1g_c"",""BD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'""&amp;YEAR(C227)&amp;""-""&amp;MONTH(C227)&amp;""-""&amp;DAY(C227)&amp;""'""))&gt;0,""Depositada"",if(sum(QUERY(IMPORTRANGE(""https://docs.google.com/spreadsheets/d/1EcLIvUgMoBC5as4ikW0wuQsGH5yVZ6cQ1y16qEfgPnk"",""BD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0"/>
      <c r="C228" s="11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IFERROR(__xludf.DUMMYFUNCTION("ifna(IF(and(D228=""Saída"",J228=""Sangria""),if(sum(QUERY(IMPORTRANGE(""https://docs.google.com/spreadsheets/d/1E4szPcLzsqlw4uyBAoJ61L1ChCgpz4wVP8tHfHW1g_c"",""BD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'""&amp;YEAR(C228)&amp;""-""&amp;MONTH(C228)&amp;""-""&amp;DAY(C228)&amp;""'""))&gt;0,""Depositada"",if(sum(QUERY(IMPORTRANGE(""https://docs.google.com/spreadsheets/d/1EcLIvUgMoBC5as4ikW0wuQsGH5yVZ6cQ1y16qEfgPnk"",""BD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IFERROR(__xludf.DUMMYFUNCTION("ifna(IF(and(D229=""Saída"",J229=""Sangria""),if(sum(QUERY(IMPORTRANGE(""https://docs.google.com/spreadsheets/d/1E4szPcLzsqlw4uyBAoJ61L1ChCgpz4wVP8tHfHW1g_c"",""BD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'""&amp;YEAR(C229)&amp;""-""&amp;MONTH(C229)&amp;""-""&amp;DAY(C229)&amp;""'""))&gt;0,""Depositada"",if(sum(QUERY(IMPORTRANGE(""https://docs.google.com/spreadsheets/d/1EcLIvUgMoBC5as4ikW0wuQsGH5yVZ6cQ1y16qEfgPnk"",""BD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IFERROR(__xludf.DUMMYFUNCTION("ifna(IF(and(D230=""Saída"",J230=""Sangria""),if(sum(QUERY(IMPORTRANGE(""https://docs.google.com/spreadsheets/d/1E4szPcLzsqlw4uyBAoJ61L1ChCgpz4wVP8tHfHW1g_c"",""BD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'""&amp;YEAR(C230)&amp;""-""&amp;MONTH(C230)&amp;""-""&amp;DAY(C230)&amp;""'""))&gt;0,""Depositada"",if(sum(QUERY(IMPORTRANGE(""https://docs.google.com/spreadsheets/d/1EcLIvUgMoBC5as4ikW0wuQsGH5yVZ6cQ1y16qEfgPnk"",""BD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IFERROR(__xludf.DUMMYFUNCTION("ifna(IF(and(D231=""Saída"",J231=""Sangria""),if(sum(QUERY(IMPORTRANGE(""https://docs.google.com/spreadsheets/d/1E4szPcLzsqlw4uyBAoJ61L1ChCgpz4wVP8tHfHW1g_c"",""BD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'""&amp;YEAR(C231)&amp;""-""&amp;MONTH(C231)&amp;""-""&amp;DAY(C231)&amp;""'""))&gt;0,""Depositada"",if(sum(QUERY(IMPORTRANGE(""https://docs.google.com/spreadsheets/d/1EcLIvUgMoBC5as4ikW0wuQsGH5yVZ6cQ1y16qEfgPnk"",""BD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0"/>
      <c r="C232" s="11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IFERROR(__xludf.DUMMYFUNCTION("ifna(IF(and(D232=""Saída"",J232=""Sangria""),if(sum(QUERY(IMPORTRANGE(""https://docs.google.com/spreadsheets/d/1E4szPcLzsqlw4uyBAoJ61L1ChCgpz4wVP8tHfHW1g_c"",""BD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'""&amp;YEAR(C232)&amp;""-""&amp;MONTH(C232)&amp;""-""&amp;DAY(C232)&amp;""'""))&gt;0,""Depositada"",if(sum(QUERY(IMPORTRANGE(""https://docs.google.com/spreadsheets/d/1EcLIvUgMoBC5as4ikW0wuQsGH5yVZ6cQ1y16qEfgPnk"",""BD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IFERROR(__xludf.DUMMYFUNCTION("ifna(IF(and(D233=""Saída"",J233=""Sangria""),if(sum(QUERY(IMPORTRANGE(""https://docs.google.com/spreadsheets/d/1E4szPcLzsqlw4uyBAoJ61L1ChCgpz4wVP8tHfHW1g_c"",""BD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'""&amp;YEAR(C233)&amp;""-""&amp;MONTH(C233)&amp;""-""&amp;DAY(C233)&amp;""'""))&gt;0,""Depositada"",if(sum(QUERY(IMPORTRANGE(""https://docs.google.com/spreadsheets/d/1EcLIvUgMoBC5as4ikW0wuQsGH5yVZ6cQ1y16qEfgPnk"",""BD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0"/>
      <c r="C234" s="11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IFERROR(__xludf.DUMMYFUNCTION("ifna(IF(and(D234=""Saída"",J234=""Sangria""),if(sum(QUERY(IMPORTRANGE(""https://docs.google.com/spreadsheets/d/1E4szPcLzsqlw4uyBAoJ61L1ChCgpz4wVP8tHfHW1g_c"",""BD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'""&amp;YEAR(C234)&amp;""-""&amp;MONTH(C234)&amp;""-""&amp;DAY(C234)&amp;""'""))&gt;0,""Depositada"",if(sum(QUERY(IMPORTRANGE(""https://docs.google.com/spreadsheets/d/1EcLIvUgMoBC5as4ikW0wuQsGH5yVZ6cQ1y16qEfgPnk"",""BD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1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IFERROR(__xludf.DUMMYFUNCTION("ifna(IF(and(D235=""Saída"",J235=""Sangria""),if(sum(QUERY(IMPORTRANGE(""https://docs.google.com/spreadsheets/d/1E4szPcLzsqlw4uyBAoJ61L1ChCgpz4wVP8tHfHW1g_c"",""BD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'""&amp;YEAR(C235)&amp;""-""&amp;MONTH(C235)&amp;""-""&amp;DAY(C235)&amp;""'""))&gt;0,""Depositada"",if(sum(QUERY(IMPORTRANGE(""https://docs.google.com/spreadsheets/d/1EcLIvUgMoBC5as4ikW0wuQsGH5yVZ6cQ1y16qEfgPnk"",""BD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IFERROR(__xludf.DUMMYFUNCTION("ifna(IF(and(D236=""Saída"",J236=""Sangria""),if(sum(QUERY(IMPORTRANGE(""https://docs.google.com/spreadsheets/d/1E4szPcLzsqlw4uyBAoJ61L1ChCgpz4wVP8tHfHW1g_c"",""BD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'""&amp;YEAR(C236)&amp;""-""&amp;MONTH(C236)&amp;""-""&amp;DAY(C236)&amp;""'""))&gt;0,""Depositada"",if(sum(QUERY(IMPORTRANGE(""https://docs.google.com/spreadsheets/d/1EcLIvUgMoBC5as4ikW0wuQsGH5yVZ6cQ1y16qEfgPnk"",""BD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IFERROR(__xludf.DUMMYFUNCTION("ifna(IF(and(D237=""Saída"",J237=""Sangria""),if(sum(QUERY(IMPORTRANGE(""https://docs.google.com/spreadsheets/d/1E4szPcLzsqlw4uyBAoJ61L1ChCgpz4wVP8tHfHW1g_c"",""BD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'""&amp;YEAR(C237)&amp;""-""&amp;MONTH(C237)&amp;""-""&amp;DAY(C237)&amp;""'""))&gt;0,""Depositada"",if(sum(QUERY(IMPORTRANGE(""https://docs.google.com/spreadsheets/d/1EcLIvUgMoBC5as4ikW0wuQsGH5yVZ6cQ1y16qEfgPnk"",""BD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IFERROR(__xludf.DUMMYFUNCTION("ifna(IF(and(D238=""Saída"",J238=""Sangria""),if(sum(QUERY(IMPORTRANGE(""https://docs.google.com/spreadsheets/d/1E4szPcLzsqlw4uyBAoJ61L1ChCgpz4wVP8tHfHW1g_c"",""BD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'""&amp;YEAR(C238)&amp;""-""&amp;MONTH(C238)&amp;""-""&amp;DAY(C238)&amp;""'""))&gt;0,""Depositada"",if(sum(QUERY(IMPORTRANGE(""https://docs.google.com/spreadsheets/d/1EcLIvUgMoBC5as4ikW0wuQsGH5yVZ6cQ1y16qEfgPnk"",""BD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IFERROR(__xludf.DUMMYFUNCTION("ifna(IF(and(D239=""Saída"",J239=""Sangria""),if(sum(QUERY(IMPORTRANGE(""https://docs.google.com/spreadsheets/d/1E4szPcLzsqlw4uyBAoJ61L1ChCgpz4wVP8tHfHW1g_c"",""BD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'""&amp;YEAR(C239)&amp;""-""&amp;MONTH(C239)&amp;""-""&amp;DAY(C239)&amp;""'""))&gt;0,""Depositada"",if(sum(QUERY(IMPORTRANGE(""https://docs.google.com/spreadsheets/d/1EcLIvUgMoBC5as4ikW0wuQsGH5yVZ6cQ1y16qEfgPnk"",""BD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IFERROR(__xludf.DUMMYFUNCTION("ifna(IF(and(D240=""Saída"",J240=""Sangria""),if(sum(QUERY(IMPORTRANGE(""https://docs.google.com/spreadsheets/d/1E4szPcLzsqlw4uyBAoJ61L1ChCgpz4wVP8tHfHW1g_c"",""BD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'""&amp;YEAR(C240)&amp;""-""&amp;MONTH(C240)&amp;""-""&amp;DAY(C240)&amp;""'""))&gt;0,""Depositada"",if(sum(QUERY(IMPORTRANGE(""https://docs.google.com/spreadsheets/d/1EcLIvUgMoBC5as4ikW0wuQsGH5yVZ6cQ1y16qEfgPnk"",""BD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IFERROR(__xludf.DUMMYFUNCTION("ifna(IF(and(D241=""Saída"",J241=""Sangria""),if(sum(QUERY(IMPORTRANGE(""https://docs.google.com/spreadsheets/d/1E4szPcLzsqlw4uyBAoJ61L1ChCgpz4wVP8tHfHW1g_c"",""BD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'""&amp;YEAR(C241)&amp;""-""&amp;MONTH(C241)&amp;""-""&amp;DAY(C241)&amp;""'""))&gt;0,""Depositada"",if(sum(QUERY(IMPORTRANGE(""https://docs.google.com/spreadsheets/d/1EcLIvUgMoBC5as4ikW0wuQsGH5yVZ6cQ1y16qEfgPnk"",""BD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IFERROR(__xludf.DUMMYFUNCTION("ifna(IF(and(D242=""Saída"",J242=""Sangria""),if(sum(QUERY(IMPORTRANGE(""https://docs.google.com/spreadsheets/d/1E4szPcLzsqlw4uyBAoJ61L1ChCgpz4wVP8tHfHW1g_c"",""BD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'""&amp;YEAR(C242)&amp;""-""&amp;MONTH(C242)&amp;""-""&amp;DAY(C242)&amp;""'""))&gt;0,""Depositada"",if(sum(QUERY(IMPORTRANGE(""https://docs.google.com/spreadsheets/d/1EcLIvUgMoBC5as4ikW0wuQsGH5yVZ6cQ1y16qEfgPnk"",""BD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IFERROR(__xludf.DUMMYFUNCTION("ifna(IF(and(D243=""Saída"",J243=""Sangria""),if(sum(QUERY(IMPORTRANGE(""https://docs.google.com/spreadsheets/d/1E4szPcLzsqlw4uyBAoJ61L1ChCgpz4wVP8tHfHW1g_c"",""BD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'""&amp;YEAR(C243)&amp;""-""&amp;MONTH(C243)&amp;""-""&amp;DAY(C243)&amp;""'""))&gt;0,""Depositada"",if(sum(QUERY(IMPORTRANGE(""https://docs.google.com/spreadsheets/d/1EcLIvUgMoBC5as4ikW0wuQsGH5yVZ6cQ1y16qEfgPnk"",""BD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IFERROR(__xludf.DUMMYFUNCTION("ifna(IF(and(D244=""Saída"",J244=""Sangria""),if(sum(QUERY(IMPORTRANGE(""https://docs.google.com/spreadsheets/d/1E4szPcLzsqlw4uyBAoJ61L1ChCgpz4wVP8tHfHW1g_c"",""BD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'""&amp;YEAR(C244)&amp;""-""&amp;MONTH(C244)&amp;""-""&amp;DAY(C244)&amp;""'""))&gt;0,""Depositada"",if(sum(QUERY(IMPORTRANGE(""https://docs.google.com/spreadsheets/d/1EcLIvUgMoBC5as4ikW0wuQsGH5yVZ6cQ1y16qEfgPnk"",""BD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IFERROR(__xludf.DUMMYFUNCTION("ifna(IF(and(D245=""Saída"",J245=""Sangria""),if(sum(QUERY(IMPORTRANGE(""https://docs.google.com/spreadsheets/d/1E4szPcLzsqlw4uyBAoJ61L1ChCgpz4wVP8tHfHW1g_c"",""BD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'""&amp;YEAR(C245)&amp;""-""&amp;MONTH(C245)&amp;""-""&amp;DAY(C245)&amp;""'""))&gt;0,""Depositada"",if(sum(QUERY(IMPORTRANGE(""https://docs.google.com/spreadsheets/d/1EcLIvUgMoBC5as4ikW0wuQsGH5yVZ6cQ1y16qEfgPnk"",""BD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IFERROR(__xludf.DUMMYFUNCTION("ifna(IF(and(D246=""Saída"",J246=""Sangria""),if(sum(QUERY(IMPORTRANGE(""https://docs.google.com/spreadsheets/d/1E4szPcLzsqlw4uyBAoJ61L1ChCgpz4wVP8tHfHW1g_c"",""BD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'""&amp;YEAR(C246)&amp;""-""&amp;MONTH(C246)&amp;""-""&amp;DAY(C246)&amp;""'""))&gt;0,""Depositada"",if(sum(QUERY(IMPORTRANGE(""https://docs.google.com/spreadsheets/d/1EcLIvUgMoBC5as4ikW0wuQsGH5yVZ6cQ1y16qEfgPnk"",""BD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IFERROR(__xludf.DUMMYFUNCTION("ifna(IF(and(D247=""Saída"",J247=""Sangria""),if(sum(QUERY(IMPORTRANGE(""https://docs.google.com/spreadsheets/d/1E4szPcLzsqlw4uyBAoJ61L1ChCgpz4wVP8tHfHW1g_c"",""BD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'""&amp;YEAR(C247)&amp;""-""&amp;MONTH(C247)&amp;""-""&amp;DAY(C247)&amp;""'""))&gt;0,""Depositada"",if(sum(QUERY(IMPORTRANGE(""https://docs.google.com/spreadsheets/d/1EcLIvUgMoBC5as4ikW0wuQsGH5yVZ6cQ1y16qEfgPnk"",""BD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IFERROR(__xludf.DUMMYFUNCTION("ifna(IF(and(D248=""Saída"",J248=""Sangria""),if(sum(QUERY(IMPORTRANGE(""https://docs.google.com/spreadsheets/d/1E4szPcLzsqlw4uyBAoJ61L1ChCgpz4wVP8tHfHW1g_c"",""BD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'""&amp;YEAR(C248)&amp;""-""&amp;MONTH(C248)&amp;""-""&amp;DAY(C248)&amp;""'""))&gt;0,""Depositada"",if(sum(QUERY(IMPORTRANGE(""https://docs.google.com/spreadsheets/d/1EcLIvUgMoBC5as4ikW0wuQsGH5yVZ6cQ1y16qEfgPnk"",""BD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IFERROR(__xludf.DUMMYFUNCTION("ifna(IF(and(D249=""Saída"",J249=""Sangria""),if(sum(QUERY(IMPORTRANGE(""https://docs.google.com/spreadsheets/d/1E4szPcLzsqlw4uyBAoJ61L1ChCgpz4wVP8tHfHW1g_c"",""BD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'""&amp;YEAR(C249)&amp;""-""&amp;MONTH(C249)&amp;""-""&amp;DAY(C249)&amp;""'""))&gt;0,""Depositada"",if(sum(QUERY(IMPORTRANGE(""https://docs.google.com/spreadsheets/d/1EcLIvUgMoBC5as4ikW0wuQsGH5yVZ6cQ1y16qEfgPnk"",""BD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IFERROR(__xludf.DUMMYFUNCTION("ifna(IF(and(D250=""Saída"",J250=""Sangria""),if(sum(QUERY(IMPORTRANGE(""https://docs.google.com/spreadsheets/d/1E4szPcLzsqlw4uyBAoJ61L1ChCgpz4wVP8tHfHW1g_c"",""BD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'""&amp;YEAR(C250)&amp;""-""&amp;MONTH(C250)&amp;""-""&amp;DAY(C250)&amp;""'""))&gt;0,""Depositada"",if(sum(QUERY(IMPORTRANGE(""https://docs.google.com/spreadsheets/d/1EcLIvUgMoBC5as4ikW0wuQsGH5yVZ6cQ1y16qEfgPnk"",""BD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IFERROR(__xludf.DUMMYFUNCTION("ifna(IF(and(D251=""Saída"",J251=""Sangria""),if(sum(QUERY(IMPORTRANGE(""https://docs.google.com/spreadsheets/d/1E4szPcLzsqlw4uyBAoJ61L1ChCgpz4wVP8tHfHW1g_c"",""BD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'""&amp;YEAR(C251)&amp;""-""&amp;MONTH(C251)&amp;""-""&amp;DAY(C251)&amp;""'""))&gt;0,""Depositada"",if(sum(QUERY(IMPORTRANGE(""https://docs.google.com/spreadsheets/d/1EcLIvUgMoBC5as4ikW0wuQsGH5yVZ6cQ1y16qEfgPnk"",""BD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IFERROR(__xludf.DUMMYFUNCTION("ifna(IF(and(D252=""Saída"",J252=""Sangria""),if(sum(QUERY(IMPORTRANGE(""https://docs.google.com/spreadsheets/d/1E4szPcLzsqlw4uyBAoJ61L1ChCgpz4wVP8tHfHW1g_c"",""BD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'""&amp;YEAR(C252)&amp;""-""&amp;MONTH(C252)&amp;""-""&amp;DAY(C252)&amp;""'""))&gt;0,""Depositada"",if(sum(QUERY(IMPORTRANGE(""https://docs.google.com/spreadsheets/d/1EcLIvUgMoBC5as4ikW0wuQsGH5yVZ6cQ1y16qEfgPnk"",""BD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IFERROR(__xludf.DUMMYFUNCTION("ifna(IF(and(D253=""Saída"",J253=""Sangria""),if(sum(QUERY(IMPORTRANGE(""https://docs.google.com/spreadsheets/d/1E4szPcLzsqlw4uyBAoJ61L1ChCgpz4wVP8tHfHW1g_c"",""BD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'""&amp;YEAR(C253)&amp;""-""&amp;MONTH(C253)&amp;""-""&amp;DAY(C253)&amp;""'""))&gt;0,""Depositada"",if(sum(QUERY(IMPORTRANGE(""https://docs.google.com/spreadsheets/d/1EcLIvUgMoBC5as4ikW0wuQsGH5yVZ6cQ1y16qEfgPnk"",""BD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IFERROR(__xludf.DUMMYFUNCTION("ifna(IF(and(D254=""Saída"",J254=""Sangria""),if(sum(QUERY(IMPORTRANGE(""https://docs.google.com/spreadsheets/d/1E4szPcLzsqlw4uyBAoJ61L1ChCgpz4wVP8tHfHW1g_c"",""BD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'""&amp;YEAR(C254)&amp;""-""&amp;MONTH(C254)&amp;""-""&amp;DAY(C254)&amp;""'""))&gt;0,""Depositada"",if(sum(QUERY(IMPORTRANGE(""https://docs.google.com/spreadsheets/d/1EcLIvUgMoBC5as4ikW0wuQsGH5yVZ6cQ1y16qEfgPnk"",""BD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IFERROR(__xludf.DUMMYFUNCTION("ifna(IF(and(D255=""Saída"",J255=""Sangria""),if(sum(QUERY(IMPORTRANGE(""https://docs.google.com/spreadsheets/d/1E4szPcLzsqlw4uyBAoJ61L1ChCgpz4wVP8tHfHW1g_c"",""BD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'""&amp;YEAR(C255)&amp;""-""&amp;MONTH(C255)&amp;""-""&amp;DAY(C255)&amp;""'""))&gt;0,""Depositada"",if(sum(QUERY(IMPORTRANGE(""https://docs.google.com/spreadsheets/d/1EcLIvUgMoBC5as4ikW0wuQsGH5yVZ6cQ1y16qEfgPnk"",""BD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IFERROR(__xludf.DUMMYFUNCTION("ifna(IF(and(D256=""Saída"",J256=""Sangria""),if(sum(QUERY(IMPORTRANGE(""https://docs.google.com/spreadsheets/d/1E4szPcLzsqlw4uyBAoJ61L1ChCgpz4wVP8tHfHW1g_c"",""BD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'""&amp;YEAR(C256)&amp;""-""&amp;MONTH(C256)&amp;""-""&amp;DAY(C256)&amp;""'""))&gt;0,""Depositada"",if(sum(QUERY(IMPORTRANGE(""https://docs.google.com/spreadsheets/d/1EcLIvUgMoBC5as4ikW0wuQsGH5yVZ6cQ1y16qEfgPnk"",""BD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IFERROR(__xludf.DUMMYFUNCTION("ifna(IF(and(D257=""Saída"",J257=""Sangria""),if(sum(QUERY(IMPORTRANGE(""https://docs.google.com/spreadsheets/d/1E4szPcLzsqlw4uyBAoJ61L1ChCgpz4wVP8tHfHW1g_c"",""BD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'""&amp;YEAR(C257)&amp;""-""&amp;MONTH(C257)&amp;""-""&amp;DAY(C257)&amp;""'""))&gt;0,""Depositada"",if(sum(QUERY(IMPORTRANGE(""https://docs.google.com/spreadsheets/d/1EcLIvUgMoBC5as4ikW0wuQsGH5yVZ6cQ1y16qEfgPnk"",""BD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IFERROR(__xludf.DUMMYFUNCTION("ifna(IF(and(D258=""Saída"",J258=""Sangria""),if(sum(QUERY(IMPORTRANGE(""https://docs.google.com/spreadsheets/d/1E4szPcLzsqlw4uyBAoJ61L1ChCgpz4wVP8tHfHW1g_c"",""BD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'""&amp;YEAR(C258)&amp;""-""&amp;MONTH(C258)&amp;""-""&amp;DAY(C258)&amp;""'""))&gt;0,""Depositada"",if(sum(QUERY(IMPORTRANGE(""https://docs.google.com/spreadsheets/d/1EcLIvUgMoBC5as4ikW0wuQsGH5yVZ6cQ1y16qEfgPnk"",""BD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IFERROR(__xludf.DUMMYFUNCTION("ifna(IF(and(D259=""Saída"",J259=""Sangria""),if(sum(QUERY(IMPORTRANGE(""https://docs.google.com/spreadsheets/d/1E4szPcLzsqlw4uyBAoJ61L1ChCgpz4wVP8tHfHW1g_c"",""BD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'""&amp;YEAR(C259)&amp;""-""&amp;MONTH(C259)&amp;""-""&amp;DAY(C259)&amp;""'""))&gt;0,""Depositada"",if(sum(QUERY(IMPORTRANGE(""https://docs.google.com/spreadsheets/d/1EcLIvUgMoBC5as4ikW0wuQsGH5yVZ6cQ1y16qEfgPnk"",""BD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IFERROR(__xludf.DUMMYFUNCTION("ifna(IF(and(D260=""Saída"",J260=""Sangria""),if(sum(QUERY(IMPORTRANGE(""https://docs.google.com/spreadsheets/d/1E4szPcLzsqlw4uyBAoJ61L1ChCgpz4wVP8tHfHW1g_c"",""BD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'""&amp;YEAR(C260)&amp;""-""&amp;MONTH(C260)&amp;""-""&amp;DAY(C260)&amp;""'""))&gt;0,""Depositada"",if(sum(QUERY(IMPORTRANGE(""https://docs.google.com/spreadsheets/d/1EcLIvUgMoBC5as4ikW0wuQsGH5yVZ6cQ1y16qEfgPnk"",""BD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IFERROR(__xludf.DUMMYFUNCTION("ifna(IF(and(D261=""Saída"",J261=""Sangria""),if(sum(QUERY(IMPORTRANGE(""https://docs.google.com/spreadsheets/d/1E4szPcLzsqlw4uyBAoJ61L1ChCgpz4wVP8tHfHW1g_c"",""BD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'""&amp;YEAR(C261)&amp;""-""&amp;MONTH(C261)&amp;""-""&amp;DAY(C261)&amp;""'""))&gt;0,""Depositada"",if(sum(QUERY(IMPORTRANGE(""https://docs.google.com/spreadsheets/d/1EcLIvUgMoBC5as4ikW0wuQsGH5yVZ6cQ1y16qEfgPnk"",""BD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IFERROR(__xludf.DUMMYFUNCTION("ifna(IF(and(D262=""Saída"",J262=""Sangria""),if(sum(QUERY(IMPORTRANGE(""https://docs.google.com/spreadsheets/d/1E4szPcLzsqlw4uyBAoJ61L1ChCgpz4wVP8tHfHW1g_c"",""BD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'""&amp;YEAR(C262)&amp;""-""&amp;MONTH(C262)&amp;""-""&amp;DAY(C262)&amp;""'""))&gt;0,""Depositada"",if(sum(QUERY(IMPORTRANGE(""https://docs.google.com/spreadsheets/d/1EcLIvUgMoBC5as4ikW0wuQsGH5yVZ6cQ1y16qEfgPnk"",""BD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IFERROR(__xludf.DUMMYFUNCTION("ifna(IF(and(D263=""Saída"",J263=""Sangria""),if(sum(QUERY(IMPORTRANGE(""https://docs.google.com/spreadsheets/d/1E4szPcLzsqlw4uyBAoJ61L1ChCgpz4wVP8tHfHW1g_c"",""BD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'""&amp;YEAR(C263)&amp;""-""&amp;MONTH(C263)&amp;""-""&amp;DAY(C263)&amp;""'""))&gt;0,""Depositada"",if(sum(QUERY(IMPORTRANGE(""https://docs.google.com/spreadsheets/d/1EcLIvUgMoBC5as4ikW0wuQsGH5yVZ6cQ1y16qEfgPnk"",""BD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IFERROR(__xludf.DUMMYFUNCTION("ifna(IF(and(D264=""Saída"",J264=""Sangria""),if(sum(QUERY(IMPORTRANGE(""https://docs.google.com/spreadsheets/d/1E4szPcLzsqlw4uyBAoJ61L1ChCgpz4wVP8tHfHW1g_c"",""BD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'""&amp;YEAR(C264)&amp;""-""&amp;MONTH(C264)&amp;""-""&amp;DAY(C264)&amp;""'""))&gt;0,""Depositada"",if(sum(QUERY(IMPORTRANGE(""https://docs.google.com/spreadsheets/d/1EcLIvUgMoBC5as4ikW0wuQsGH5yVZ6cQ1y16qEfgPnk"",""BD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IFERROR(__xludf.DUMMYFUNCTION("ifna(IF(and(D265=""Saída"",J265=""Sangria""),if(sum(QUERY(IMPORTRANGE(""https://docs.google.com/spreadsheets/d/1E4szPcLzsqlw4uyBAoJ61L1ChCgpz4wVP8tHfHW1g_c"",""BD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'""&amp;YEAR(C265)&amp;""-""&amp;MONTH(C265)&amp;""-""&amp;DAY(C265)&amp;""'""))&gt;0,""Depositada"",if(sum(QUERY(IMPORTRANGE(""https://docs.google.com/spreadsheets/d/1EcLIvUgMoBC5as4ikW0wuQsGH5yVZ6cQ1y16qEfgPnk"",""BD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IFERROR(__xludf.DUMMYFUNCTION("ifna(IF(and(D266=""Saída"",J266=""Sangria""),if(sum(QUERY(IMPORTRANGE(""https://docs.google.com/spreadsheets/d/1E4szPcLzsqlw4uyBAoJ61L1ChCgpz4wVP8tHfHW1g_c"",""BD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'""&amp;YEAR(C266)&amp;""-""&amp;MONTH(C266)&amp;""-""&amp;DAY(C266)&amp;""'""))&gt;0,""Depositada"",if(sum(QUERY(IMPORTRANGE(""https://docs.google.com/spreadsheets/d/1EcLIvUgMoBC5as4ikW0wuQsGH5yVZ6cQ1y16qEfgPnk"",""BD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IFERROR(__xludf.DUMMYFUNCTION("ifna(IF(and(D267=""Saída"",J267=""Sangria""),if(sum(QUERY(IMPORTRANGE(""https://docs.google.com/spreadsheets/d/1E4szPcLzsqlw4uyBAoJ61L1ChCgpz4wVP8tHfHW1g_c"",""BD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'""&amp;YEAR(C267)&amp;""-""&amp;MONTH(C267)&amp;""-""&amp;DAY(C267)&amp;""'""))&gt;0,""Depositada"",if(sum(QUERY(IMPORTRANGE(""https://docs.google.com/spreadsheets/d/1EcLIvUgMoBC5as4ikW0wuQsGH5yVZ6cQ1y16qEfgPnk"",""BD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184" t="str">
        <f>IFERROR(__xludf.DUMMYFUNCTION("ifna(IF(and(D268=""Saída"",J268=""Sangria""),if(sum(QUERY(IMPORTRANGE(""https://docs.google.com/spreadsheets/d/1E4szPcLzsqlw4uyBAoJ61L1ChCgpz4wVP8tHfHW1g_c"",""BD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'""&amp;YEAR(C268)&amp;""-""&amp;MONTH(C268)&amp;""-""&amp;DAY(C268)&amp;""'""))&gt;0,""Depositada"",if(sum(QUERY(IMPORTRANGE(""https://docs.google.com/spreadsheets/d/1EcLIvUgMoBC5as4ikW0wuQsGH5yVZ6cQ1y16qEfgPnk"",""BD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IFERROR(__xludf.DUMMYFUNCTION("ifna(IF(and(D269=""Saída"",J269=""Sangria""),if(sum(QUERY(IMPORTRANGE(""https://docs.google.com/spreadsheets/d/1E4szPcLzsqlw4uyBAoJ61L1ChCgpz4wVP8tHfHW1g_c"",""BD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'""&amp;YEAR(C269)&amp;""-""&amp;MONTH(C269)&amp;""-""&amp;DAY(C269)&amp;""'""))&gt;0,""Depositada"",if(sum(QUERY(IMPORTRANGE(""https://docs.google.com/spreadsheets/d/1EcLIvUgMoBC5as4ikW0wuQsGH5yVZ6cQ1y16qEfgPnk"",""BD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IFERROR(__xludf.DUMMYFUNCTION("ifna(IF(and(D270=""Saída"",J270=""Sangria""),if(sum(QUERY(IMPORTRANGE(""https://docs.google.com/spreadsheets/d/1E4szPcLzsqlw4uyBAoJ61L1ChCgpz4wVP8tHfHW1g_c"",""BD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'""&amp;YEAR(C270)&amp;""-""&amp;MONTH(C270)&amp;""-""&amp;DAY(C270)&amp;""'""))&gt;0,""Depositada"",if(sum(QUERY(IMPORTRANGE(""https://docs.google.com/spreadsheets/d/1EcLIvUgMoBC5as4ikW0wuQsGH5yVZ6cQ1y16qEfgPnk"",""BD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IFERROR(__xludf.DUMMYFUNCTION("ifna(IF(and(D271=""Saída"",J271=""Sangria""),if(sum(QUERY(IMPORTRANGE(""https://docs.google.com/spreadsheets/d/1E4szPcLzsqlw4uyBAoJ61L1ChCgpz4wVP8tHfHW1g_c"",""BD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'""&amp;YEAR(C271)&amp;""-""&amp;MONTH(C271)&amp;""-""&amp;DAY(C271)&amp;""'""))&gt;0,""Depositada"",if(sum(QUERY(IMPORTRANGE(""https://docs.google.com/spreadsheets/d/1EcLIvUgMoBC5as4ikW0wuQsGH5yVZ6cQ1y16qEfgPnk"",""BD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IFERROR(__xludf.DUMMYFUNCTION("ifna(IF(and(D272=""Saída"",J272=""Sangria""),if(sum(QUERY(IMPORTRANGE(""https://docs.google.com/spreadsheets/d/1E4szPcLzsqlw4uyBAoJ61L1ChCgpz4wVP8tHfHW1g_c"",""BD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'""&amp;YEAR(C272)&amp;""-""&amp;MONTH(C272)&amp;""-""&amp;DAY(C272)&amp;""'""))&gt;0,""Depositada"",if(sum(QUERY(IMPORTRANGE(""https://docs.google.com/spreadsheets/d/1EcLIvUgMoBC5as4ikW0wuQsGH5yVZ6cQ1y16qEfgPnk"",""BD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IFERROR(__xludf.DUMMYFUNCTION("ifna(IF(and(D273=""Saída"",J273=""Sangria""),if(sum(QUERY(IMPORTRANGE(""https://docs.google.com/spreadsheets/d/1E4szPcLzsqlw4uyBAoJ61L1ChCgpz4wVP8tHfHW1g_c"",""BD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'""&amp;YEAR(C273)&amp;""-""&amp;MONTH(C273)&amp;""-""&amp;DAY(C273)&amp;""'""))&gt;0,""Depositada"",if(sum(QUERY(IMPORTRANGE(""https://docs.google.com/spreadsheets/d/1EcLIvUgMoBC5as4ikW0wuQsGH5yVZ6cQ1y16qEfgPnk"",""BD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IFERROR(__xludf.DUMMYFUNCTION("ifna(IF(and(D274=""Saída"",J274=""Sangria""),if(sum(QUERY(IMPORTRANGE(""https://docs.google.com/spreadsheets/d/1E4szPcLzsqlw4uyBAoJ61L1ChCgpz4wVP8tHfHW1g_c"",""BD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'""&amp;YEAR(C274)&amp;""-""&amp;MONTH(C274)&amp;""-""&amp;DAY(C274)&amp;""'""))&gt;0,""Depositada"",if(sum(QUERY(IMPORTRANGE(""https://docs.google.com/spreadsheets/d/1EcLIvUgMoBC5as4ikW0wuQsGH5yVZ6cQ1y16qEfgPnk"",""BD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IFERROR(__xludf.DUMMYFUNCTION("ifna(IF(and(D275=""Saída"",J275=""Sangria""),if(sum(QUERY(IMPORTRANGE(""https://docs.google.com/spreadsheets/d/1E4szPcLzsqlw4uyBAoJ61L1ChCgpz4wVP8tHfHW1g_c"",""BD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'""&amp;YEAR(C275)&amp;""-""&amp;MONTH(C275)&amp;""-""&amp;DAY(C275)&amp;""'""))&gt;0,""Depositada"",if(sum(QUERY(IMPORTRANGE(""https://docs.google.com/spreadsheets/d/1EcLIvUgMoBC5as4ikW0wuQsGH5yVZ6cQ1y16qEfgPnk"",""BD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IFERROR(__xludf.DUMMYFUNCTION("ifna(IF(and(D276=""Saída"",J276=""Sangria""),if(sum(QUERY(IMPORTRANGE(""https://docs.google.com/spreadsheets/d/1E4szPcLzsqlw4uyBAoJ61L1ChCgpz4wVP8tHfHW1g_c"",""BD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'""&amp;YEAR(C276)&amp;""-""&amp;MONTH(C276)&amp;""-""&amp;DAY(C276)&amp;""'""))&gt;0,""Depositada"",if(sum(QUERY(IMPORTRANGE(""https://docs.google.com/spreadsheets/d/1EcLIvUgMoBC5as4ikW0wuQsGH5yVZ6cQ1y16qEfgPnk"",""BD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IFERROR(__xludf.DUMMYFUNCTION("ifna(IF(and(D277=""Saída"",J277=""Sangria""),if(sum(QUERY(IMPORTRANGE(""https://docs.google.com/spreadsheets/d/1E4szPcLzsqlw4uyBAoJ61L1ChCgpz4wVP8tHfHW1g_c"",""BD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'""&amp;YEAR(C277)&amp;""-""&amp;MONTH(C277)&amp;""-""&amp;DAY(C277)&amp;""'""))&gt;0,""Depositada"",if(sum(QUERY(IMPORTRANGE(""https://docs.google.com/spreadsheets/d/1EcLIvUgMoBC5as4ikW0wuQsGH5yVZ6cQ1y16qEfgPnk"",""BD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IFERROR(__xludf.DUMMYFUNCTION("ifna(IF(and(D278=""Saída"",J278=""Sangria""),if(sum(QUERY(IMPORTRANGE(""https://docs.google.com/spreadsheets/d/1E4szPcLzsqlw4uyBAoJ61L1ChCgpz4wVP8tHfHW1g_c"",""BD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'""&amp;YEAR(C278)&amp;""-""&amp;MONTH(C278)&amp;""-""&amp;DAY(C278)&amp;""'""))&gt;0,""Depositada"",if(sum(QUERY(IMPORTRANGE(""https://docs.google.com/spreadsheets/d/1EcLIvUgMoBC5as4ikW0wuQsGH5yVZ6cQ1y16qEfgPnk"",""BD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IFERROR(__xludf.DUMMYFUNCTION("ifna(IF(and(D279=""Saída"",J279=""Sangria""),if(sum(QUERY(IMPORTRANGE(""https://docs.google.com/spreadsheets/d/1E4szPcLzsqlw4uyBAoJ61L1ChCgpz4wVP8tHfHW1g_c"",""BD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'""&amp;YEAR(C279)&amp;""-""&amp;MONTH(C279)&amp;""-""&amp;DAY(C279)&amp;""'""))&gt;0,""Depositada"",if(sum(QUERY(IMPORTRANGE(""https://docs.google.com/spreadsheets/d/1EcLIvUgMoBC5as4ikW0wuQsGH5yVZ6cQ1y16qEfgPnk"",""BD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IFERROR(__xludf.DUMMYFUNCTION("ifna(IF(and(D280=""Saída"",J280=""Sangria""),if(sum(QUERY(IMPORTRANGE(""https://docs.google.com/spreadsheets/d/1E4szPcLzsqlw4uyBAoJ61L1ChCgpz4wVP8tHfHW1g_c"",""BD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'""&amp;YEAR(C280)&amp;""-""&amp;MONTH(C280)&amp;""-""&amp;DAY(C280)&amp;""'""))&gt;0,""Depositada"",if(sum(QUERY(IMPORTRANGE(""https://docs.google.com/spreadsheets/d/1EcLIvUgMoBC5as4ikW0wuQsGH5yVZ6cQ1y16qEfgPnk"",""BD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IFERROR(__xludf.DUMMYFUNCTION("ifna(IF(and(D281=""Saída"",J281=""Sangria""),if(sum(QUERY(IMPORTRANGE(""https://docs.google.com/spreadsheets/d/1E4szPcLzsqlw4uyBAoJ61L1ChCgpz4wVP8tHfHW1g_c"",""BD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'""&amp;YEAR(C281)&amp;""-""&amp;MONTH(C281)&amp;""-""&amp;DAY(C281)&amp;""'""))&gt;0,""Depositada"",if(sum(QUERY(IMPORTRANGE(""https://docs.google.com/spreadsheets/d/1EcLIvUgMoBC5as4ikW0wuQsGH5yVZ6cQ1y16qEfgPnk"",""BD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IFERROR(__xludf.DUMMYFUNCTION("ifna(IF(and(D282=""Saída"",J282=""Sangria""),if(sum(QUERY(IMPORTRANGE(""https://docs.google.com/spreadsheets/d/1E4szPcLzsqlw4uyBAoJ61L1ChCgpz4wVP8tHfHW1g_c"",""BD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'""&amp;YEAR(C282)&amp;""-""&amp;MONTH(C282)&amp;""-""&amp;DAY(C282)&amp;""'""))&gt;0,""Depositada"",if(sum(QUERY(IMPORTRANGE(""https://docs.google.com/spreadsheets/d/1EcLIvUgMoBC5as4ikW0wuQsGH5yVZ6cQ1y16qEfgPnk"",""BD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IFERROR(__xludf.DUMMYFUNCTION("ifna(IF(and(D283=""Saída"",J283=""Sangria""),if(sum(QUERY(IMPORTRANGE(""https://docs.google.com/spreadsheets/d/1E4szPcLzsqlw4uyBAoJ61L1ChCgpz4wVP8tHfHW1g_c"",""BD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'""&amp;YEAR(C283)&amp;""-""&amp;MONTH(C283)&amp;""-""&amp;DAY(C283)&amp;""'""))&gt;0,""Depositada"",if(sum(QUERY(IMPORTRANGE(""https://docs.google.com/spreadsheets/d/1EcLIvUgMoBC5as4ikW0wuQsGH5yVZ6cQ1y16qEfgPnk"",""BD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IFERROR(__xludf.DUMMYFUNCTION("ifna(IF(and(D284=""Saída"",J284=""Sangria""),if(sum(QUERY(IMPORTRANGE(""https://docs.google.com/spreadsheets/d/1E4szPcLzsqlw4uyBAoJ61L1ChCgpz4wVP8tHfHW1g_c"",""BD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'""&amp;YEAR(C284)&amp;""-""&amp;MONTH(C284)&amp;""-""&amp;DAY(C284)&amp;""'""))&gt;0,""Depositada"",if(sum(QUERY(IMPORTRANGE(""https://docs.google.com/spreadsheets/d/1EcLIvUgMoBC5as4ikW0wuQsGH5yVZ6cQ1y16qEfgPnk"",""BD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IFERROR(__xludf.DUMMYFUNCTION("ifna(IF(and(D285=""Saída"",J285=""Sangria""),if(sum(QUERY(IMPORTRANGE(""https://docs.google.com/spreadsheets/d/1E4szPcLzsqlw4uyBAoJ61L1ChCgpz4wVP8tHfHW1g_c"",""BD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'""&amp;YEAR(C285)&amp;""-""&amp;MONTH(C285)&amp;""-""&amp;DAY(C285)&amp;""'""))&gt;0,""Depositada"",if(sum(QUERY(IMPORTRANGE(""https://docs.google.com/spreadsheets/d/1EcLIvUgMoBC5as4ikW0wuQsGH5yVZ6cQ1y16qEfgPnk"",""BD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IFERROR(__xludf.DUMMYFUNCTION("ifna(IF(and(D286=""Saída"",J286=""Sangria""),if(sum(QUERY(IMPORTRANGE(""https://docs.google.com/spreadsheets/d/1E4szPcLzsqlw4uyBAoJ61L1ChCgpz4wVP8tHfHW1g_c"",""BD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'""&amp;YEAR(C286)&amp;""-""&amp;MONTH(C286)&amp;""-""&amp;DAY(C286)&amp;""'""))&gt;0,""Depositada"",if(sum(QUERY(IMPORTRANGE(""https://docs.google.com/spreadsheets/d/1EcLIvUgMoBC5as4ikW0wuQsGH5yVZ6cQ1y16qEfgPnk"",""BD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184" t="str">
        <f>IFERROR(__xludf.DUMMYFUNCTION("ifna(IF(and(D287=""Saída"",J287=""Sangria""),if(sum(QUERY(IMPORTRANGE(""https://docs.google.com/spreadsheets/d/1E4szPcLzsqlw4uyBAoJ61L1ChCgpz4wVP8tHfHW1g_c"",""BD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'""&amp;YEAR(C287)&amp;""-""&amp;MONTH(C287)&amp;""-""&amp;DAY(C287)&amp;""'""))&gt;0,""Depositada"",if(sum(QUERY(IMPORTRANGE(""https://docs.google.com/spreadsheets/d/1EcLIvUgMoBC5as4ikW0wuQsGH5yVZ6cQ1y16qEfgPnk"",""BD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IFERROR(__xludf.DUMMYFUNCTION("ifna(IF(and(D288=""Saída"",J288=""Sangria""),if(sum(QUERY(IMPORTRANGE(""https://docs.google.com/spreadsheets/d/1E4szPcLzsqlw4uyBAoJ61L1ChCgpz4wVP8tHfHW1g_c"",""BD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'""&amp;YEAR(C288)&amp;""-""&amp;MONTH(C288)&amp;""-""&amp;DAY(C288)&amp;""'""))&gt;0,""Depositada"",if(sum(QUERY(IMPORTRANGE(""https://docs.google.com/spreadsheets/d/1EcLIvUgMoBC5as4ikW0wuQsGH5yVZ6cQ1y16qEfgPnk"",""BD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IFERROR(__xludf.DUMMYFUNCTION("ifna(IF(and(D289=""Saída"",J289=""Sangria""),if(sum(QUERY(IMPORTRANGE(""https://docs.google.com/spreadsheets/d/1E4szPcLzsqlw4uyBAoJ61L1ChCgpz4wVP8tHfHW1g_c"",""BD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'""&amp;YEAR(C289)&amp;""-""&amp;MONTH(C289)&amp;""-""&amp;DAY(C289)&amp;""'""))&gt;0,""Depositada"",if(sum(QUERY(IMPORTRANGE(""https://docs.google.com/spreadsheets/d/1EcLIvUgMoBC5as4ikW0wuQsGH5yVZ6cQ1y16qEfgPnk"",""BD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IFERROR(__xludf.DUMMYFUNCTION("ifna(IF(and(D290=""Saída"",J290=""Sangria""),if(sum(QUERY(IMPORTRANGE(""https://docs.google.com/spreadsheets/d/1E4szPcLzsqlw4uyBAoJ61L1ChCgpz4wVP8tHfHW1g_c"",""BD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'""&amp;YEAR(C290)&amp;""-""&amp;MONTH(C290)&amp;""-""&amp;DAY(C290)&amp;""'""))&gt;0,""Depositada"",if(sum(QUERY(IMPORTRANGE(""https://docs.google.com/spreadsheets/d/1EcLIvUgMoBC5as4ikW0wuQsGH5yVZ6cQ1y16qEfgPnk"",""BD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IFERROR(__xludf.DUMMYFUNCTION("ifna(IF(and(D291=""Saída"",J291=""Sangria""),if(sum(QUERY(IMPORTRANGE(""https://docs.google.com/spreadsheets/d/1E4szPcLzsqlw4uyBAoJ61L1ChCgpz4wVP8tHfHW1g_c"",""BD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'""&amp;YEAR(C291)&amp;""-""&amp;MONTH(C291)&amp;""-""&amp;DAY(C291)&amp;""'""))&gt;0,""Depositada"",if(sum(QUERY(IMPORTRANGE(""https://docs.google.com/spreadsheets/d/1EcLIvUgMoBC5as4ikW0wuQsGH5yVZ6cQ1y16qEfgPnk"",""BD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IFERROR(__xludf.DUMMYFUNCTION("ifna(IF(and(D292=""Saída"",J292=""Sangria""),if(sum(QUERY(IMPORTRANGE(""https://docs.google.com/spreadsheets/d/1E4szPcLzsqlw4uyBAoJ61L1ChCgpz4wVP8tHfHW1g_c"",""BD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'""&amp;YEAR(C292)&amp;""-""&amp;MONTH(C292)&amp;""-""&amp;DAY(C292)&amp;""'""))&gt;0,""Depositada"",if(sum(QUERY(IMPORTRANGE(""https://docs.google.com/spreadsheets/d/1EcLIvUgMoBC5as4ikW0wuQsGH5yVZ6cQ1y16qEfgPnk"",""BD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IFERROR(__xludf.DUMMYFUNCTION("ifna(IF(and(D293=""Saída"",J293=""Sangria""),if(sum(QUERY(IMPORTRANGE(""https://docs.google.com/spreadsheets/d/1E4szPcLzsqlw4uyBAoJ61L1ChCgpz4wVP8tHfHW1g_c"",""BD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'""&amp;YEAR(C293)&amp;""-""&amp;MONTH(C293)&amp;""-""&amp;DAY(C293)&amp;""'""))&gt;0,""Depositada"",if(sum(QUERY(IMPORTRANGE(""https://docs.google.com/spreadsheets/d/1EcLIvUgMoBC5as4ikW0wuQsGH5yVZ6cQ1y16qEfgPnk"",""BD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IFERROR(__xludf.DUMMYFUNCTION("ifna(IF(and(D294=""Saída"",J294=""Sangria""),if(sum(QUERY(IMPORTRANGE(""https://docs.google.com/spreadsheets/d/1E4szPcLzsqlw4uyBAoJ61L1ChCgpz4wVP8tHfHW1g_c"",""BD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'""&amp;YEAR(C294)&amp;""-""&amp;MONTH(C294)&amp;""-""&amp;DAY(C294)&amp;""'""))&gt;0,""Depositada"",if(sum(QUERY(IMPORTRANGE(""https://docs.google.com/spreadsheets/d/1EcLIvUgMoBC5as4ikW0wuQsGH5yVZ6cQ1y16qEfgPnk"",""BD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IFERROR(__xludf.DUMMYFUNCTION("ifna(IF(and(D295=""Saída"",J295=""Sangria""),if(sum(QUERY(IMPORTRANGE(""https://docs.google.com/spreadsheets/d/1E4szPcLzsqlw4uyBAoJ61L1ChCgpz4wVP8tHfHW1g_c"",""BD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'""&amp;YEAR(C295)&amp;""-""&amp;MONTH(C295)&amp;""-""&amp;DAY(C295)&amp;""'""))&gt;0,""Depositada"",if(sum(QUERY(IMPORTRANGE(""https://docs.google.com/spreadsheets/d/1EcLIvUgMoBC5as4ikW0wuQsGH5yVZ6cQ1y16qEfgPnk"",""BD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IFERROR(__xludf.DUMMYFUNCTION("ifna(IF(and(D296=""Saída"",J296=""Sangria""),if(sum(QUERY(IMPORTRANGE(""https://docs.google.com/spreadsheets/d/1E4szPcLzsqlw4uyBAoJ61L1ChCgpz4wVP8tHfHW1g_c"",""BD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'""&amp;YEAR(C296)&amp;""-""&amp;MONTH(C296)&amp;""-""&amp;DAY(C296)&amp;""'""))&gt;0,""Depositada"",if(sum(QUERY(IMPORTRANGE(""https://docs.google.com/spreadsheets/d/1EcLIvUgMoBC5as4ikW0wuQsGH5yVZ6cQ1y16qEfgPnk"",""BD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IFERROR(__xludf.DUMMYFUNCTION("ifna(IF(and(D297=""Saída"",J297=""Sangria""),if(sum(QUERY(IMPORTRANGE(""https://docs.google.com/spreadsheets/d/1E4szPcLzsqlw4uyBAoJ61L1ChCgpz4wVP8tHfHW1g_c"",""BD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'""&amp;YEAR(C297)&amp;""-""&amp;MONTH(C297)&amp;""-""&amp;DAY(C297)&amp;""'""))&gt;0,""Depositada"",if(sum(QUERY(IMPORTRANGE(""https://docs.google.com/spreadsheets/d/1EcLIvUgMoBC5as4ikW0wuQsGH5yVZ6cQ1y16qEfgPnk"",""BD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IFERROR(__xludf.DUMMYFUNCTION("ifna(IF(and(D298=""Saída"",J298=""Sangria""),if(sum(QUERY(IMPORTRANGE(""https://docs.google.com/spreadsheets/d/1E4szPcLzsqlw4uyBAoJ61L1ChCgpz4wVP8tHfHW1g_c"",""BD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'""&amp;YEAR(C298)&amp;""-""&amp;MONTH(C298)&amp;""-""&amp;DAY(C298)&amp;""'""))&gt;0,""Depositada"",if(sum(QUERY(IMPORTRANGE(""https://docs.google.com/spreadsheets/d/1EcLIvUgMoBC5as4ikW0wuQsGH5yVZ6cQ1y16qEfgPnk"",""BD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IFERROR(__xludf.DUMMYFUNCTION("ifna(IF(and(D299=""Saída"",J299=""Sangria""),if(sum(QUERY(IMPORTRANGE(""https://docs.google.com/spreadsheets/d/1E4szPcLzsqlw4uyBAoJ61L1ChCgpz4wVP8tHfHW1g_c"",""BD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'""&amp;YEAR(C299)&amp;""-""&amp;MONTH(C299)&amp;""-""&amp;DAY(C299)&amp;""'""))&gt;0,""Depositada"",if(sum(QUERY(IMPORTRANGE(""https://docs.google.com/spreadsheets/d/1EcLIvUgMoBC5as4ikW0wuQsGH5yVZ6cQ1y16qEfgPnk"",""BD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IFERROR(__xludf.DUMMYFUNCTION("ifna(IF(and(D300=""Saída"",J300=""Sangria""),if(sum(QUERY(IMPORTRANGE(""https://docs.google.com/spreadsheets/d/1E4szPcLzsqlw4uyBAoJ61L1ChCgpz4wVP8tHfHW1g_c"",""BD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'""&amp;YEAR(C300)&amp;""-""&amp;MONTH(C300)&amp;""-""&amp;DAY(C300)&amp;""'""))&gt;0,""Depositada"",if(sum(QUERY(IMPORTRANGE(""https://docs.google.com/spreadsheets/d/1EcLIvUgMoBC5as4ikW0wuQsGH5yVZ6cQ1y16qEfgPnk"",""BD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IFERROR(__xludf.DUMMYFUNCTION("ifna(IF(and(D301=""Saída"",J301=""Sangria""),if(sum(QUERY(IMPORTRANGE(""https://docs.google.com/spreadsheets/d/1E4szPcLzsqlw4uyBAoJ61L1ChCgpz4wVP8tHfHW1g_c"",""BD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'""&amp;YEAR(C301)&amp;""-""&amp;MONTH(C301)&amp;""-""&amp;DAY(C301)&amp;""'""))&gt;0,""Depositada"",if(sum(QUERY(IMPORTRANGE(""https://docs.google.com/spreadsheets/d/1EcLIvUgMoBC5as4ikW0wuQsGH5yVZ6cQ1y16qEfgPnk"",""BD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IFERROR(__xludf.DUMMYFUNCTION("ifna(IF(and(D302=""Saída"",J302=""Sangria""),if(sum(QUERY(IMPORTRANGE(""https://docs.google.com/spreadsheets/d/1E4szPcLzsqlw4uyBAoJ61L1ChCgpz4wVP8tHfHW1g_c"",""BD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'""&amp;YEAR(C302)&amp;""-""&amp;MONTH(C302)&amp;""-""&amp;DAY(C302)&amp;""'""))&gt;0,""Depositada"",if(sum(QUERY(IMPORTRANGE(""https://docs.google.com/spreadsheets/d/1EcLIvUgMoBC5as4ikW0wuQsGH5yVZ6cQ1y16qEfgPnk"",""BD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IFERROR(__xludf.DUMMYFUNCTION("ifna(IF(and(D303=""Saída"",J303=""Sangria""),if(sum(QUERY(IMPORTRANGE(""https://docs.google.com/spreadsheets/d/1E4szPcLzsqlw4uyBAoJ61L1ChCgpz4wVP8tHfHW1g_c"",""BD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'""&amp;YEAR(C303)&amp;""-""&amp;MONTH(C303)&amp;""-""&amp;DAY(C303)&amp;""'""))&gt;0,""Depositada"",if(sum(QUERY(IMPORTRANGE(""https://docs.google.com/spreadsheets/d/1EcLIvUgMoBC5as4ikW0wuQsGH5yVZ6cQ1y16qEfgPnk"",""BD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184" t="str">
        <f>IFERROR(__xludf.DUMMYFUNCTION("ifna(IF(and(D304=""Saída"",J304=""Sangria""),if(sum(QUERY(IMPORTRANGE(""https://docs.google.com/spreadsheets/d/1E4szPcLzsqlw4uyBAoJ61L1ChCgpz4wVP8tHfHW1g_c"",""BD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'""&amp;YEAR(C304)&amp;""-""&amp;MONTH(C304)&amp;""-""&amp;DAY(C304)&amp;""'""))&gt;0,""Depositada"",if(sum(QUERY(IMPORTRANGE(""https://docs.google.com/spreadsheets/d/1EcLIvUgMoBC5as4ikW0wuQsGH5yVZ6cQ1y16qEfgPnk"",""BD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184" t="str">
        <f>IFERROR(__xludf.DUMMYFUNCTION("ifna(IF(and(D305=""Saída"",J305=""Sangria""),if(sum(QUERY(IMPORTRANGE(""https://docs.google.com/spreadsheets/d/1E4szPcLzsqlw4uyBAoJ61L1ChCgpz4wVP8tHfHW1g_c"",""BD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'""&amp;YEAR(C305)&amp;""-""&amp;MONTH(C305)&amp;""-""&amp;DAY(C305)&amp;""'""))&gt;0,""Depositada"",if(sum(QUERY(IMPORTRANGE(""https://docs.google.com/spreadsheets/d/1EcLIvUgMoBC5as4ikW0wuQsGH5yVZ6cQ1y16qEfgPnk"",""BD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IFERROR(__xludf.DUMMYFUNCTION("ifna(IF(and(D306=""Saída"",J306=""Sangria""),if(sum(QUERY(IMPORTRANGE(""https://docs.google.com/spreadsheets/d/1E4szPcLzsqlw4uyBAoJ61L1ChCgpz4wVP8tHfHW1g_c"",""BD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'""&amp;YEAR(C306)&amp;""-""&amp;MONTH(C306)&amp;""-""&amp;DAY(C306)&amp;""'""))&gt;0,""Depositada"",if(sum(QUERY(IMPORTRANGE(""https://docs.google.com/spreadsheets/d/1EcLIvUgMoBC5as4ikW0wuQsGH5yVZ6cQ1y16qEfgPnk"",""BD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IFERROR(__xludf.DUMMYFUNCTION("ifna(IF(and(D307=""Saída"",J307=""Sangria""),if(sum(QUERY(IMPORTRANGE(""https://docs.google.com/spreadsheets/d/1E4szPcLzsqlw4uyBAoJ61L1ChCgpz4wVP8tHfHW1g_c"",""BD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'""&amp;YEAR(C307)&amp;""-""&amp;MONTH(C307)&amp;""-""&amp;DAY(C307)&amp;""'""))&gt;0,""Depositada"",if(sum(QUERY(IMPORTRANGE(""https://docs.google.com/spreadsheets/d/1EcLIvUgMoBC5as4ikW0wuQsGH5yVZ6cQ1y16qEfgPnk"",""BD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IFERROR(__xludf.DUMMYFUNCTION("ifna(IF(and(D308=""Saída"",J308=""Sangria""),if(sum(QUERY(IMPORTRANGE(""https://docs.google.com/spreadsheets/d/1E4szPcLzsqlw4uyBAoJ61L1ChCgpz4wVP8tHfHW1g_c"",""BD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'""&amp;YEAR(C308)&amp;""-""&amp;MONTH(C308)&amp;""-""&amp;DAY(C308)&amp;""'""))&gt;0,""Depositada"",if(sum(QUERY(IMPORTRANGE(""https://docs.google.com/spreadsheets/d/1EcLIvUgMoBC5as4ikW0wuQsGH5yVZ6cQ1y16qEfgPnk"",""BD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184" t="str">
        <f>IFERROR(__xludf.DUMMYFUNCTION("ifna(IF(and(D309=""Saída"",J309=""Sangria""),if(sum(QUERY(IMPORTRANGE(""https://docs.google.com/spreadsheets/d/1E4szPcLzsqlw4uyBAoJ61L1ChCgpz4wVP8tHfHW1g_c"",""BD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'""&amp;YEAR(C309)&amp;""-""&amp;MONTH(C309)&amp;""-""&amp;DAY(C309)&amp;""'""))&gt;0,""Depositada"",if(sum(QUERY(IMPORTRANGE(""https://docs.google.com/spreadsheets/d/1EcLIvUgMoBC5as4ikW0wuQsGH5yVZ6cQ1y16qEfgPnk"",""BD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IFERROR(__xludf.DUMMYFUNCTION("ifna(IF(and(D310=""Saída"",J310=""Sangria""),if(sum(QUERY(IMPORTRANGE(""https://docs.google.com/spreadsheets/d/1E4szPcLzsqlw4uyBAoJ61L1ChCgpz4wVP8tHfHW1g_c"",""BD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'""&amp;YEAR(C310)&amp;""-""&amp;MONTH(C310)&amp;""-""&amp;DAY(C310)&amp;""'""))&gt;0,""Depositada"",if(sum(QUERY(IMPORTRANGE(""https://docs.google.com/spreadsheets/d/1EcLIvUgMoBC5as4ikW0wuQsGH5yVZ6cQ1y16qEfgPnk"",""BD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IFERROR(__xludf.DUMMYFUNCTION("ifna(IF(and(D311=""Saída"",J311=""Sangria""),if(sum(QUERY(IMPORTRANGE(""https://docs.google.com/spreadsheets/d/1E4szPcLzsqlw4uyBAoJ61L1ChCgpz4wVP8tHfHW1g_c"",""BD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'""&amp;YEAR(C311)&amp;""-""&amp;MONTH(C311)&amp;""-""&amp;DAY(C311)&amp;""'""))&gt;0,""Depositada"",if(sum(QUERY(IMPORTRANGE(""https://docs.google.com/spreadsheets/d/1EcLIvUgMoBC5as4ikW0wuQsGH5yVZ6cQ1y16qEfgPnk"",""BD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IFERROR(__xludf.DUMMYFUNCTION("ifna(IF(and(D312=""Saída"",J312=""Sangria""),if(sum(QUERY(IMPORTRANGE(""https://docs.google.com/spreadsheets/d/1E4szPcLzsqlw4uyBAoJ61L1ChCgpz4wVP8tHfHW1g_c"",""BD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'""&amp;YEAR(C312)&amp;""-""&amp;MONTH(C312)&amp;""-""&amp;DAY(C312)&amp;""'""))&gt;0,""Depositada"",if(sum(QUERY(IMPORTRANGE(""https://docs.google.com/spreadsheets/d/1EcLIvUgMoBC5as4ikW0wuQsGH5yVZ6cQ1y16qEfgPnk"",""BD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IFERROR(__xludf.DUMMYFUNCTION("ifna(IF(and(D313=""Saída"",J313=""Sangria""),if(sum(QUERY(IMPORTRANGE(""https://docs.google.com/spreadsheets/d/1E4szPcLzsqlw4uyBAoJ61L1ChCgpz4wVP8tHfHW1g_c"",""BD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'""&amp;YEAR(C313)&amp;""-""&amp;MONTH(C313)&amp;""-""&amp;DAY(C313)&amp;""'""))&gt;0,""Depositada"",if(sum(QUERY(IMPORTRANGE(""https://docs.google.com/spreadsheets/d/1EcLIvUgMoBC5as4ikW0wuQsGH5yVZ6cQ1y16qEfgPnk"",""BD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IFERROR(__xludf.DUMMYFUNCTION("ifna(IF(and(D314=""Saída"",J314=""Sangria""),if(sum(QUERY(IMPORTRANGE(""https://docs.google.com/spreadsheets/d/1E4szPcLzsqlw4uyBAoJ61L1ChCgpz4wVP8tHfHW1g_c"",""BD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'""&amp;YEAR(C314)&amp;""-""&amp;MONTH(C314)&amp;""-""&amp;DAY(C314)&amp;""'""))&gt;0,""Depositada"",if(sum(QUERY(IMPORTRANGE(""https://docs.google.com/spreadsheets/d/1EcLIvUgMoBC5as4ikW0wuQsGH5yVZ6cQ1y16qEfgPnk"",""BD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IFERROR(__xludf.DUMMYFUNCTION("ifna(IF(and(D315=""Saída"",J315=""Sangria""),if(sum(QUERY(IMPORTRANGE(""https://docs.google.com/spreadsheets/d/1E4szPcLzsqlw4uyBAoJ61L1ChCgpz4wVP8tHfHW1g_c"",""BD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'""&amp;YEAR(C315)&amp;""-""&amp;MONTH(C315)&amp;""-""&amp;DAY(C315)&amp;""'""))&gt;0,""Depositada"",if(sum(QUERY(IMPORTRANGE(""https://docs.google.com/spreadsheets/d/1EcLIvUgMoBC5as4ikW0wuQsGH5yVZ6cQ1y16qEfgPnk"",""BD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IFERROR(__xludf.DUMMYFUNCTION("ifna(IF(and(D316=""Saída"",J316=""Sangria""),if(sum(QUERY(IMPORTRANGE(""https://docs.google.com/spreadsheets/d/1E4szPcLzsqlw4uyBAoJ61L1ChCgpz4wVP8tHfHW1g_c"",""BD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'""&amp;YEAR(C316)&amp;""-""&amp;MONTH(C316)&amp;""-""&amp;DAY(C316)&amp;""'""))&gt;0,""Depositada"",if(sum(QUERY(IMPORTRANGE(""https://docs.google.com/spreadsheets/d/1EcLIvUgMoBC5as4ikW0wuQsGH5yVZ6cQ1y16qEfgPnk"",""BD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IFERROR(__xludf.DUMMYFUNCTION("ifna(IF(and(D317=""Saída"",J317=""Sangria""),if(sum(QUERY(IMPORTRANGE(""https://docs.google.com/spreadsheets/d/1E4szPcLzsqlw4uyBAoJ61L1ChCgpz4wVP8tHfHW1g_c"",""BD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'""&amp;YEAR(C317)&amp;""-""&amp;MONTH(C317)&amp;""-""&amp;DAY(C317)&amp;""'""))&gt;0,""Depositada"",if(sum(QUERY(IMPORTRANGE(""https://docs.google.com/spreadsheets/d/1EcLIvUgMoBC5as4ikW0wuQsGH5yVZ6cQ1y16qEfgPnk"",""BD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IFERROR(__xludf.DUMMYFUNCTION("ifna(IF(and(D318=""Saída"",J318=""Sangria""),if(sum(QUERY(IMPORTRANGE(""https://docs.google.com/spreadsheets/d/1E4szPcLzsqlw4uyBAoJ61L1ChCgpz4wVP8tHfHW1g_c"",""BD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'""&amp;YEAR(C318)&amp;""-""&amp;MONTH(C318)&amp;""-""&amp;DAY(C318)&amp;""'""))&gt;0,""Depositada"",if(sum(QUERY(IMPORTRANGE(""https://docs.google.com/spreadsheets/d/1EcLIvUgMoBC5as4ikW0wuQsGH5yVZ6cQ1y16qEfgPnk"",""BD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IFERROR(__xludf.DUMMYFUNCTION("ifna(IF(and(D319=""Saída"",J319=""Sangria""),if(sum(QUERY(IMPORTRANGE(""https://docs.google.com/spreadsheets/d/1E4szPcLzsqlw4uyBAoJ61L1ChCgpz4wVP8tHfHW1g_c"",""BD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'""&amp;YEAR(C319)&amp;""-""&amp;MONTH(C319)&amp;""-""&amp;DAY(C319)&amp;""'""))&gt;0,""Depositada"",if(sum(QUERY(IMPORTRANGE(""https://docs.google.com/spreadsheets/d/1EcLIvUgMoBC5as4ikW0wuQsGH5yVZ6cQ1y16qEfgPnk"",""BD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IFERROR(__xludf.DUMMYFUNCTION("ifna(IF(and(D320=""Saída"",J320=""Sangria""),if(sum(QUERY(IMPORTRANGE(""https://docs.google.com/spreadsheets/d/1E4szPcLzsqlw4uyBAoJ61L1ChCgpz4wVP8tHfHW1g_c"",""BD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'""&amp;YEAR(C320)&amp;""-""&amp;MONTH(C320)&amp;""-""&amp;DAY(C320)&amp;""'""))&gt;0,""Depositada"",if(sum(QUERY(IMPORTRANGE(""https://docs.google.com/spreadsheets/d/1EcLIvUgMoBC5as4ikW0wuQsGH5yVZ6cQ1y16qEfgPnk"",""BD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IFERROR(__xludf.DUMMYFUNCTION("ifna(IF(and(D321=""Saída"",J321=""Sangria""),if(sum(QUERY(IMPORTRANGE(""https://docs.google.com/spreadsheets/d/1E4szPcLzsqlw4uyBAoJ61L1ChCgpz4wVP8tHfHW1g_c"",""BD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'""&amp;YEAR(C321)&amp;""-""&amp;MONTH(C321)&amp;""-""&amp;DAY(C321)&amp;""'""))&gt;0,""Depositada"",if(sum(QUERY(IMPORTRANGE(""https://docs.google.com/spreadsheets/d/1EcLIvUgMoBC5as4ikW0wuQsGH5yVZ6cQ1y16qEfgPnk"",""BD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IFERROR(__xludf.DUMMYFUNCTION("ifna(IF(and(D322=""Saída"",J322=""Sangria""),if(sum(QUERY(IMPORTRANGE(""https://docs.google.com/spreadsheets/d/1E4szPcLzsqlw4uyBAoJ61L1ChCgpz4wVP8tHfHW1g_c"",""BD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'""&amp;YEAR(C322)&amp;""-""&amp;MONTH(C322)&amp;""-""&amp;DAY(C322)&amp;""'""))&gt;0,""Depositada"",if(sum(QUERY(IMPORTRANGE(""https://docs.google.com/spreadsheets/d/1EcLIvUgMoBC5as4ikW0wuQsGH5yVZ6cQ1y16qEfgPnk"",""BD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IFERROR(__xludf.DUMMYFUNCTION("ifna(IF(and(D323=""Saída"",J323=""Sangria""),if(sum(QUERY(IMPORTRANGE(""https://docs.google.com/spreadsheets/d/1E4szPcLzsqlw4uyBAoJ61L1ChCgpz4wVP8tHfHW1g_c"",""BD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'""&amp;YEAR(C323)&amp;""-""&amp;MONTH(C323)&amp;""-""&amp;DAY(C323)&amp;""'""))&gt;0,""Depositada"",if(sum(QUERY(IMPORTRANGE(""https://docs.google.com/spreadsheets/d/1EcLIvUgMoBC5as4ikW0wuQsGH5yVZ6cQ1y16qEfgPnk"",""BD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IFERROR(__xludf.DUMMYFUNCTION("ifna(IF(and(D324=""Saída"",J324=""Sangria""),if(sum(QUERY(IMPORTRANGE(""https://docs.google.com/spreadsheets/d/1E4szPcLzsqlw4uyBAoJ61L1ChCgpz4wVP8tHfHW1g_c"",""BD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'""&amp;YEAR(C324)&amp;""-""&amp;MONTH(C324)&amp;""-""&amp;DAY(C324)&amp;""'""))&gt;0,""Depositada"",if(sum(QUERY(IMPORTRANGE(""https://docs.google.com/spreadsheets/d/1EcLIvUgMoBC5as4ikW0wuQsGH5yVZ6cQ1y16qEfgPnk"",""BD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IFERROR(__xludf.DUMMYFUNCTION("ifna(IF(and(D325=""Saída"",J325=""Sangria""),if(sum(QUERY(IMPORTRANGE(""https://docs.google.com/spreadsheets/d/1E4szPcLzsqlw4uyBAoJ61L1ChCgpz4wVP8tHfHW1g_c"",""BD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'""&amp;YEAR(C325)&amp;""-""&amp;MONTH(C325)&amp;""-""&amp;DAY(C325)&amp;""'""))&gt;0,""Depositada"",if(sum(QUERY(IMPORTRANGE(""https://docs.google.com/spreadsheets/d/1EcLIvUgMoBC5as4ikW0wuQsGH5yVZ6cQ1y16qEfgPnk"",""BD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IFERROR(__xludf.DUMMYFUNCTION("ifna(IF(and(D326=""Saída"",J326=""Sangria""),if(sum(QUERY(IMPORTRANGE(""https://docs.google.com/spreadsheets/d/1E4szPcLzsqlw4uyBAoJ61L1ChCgpz4wVP8tHfHW1g_c"",""BD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'""&amp;YEAR(C326)&amp;""-""&amp;MONTH(C326)&amp;""-""&amp;DAY(C326)&amp;""'""))&gt;0,""Depositada"",if(sum(QUERY(IMPORTRANGE(""https://docs.google.com/spreadsheets/d/1EcLIvUgMoBC5as4ikW0wuQsGH5yVZ6cQ1y16qEfgPnk"",""BD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IFERROR(__xludf.DUMMYFUNCTION("ifna(IF(and(D327=""Saída"",J327=""Sangria""),if(sum(QUERY(IMPORTRANGE(""https://docs.google.com/spreadsheets/d/1E4szPcLzsqlw4uyBAoJ61L1ChCgpz4wVP8tHfHW1g_c"",""BD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'""&amp;YEAR(C327)&amp;""-""&amp;MONTH(C327)&amp;""-""&amp;DAY(C327)&amp;""'""))&gt;0,""Depositada"",if(sum(QUERY(IMPORTRANGE(""https://docs.google.com/spreadsheets/d/1EcLIvUgMoBC5as4ikW0wuQsGH5yVZ6cQ1y16qEfgPnk"",""BD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IFERROR(__xludf.DUMMYFUNCTION("ifna(IF(and(D328=""Saída"",J328=""Sangria""),if(sum(QUERY(IMPORTRANGE(""https://docs.google.com/spreadsheets/d/1E4szPcLzsqlw4uyBAoJ61L1ChCgpz4wVP8tHfHW1g_c"",""BD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'""&amp;YEAR(C328)&amp;""-""&amp;MONTH(C328)&amp;""-""&amp;DAY(C328)&amp;""'""))&gt;0,""Depositada"",if(sum(QUERY(IMPORTRANGE(""https://docs.google.com/spreadsheets/d/1EcLIvUgMoBC5as4ikW0wuQsGH5yVZ6cQ1y16qEfgPnk"",""BD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IFERROR(__xludf.DUMMYFUNCTION("ifna(IF(and(D329=""Saída"",J329=""Sangria""),if(sum(QUERY(IMPORTRANGE(""https://docs.google.com/spreadsheets/d/1E4szPcLzsqlw4uyBAoJ61L1ChCgpz4wVP8tHfHW1g_c"",""BD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'""&amp;YEAR(C329)&amp;""-""&amp;MONTH(C329)&amp;""-""&amp;DAY(C329)&amp;""'""))&gt;0,""Depositada"",if(sum(QUERY(IMPORTRANGE(""https://docs.google.com/spreadsheets/d/1EcLIvUgMoBC5as4ikW0wuQsGH5yVZ6cQ1y16qEfgPnk"",""BD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IFERROR(__xludf.DUMMYFUNCTION("ifna(IF(and(D330=""Saída"",J330=""Sangria""),if(sum(QUERY(IMPORTRANGE(""https://docs.google.com/spreadsheets/d/1E4szPcLzsqlw4uyBAoJ61L1ChCgpz4wVP8tHfHW1g_c"",""BD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'""&amp;YEAR(C330)&amp;""-""&amp;MONTH(C330)&amp;""-""&amp;DAY(C330)&amp;""'""))&gt;0,""Depositada"",if(sum(QUERY(IMPORTRANGE(""https://docs.google.com/spreadsheets/d/1EcLIvUgMoBC5as4ikW0wuQsGH5yVZ6cQ1y16qEfgPnk"",""BD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IFERROR(__xludf.DUMMYFUNCTION("ifna(IF(and(D331=""Saída"",J331=""Sangria""),if(sum(QUERY(IMPORTRANGE(""https://docs.google.com/spreadsheets/d/1E4szPcLzsqlw4uyBAoJ61L1ChCgpz4wVP8tHfHW1g_c"",""BD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'""&amp;YEAR(C331)&amp;""-""&amp;MONTH(C331)&amp;""-""&amp;DAY(C331)&amp;""'""))&gt;0,""Depositada"",if(sum(QUERY(IMPORTRANGE(""https://docs.google.com/spreadsheets/d/1EcLIvUgMoBC5as4ikW0wuQsGH5yVZ6cQ1y16qEfgPnk"",""BD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IFERROR(__xludf.DUMMYFUNCTION("ifna(IF(and(D332=""Saída"",J332=""Sangria""),if(sum(QUERY(IMPORTRANGE(""https://docs.google.com/spreadsheets/d/1E4szPcLzsqlw4uyBAoJ61L1ChCgpz4wVP8tHfHW1g_c"",""BD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'""&amp;YEAR(C332)&amp;""-""&amp;MONTH(C332)&amp;""-""&amp;DAY(C332)&amp;""'""))&gt;0,""Depositada"",if(sum(QUERY(IMPORTRANGE(""https://docs.google.com/spreadsheets/d/1EcLIvUgMoBC5as4ikW0wuQsGH5yVZ6cQ1y16qEfgPnk"",""BD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IFERROR(__xludf.DUMMYFUNCTION("ifna(IF(and(D333=""Saída"",J333=""Sangria""),if(sum(QUERY(IMPORTRANGE(""https://docs.google.com/spreadsheets/d/1E4szPcLzsqlw4uyBAoJ61L1ChCgpz4wVP8tHfHW1g_c"",""BD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'""&amp;YEAR(C333)&amp;""-""&amp;MONTH(C333)&amp;""-""&amp;DAY(C333)&amp;""'""))&gt;0,""Depositada"",if(sum(QUERY(IMPORTRANGE(""https://docs.google.com/spreadsheets/d/1EcLIvUgMoBC5as4ikW0wuQsGH5yVZ6cQ1y16qEfgPnk"",""BD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IFERROR(__xludf.DUMMYFUNCTION("ifna(IF(and(D334=""Saída"",J334=""Sangria""),if(sum(QUERY(IMPORTRANGE(""https://docs.google.com/spreadsheets/d/1E4szPcLzsqlw4uyBAoJ61L1ChCgpz4wVP8tHfHW1g_c"",""BD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'""&amp;YEAR(C334)&amp;""-""&amp;MONTH(C334)&amp;""-""&amp;DAY(C334)&amp;""'""))&gt;0,""Depositada"",if(sum(QUERY(IMPORTRANGE(""https://docs.google.com/spreadsheets/d/1EcLIvUgMoBC5as4ikW0wuQsGH5yVZ6cQ1y16qEfgPnk"",""BD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IFERROR(__xludf.DUMMYFUNCTION("ifna(IF(and(D335=""Saída"",J335=""Sangria""),if(sum(QUERY(IMPORTRANGE(""https://docs.google.com/spreadsheets/d/1E4szPcLzsqlw4uyBAoJ61L1ChCgpz4wVP8tHfHW1g_c"",""BD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'""&amp;YEAR(C335)&amp;""-""&amp;MONTH(C335)&amp;""-""&amp;DAY(C335)&amp;""'""))&gt;0,""Depositada"",if(sum(QUERY(IMPORTRANGE(""https://docs.google.com/spreadsheets/d/1EcLIvUgMoBC5as4ikW0wuQsGH5yVZ6cQ1y16qEfgPnk"",""BD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IFERROR(__xludf.DUMMYFUNCTION("ifna(IF(and(D336=""Saída"",J336=""Sangria""),if(sum(QUERY(IMPORTRANGE(""https://docs.google.com/spreadsheets/d/1E4szPcLzsqlw4uyBAoJ61L1ChCgpz4wVP8tHfHW1g_c"",""BD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'""&amp;YEAR(C336)&amp;""-""&amp;MONTH(C336)&amp;""-""&amp;DAY(C336)&amp;""'""))&gt;0,""Depositada"",if(sum(QUERY(IMPORTRANGE(""https://docs.google.com/spreadsheets/d/1EcLIvUgMoBC5as4ikW0wuQsGH5yVZ6cQ1y16qEfgPnk"",""BD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IFERROR(__xludf.DUMMYFUNCTION("ifna(IF(and(D337=""Saída"",J337=""Sangria""),if(sum(QUERY(IMPORTRANGE(""https://docs.google.com/spreadsheets/d/1E4szPcLzsqlw4uyBAoJ61L1ChCgpz4wVP8tHfHW1g_c"",""BD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'""&amp;YEAR(C337)&amp;""-""&amp;MONTH(C337)&amp;""-""&amp;DAY(C337)&amp;""'""))&gt;0,""Depositada"",if(sum(QUERY(IMPORTRANGE(""https://docs.google.com/spreadsheets/d/1EcLIvUgMoBC5as4ikW0wuQsGH5yVZ6cQ1y16qEfgPnk"",""BD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IFERROR(__xludf.DUMMYFUNCTION("ifna(IF(and(D338=""Saída"",J338=""Sangria""),if(sum(QUERY(IMPORTRANGE(""https://docs.google.com/spreadsheets/d/1E4szPcLzsqlw4uyBAoJ61L1ChCgpz4wVP8tHfHW1g_c"",""BD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'""&amp;YEAR(C338)&amp;""-""&amp;MONTH(C338)&amp;""-""&amp;DAY(C338)&amp;""'""))&gt;0,""Depositada"",if(sum(QUERY(IMPORTRANGE(""https://docs.google.com/spreadsheets/d/1EcLIvUgMoBC5as4ikW0wuQsGH5yVZ6cQ1y16qEfgPnk"",""BD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IFERROR(__xludf.DUMMYFUNCTION("ifna(IF(and(D339=""Saída"",J339=""Sangria""),if(sum(QUERY(IMPORTRANGE(""https://docs.google.com/spreadsheets/d/1E4szPcLzsqlw4uyBAoJ61L1ChCgpz4wVP8tHfHW1g_c"",""BD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'""&amp;YEAR(C339)&amp;""-""&amp;MONTH(C339)&amp;""-""&amp;DAY(C339)&amp;""'""))&gt;0,""Depositada"",if(sum(QUERY(IMPORTRANGE(""https://docs.google.com/spreadsheets/d/1EcLIvUgMoBC5as4ikW0wuQsGH5yVZ6cQ1y16qEfgPnk"",""BD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IFERROR(__xludf.DUMMYFUNCTION("ifna(IF(and(D340=""Saída"",J340=""Sangria""),if(sum(QUERY(IMPORTRANGE(""https://docs.google.com/spreadsheets/d/1E4szPcLzsqlw4uyBAoJ61L1ChCgpz4wVP8tHfHW1g_c"",""BD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'""&amp;YEAR(C340)&amp;""-""&amp;MONTH(C340)&amp;""-""&amp;DAY(C340)&amp;""'""))&gt;0,""Depositada"",if(sum(QUERY(IMPORTRANGE(""https://docs.google.com/spreadsheets/d/1EcLIvUgMoBC5as4ikW0wuQsGH5yVZ6cQ1y16qEfgPnk"",""BD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IFERROR(__xludf.DUMMYFUNCTION("ifna(IF(and(D341=""Saída"",J341=""Sangria""),if(sum(QUERY(IMPORTRANGE(""https://docs.google.com/spreadsheets/d/1E4szPcLzsqlw4uyBAoJ61L1ChCgpz4wVP8tHfHW1g_c"",""BD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'""&amp;YEAR(C341)&amp;""-""&amp;MONTH(C341)&amp;""-""&amp;DAY(C341)&amp;""'""))&gt;0,""Depositada"",if(sum(QUERY(IMPORTRANGE(""https://docs.google.com/spreadsheets/d/1EcLIvUgMoBC5as4ikW0wuQsGH5yVZ6cQ1y16qEfgPnk"",""BD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IFERROR(__xludf.DUMMYFUNCTION("ifna(IF(and(D342=""Saída"",J342=""Sangria""),if(sum(QUERY(IMPORTRANGE(""https://docs.google.com/spreadsheets/d/1E4szPcLzsqlw4uyBAoJ61L1ChCgpz4wVP8tHfHW1g_c"",""BD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'""&amp;YEAR(C342)&amp;""-""&amp;MONTH(C342)&amp;""-""&amp;DAY(C342)&amp;""'""))&gt;0,""Depositada"",if(sum(QUERY(IMPORTRANGE(""https://docs.google.com/spreadsheets/d/1EcLIvUgMoBC5as4ikW0wuQsGH5yVZ6cQ1y16qEfgPnk"",""BD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IFERROR(__xludf.DUMMYFUNCTION("ifna(IF(and(D343=""Saída"",J343=""Sangria""),if(sum(QUERY(IMPORTRANGE(""https://docs.google.com/spreadsheets/d/1E4szPcLzsqlw4uyBAoJ61L1ChCgpz4wVP8tHfHW1g_c"",""BD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'""&amp;YEAR(C343)&amp;""-""&amp;MONTH(C343)&amp;""-""&amp;DAY(C343)&amp;""'""))&gt;0,""Depositada"",if(sum(QUERY(IMPORTRANGE(""https://docs.google.com/spreadsheets/d/1EcLIvUgMoBC5as4ikW0wuQsGH5yVZ6cQ1y16qEfgPnk"",""BD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IFERROR(__xludf.DUMMYFUNCTION("ifna(IF(and(D344=""Saída"",J344=""Sangria""),if(sum(QUERY(IMPORTRANGE(""https://docs.google.com/spreadsheets/d/1E4szPcLzsqlw4uyBAoJ61L1ChCgpz4wVP8tHfHW1g_c"",""BD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'""&amp;YEAR(C344)&amp;""-""&amp;MONTH(C344)&amp;""-""&amp;DAY(C344)&amp;""'""))&gt;0,""Depositada"",if(sum(QUERY(IMPORTRANGE(""https://docs.google.com/spreadsheets/d/1EcLIvUgMoBC5as4ikW0wuQsGH5yVZ6cQ1y16qEfgPnk"",""BD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IFERROR(__xludf.DUMMYFUNCTION("ifna(IF(and(D345=""Saída"",J345=""Sangria""),if(sum(QUERY(IMPORTRANGE(""https://docs.google.com/spreadsheets/d/1E4szPcLzsqlw4uyBAoJ61L1ChCgpz4wVP8tHfHW1g_c"",""BD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'""&amp;YEAR(C345)&amp;""-""&amp;MONTH(C345)&amp;""-""&amp;DAY(C345)&amp;""'""))&gt;0,""Depositada"",if(sum(QUERY(IMPORTRANGE(""https://docs.google.com/spreadsheets/d/1EcLIvUgMoBC5as4ikW0wuQsGH5yVZ6cQ1y16qEfgPnk"",""BD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IFERROR(__xludf.DUMMYFUNCTION("ifna(IF(and(D346=""Saída"",J346=""Sangria""),if(sum(QUERY(IMPORTRANGE(""https://docs.google.com/spreadsheets/d/1E4szPcLzsqlw4uyBAoJ61L1ChCgpz4wVP8tHfHW1g_c"",""BD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'""&amp;YEAR(C346)&amp;""-""&amp;MONTH(C346)&amp;""-""&amp;DAY(C346)&amp;""'""))&gt;0,""Depositada"",if(sum(QUERY(IMPORTRANGE(""https://docs.google.com/spreadsheets/d/1EcLIvUgMoBC5as4ikW0wuQsGH5yVZ6cQ1y16qEfgPnk"",""BD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IFERROR(__xludf.DUMMYFUNCTION("ifna(IF(and(D347=""Saída"",J347=""Sangria""),if(sum(QUERY(IMPORTRANGE(""https://docs.google.com/spreadsheets/d/1E4szPcLzsqlw4uyBAoJ61L1ChCgpz4wVP8tHfHW1g_c"",""BD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'""&amp;YEAR(C347)&amp;""-""&amp;MONTH(C347)&amp;""-""&amp;DAY(C347)&amp;""'""))&gt;0,""Depositada"",if(sum(QUERY(IMPORTRANGE(""https://docs.google.com/spreadsheets/d/1EcLIvUgMoBC5as4ikW0wuQsGH5yVZ6cQ1y16qEfgPnk"",""BD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IFERROR(__xludf.DUMMYFUNCTION("ifna(IF(and(D348=""Saída"",J348=""Sangria""),if(sum(QUERY(IMPORTRANGE(""https://docs.google.com/spreadsheets/d/1E4szPcLzsqlw4uyBAoJ61L1ChCgpz4wVP8tHfHW1g_c"",""BD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'""&amp;YEAR(C348)&amp;""-""&amp;MONTH(C348)&amp;""-""&amp;DAY(C348)&amp;""'""))&gt;0,""Depositada"",if(sum(QUERY(IMPORTRANGE(""https://docs.google.com/spreadsheets/d/1EcLIvUgMoBC5as4ikW0wuQsGH5yVZ6cQ1y16qEfgPnk"",""BD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IFERROR(__xludf.DUMMYFUNCTION("ifna(IF(and(D349=""Saída"",J349=""Sangria""),if(sum(QUERY(IMPORTRANGE(""https://docs.google.com/spreadsheets/d/1E4szPcLzsqlw4uyBAoJ61L1ChCgpz4wVP8tHfHW1g_c"",""BD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'""&amp;YEAR(C349)&amp;""-""&amp;MONTH(C349)&amp;""-""&amp;DAY(C349)&amp;""'""))&gt;0,""Depositada"",if(sum(QUERY(IMPORTRANGE(""https://docs.google.com/spreadsheets/d/1EcLIvUgMoBC5as4ikW0wuQsGH5yVZ6cQ1y16qEfgPnk"",""BD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IFERROR(__xludf.DUMMYFUNCTION("ifna(IF(and(D350=""Saída"",J350=""Sangria""),if(sum(QUERY(IMPORTRANGE(""https://docs.google.com/spreadsheets/d/1E4szPcLzsqlw4uyBAoJ61L1ChCgpz4wVP8tHfHW1g_c"",""BD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'""&amp;YEAR(C350)&amp;""-""&amp;MONTH(C350)&amp;""-""&amp;DAY(C350)&amp;""'""))&gt;0,""Depositada"",if(sum(QUERY(IMPORTRANGE(""https://docs.google.com/spreadsheets/d/1EcLIvUgMoBC5as4ikW0wuQsGH5yVZ6cQ1y16qEfgPnk"",""BD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IFERROR(__xludf.DUMMYFUNCTION("ifna(IF(and(D351=""Saída"",J351=""Sangria""),if(sum(QUERY(IMPORTRANGE(""https://docs.google.com/spreadsheets/d/1E4szPcLzsqlw4uyBAoJ61L1ChCgpz4wVP8tHfHW1g_c"",""BD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'""&amp;YEAR(C351)&amp;""-""&amp;MONTH(C351)&amp;""-""&amp;DAY(C351)&amp;""'""))&gt;0,""Depositada"",if(sum(QUERY(IMPORTRANGE(""https://docs.google.com/spreadsheets/d/1EcLIvUgMoBC5as4ikW0wuQsGH5yVZ6cQ1y16qEfgPnk"",""BD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IFERROR(__xludf.DUMMYFUNCTION("ifna(IF(and(D352=""Saída"",J352=""Sangria""),if(sum(QUERY(IMPORTRANGE(""https://docs.google.com/spreadsheets/d/1E4szPcLzsqlw4uyBAoJ61L1ChCgpz4wVP8tHfHW1g_c"",""BD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'""&amp;YEAR(C352)&amp;""-""&amp;MONTH(C352)&amp;""-""&amp;DAY(C352)&amp;""'""))&gt;0,""Depositada"",if(sum(QUERY(IMPORTRANGE(""https://docs.google.com/spreadsheets/d/1EcLIvUgMoBC5as4ikW0wuQsGH5yVZ6cQ1y16qEfgPnk"",""BD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IFERROR(__xludf.DUMMYFUNCTION("ifna(IF(and(D353=""Saída"",J353=""Sangria""),if(sum(QUERY(IMPORTRANGE(""https://docs.google.com/spreadsheets/d/1E4szPcLzsqlw4uyBAoJ61L1ChCgpz4wVP8tHfHW1g_c"",""BD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'""&amp;YEAR(C353)&amp;""-""&amp;MONTH(C353)&amp;""-""&amp;DAY(C353)&amp;""'""))&gt;0,""Depositada"",if(sum(QUERY(IMPORTRANGE(""https://docs.google.com/spreadsheets/d/1EcLIvUgMoBC5as4ikW0wuQsGH5yVZ6cQ1y16qEfgPnk"",""BD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IFERROR(__xludf.DUMMYFUNCTION("ifna(IF(and(D354=""Saída"",J354=""Sangria""),if(sum(QUERY(IMPORTRANGE(""https://docs.google.com/spreadsheets/d/1E4szPcLzsqlw4uyBAoJ61L1ChCgpz4wVP8tHfHW1g_c"",""BD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'""&amp;YEAR(C354)&amp;""-""&amp;MONTH(C354)&amp;""-""&amp;DAY(C354)&amp;""'""))&gt;0,""Depositada"",if(sum(QUERY(IMPORTRANGE(""https://docs.google.com/spreadsheets/d/1EcLIvUgMoBC5as4ikW0wuQsGH5yVZ6cQ1y16qEfgPnk"",""BD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IFERROR(__xludf.DUMMYFUNCTION("ifna(IF(and(D355=""Saída"",J355=""Sangria""),if(sum(QUERY(IMPORTRANGE(""https://docs.google.com/spreadsheets/d/1E4szPcLzsqlw4uyBAoJ61L1ChCgpz4wVP8tHfHW1g_c"",""BD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'""&amp;YEAR(C355)&amp;""-""&amp;MONTH(C355)&amp;""-""&amp;DAY(C355)&amp;""'""))&gt;0,""Depositada"",if(sum(QUERY(IMPORTRANGE(""https://docs.google.com/spreadsheets/d/1EcLIvUgMoBC5as4ikW0wuQsGH5yVZ6cQ1y16qEfgPnk"",""BD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IFERROR(__xludf.DUMMYFUNCTION("ifna(IF(and(D356=""Saída"",J356=""Sangria""),if(sum(QUERY(IMPORTRANGE(""https://docs.google.com/spreadsheets/d/1E4szPcLzsqlw4uyBAoJ61L1ChCgpz4wVP8tHfHW1g_c"",""BD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'""&amp;YEAR(C356)&amp;""-""&amp;MONTH(C356)&amp;""-""&amp;DAY(C356)&amp;""'""))&gt;0,""Depositada"",if(sum(QUERY(IMPORTRANGE(""https://docs.google.com/spreadsheets/d/1EcLIvUgMoBC5as4ikW0wuQsGH5yVZ6cQ1y16qEfgPnk"",""BD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IFERROR(__xludf.DUMMYFUNCTION("ifna(IF(and(D357=""Saída"",J357=""Sangria""),if(sum(QUERY(IMPORTRANGE(""https://docs.google.com/spreadsheets/d/1E4szPcLzsqlw4uyBAoJ61L1ChCgpz4wVP8tHfHW1g_c"",""BD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'""&amp;YEAR(C357)&amp;""-""&amp;MONTH(C357)&amp;""-""&amp;DAY(C357)&amp;""'""))&gt;0,""Depositada"",if(sum(QUERY(IMPORTRANGE(""https://docs.google.com/spreadsheets/d/1EcLIvUgMoBC5as4ikW0wuQsGH5yVZ6cQ1y16qEfgPnk"",""BD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IFERROR(__xludf.DUMMYFUNCTION("ifna(IF(and(D358=""Saída"",J358=""Sangria""),if(sum(QUERY(IMPORTRANGE(""https://docs.google.com/spreadsheets/d/1E4szPcLzsqlw4uyBAoJ61L1ChCgpz4wVP8tHfHW1g_c"",""BD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'""&amp;YEAR(C358)&amp;""-""&amp;MONTH(C358)&amp;""-""&amp;DAY(C358)&amp;""'""))&gt;0,""Depositada"",if(sum(QUERY(IMPORTRANGE(""https://docs.google.com/spreadsheets/d/1EcLIvUgMoBC5as4ikW0wuQsGH5yVZ6cQ1y16qEfgPnk"",""BD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IFERROR(__xludf.DUMMYFUNCTION("ifna(IF(and(D359=""Saída"",J359=""Sangria""),if(sum(QUERY(IMPORTRANGE(""https://docs.google.com/spreadsheets/d/1E4szPcLzsqlw4uyBAoJ61L1ChCgpz4wVP8tHfHW1g_c"",""BD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'""&amp;YEAR(C359)&amp;""-""&amp;MONTH(C359)&amp;""-""&amp;DAY(C359)&amp;""'""))&gt;0,""Depositada"",if(sum(QUERY(IMPORTRANGE(""https://docs.google.com/spreadsheets/d/1EcLIvUgMoBC5as4ikW0wuQsGH5yVZ6cQ1y16qEfgPnk"",""BD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IFERROR(__xludf.DUMMYFUNCTION("ifna(IF(and(D360=""Saída"",J360=""Sangria""),if(sum(QUERY(IMPORTRANGE(""https://docs.google.com/spreadsheets/d/1E4szPcLzsqlw4uyBAoJ61L1ChCgpz4wVP8tHfHW1g_c"",""BD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'""&amp;YEAR(C360)&amp;""-""&amp;MONTH(C360)&amp;""-""&amp;DAY(C360)&amp;""'""))&gt;0,""Depositada"",if(sum(QUERY(IMPORTRANGE(""https://docs.google.com/spreadsheets/d/1EcLIvUgMoBC5as4ikW0wuQsGH5yVZ6cQ1y16qEfgPnk"",""BD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IFERROR(__xludf.DUMMYFUNCTION("ifna(IF(and(D361=""Saída"",J361=""Sangria""),if(sum(QUERY(IMPORTRANGE(""https://docs.google.com/spreadsheets/d/1E4szPcLzsqlw4uyBAoJ61L1ChCgpz4wVP8tHfHW1g_c"",""BD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'""&amp;YEAR(C361)&amp;""-""&amp;MONTH(C361)&amp;""-""&amp;DAY(C361)&amp;""'""))&gt;0,""Depositada"",if(sum(QUERY(IMPORTRANGE(""https://docs.google.com/spreadsheets/d/1EcLIvUgMoBC5as4ikW0wuQsGH5yVZ6cQ1y16qEfgPnk"",""BD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IFERROR(__xludf.DUMMYFUNCTION("ifna(IF(and(D362=""Saída"",J362=""Sangria""),if(sum(QUERY(IMPORTRANGE(""https://docs.google.com/spreadsheets/d/1E4szPcLzsqlw4uyBAoJ61L1ChCgpz4wVP8tHfHW1g_c"",""BD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'""&amp;YEAR(C362)&amp;""-""&amp;MONTH(C362)&amp;""-""&amp;DAY(C362)&amp;""'""))&gt;0,""Depositada"",if(sum(QUERY(IMPORTRANGE(""https://docs.google.com/spreadsheets/d/1EcLIvUgMoBC5as4ikW0wuQsGH5yVZ6cQ1y16qEfgPnk"",""BD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IFERROR(__xludf.DUMMYFUNCTION("ifna(IF(and(D363=""Saída"",J363=""Sangria""),if(sum(QUERY(IMPORTRANGE(""https://docs.google.com/spreadsheets/d/1E4szPcLzsqlw4uyBAoJ61L1ChCgpz4wVP8tHfHW1g_c"",""BD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'""&amp;YEAR(C363)&amp;""-""&amp;MONTH(C363)&amp;""-""&amp;DAY(C363)&amp;""'""))&gt;0,""Depositada"",if(sum(QUERY(IMPORTRANGE(""https://docs.google.com/spreadsheets/d/1EcLIvUgMoBC5as4ikW0wuQsGH5yVZ6cQ1y16qEfgPnk"",""BD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IFERROR(__xludf.DUMMYFUNCTION("ifna(IF(and(D364=""Saída"",J364=""Sangria""),if(sum(QUERY(IMPORTRANGE(""https://docs.google.com/spreadsheets/d/1E4szPcLzsqlw4uyBAoJ61L1ChCgpz4wVP8tHfHW1g_c"",""BD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'""&amp;YEAR(C364)&amp;""-""&amp;MONTH(C364)&amp;""-""&amp;DAY(C364)&amp;""'""))&gt;0,""Depositada"",if(sum(QUERY(IMPORTRANGE(""https://docs.google.com/spreadsheets/d/1EcLIvUgMoBC5as4ikW0wuQsGH5yVZ6cQ1y16qEfgPnk"",""BD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IFERROR(__xludf.DUMMYFUNCTION("ifna(IF(and(D365=""Saída"",J365=""Sangria""),if(sum(QUERY(IMPORTRANGE(""https://docs.google.com/spreadsheets/d/1E4szPcLzsqlw4uyBAoJ61L1ChCgpz4wVP8tHfHW1g_c"",""BD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'""&amp;YEAR(C365)&amp;""-""&amp;MONTH(C365)&amp;""-""&amp;DAY(C365)&amp;""'""))&gt;0,""Depositada"",if(sum(QUERY(IMPORTRANGE(""https://docs.google.com/spreadsheets/d/1EcLIvUgMoBC5as4ikW0wuQsGH5yVZ6cQ1y16qEfgPnk"",""BD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IFERROR(__xludf.DUMMYFUNCTION("ifna(IF(and(D366=""Saída"",J366=""Sangria""),if(sum(QUERY(IMPORTRANGE(""https://docs.google.com/spreadsheets/d/1E4szPcLzsqlw4uyBAoJ61L1ChCgpz4wVP8tHfHW1g_c"",""BD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'""&amp;YEAR(C366)&amp;""-""&amp;MONTH(C366)&amp;""-""&amp;DAY(C366)&amp;""'""))&gt;0,""Depositada"",if(sum(QUERY(IMPORTRANGE(""https://docs.google.com/spreadsheets/d/1EcLIvUgMoBC5as4ikW0wuQsGH5yVZ6cQ1y16qEfgPnk"",""BD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IFERROR(__xludf.DUMMYFUNCTION("ifna(IF(and(D367=""Saída"",J367=""Sangria""),if(sum(QUERY(IMPORTRANGE(""https://docs.google.com/spreadsheets/d/1E4szPcLzsqlw4uyBAoJ61L1ChCgpz4wVP8tHfHW1g_c"",""BD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'""&amp;YEAR(C367)&amp;""-""&amp;MONTH(C367)&amp;""-""&amp;DAY(C367)&amp;""'""))&gt;0,""Depositada"",if(sum(QUERY(IMPORTRANGE(""https://docs.google.com/spreadsheets/d/1EcLIvUgMoBC5as4ikW0wuQsGH5yVZ6cQ1y16qEfgPnk"",""BD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IFERROR(__xludf.DUMMYFUNCTION("ifna(IF(and(D368=""Saída"",J368=""Sangria""),if(sum(QUERY(IMPORTRANGE(""https://docs.google.com/spreadsheets/d/1E4szPcLzsqlw4uyBAoJ61L1ChCgpz4wVP8tHfHW1g_c"",""BD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'""&amp;YEAR(C368)&amp;""-""&amp;MONTH(C368)&amp;""-""&amp;DAY(C368)&amp;""'""))&gt;0,""Depositada"",if(sum(QUERY(IMPORTRANGE(""https://docs.google.com/spreadsheets/d/1EcLIvUgMoBC5as4ikW0wuQsGH5yVZ6cQ1y16qEfgPnk"",""BD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IFERROR(__xludf.DUMMYFUNCTION("ifna(IF(and(D369=""Saída"",J369=""Sangria""),if(sum(QUERY(IMPORTRANGE(""https://docs.google.com/spreadsheets/d/1E4szPcLzsqlw4uyBAoJ61L1ChCgpz4wVP8tHfHW1g_c"",""BD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'""&amp;YEAR(C369)&amp;""-""&amp;MONTH(C369)&amp;""-""&amp;DAY(C369)&amp;""'""))&gt;0,""Depositada"",if(sum(QUERY(IMPORTRANGE(""https://docs.google.com/spreadsheets/d/1EcLIvUgMoBC5as4ikW0wuQsGH5yVZ6cQ1y16qEfgPnk"",""BD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IFERROR(__xludf.DUMMYFUNCTION("ifna(IF(and(D370=""Saída"",J370=""Sangria""),if(sum(QUERY(IMPORTRANGE(""https://docs.google.com/spreadsheets/d/1E4szPcLzsqlw4uyBAoJ61L1ChCgpz4wVP8tHfHW1g_c"",""BD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'""&amp;YEAR(C370)&amp;""-""&amp;MONTH(C370)&amp;""-""&amp;DAY(C370)&amp;""'""))&gt;0,""Depositada"",if(sum(QUERY(IMPORTRANGE(""https://docs.google.com/spreadsheets/d/1EcLIvUgMoBC5as4ikW0wuQsGH5yVZ6cQ1y16qEfgPnk"",""BD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IFERROR(__xludf.DUMMYFUNCTION("ifna(IF(and(D371=""Saída"",J371=""Sangria""),if(sum(QUERY(IMPORTRANGE(""https://docs.google.com/spreadsheets/d/1E4szPcLzsqlw4uyBAoJ61L1ChCgpz4wVP8tHfHW1g_c"",""BD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'""&amp;YEAR(C371)&amp;""-""&amp;MONTH(C371)&amp;""-""&amp;DAY(C371)&amp;""'""))&gt;0,""Depositada"",if(sum(QUERY(IMPORTRANGE(""https://docs.google.com/spreadsheets/d/1EcLIvUgMoBC5as4ikW0wuQsGH5yVZ6cQ1y16qEfgPnk"",""BD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IFERROR(__xludf.DUMMYFUNCTION("ifna(IF(and(D372=""Saída"",J372=""Sangria""),if(sum(QUERY(IMPORTRANGE(""https://docs.google.com/spreadsheets/d/1E4szPcLzsqlw4uyBAoJ61L1ChCgpz4wVP8tHfHW1g_c"",""BD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'""&amp;YEAR(C372)&amp;""-""&amp;MONTH(C372)&amp;""-""&amp;DAY(C372)&amp;""'""))&gt;0,""Depositada"",if(sum(QUERY(IMPORTRANGE(""https://docs.google.com/spreadsheets/d/1EcLIvUgMoBC5as4ikW0wuQsGH5yVZ6cQ1y16qEfgPnk"",""BD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IFERROR(__xludf.DUMMYFUNCTION("ifna(IF(and(D373=""Saída"",J373=""Sangria""),if(sum(QUERY(IMPORTRANGE(""https://docs.google.com/spreadsheets/d/1E4szPcLzsqlw4uyBAoJ61L1ChCgpz4wVP8tHfHW1g_c"",""BD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'""&amp;YEAR(C373)&amp;""-""&amp;MONTH(C373)&amp;""-""&amp;DAY(C373)&amp;""'""))&gt;0,""Depositada"",if(sum(QUERY(IMPORTRANGE(""https://docs.google.com/spreadsheets/d/1EcLIvUgMoBC5as4ikW0wuQsGH5yVZ6cQ1y16qEfgPnk"",""BD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IFERROR(__xludf.DUMMYFUNCTION("ifna(IF(and(D374=""Saída"",J374=""Sangria""),if(sum(QUERY(IMPORTRANGE(""https://docs.google.com/spreadsheets/d/1E4szPcLzsqlw4uyBAoJ61L1ChCgpz4wVP8tHfHW1g_c"",""BD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'""&amp;YEAR(C374)&amp;""-""&amp;MONTH(C374)&amp;""-""&amp;DAY(C374)&amp;""'""))&gt;0,""Depositada"",if(sum(QUERY(IMPORTRANGE(""https://docs.google.com/spreadsheets/d/1EcLIvUgMoBC5as4ikW0wuQsGH5yVZ6cQ1y16qEfgPnk"",""BD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IFERROR(__xludf.DUMMYFUNCTION("ifna(IF(and(D375=""Saída"",J375=""Sangria""),if(sum(QUERY(IMPORTRANGE(""https://docs.google.com/spreadsheets/d/1E4szPcLzsqlw4uyBAoJ61L1ChCgpz4wVP8tHfHW1g_c"",""BD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'""&amp;YEAR(C375)&amp;""-""&amp;MONTH(C375)&amp;""-""&amp;DAY(C375)&amp;""'""))&gt;0,""Depositada"",if(sum(QUERY(IMPORTRANGE(""https://docs.google.com/spreadsheets/d/1EcLIvUgMoBC5as4ikW0wuQsGH5yVZ6cQ1y16qEfgPnk"",""BD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IFERROR(__xludf.DUMMYFUNCTION("ifna(IF(and(D376=""Saída"",J376=""Sangria""),if(sum(QUERY(IMPORTRANGE(""https://docs.google.com/spreadsheets/d/1E4szPcLzsqlw4uyBAoJ61L1ChCgpz4wVP8tHfHW1g_c"",""BD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'""&amp;YEAR(C376)&amp;""-""&amp;MONTH(C376)&amp;""-""&amp;DAY(C376)&amp;""'""))&gt;0,""Depositada"",if(sum(QUERY(IMPORTRANGE(""https://docs.google.com/spreadsheets/d/1EcLIvUgMoBC5as4ikW0wuQsGH5yVZ6cQ1y16qEfgPnk"",""BD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184" t="str">
        <f>IFERROR(__xludf.DUMMYFUNCTION("ifna(IF(and(D377=""Saída"",J377=""Sangria""),if(sum(QUERY(IMPORTRANGE(""https://docs.google.com/spreadsheets/d/1E4szPcLzsqlw4uyBAoJ61L1ChCgpz4wVP8tHfHW1g_c"",""BD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'""&amp;YEAR(C377)&amp;""-""&amp;MONTH(C377)&amp;""-""&amp;DAY(C377)&amp;""'""))&gt;0,""Depositada"",if(sum(QUERY(IMPORTRANGE(""https://docs.google.com/spreadsheets/d/1EcLIvUgMoBC5as4ikW0wuQsGH5yVZ6cQ1y16qEfgPnk"",""BD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IFERROR(__xludf.DUMMYFUNCTION("ifna(IF(and(D378=""Saída"",J378=""Sangria""),if(sum(QUERY(IMPORTRANGE(""https://docs.google.com/spreadsheets/d/1E4szPcLzsqlw4uyBAoJ61L1ChCgpz4wVP8tHfHW1g_c"",""BD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'""&amp;YEAR(C378)&amp;""-""&amp;MONTH(C378)&amp;""-""&amp;DAY(C378)&amp;""'""))&gt;0,""Depositada"",if(sum(QUERY(IMPORTRANGE(""https://docs.google.com/spreadsheets/d/1EcLIvUgMoBC5as4ikW0wuQsGH5yVZ6cQ1y16qEfgPnk"",""BD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IFERROR(__xludf.DUMMYFUNCTION("ifna(IF(and(D379=""Saída"",J379=""Sangria""),if(sum(QUERY(IMPORTRANGE(""https://docs.google.com/spreadsheets/d/1E4szPcLzsqlw4uyBAoJ61L1ChCgpz4wVP8tHfHW1g_c"",""BD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'""&amp;YEAR(C379)&amp;""-""&amp;MONTH(C379)&amp;""-""&amp;DAY(C379)&amp;""'""))&gt;0,""Depositada"",if(sum(QUERY(IMPORTRANGE(""https://docs.google.com/spreadsheets/d/1EcLIvUgMoBC5as4ikW0wuQsGH5yVZ6cQ1y16qEfgPnk"",""BD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IFERROR(__xludf.DUMMYFUNCTION("ifna(IF(and(D380=""Saída"",J380=""Sangria""),if(sum(QUERY(IMPORTRANGE(""https://docs.google.com/spreadsheets/d/1E4szPcLzsqlw4uyBAoJ61L1ChCgpz4wVP8tHfHW1g_c"",""BD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'""&amp;YEAR(C380)&amp;""-""&amp;MONTH(C380)&amp;""-""&amp;DAY(C380)&amp;""'""))&gt;0,""Depositada"",if(sum(QUERY(IMPORTRANGE(""https://docs.google.com/spreadsheets/d/1EcLIvUgMoBC5as4ikW0wuQsGH5yVZ6cQ1y16qEfgPnk"",""BD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IFERROR(__xludf.DUMMYFUNCTION("ifna(IF(and(D381=""Saída"",J381=""Sangria""),if(sum(QUERY(IMPORTRANGE(""https://docs.google.com/spreadsheets/d/1E4szPcLzsqlw4uyBAoJ61L1ChCgpz4wVP8tHfHW1g_c"",""BD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'""&amp;YEAR(C381)&amp;""-""&amp;MONTH(C381)&amp;""-""&amp;DAY(C381)&amp;""'""))&gt;0,""Depositada"",if(sum(QUERY(IMPORTRANGE(""https://docs.google.com/spreadsheets/d/1EcLIvUgMoBC5as4ikW0wuQsGH5yVZ6cQ1y16qEfgPnk"",""BD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IFERROR(__xludf.DUMMYFUNCTION("ifna(IF(and(D382=""Saída"",J382=""Sangria""),if(sum(QUERY(IMPORTRANGE(""https://docs.google.com/spreadsheets/d/1E4szPcLzsqlw4uyBAoJ61L1ChCgpz4wVP8tHfHW1g_c"",""BD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'""&amp;YEAR(C382)&amp;""-""&amp;MONTH(C382)&amp;""-""&amp;DAY(C382)&amp;""'""))&gt;0,""Depositada"",if(sum(QUERY(IMPORTRANGE(""https://docs.google.com/spreadsheets/d/1EcLIvUgMoBC5as4ikW0wuQsGH5yVZ6cQ1y16qEfgPnk"",""BD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IFERROR(__xludf.DUMMYFUNCTION("ifna(IF(and(D383=""Saída"",J383=""Sangria""),if(sum(QUERY(IMPORTRANGE(""https://docs.google.com/spreadsheets/d/1E4szPcLzsqlw4uyBAoJ61L1ChCgpz4wVP8tHfHW1g_c"",""BD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'""&amp;YEAR(C383)&amp;""-""&amp;MONTH(C383)&amp;""-""&amp;DAY(C383)&amp;""'""))&gt;0,""Depositada"",if(sum(QUERY(IMPORTRANGE(""https://docs.google.com/spreadsheets/d/1EcLIvUgMoBC5as4ikW0wuQsGH5yVZ6cQ1y16qEfgPnk"",""BD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IFERROR(__xludf.DUMMYFUNCTION("ifna(IF(and(D384=""Saída"",J384=""Sangria""),if(sum(QUERY(IMPORTRANGE(""https://docs.google.com/spreadsheets/d/1E4szPcLzsqlw4uyBAoJ61L1ChCgpz4wVP8tHfHW1g_c"",""BD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'""&amp;YEAR(C384)&amp;""-""&amp;MONTH(C384)&amp;""-""&amp;DAY(C384)&amp;""'""))&gt;0,""Depositada"",if(sum(QUERY(IMPORTRANGE(""https://docs.google.com/spreadsheets/d/1EcLIvUgMoBC5as4ikW0wuQsGH5yVZ6cQ1y16qEfgPnk"",""BD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IFERROR(__xludf.DUMMYFUNCTION("ifna(IF(and(D385=""Saída"",J385=""Sangria""),if(sum(QUERY(IMPORTRANGE(""https://docs.google.com/spreadsheets/d/1E4szPcLzsqlw4uyBAoJ61L1ChCgpz4wVP8tHfHW1g_c"",""BD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'""&amp;YEAR(C385)&amp;""-""&amp;MONTH(C385)&amp;""-""&amp;DAY(C385)&amp;""'""))&gt;0,""Depositada"",if(sum(QUERY(IMPORTRANGE(""https://docs.google.com/spreadsheets/d/1EcLIvUgMoBC5as4ikW0wuQsGH5yVZ6cQ1y16qEfgPnk"",""BD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IFERROR(__xludf.DUMMYFUNCTION("ifna(IF(and(D386=""Saída"",J386=""Sangria""),if(sum(QUERY(IMPORTRANGE(""https://docs.google.com/spreadsheets/d/1E4szPcLzsqlw4uyBAoJ61L1ChCgpz4wVP8tHfHW1g_c"",""BD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'""&amp;YEAR(C386)&amp;""-""&amp;MONTH(C386)&amp;""-""&amp;DAY(C386)&amp;""'""))&gt;0,""Depositada"",if(sum(QUERY(IMPORTRANGE(""https://docs.google.com/spreadsheets/d/1EcLIvUgMoBC5as4ikW0wuQsGH5yVZ6cQ1y16qEfgPnk"",""BD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IFERROR(__xludf.DUMMYFUNCTION("ifna(IF(and(D387=""Saída"",J387=""Sangria""),if(sum(QUERY(IMPORTRANGE(""https://docs.google.com/spreadsheets/d/1E4szPcLzsqlw4uyBAoJ61L1ChCgpz4wVP8tHfHW1g_c"",""BD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'""&amp;YEAR(C387)&amp;""-""&amp;MONTH(C387)&amp;""-""&amp;DAY(C387)&amp;""'""))&gt;0,""Depositada"",if(sum(QUERY(IMPORTRANGE(""https://docs.google.com/spreadsheets/d/1EcLIvUgMoBC5as4ikW0wuQsGH5yVZ6cQ1y16qEfgPnk"",""BD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IFERROR(__xludf.DUMMYFUNCTION("ifna(IF(and(D388=""Saída"",J388=""Sangria""),if(sum(QUERY(IMPORTRANGE(""https://docs.google.com/spreadsheets/d/1E4szPcLzsqlw4uyBAoJ61L1ChCgpz4wVP8tHfHW1g_c"",""BD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'""&amp;YEAR(C388)&amp;""-""&amp;MONTH(C388)&amp;""-""&amp;DAY(C388)&amp;""'""))&gt;0,""Depositada"",if(sum(QUERY(IMPORTRANGE(""https://docs.google.com/spreadsheets/d/1EcLIvUgMoBC5as4ikW0wuQsGH5yVZ6cQ1y16qEfgPnk"",""BD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184" t="str">
        <f>IFERROR(__xludf.DUMMYFUNCTION("ifna(IF(and(D389=""Saída"",J389=""Sangria""),if(sum(QUERY(IMPORTRANGE(""https://docs.google.com/spreadsheets/d/1E4szPcLzsqlw4uyBAoJ61L1ChCgpz4wVP8tHfHW1g_c"",""BD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'""&amp;YEAR(C389)&amp;""-""&amp;MONTH(C389)&amp;""-""&amp;DAY(C389)&amp;""'""))&gt;0,""Depositada"",if(sum(QUERY(IMPORTRANGE(""https://docs.google.com/spreadsheets/d/1EcLIvUgMoBC5as4ikW0wuQsGH5yVZ6cQ1y16qEfgPnk"",""BD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IFERROR(__xludf.DUMMYFUNCTION("ifna(IF(and(D390=""Saída"",J390=""Sangria""),if(sum(QUERY(IMPORTRANGE(""https://docs.google.com/spreadsheets/d/1E4szPcLzsqlw4uyBAoJ61L1ChCgpz4wVP8tHfHW1g_c"",""BD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'""&amp;YEAR(C390)&amp;""-""&amp;MONTH(C390)&amp;""-""&amp;DAY(C390)&amp;""'""))&gt;0,""Depositada"",if(sum(QUERY(IMPORTRANGE(""https://docs.google.com/spreadsheets/d/1EcLIvUgMoBC5as4ikW0wuQsGH5yVZ6cQ1y16qEfgPnk"",""BD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IFERROR(__xludf.DUMMYFUNCTION("ifna(IF(and(D391=""Saída"",J391=""Sangria""),if(sum(QUERY(IMPORTRANGE(""https://docs.google.com/spreadsheets/d/1E4szPcLzsqlw4uyBAoJ61L1ChCgpz4wVP8tHfHW1g_c"",""BD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'""&amp;YEAR(C391)&amp;""-""&amp;MONTH(C391)&amp;""-""&amp;DAY(C391)&amp;""'""))&gt;0,""Depositada"",if(sum(QUERY(IMPORTRANGE(""https://docs.google.com/spreadsheets/d/1EcLIvUgMoBC5as4ikW0wuQsGH5yVZ6cQ1y16qEfgPnk"",""BD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IFERROR(__xludf.DUMMYFUNCTION("ifna(IF(and(D392=""Saída"",J392=""Sangria""),if(sum(QUERY(IMPORTRANGE(""https://docs.google.com/spreadsheets/d/1E4szPcLzsqlw4uyBAoJ61L1ChCgpz4wVP8tHfHW1g_c"",""BD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'""&amp;YEAR(C392)&amp;""-""&amp;MONTH(C392)&amp;""-""&amp;DAY(C392)&amp;""'""))&gt;0,""Depositada"",if(sum(QUERY(IMPORTRANGE(""https://docs.google.com/spreadsheets/d/1EcLIvUgMoBC5as4ikW0wuQsGH5yVZ6cQ1y16qEfgPnk"",""BD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IFERROR(__xludf.DUMMYFUNCTION("ifna(IF(and(D393=""Saída"",J393=""Sangria""),if(sum(QUERY(IMPORTRANGE(""https://docs.google.com/spreadsheets/d/1E4szPcLzsqlw4uyBAoJ61L1ChCgpz4wVP8tHfHW1g_c"",""BD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'""&amp;YEAR(C393)&amp;""-""&amp;MONTH(C393)&amp;""-""&amp;DAY(C393)&amp;""'""))&gt;0,""Depositada"",if(sum(QUERY(IMPORTRANGE(""https://docs.google.com/spreadsheets/d/1EcLIvUgMoBC5as4ikW0wuQsGH5yVZ6cQ1y16qEfgPnk"",""BD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30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J29:J77 J79:J97 J99:J105 J107:J130 J132 J134:J176 J178:J179 J181:J190 J192:J195 J197:J208 J210:J267 J269:J286 J288:J303 J306:J308 J310:J376 J378:J388 J390:J504">
      <formula1>"Adiantamento,Consumo,Sangria,Compra de Mercadorias,Motoboy,Freelancer,Caixa Troco,Compra Moedas,Cortesias,Estorno Cliente,Inadimplência,A/F de Caixa"</formula1>
    </dataValidation>
    <dataValidation type="list" allowBlank="1" showErrorMessage="1" sqref="K29:K504">
      <formula1>'JULHO 2025'!$A$4:$A$16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2">
        <v>4.0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9" t="s">
        <v>2888</v>
      </c>
      <c r="O2" s="27"/>
      <c r="P2" s="27"/>
      <c r="Q2" s="27"/>
      <c r="R2" s="27"/>
      <c r="S2" s="27"/>
      <c r="T2" s="27"/>
      <c r="U2" s="27"/>
      <c r="V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Rayana</v>
      </c>
      <c r="F3" s="31"/>
      <c r="G3" s="33" t="str">
        <f>B6</f>
        <v>Erick</v>
      </c>
      <c r="H3" s="31"/>
      <c r="I3" s="33" t="str">
        <f>B7</f>
        <v>Carolina</v>
      </c>
      <c r="J3" s="31"/>
      <c r="K3" s="33" t="str">
        <f>B8</f>
        <v>Sabrine</v>
      </c>
      <c r="L3" s="34"/>
      <c r="M3" s="35"/>
      <c r="N3" s="36" t="str">
        <f>B4</f>
        <v>Marcos</v>
      </c>
      <c r="O3" s="27"/>
      <c r="P3" s="27"/>
      <c r="Q3" s="28"/>
      <c r="R3" s="37"/>
      <c r="S3" s="38" t="str">
        <f>B5</f>
        <v>Rayana</v>
      </c>
      <c r="T3" s="27"/>
      <c r="U3" s="27"/>
      <c r="V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SUMIFS(M29:M504,J29:J504,C4,K29:K504,C3)+SUMIF(P106:P148,A4,Q106:Q148)+D9</f>
        <v>0</v>
      </c>
      <c r="E4" s="43" t="s">
        <v>1112</v>
      </c>
      <c r="F4" s="42">
        <f>SUMIFS(M29:M504,J29:J504,E4,K29:K504,E3)+SUMIF(P106:P148,A5,Q106:Q148)+F9</f>
        <v>500</v>
      </c>
      <c r="G4" s="43" t="s">
        <v>1112</v>
      </c>
      <c r="H4" s="42">
        <f>SUMIFS(M29:M504,J29:J504,C4,K29:K504,G3)+SUMIF(P106:P148,A6,Q106:Q148)+H9</f>
        <v>0</v>
      </c>
      <c r="I4" s="43" t="s">
        <v>1112</v>
      </c>
      <c r="J4" s="42">
        <f>SUMIFS(M29:M504,J29:J504,C4,K29:K504,I3)+SUMIF(P106:P148,A7,Q106:Q148)+J9</f>
        <v>0</v>
      </c>
      <c r="K4" s="43" t="s">
        <v>1112</v>
      </c>
      <c r="L4" s="44">
        <f>SUMIFS(M29:M504,J29:J504,C4,K29:K504,K3)+SUMIF(P106:P148,A8,Q106:Q148)+L9</f>
        <v>0</v>
      </c>
      <c r="M4" s="25"/>
      <c r="N4" s="45" t="str">
        <f>IFERROR(__xludf.DUMMYFUNCTION("query(C28:L504,""select Col1,Col3,Col8,Col9 where (Col8 = 'Adiantamento' or Col8 = 'Consumo') and Col9 = '""&amp;B4&amp;""'"",1)"),"Data")</f>
        <v>Data</v>
      </c>
      <c r="O4" s="46" t="str">
        <f>IFERROR(__xludf.DUMMYFUNCTION("""COMPUTED_VALUE"""),"Valor ")</f>
        <v>Valor </v>
      </c>
      <c r="P4" s="46" t="str">
        <f>IFERROR(__xludf.DUMMYFUNCTION("""COMPUTED_VALUE"""),"Tipo")</f>
        <v>Tipo</v>
      </c>
      <c r="Q4" s="47" t="str">
        <f>IFERROR(__xludf.DUMMYFUNCTION("""COMPUTED_VALUE"""),"Funcionário")</f>
        <v>Funcionário</v>
      </c>
      <c r="R4" s="48"/>
      <c r="S4" s="49" t="str">
        <f>IFERROR(__xludf.DUMMYFUNCTION("query(C28:L504,""select Col1,Col3,Col8,Col9 where (Col8 = 'Adiantamento' or Col8 = 'Consumo') and Col9 = '""&amp;B5&amp;""'"",1)"),"Data")</f>
        <v>Data</v>
      </c>
      <c r="T4" s="49" t="str">
        <f>IFERROR(__xludf.DUMMYFUNCTION("""COMPUTED_VALUE"""),"Valor ")</f>
        <v>Valor </v>
      </c>
      <c r="U4" s="49" t="str">
        <f>IFERROR(__xludf.DUMMYFUNCTION("""COMPUTED_VALUE"""),"Tipo")</f>
        <v>Tipo</v>
      </c>
      <c r="V4" s="50" t="str">
        <f>IFERROR(__xludf.DUMMYFUNCTION("""COMPUTED_VALUE"""),"Funcionário")</f>
        <v>Funcionário</v>
      </c>
    </row>
    <row r="5" ht="15.0" customHeight="1">
      <c r="A5" s="39" t="s">
        <v>1183</v>
      </c>
      <c r="B5" s="40" t="s">
        <v>3040</v>
      </c>
      <c r="C5" s="41" t="s">
        <v>3044</v>
      </c>
      <c r="D5" s="42">
        <f>SUMIFS(M29:M504,J29:J504,C5,K29:K504,C3)</f>
        <v>0</v>
      </c>
      <c r="E5" s="43" t="s">
        <v>3044</v>
      </c>
      <c r="F5" s="42">
        <f>SUMIFS(M29:M504,J29:J504,C5,K29:K504,E3)</f>
        <v>260.69</v>
      </c>
      <c r="G5" s="43" t="s">
        <v>3044</v>
      </c>
      <c r="H5" s="42">
        <f>SUMIFS(M29:M504,J29:J504,C5,K29:K504,G3)</f>
        <v>257.27</v>
      </c>
      <c r="I5" s="43" t="s">
        <v>3044</v>
      </c>
      <c r="J5" s="42">
        <f>SUMIFS(M29:M504,J29:J504,C5,K29:K504,I3)</f>
        <v>157.74</v>
      </c>
      <c r="K5" s="43" t="s">
        <v>3044</v>
      </c>
      <c r="L5" s="44">
        <f>SUMIFS(M29:M504,J29:J504,C5,K29:K504,K3)</f>
        <v>588</v>
      </c>
      <c r="M5" s="25"/>
      <c r="N5" s="51"/>
      <c r="O5" s="52"/>
      <c r="P5" s="52"/>
      <c r="Q5" s="53"/>
      <c r="R5" s="54"/>
      <c r="S5" s="55">
        <f>IFERROR(__xludf.DUMMYFUNCTION("""COMPUTED_VALUE"""),45867.768125)</f>
        <v>45867.76813</v>
      </c>
      <c r="T5" s="52" t="str">
        <f>IFERROR(__xludf.DUMMYFUNCTION("""COMPUTED_VALUE"""),"R$ 41,74")</f>
        <v>R$ 41,74</v>
      </c>
      <c r="U5" s="52" t="str">
        <f>IFERROR(__xludf.DUMMYFUNCTION("""COMPUTED_VALUE"""),"Consumo")</f>
        <v>Consumo</v>
      </c>
      <c r="V5" s="53" t="str">
        <f>IFERROR(__xludf.DUMMYFUNCTION("""COMPUTED_VALUE"""),"Rayana")</f>
        <v>Rayana</v>
      </c>
    </row>
    <row r="6" ht="16.5" customHeight="1">
      <c r="A6" s="56" t="s">
        <v>1192</v>
      </c>
      <c r="B6" s="40" t="s">
        <v>3077</v>
      </c>
      <c r="C6" s="41" t="s">
        <v>3082</v>
      </c>
      <c r="D6" s="42">
        <f>D5*0.8</f>
        <v>0</v>
      </c>
      <c r="E6" s="43" t="s">
        <v>3082</v>
      </c>
      <c r="F6" s="42">
        <f>F5*0.8</f>
        <v>208.552</v>
      </c>
      <c r="G6" s="43" t="s">
        <v>3082</v>
      </c>
      <c r="H6" s="42">
        <f>H5*0.8</f>
        <v>205.816</v>
      </c>
      <c r="I6" s="43" t="s">
        <v>3082</v>
      </c>
      <c r="J6" s="42">
        <f>J5*0.8</f>
        <v>126.192</v>
      </c>
      <c r="K6" s="57" t="s">
        <v>3082</v>
      </c>
      <c r="L6" s="44">
        <f>L5*0.8</f>
        <v>470.4</v>
      </c>
      <c r="M6" s="25"/>
      <c r="N6" s="51"/>
      <c r="O6" s="52"/>
      <c r="P6" s="52"/>
      <c r="Q6" s="53"/>
      <c r="R6" s="54"/>
      <c r="S6" s="55">
        <f>IFERROR(__xludf.DUMMYFUNCTION("""COMPUTED_VALUE"""),45872.67233796296)</f>
        <v>45872.67234</v>
      </c>
      <c r="T6" s="52" t="str">
        <f>IFERROR(__xludf.DUMMYFUNCTION("""COMPUTED_VALUE"""),"R$ 76,22")</f>
        <v>R$ 76,22</v>
      </c>
      <c r="U6" s="52" t="str">
        <f>IFERROR(__xludf.DUMMYFUNCTION("""COMPUTED_VALUE"""),"Consumo")</f>
        <v>Consumo</v>
      </c>
      <c r="V6" s="53" t="str">
        <f>IFERROR(__xludf.DUMMYFUNCTION("""COMPUTED_VALUE"""),"Rayana")</f>
        <v>Rayana</v>
      </c>
    </row>
    <row r="7" ht="14.25" customHeight="1">
      <c r="A7" s="39" t="s">
        <v>62</v>
      </c>
      <c r="B7" s="40" t="s">
        <v>3137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51"/>
      <c r="O7" s="52"/>
      <c r="P7" s="52"/>
      <c r="Q7" s="53"/>
      <c r="R7" s="54"/>
      <c r="S7" s="55">
        <f>IFERROR(__xludf.DUMMYFUNCTION("""COMPUTED_VALUE"""),45877.708761574075)</f>
        <v>45877.70876</v>
      </c>
      <c r="T7" s="52" t="str">
        <f>IFERROR(__xludf.DUMMYFUNCTION("""COMPUTED_VALUE"""),"R$ 8,95")</f>
        <v>R$ 8,95</v>
      </c>
      <c r="U7" s="52" t="str">
        <f>IFERROR(__xludf.DUMMYFUNCTION("""COMPUTED_VALUE"""),"Consumo")</f>
        <v>Consumo</v>
      </c>
      <c r="V7" s="53" t="str">
        <f>IFERROR(__xludf.DUMMYFUNCTION("""COMPUTED_VALUE"""),"Rayana")</f>
        <v>Rayana</v>
      </c>
    </row>
    <row r="8" ht="14.25" customHeight="1">
      <c r="A8" s="12" t="s">
        <v>78</v>
      </c>
      <c r="B8" s="40" t="s">
        <v>3168</v>
      </c>
      <c r="C8" s="63" t="s">
        <v>3170</v>
      </c>
      <c r="D8" s="64"/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51"/>
      <c r="O8" s="52"/>
      <c r="P8" s="52"/>
      <c r="Q8" s="53"/>
      <c r="R8" s="54"/>
      <c r="S8" s="55">
        <f>IFERROR(__xludf.DUMMYFUNCTION("""COMPUTED_VALUE"""),45878.75434027778)</f>
        <v>45878.75434</v>
      </c>
      <c r="T8" s="52" t="str">
        <f>IFERROR(__xludf.DUMMYFUNCTION("""COMPUTED_VALUE"""),"R$ 10,74")</f>
        <v>R$ 10,74</v>
      </c>
      <c r="U8" s="52" t="str">
        <f>IFERROR(__xludf.DUMMYFUNCTION("""COMPUTED_VALUE"""),"Consumo")</f>
        <v>Consumo</v>
      </c>
      <c r="V8" s="53" t="str">
        <f>IFERROR(__xludf.DUMMYFUNCTION("""COMPUTED_VALUE"""),"Rayana")</f>
        <v>Rayana</v>
      </c>
    </row>
    <row r="9">
      <c r="A9" s="39"/>
      <c r="B9" s="40"/>
      <c r="C9" s="70" t="s">
        <v>41</v>
      </c>
      <c r="D9" s="71"/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51"/>
      <c r="O9" s="52"/>
      <c r="P9" s="52"/>
      <c r="Q9" s="53"/>
      <c r="R9" s="54"/>
      <c r="S9" s="55">
        <f>IFERROR(__xludf.DUMMYFUNCTION("""COMPUTED_VALUE"""),45878.87737268519)</f>
        <v>45878.87737</v>
      </c>
      <c r="T9" s="52" t="str">
        <f>IFERROR(__xludf.DUMMYFUNCTION("""COMPUTED_VALUE"""),"R$ 5,00")</f>
        <v>R$ 5,00</v>
      </c>
      <c r="U9" s="52" t="str">
        <f>IFERROR(__xludf.DUMMYFUNCTION("""COMPUTED_VALUE"""),"Consumo")</f>
        <v>Consumo</v>
      </c>
      <c r="V9" s="53" t="str">
        <f>IFERROR(__xludf.DUMMYFUNCTION("""COMPUTED_VALUE"""),"Rayana")</f>
        <v>Rayana</v>
      </c>
    </row>
    <row r="10" ht="21.75" customHeight="1">
      <c r="A10" s="39"/>
      <c r="B10" s="40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51"/>
      <c r="O10" s="79"/>
      <c r="P10" s="79"/>
      <c r="Q10" s="80"/>
      <c r="R10" s="81"/>
      <c r="S10" s="55">
        <f>IFERROR(__xludf.DUMMYFUNCTION("""COMPUTED_VALUE"""),45878.88914351852)</f>
        <v>45878.88914</v>
      </c>
      <c r="T10" s="79" t="str">
        <f>IFERROR(__xludf.DUMMYFUNCTION("""COMPUTED_VALUE"""),"R$ 0,01")</f>
        <v>R$ 0,01</v>
      </c>
      <c r="U10" s="79" t="str">
        <f>IFERROR(__xludf.DUMMYFUNCTION("""COMPUTED_VALUE"""),"Consumo")</f>
        <v>Consumo</v>
      </c>
      <c r="V10" s="80" t="str">
        <f>IFERROR(__xludf.DUMMYFUNCTION("""COMPUTED_VALUE"""),"Rayana")</f>
        <v>Rayana</v>
      </c>
    </row>
    <row r="11">
      <c r="A11" s="82"/>
      <c r="B11" s="83"/>
      <c r="C11" s="84" t="s">
        <v>1112</v>
      </c>
      <c r="D11" s="85">
        <f>SUMIFS(M29:M511,J29:J511,C11,K29:K511,C10)+SUMIF(P106:P148,A9,Q106:Q148)+D16</f>
        <v>0</v>
      </c>
      <c r="E11" s="86" t="s">
        <v>1112</v>
      </c>
      <c r="F11" s="85">
        <f>SUMIFS(M29:M511,J29:J511,E11,K29:K511,E10)+SUMIF(P106:P148,A10,Q106:Q148)+F16</f>
        <v>0</v>
      </c>
      <c r="G11" s="86" t="s">
        <v>1112</v>
      </c>
      <c r="H11" s="85">
        <f>SUMIFS(M29:M511,J29:J511,C11,K29:K511,G10)+SUMIF(P106:P148,A11,Q106:Q148)+H16</f>
        <v>0</v>
      </c>
      <c r="I11" s="86" t="s">
        <v>1112</v>
      </c>
      <c r="J11" s="85">
        <f>SUMIFS(M29:M511,J29:J511,C11,K29:K511,I10)+SUMIF(P106:P148,A11,Q106:Q148)+J16</f>
        <v>0</v>
      </c>
      <c r="K11" s="86" t="s">
        <v>1112</v>
      </c>
      <c r="L11" s="87">
        <f>SUMIFS(M29:M511,J29:J511,C11,K29:K511,K10)+SUMIF(P106:P148,A13,Q106:Q148)+L16</f>
        <v>0</v>
      </c>
      <c r="M11" s="24"/>
      <c r="N11" s="88"/>
      <c r="O11" s="89"/>
      <c r="P11" s="89"/>
      <c r="Q11" s="90"/>
      <c r="R11" s="91"/>
      <c r="S11" s="236">
        <f>IFERROR(__xludf.DUMMYFUNCTION("""COMPUTED_VALUE"""),45881.77365740741)</f>
        <v>45881.77366</v>
      </c>
      <c r="T11" s="89" t="str">
        <f>IFERROR(__xludf.DUMMYFUNCTION("""COMPUTED_VALUE"""),"R$ 30,18")</f>
        <v>R$ 30,18</v>
      </c>
      <c r="U11" s="89" t="str">
        <f>IFERROR(__xludf.DUMMYFUNCTION("""COMPUTED_VALUE"""),"Consumo")</f>
        <v>Consumo</v>
      </c>
      <c r="V11" s="90" t="str">
        <f>IFERROR(__xludf.DUMMYFUNCTION("""COMPUTED_VALUE"""),"Rayana")</f>
        <v>Rayana</v>
      </c>
    </row>
    <row r="12">
      <c r="A12" s="82"/>
      <c r="B12" s="83"/>
      <c r="C12" s="84" t="s">
        <v>3044</v>
      </c>
      <c r="D12" s="85">
        <f>SUMIFS(M36:M511,J36:J511,C12,K36:K511,C10)</f>
        <v>0</v>
      </c>
      <c r="E12" s="86" t="s">
        <v>3044</v>
      </c>
      <c r="F12" s="85">
        <f>SUMIFS(M29:M511,J29:J511,C12,K29:K511,E10)</f>
        <v>0</v>
      </c>
      <c r="G12" s="86" t="s">
        <v>3044</v>
      </c>
      <c r="H12" s="85">
        <f>SUMIFS(M36:M511,J36:J511,C12,K36:K511,G10)</f>
        <v>0</v>
      </c>
      <c r="I12" s="86" t="s">
        <v>3044</v>
      </c>
      <c r="J12" s="85">
        <f>SUMIFS(M29:M511,J29:J511,C12,K29:K511,I10)</f>
        <v>0</v>
      </c>
      <c r="K12" s="86" t="s">
        <v>3044</v>
      </c>
      <c r="L12" s="87">
        <f>SUMIFS(M29:M511,J29:J511,C12,K29:K511,K10)</f>
        <v>0</v>
      </c>
      <c r="M12" s="24"/>
      <c r="N12" s="88"/>
      <c r="O12" s="89"/>
      <c r="P12" s="89"/>
      <c r="Q12" s="90"/>
      <c r="R12" s="91"/>
      <c r="S12" s="236">
        <f>IFERROR(__xludf.DUMMYFUNCTION("""COMPUTED_VALUE"""),45882.77121527778)</f>
        <v>45882.77122</v>
      </c>
      <c r="T12" s="89" t="str">
        <f>IFERROR(__xludf.DUMMYFUNCTION("""COMPUTED_VALUE"""),"R$ 61,60")</f>
        <v>R$ 61,60</v>
      </c>
      <c r="U12" s="89" t="str">
        <f>IFERROR(__xludf.DUMMYFUNCTION("""COMPUTED_VALUE"""),"Consumo")</f>
        <v>Consumo</v>
      </c>
      <c r="V12" s="90" t="str">
        <f>IFERROR(__xludf.DUMMYFUNCTION("""COMPUTED_VALUE"""),"Rayana")</f>
        <v>Rayana</v>
      </c>
    </row>
    <row r="13">
      <c r="A13" s="82"/>
      <c r="B13" s="93"/>
      <c r="C13" s="84" t="s">
        <v>3082</v>
      </c>
      <c r="D13" s="85">
        <f>D12*0.8</f>
        <v>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88"/>
      <c r="O13" s="89"/>
      <c r="P13" s="89"/>
      <c r="Q13" s="90"/>
      <c r="R13" s="91"/>
      <c r="S13" s="236">
        <f>IFERROR(__xludf.DUMMYFUNCTION("""COMPUTED_VALUE"""),45884.54472222222)</f>
        <v>45884.54472</v>
      </c>
      <c r="T13" s="89" t="str">
        <f>IFERROR(__xludf.DUMMYFUNCTION("""COMPUTED_VALUE"""),"R$ 10,00")</f>
        <v>R$ 10,00</v>
      </c>
      <c r="U13" s="89" t="str">
        <f>IFERROR(__xludf.DUMMYFUNCTION("""COMPUTED_VALUE"""),"Consumo")</f>
        <v>Consumo</v>
      </c>
      <c r="V13" s="90" t="str">
        <f>IFERROR(__xludf.DUMMYFUNCTION("""COMPUTED_VALUE"""),"Rayana")</f>
        <v>Rayana</v>
      </c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88"/>
      <c r="O14" s="89"/>
      <c r="P14" s="89"/>
      <c r="Q14" s="90"/>
      <c r="R14" s="91"/>
      <c r="S14" s="236">
        <f>IFERROR(__xludf.DUMMYFUNCTION("""COMPUTED_VALUE"""),45886.73611111111)</f>
        <v>45886.73611</v>
      </c>
      <c r="T14" s="89" t="str">
        <f>IFERROR(__xludf.DUMMYFUNCTION("""COMPUTED_VALUE"""),"R$ 11,25")</f>
        <v>R$ 11,25</v>
      </c>
      <c r="U14" s="89" t="str">
        <f>IFERROR(__xludf.DUMMYFUNCTION("""COMPUTED_VALUE"""),"Consumo")</f>
        <v>Consumo</v>
      </c>
      <c r="V14" s="90" t="str">
        <f>IFERROR(__xludf.DUMMYFUNCTION("""COMPUTED_VALUE"""),"Rayana")</f>
        <v>Rayana</v>
      </c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88"/>
      <c r="O15" s="89"/>
      <c r="P15" s="89"/>
      <c r="Q15" s="90"/>
      <c r="R15" s="91"/>
      <c r="S15" s="236">
        <f>IFERROR(__xludf.DUMMYFUNCTION("""COMPUTED_VALUE"""),45887.69657407407)</f>
        <v>45887.69657</v>
      </c>
      <c r="T15" s="89" t="str">
        <f>IFERROR(__xludf.DUMMYFUNCTION("""COMPUTED_VALUE"""),"R$ 5,00")</f>
        <v>R$ 5,00</v>
      </c>
      <c r="U15" s="89" t="str">
        <f>IFERROR(__xludf.DUMMYFUNCTION("""COMPUTED_VALUE"""),"Consumo")</f>
        <v>Consumo</v>
      </c>
      <c r="V15" s="90" t="str">
        <f>IFERROR(__xludf.DUMMYFUNCTION("""COMPUTED_VALUE"""),"Rayana")</f>
        <v>Rayana</v>
      </c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3"/>
      <c r="B19" s="23"/>
      <c r="C19" s="112"/>
      <c r="D19" s="113"/>
      <c r="E19" s="112"/>
      <c r="F19" s="114"/>
      <c r="G19" s="115" t="s">
        <v>3452</v>
      </c>
      <c r="H19" s="116">
        <f>((H20+H21)-H22)-H25</f>
        <v>16650</v>
      </c>
      <c r="I19" s="117" t="s">
        <v>3466</v>
      </c>
      <c r="J19" s="118" t="s">
        <v>3467</v>
      </c>
      <c r="K19" s="119" t="s">
        <v>3472</v>
      </c>
      <c r="L19" s="113"/>
      <c r="M19" s="24"/>
      <c r="N19" s="120"/>
      <c r="O19" s="121"/>
      <c r="P19" s="121"/>
      <c r="Q19" s="121"/>
      <c r="R19" s="122"/>
      <c r="S19" s="123" t="str">
        <f>B6</f>
        <v>Erick</v>
      </c>
      <c r="T19" s="106"/>
      <c r="U19" s="106"/>
      <c r="V19" s="124"/>
    </row>
    <row r="20">
      <c r="A20" s="125"/>
      <c r="B20" s="125"/>
      <c r="C20" s="126" t="s">
        <v>1112</v>
      </c>
      <c r="D20" s="127">
        <f>SUMIFS(M29:M504,J29:J504,C20,K29:K504,C19)+SUMIF(P112:P148,A9,Q112:Q148)+D25</f>
        <v>0</v>
      </c>
      <c r="E20" s="126" t="s">
        <v>1112</v>
      </c>
      <c r="F20" s="128">
        <f>SUMIFS(M29:M504,J29:J504,C20,K29:K504,E19)+SUMIF(P112:P148,A10,Q112:Q148)+F25</f>
        <v>0</v>
      </c>
      <c r="G20" s="129" t="s">
        <v>3505</v>
      </c>
      <c r="H20" s="130">
        <v>0.0</v>
      </c>
      <c r="I20" s="131">
        <f>SUMIF(J29:J504,I19,M29:M504)</f>
        <v>852.01</v>
      </c>
      <c r="J20" s="132">
        <f>SUMIF(J29:J504,J19,M29:M504)</f>
        <v>335.2</v>
      </c>
      <c r="K20" s="133" t="s">
        <v>3520</v>
      </c>
      <c r="L20" s="134"/>
      <c r="M20" s="24"/>
      <c r="N20" s="135"/>
      <c r="O20" s="136"/>
      <c r="P20" s="136"/>
      <c r="Q20" s="136"/>
      <c r="R20" s="48"/>
      <c r="S20" s="49" t="str">
        <f>IFERROR(__xludf.DUMMYFUNCTION("query(C28:L504,""select Col1,Col3,Col8,Col9 where (Col8 = 'Adiantamento' or Col8 = 'Consumo') and Col9 = '""&amp;B6&amp;""'"",1)"),"Data")</f>
        <v>Data</v>
      </c>
      <c r="T20" s="49" t="str">
        <f>IFERROR(__xludf.DUMMYFUNCTION("""COMPUTED_VALUE"""),"Valor ")</f>
        <v>Valor </v>
      </c>
      <c r="U20" s="49" t="str">
        <f>IFERROR(__xludf.DUMMYFUNCTION("""COMPUTED_VALUE"""),"Tipo")</f>
        <v>Tipo</v>
      </c>
      <c r="V20" s="50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3044</v>
      </c>
      <c r="D21" s="127">
        <f>SUMIFS(M29:M504,J29:J504,C21,K29:K504,C19)</f>
        <v>0</v>
      </c>
      <c r="E21" s="126" t="s">
        <v>3044</v>
      </c>
      <c r="F21" s="128">
        <f>SUMIFS(M29:M504,J29:J504,E21,K29:K504,E19)</f>
        <v>0</v>
      </c>
      <c r="G21" s="86" t="s">
        <v>3560</v>
      </c>
      <c r="H21" s="127">
        <f>SUMIFS(M29:M504,D29:D504,"Saída",J29:J504,"Sangria")</f>
        <v>16650</v>
      </c>
      <c r="I21" s="138"/>
      <c r="J21" s="139"/>
      <c r="K21" s="133" t="s">
        <v>3570</v>
      </c>
      <c r="L21" s="134"/>
      <c r="M21" s="24"/>
      <c r="N21" s="108"/>
      <c r="O21" s="52"/>
      <c r="P21" s="52"/>
      <c r="Q21" s="53"/>
      <c r="R21" s="54"/>
      <c r="S21" s="55">
        <f>IFERROR(__xludf.DUMMYFUNCTION("""COMPUTED_VALUE"""),45865.70141203704)</f>
        <v>45865.70141</v>
      </c>
      <c r="T21" s="52" t="str">
        <f>IFERROR(__xludf.DUMMYFUNCTION("""COMPUTED_VALUE"""),"R$ 92,87")</f>
        <v>R$ 92,87</v>
      </c>
      <c r="U21" s="52" t="str">
        <f>IFERROR(__xludf.DUMMYFUNCTION("""COMPUTED_VALUE"""),"Consumo")</f>
        <v>Consumo</v>
      </c>
      <c r="V21" s="53" t="str">
        <f>IFERROR(__xludf.DUMMYFUNCTION("""COMPUTED_VALUE"""),"Erick")</f>
        <v>Erick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SUMIFS(M29:M504,D29:D504,"Entrada",J29:J504,"Sangria")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51"/>
      <c r="O22" s="52"/>
      <c r="P22" s="52"/>
      <c r="Q22" s="53"/>
      <c r="R22" s="54"/>
      <c r="S22" s="55">
        <f>IFERROR(__xludf.DUMMYFUNCTION("""COMPUTED_VALUE"""),45870.833923611106)</f>
        <v>45870.83392</v>
      </c>
      <c r="T22" s="52" t="str">
        <f>IFERROR(__xludf.DUMMYFUNCTION("""COMPUTED_VALUE"""),"R$ 31,58")</f>
        <v>R$ 31,58</v>
      </c>
      <c r="U22" s="52" t="str">
        <f>IFERROR(__xludf.DUMMYFUNCTION("""COMPUTED_VALUE"""),"Consumo")</f>
        <v>Consumo</v>
      </c>
      <c r="V22" s="53" t="str">
        <f>IFERROR(__xludf.DUMMYFUNCTION("""COMPUTED_VALUE"""),"Erick")</f>
        <v>Erick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SUMIF(J29:J504,I22,M29:M504)</f>
        <v>0</v>
      </c>
      <c r="J23" s="152"/>
      <c r="K23" s="133" t="s">
        <v>3630</v>
      </c>
      <c r="L23" s="134"/>
      <c r="M23" s="24"/>
      <c r="N23" s="51"/>
      <c r="O23" s="52"/>
      <c r="P23" s="52"/>
      <c r="Q23" s="53"/>
      <c r="R23" s="54"/>
      <c r="S23" s="55">
        <f>IFERROR(__xludf.DUMMYFUNCTION("""COMPUTED_VALUE"""),45873.88296296296)</f>
        <v>45873.88296</v>
      </c>
      <c r="T23" s="52" t="str">
        <f>IFERROR(__xludf.DUMMYFUNCTION("""COMPUTED_VALUE"""),"R$ 37,83")</f>
        <v>R$ 37,83</v>
      </c>
      <c r="U23" s="52" t="str">
        <f>IFERROR(__xludf.DUMMYFUNCTION("""COMPUTED_VALUE"""),"Consumo")</f>
        <v>Consumo</v>
      </c>
      <c r="V23" s="53" t="str">
        <f>IFERROR(__xludf.DUMMYFUNCTION("""COMPUTED_VALUE"""),"Erick")</f>
        <v>Erick</v>
      </c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SUMIF(L29:L504,G24,M29:M504)</f>
        <v>0</v>
      </c>
      <c r="I24" s="157" t="s">
        <v>3653</v>
      </c>
      <c r="J24" s="150"/>
      <c r="K24" s="133" t="s">
        <v>3656</v>
      </c>
      <c r="L24" s="134"/>
      <c r="M24" s="24"/>
      <c r="N24" s="51"/>
      <c r="O24" s="52"/>
      <c r="P24" s="52"/>
      <c r="Q24" s="53"/>
      <c r="R24" s="54"/>
      <c r="S24" s="55">
        <f>IFERROR(__xludf.DUMMYFUNCTION("""COMPUTED_VALUE"""),45876.81471064815)</f>
        <v>45876.81471</v>
      </c>
      <c r="T24" s="52" t="str">
        <f>IFERROR(__xludf.DUMMYFUNCTION("""COMPUTED_VALUE"""),"R$ 25,05")</f>
        <v>R$ 25,05</v>
      </c>
      <c r="U24" s="52" t="str">
        <f>IFERROR(__xludf.DUMMYFUNCTION("""COMPUTED_VALUE"""),"Consumo")</f>
        <v>Consumo</v>
      </c>
      <c r="V24" s="53" t="str">
        <f>IFERROR(__xludf.DUMMYFUNCTION("""COMPUTED_VALUE"""),"Erick")</f>
        <v>Erick</v>
      </c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5"/>
      <c r="N25" s="51"/>
      <c r="O25" s="52"/>
      <c r="P25" s="52"/>
      <c r="Q25" s="53"/>
      <c r="R25" s="54"/>
      <c r="S25" s="55">
        <f>IFERROR(__xludf.DUMMYFUNCTION("""COMPUTED_VALUE"""),45880.867847222224)</f>
        <v>45880.86785</v>
      </c>
      <c r="T25" s="52" t="str">
        <f>IFERROR(__xludf.DUMMYFUNCTION("""COMPUTED_VALUE"""),"R$ 5,00")</f>
        <v>R$ 5,00</v>
      </c>
      <c r="U25" s="52" t="str">
        <f>IFERROR(__xludf.DUMMYFUNCTION("""COMPUTED_VALUE"""),"Consumo")</f>
        <v>Consumo</v>
      </c>
      <c r="V25" s="53" t="str">
        <f>IFERROR(__xludf.DUMMYFUNCTION("""COMPUTED_VALUE"""),"Erick")</f>
        <v>Erick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1"/>
      <c r="O26" s="79"/>
      <c r="P26" s="79"/>
      <c r="Q26" s="80"/>
      <c r="R26" s="81"/>
      <c r="S26" s="55">
        <f>IFERROR(__xludf.DUMMYFUNCTION("""COMPUTED_VALUE"""),45882.79020833333)</f>
        <v>45882.79021</v>
      </c>
      <c r="T26" s="79" t="str">
        <f>IFERROR(__xludf.DUMMYFUNCTION("""COMPUTED_VALUE"""),"R$ 35,91")</f>
        <v>R$ 35,91</v>
      </c>
      <c r="U26" s="79" t="str">
        <f>IFERROR(__xludf.DUMMYFUNCTION("""COMPUTED_VALUE"""),"Consumo")</f>
        <v>Consumo</v>
      </c>
      <c r="V26" s="80" t="str">
        <f>IFERROR(__xludf.DUMMYFUNCTION("""COMPUTED_VALUE"""),"Erick")</f>
        <v>Erick</v>
      </c>
    </row>
    <row r="27">
      <c r="A27" s="168"/>
      <c r="B27" s="169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236">
        <f>IFERROR(__xludf.DUMMYFUNCTION("""COMPUTED_VALUE"""),45884.8440625)</f>
        <v>45884.84406</v>
      </c>
      <c r="T27" s="89" t="str">
        <f>IFERROR(__xludf.DUMMYFUNCTION("""COMPUTED_VALUE"""),"R$ 24,03")</f>
        <v>R$ 24,03</v>
      </c>
      <c r="U27" s="89" t="str">
        <f>IFERROR(__xludf.DUMMYFUNCTION("""COMPUTED_VALUE"""),"Consumo")</f>
        <v>Consumo</v>
      </c>
      <c r="V27" s="90" t="str">
        <f>IFERROR(__xludf.DUMMYFUNCTION("""COMPUTED_VALUE"""),"Erick")</f>
        <v>Erick</v>
      </c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177" t="s">
        <v>3724</v>
      </c>
      <c r="M28" s="167"/>
      <c r="N28" s="88"/>
      <c r="O28" s="89"/>
      <c r="P28" s="89"/>
      <c r="Q28" s="90"/>
      <c r="R28" s="91"/>
      <c r="S28" s="236">
        <f>IFERROR(__xludf.DUMMYFUNCTION("""COMPUTED_VALUE"""),45887.69981481481)</f>
        <v>45887.69981</v>
      </c>
      <c r="T28" s="89" t="str">
        <f>IFERROR(__xludf.DUMMYFUNCTION("""COMPUTED_VALUE"""),"R$ 5,00")</f>
        <v>R$ 5,00</v>
      </c>
      <c r="U28" s="89" t="str">
        <f>IFERROR(__xludf.DUMMYFUNCTION("""COMPUTED_VALUE"""),"Consumo")</f>
        <v>Consumo</v>
      </c>
      <c r="V28" s="90" t="str">
        <f>IFERROR(__xludf.DUMMYFUNCTION("""COMPUTED_VALUE"""),"Erick")</f>
        <v>Erick</v>
      </c>
    </row>
    <row r="29" ht="14.25" customHeight="1">
      <c r="A29" s="178"/>
      <c r="B29" s="10">
        <v>1592018.0</v>
      </c>
      <c r="C29" s="11">
        <v>45864.68258101852</v>
      </c>
      <c r="D29" s="179" t="s">
        <v>50</v>
      </c>
      <c r="E29" s="180" t="s">
        <v>991</v>
      </c>
      <c r="F29" s="181"/>
      <c r="G29" s="179" t="s">
        <v>6344</v>
      </c>
      <c r="H29" s="182"/>
      <c r="I29" s="182"/>
      <c r="J29" s="183" t="s">
        <v>3746</v>
      </c>
      <c r="K29" s="183" t="s">
        <v>3168</v>
      </c>
      <c r="L29" s="184" t="str">
        <f>IFERROR(__xludf.DUMMYFUNCTION("ifna(IF(and(D29=""Saída"",J29=""Sangria""),if(sum(QUERY(IMPORTRANGE(""https://docs.google.com/spreadsheets/d/1wBSFbIXYswW2S5SMKo44LPsdTG4P4kfP5VRdAS5E_4o"",""BD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'""&amp;YEAR(C29)&amp;""-""&amp;MONTH(C29)&amp;""-""&amp;DAY(C29)&amp;""'""))&gt;0,""Depositada"",if(sum(QUERY(IMPORTRANGE(""https://docs.google.com/spreadsheets/d/1wBSFbIXYswW2S5SMKo44LPsdTG4P4kfP5VRdAS5E_4o"",""BD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Sangria"")"),"#REF!")</f>
        <v>#REF!</v>
      </c>
      <c r="M29" s="185">
        <f>IFERROR(__xludf.DUMMYFUNCTION("ifna(VALUE(REGEXEXTRACT(E29,""[0-9.]+[,]+[0-9]+"")))"),700.0)</f>
        <v>700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27.0" customHeight="1">
      <c r="A30" s="178"/>
      <c r="B30" s="10">
        <v>1592127.0</v>
      </c>
      <c r="C30" s="11">
        <v>45864.71055555555</v>
      </c>
      <c r="D30" s="179" t="s">
        <v>50</v>
      </c>
      <c r="E30" s="180" t="s">
        <v>6351</v>
      </c>
      <c r="F30" s="188"/>
      <c r="G30" s="179" t="s">
        <v>6352</v>
      </c>
      <c r="H30" s="186"/>
      <c r="I30" s="186"/>
      <c r="J30" s="187" t="s">
        <v>3467</v>
      </c>
      <c r="K30" s="187"/>
      <c r="L30" s="184" t="str">
        <f>IFERROR(__xludf.DUMMYFUNCTION("ifna(IF(and(D30=""Saída"",J30=""Sangria""),if(sum(QUERY(IMPORTRANGE(""https://docs.google.com/spreadsheets/d/1wBSFbIXYswW2S5SMKo44LPsdTG4P4kfP5VRdAS5E_4o"",""BD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'""&amp;YEAR(C30)&amp;""-""&amp;MONTH(C30)&amp;""-""&amp;DAY(C30)&amp;""'""))&gt;0,""Depositada"",if(sum(QUERY(IMPORTRANGE(""https://docs.google.com/spreadsheets/d/1wBSFbIXYswW2S5SMKo44LPsdTG4P4kfP5VRdAS5E_4o"",""BD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IFERROR(__xludf.DUMMYFUNCTION("ifna(VALUE(REGEXEXTRACT(E30,""[0-9.]+[,]+[0-9]+"")))"),45.3)</f>
        <v>45.3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0">
        <v>1592127.0</v>
      </c>
      <c r="C31" s="11">
        <v>45864.83329861111</v>
      </c>
      <c r="D31" s="179" t="s">
        <v>50</v>
      </c>
      <c r="E31" s="180" t="s">
        <v>3885</v>
      </c>
      <c r="F31" s="181"/>
      <c r="G31" s="179" t="s">
        <v>6356</v>
      </c>
      <c r="H31" s="186"/>
      <c r="I31" s="186"/>
      <c r="J31" s="187" t="s">
        <v>3825</v>
      </c>
      <c r="K31" s="187"/>
      <c r="L31" s="184" t="str">
        <f>IFERROR(__xludf.DUMMYFUNCTION("ifna(IF(and(D31=""Saída"",J31=""Sangria""),if(sum(QUERY(IMPORTRANGE(""https://docs.google.com/spreadsheets/d/1wBSFbIXYswW2S5SMKo44LPsdTG4P4kfP5VRdAS5E_4o"",""BD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'""&amp;YEAR(C31)&amp;""-""&amp;MONTH(C31)&amp;""-""&amp;DAY(C31)&amp;""'""))&gt;0,""Depositada"",if(sum(QUERY(IMPORTRANGE(""https://docs.google.com/spreadsheets/d/1wBSFbIXYswW2S5SMKo44LPsdTG4P4kfP5VRdAS5E_4o"",""BD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Sangria"")"),"")</f>
        <v/>
      </c>
      <c r="M31" s="185">
        <f>IFERROR(__xludf.DUMMYFUNCTION("ifna(VALUE(REGEXEXTRACT(E31,""[0-9.]+[,]+[0-9]+"")))"),78.0)</f>
        <v>78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0">
        <v>1593017.0</v>
      </c>
      <c r="C32" s="11">
        <v>45864.91510416667</v>
      </c>
      <c r="D32" s="179" t="s">
        <v>50</v>
      </c>
      <c r="E32" s="180" t="s">
        <v>6360</v>
      </c>
      <c r="F32" s="181"/>
      <c r="G32" s="179" t="s">
        <v>6361</v>
      </c>
      <c r="H32" s="186"/>
      <c r="I32" s="186"/>
      <c r="J32" s="187" t="s">
        <v>3903</v>
      </c>
      <c r="K32" s="187"/>
      <c r="L32" s="184" t="str">
        <f>IFERROR(__xludf.DUMMYFUNCTION("ifna(IF(and(D32=""Saída"",J32=""Sangria""),if(sum(QUERY(IMPORTRANGE(""https://docs.google.com/spreadsheets/d/1wBSFbIXYswW2S5SMKo44LPsdTG4P4kfP5VRdAS5E_4o"",""BD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'""&amp;YEAR(C32)&amp;""-""&amp;MONTH(C32)&amp;""-""&amp;DAY(C32)&amp;""'""))&gt;0,""Depositada"",if(sum(QUERY(IMPORTRANGE(""https://docs.google.com/spreadsheets/d/1wBSFbIXYswW2S5SMKo44LPsdTG4P4kfP5VRdAS5E_4o"",""BD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IFERROR(__xludf.DUMMYFUNCTION("ifna(VALUE(REGEXEXTRACT(E32,""[0-9.]+[,]+[0-9]+"")))"),81.38)</f>
        <v>81.38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0">
        <v>1593071.0</v>
      </c>
      <c r="C33" s="11">
        <v>45864.92</v>
      </c>
      <c r="D33" s="179" t="s">
        <v>50</v>
      </c>
      <c r="E33" s="180" t="s">
        <v>6362</v>
      </c>
      <c r="F33" s="181"/>
      <c r="G33" s="179" t="s">
        <v>6363</v>
      </c>
      <c r="H33" s="186"/>
      <c r="I33" s="186"/>
      <c r="J33" s="187" t="s">
        <v>3825</v>
      </c>
      <c r="K33" s="187"/>
      <c r="L33" s="184" t="str">
        <f>IFERROR(__xludf.DUMMYFUNCTION("ifna(IF(and(D33=""Saída"",J33=""Sangria""),if(sum(QUERY(IMPORTRANGE(""https://docs.google.com/spreadsheets/d/1wBSFbIXYswW2S5SMKo44LPsdTG4P4kfP5VRdAS5E_4o"",""BD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'""&amp;YEAR(C33)&amp;""-""&amp;MONTH(C33)&amp;""-""&amp;DAY(C33)&amp;""'""))&gt;0,""Depositada"",if(sum(QUERY(IMPORTRANGE(""https://docs.google.com/spreadsheets/d/1wBSFbIXYswW2S5SMKo44LPsdTG4P4kfP5VRdAS5E_4o"",""BD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Sangria"")"),"")</f>
        <v/>
      </c>
      <c r="M33" s="185">
        <f>IFERROR(__xludf.DUMMYFUNCTION("ifna(VALUE(REGEXEXTRACT(E33,""[0-9.]+[,]+[0-9]+"")))"),111.0)</f>
        <v>111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0">
        <v>1593075.0</v>
      </c>
      <c r="C34" s="11">
        <v>45864.92025462963</v>
      </c>
      <c r="D34" s="179" t="s">
        <v>50</v>
      </c>
      <c r="E34" s="180" t="s">
        <v>6362</v>
      </c>
      <c r="F34" s="181"/>
      <c r="G34" s="179" t="s">
        <v>6371</v>
      </c>
      <c r="H34" s="186"/>
      <c r="I34" s="186"/>
      <c r="J34" s="187" t="s">
        <v>3825</v>
      </c>
      <c r="K34" s="187"/>
      <c r="L34" s="184" t="str">
        <f>IFERROR(__xludf.DUMMYFUNCTION("ifna(IF(and(D34=""Saída"",J34=""Sangria""),if(sum(QUERY(IMPORTRANGE(""https://docs.google.com/spreadsheets/d/1wBSFbIXYswW2S5SMKo44LPsdTG4P4kfP5VRdAS5E_4o"",""BD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'""&amp;YEAR(C34)&amp;""-""&amp;MONTH(C34)&amp;""-""&amp;DAY(C34)&amp;""'""))&gt;0,""Depositada"",if(sum(QUERY(IMPORTRANGE(""https://docs.google.com/spreadsheets/d/1wBSFbIXYswW2S5SMKo44LPsdTG4P4kfP5VRdAS5E_4o"",""BD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IFERROR(__xludf.DUMMYFUNCTION("ifna(VALUE(REGEXEXTRACT(E34,""[0-9.]+[,]+[0-9]+"")))"),111.0)</f>
        <v>111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0">
        <v>1593100.0</v>
      </c>
      <c r="C35" s="11">
        <v>45864.92222222222</v>
      </c>
      <c r="D35" s="179" t="s">
        <v>50</v>
      </c>
      <c r="E35" s="180" t="s">
        <v>1588</v>
      </c>
      <c r="F35" s="181"/>
      <c r="G35" s="179" t="s">
        <v>6375</v>
      </c>
      <c r="H35" s="186"/>
      <c r="I35" s="186"/>
      <c r="J35" s="187" t="s">
        <v>3746</v>
      </c>
      <c r="K35" s="187" t="s">
        <v>3168</v>
      </c>
      <c r="L35" s="184" t="str">
        <f>IFERROR(__xludf.DUMMYFUNCTION("ifna(IF(and(D35=""Saída"",J35=""Sangria""),if(sum(QUERY(IMPORTRANGE(""https://docs.google.com/spreadsheets/d/1wBSFbIXYswW2S5SMKo44LPsdTG4P4kfP5VRdAS5E_4o"",""BD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'""&amp;YEAR(C35)&amp;""-""&amp;MONTH(C35)&amp;""-""&amp;DAY(C35)&amp;""'""))&gt;0,""Depositada"",if(sum(QUERY(IMPORTRANGE(""https://docs.google.com/spreadsheets/d/1wBSFbIXYswW2S5SMKo44LPsdTG4P4kfP5VRdAS5E_4o"",""BD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Sangria"")"),"#REF!")</f>
        <v>#REF!</v>
      </c>
      <c r="M35" s="185">
        <f>IFERROR(__xludf.DUMMYFUNCTION("ifna(VALUE(REGEXEXTRACT(E35,""[0-9.]+[,]+[0-9]+"")))"),1200.0)</f>
        <v>1200</v>
      </c>
      <c r="N35" s="108"/>
      <c r="R35" s="110"/>
    </row>
    <row r="36" ht="14.25" customHeight="1">
      <c r="A36" s="178"/>
      <c r="B36" s="10">
        <v>1594081.0</v>
      </c>
      <c r="C36" s="11">
        <v>45865.70141203704</v>
      </c>
      <c r="D36" s="179" t="s">
        <v>50</v>
      </c>
      <c r="E36" s="180" t="s">
        <v>6379</v>
      </c>
      <c r="F36" s="181"/>
      <c r="G36" s="179" t="s">
        <v>4704</v>
      </c>
      <c r="H36" s="186"/>
      <c r="I36" s="186"/>
      <c r="J36" s="187" t="s">
        <v>3044</v>
      </c>
      <c r="K36" s="187" t="s">
        <v>3077</v>
      </c>
      <c r="L36" s="184" t="str">
        <f>IFERROR(__xludf.DUMMYFUNCTION("ifna(IF(and(D36=""Saída"",J36=""Sangria""),if(sum(QUERY(IMPORTRANGE(""https://docs.google.com/spreadsheets/d/1wBSFbIXYswW2S5SMKo44LPsdTG4P4kfP5VRdAS5E_4o"",""BD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'""&amp;YEAR(C36)&amp;""-""&amp;MONTH(C36)&amp;""-""&amp;DAY(C36)&amp;""'""))&gt;0,""Depositada"",if(sum(QUERY(IMPORTRANGE(""https://docs.google.com/spreadsheets/d/1wBSFbIXYswW2S5SMKo44LPsdTG4P4kfP5VRdAS5E_4o"",""BD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Sangria"")"),"")</f>
        <v/>
      </c>
      <c r="M36" s="185">
        <f>IFERROR(__xludf.DUMMYFUNCTION("ifna(VALUE(REGEXEXTRACT(E36,""[0-9.]+[,]+[0-9]+"")))"),92.87)</f>
        <v>92.87</v>
      </c>
      <c r="N36" s="108"/>
      <c r="R36" s="110"/>
    </row>
    <row r="37" ht="14.25" customHeight="1">
      <c r="A37" s="178"/>
      <c r="B37" s="10">
        <v>1594703.0</v>
      </c>
      <c r="C37" s="11">
        <v>45865.82798611111</v>
      </c>
      <c r="D37" s="179" t="s">
        <v>50</v>
      </c>
      <c r="E37" s="180" t="s">
        <v>6382</v>
      </c>
      <c r="F37" s="181"/>
      <c r="G37" s="179" t="s">
        <v>6383</v>
      </c>
      <c r="H37" s="186"/>
      <c r="I37" s="186"/>
      <c r="J37" s="187" t="s">
        <v>3825</v>
      </c>
      <c r="K37" s="187"/>
      <c r="L37" s="184" t="str">
        <f>IFERROR(__xludf.DUMMYFUNCTION("ifna(IF(and(D37=""Saída"",J37=""Sangria""),if(sum(QUERY(IMPORTRANGE(""https://docs.google.com/spreadsheets/d/1wBSFbIXYswW2S5SMKo44LPsdTG4P4kfP5VRdAS5E_4o"",""BD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'""&amp;YEAR(C37)&amp;""-""&amp;MONTH(C37)&amp;""-""&amp;DAY(C37)&amp;""'""))&gt;0,""Depositada"",if(sum(QUERY(IMPORTRANGE(""https://docs.google.com/spreadsheets/d/1wBSFbIXYswW2S5SMKo44LPsdTG4P4kfP5VRdAS5E_4o"",""BD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IFERROR(__xludf.DUMMYFUNCTION("ifna(VALUE(REGEXEXTRACT(E37,""[0-9.]+[,]+[0-9]+"")))"),65.0)</f>
        <v>65</v>
      </c>
      <c r="N37" s="108"/>
      <c r="R37" s="110"/>
    </row>
    <row r="38" ht="14.25" customHeight="1">
      <c r="A38" s="178"/>
      <c r="B38" s="10">
        <v>1594710.0</v>
      </c>
      <c r="C38" s="11">
        <v>45865.82875</v>
      </c>
      <c r="D38" s="179" t="s">
        <v>50</v>
      </c>
      <c r="E38" s="180" t="s">
        <v>6384</v>
      </c>
      <c r="F38" s="188"/>
      <c r="G38" s="179" t="s">
        <v>279</v>
      </c>
      <c r="H38" s="186"/>
      <c r="I38" s="186"/>
      <c r="J38" s="187" t="s">
        <v>3903</v>
      </c>
      <c r="K38" s="187"/>
      <c r="L38" s="184" t="str">
        <f>IFERROR(__xludf.DUMMYFUNCTION("ifna(IF(and(D38=""Saída"",J38=""Sangria""),if(sum(QUERY(IMPORTRANGE(""https://docs.google.com/spreadsheets/d/1wBSFbIXYswW2S5SMKo44LPsdTG4P4kfP5VRdAS5E_4o"",""BD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'""&amp;YEAR(C38)&amp;""-""&amp;MONTH(C38)&amp;""-""&amp;DAY(C38)&amp;""'""))&gt;0,""Depositada"",if(sum(QUERY(IMPORTRANGE(""https://docs.google.com/spreadsheets/d/1wBSFbIXYswW2S5SMKo44LPsdTG4P4kfP5VRdAS5E_4o"",""BD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Sangria"")"),"")</f>
        <v/>
      </c>
      <c r="M38" s="185">
        <f>IFERROR(__xludf.DUMMYFUNCTION("ifna(VALUE(REGEXEXTRACT(E38,""[0-9.]+[,]+[0-9]+"")))"),11.37)</f>
        <v>11.37</v>
      </c>
      <c r="N38" s="108"/>
      <c r="R38" s="110"/>
    </row>
    <row r="39" ht="21.75" customHeight="1">
      <c r="A39" s="178"/>
      <c r="B39" s="10">
        <v>1594718.0</v>
      </c>
      <c r="C39" s="11">
        <v>45865.830300925925</v>
      </c>
      <c r="D39" s="179" t="s">
        <v>50</v>
      </c>
      <c r="E39" s="180" t="s">
        <v>6385</v>
      </c>
      <c r="F39" s="181"/>
      <c r="G39" s="179" t="s">
        <v>6386</v>
      </c>
      <c r="H39" s="186"/>
      <c r="I39" s="186"/>
      <c r="J39" s="187" t="s">
        <v>3903</v>
      </c>
      <c r="K39" s="187"/>
      <c r="L39" s="184" t="str">
        <f>IFERROR(__xludf.DUMMYFUNCTION("ifna(IF(and(D39=""Saída"",J39=""Sangria""),if(sum(QUERY(IMPORTRANGE(""https://docs.google.com/spreadsheets/d/1wBSFbIXYswW2S5SMKo44LPsdTG4P4kfP5VRdAS5E_4o"",""BD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'""&amp;YEAR(C39)&amp;""-""&amp;MONTH(C39)&amp;""-""&amp;DAY(C39)&amp;""'""))&gt;0,""Depositada"",if(sum(QUERY(IMPORTRANGE(""https://docs.google.com/spreadsheets/d/1wBSFbIXYswW2S5SMKo44LPsdTG4P4kfP5VRdAS5E_4o"",""BD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IFERROR(__xludf.DUMMYFUNCTION("ifna(VALUE(REGEXEXTRACT(E39,""[0-9.]+[,]+[0-9]+"")))"),11.62)</f>
        <v>11.62</v>
      </c>
      <c r="N39" s="108"/>
      <c r="R39" s="110"/>
    </row>
    <row r="40" ht="14.25" customHeight="1">
      <c r="A40" s="178"/>
      <c r="B40" s="10">
        <v>1594768.0</v>
      </c>
      <c r="C40" s="11">
        <v>45865.84025462963</v>
      </c>
      <c r="D40" s="179" t="s">
        <v>50</v>
      </c>
      <c r="E40" s="180" t="s">
        <v>6392</v>
      </c>
      <c r="F40" s="181"/>
      <c r="G40" s="179" t="s">
        <v>6393</v>
      </c>
      <c r="H40" s="186"/>
      <c r="I40" s="186"/>
      <c r="J40" s="187" t="s">
        <v>3746</v>
      </c>
      <c r="K40" s="187" t="s">
        <v>3040</v>
      </c>
      <c r="L40" s="184" t="str">
        <f>IFERROR(__xludf.DUMMYFUNCTION("ifna(IF(and(D40=""Saída"",J40=""Sangria""),if(sum(QUERY(IMPORTRANGE(""https://docs.google.com/spreadsheets/d/1wBSFbIXYswW2S5SMKo44LPsdTG4P4kfP5VRdAS5E_4o"",""BD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'""&amp;YEAR(C40)&amp;""-""&amp;MONTH(C40)&amp;""-""&amp;DAY(C40)&amp;""'""))&gt;0,""Depositada"",if(sum(QUERY(IMPORTRANGE(""https://docs.google.com/spreadsheets/d/1wBSFbIXYswW2S5SMKo44LPsdTG4P4kfP5VRdAS5E_4o"",""BD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Sangria"")"),"#REF!")</f>
        <v>#REF!</v>
      </c>
      <c r="M40" s="185">
        <f>IFERROR(__xludf.DUMMYFUNCTION("ifna(VALUE(REGEXEXTRACT(E40,""[0-9.]+[,]+[0-9]+"")))"),1300.0)</f>
        <v>1300</v>
      </c>
      <c r="N40" s="108"/>
      <c r="R40" s="110"/>
    </row>
    <row r="41" ht="27.0" customHeight="1">
      <c r="A41" s="178"/>
      <c r="B41" s="10">
        <v>1594951.0</v>
      </c>
      <c r="C41" s="11">
        <v>45865.875543981485</v>
      </c>
      <c r="D41" s="179" t="s">
        <v>50</v>
      </c>
      <c r="E41" s="180" t="s">
        <v>4506</v>
      </c>
      <c r="F41" s="181"/>
      <c r="G41" s="179" t="s">
        <v>6396</v>
      </c>
      <c r="H41" s="186"/>
      <c r="I41" s="186"/>
      <c r="J41" s="187" t="s">
        <v>3825</v>
      </c>
      <c r="K41" s="187"/>
      <c r="L41" s="184" t="str">
        <f>IFERROR(__xludf.DUMMYFUNCTION("ifna(IF(and(D41=""Saída"",J41=""Sangria""),if(sum(QUERY(IMPORTRANGE(""https://docs.google.com/spreadsheets/d/1wBSFbIXYswW2S5SMKo44LPsdTG4P4kfP5VRdAS5E_4o"",""BD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'""&amp;YEAR(C41)&amp;""-""&amp;MONTH(C41)&amp;""-""&amp;DAY(C41)&amp;""'""))&gt;0,""Depositada"",if(sum(QUERY(IMPORTRANGE(""https://docs.google.com/spreadsheets/d/1wBSFbIXYswW2S5SMKo44LPsdTG4P4kfP5VRdAS5E_4o"",""BD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Sangria"")"),"")</f>
        <v/>
      </c>
      <c r="M41" s="185">
        <f>IFERROR(__xludf.DUMMYFUNCTION("ifna(VALUE(REGEXEXTRACT(E41,""[0-9.]+[,]+[0-9]+"")))"),91.0)</f>
        <v>91</v>
      </c>
      <c r="N41" s="108"/>
      <c r="R41" s="110"/>
    </row>
    <row r="42" ht="14.25" customHeight="1">
      <c r="A42" s="178"/>
      <c r="B42" s="10">
        <v>1596277.0</v>
      </c>
      <c r="C42" s="11">
        <v>45866.715532407405</v>
      </c>
      <c r="D42" s="179" t="s">
        <v>50</v>
      </c>
      <c r="E42" s="180" t="s">
        <v>6400</v>
      </c>
      <c r="F42" s="181"/>
      <c r="G42" s="179" t="s">
        <v>6401</v>
      </c>
      <c r="H42" s="186"/>
      <c r="I42" s="186"/>
      <c r="J42" s="187" t="s">
        <v>3467</v>
      </c>
      <c r="K42" s="187"/>
      <c r="L42" s="184" t="str">
        <f>IFERROR(__xludf.DUMMYFUNCTION("ifna(IF(and(D42=""Saída"",J42=""Sangria""),if(sum(QUERY(IMPORTRANGE(""https://docs.google.com/spreadsheets/d/1wBSFbIXYswW2S5SMKo44LPsdTG4P4kfP5VRdAS5E_4o"",""BD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'""&amp;YEAR(C42)&amp;""-""&amp;MONTH(C42)&amp;""-""&amp;DAY(C42)&amp;""'""))&gt;0,""Depositada"",if(sum(QUERY(IMPORTRANGE(""https://docs.google.com/spreadsheets/d/1wBSFbIXYswW2S5SMKo44LPsdTG4P4kfP5VRdAS5E_4o"",""BD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Sangria"")"),"")</f>
        <v/>
      </c>
      <c r="M42" s="185">
        <f>IFERROR(__xludf.DUMMYFUNCTION("ifna(VALUE(REGEXEXTRACT(E42,""[0-9.]+[,]+[0-9]+"")))"),50.23)</f>
        <v>50.23</v>
      </c>
      <c r="N42" s="108"/>
      <c r="R42" s="110"/>
    </row>
    <row r="43" ht="14.25" customHeight="1">
      <c r="A43" s="178"/>
      <c r="B43" s="10">
        <v>1596304.0</v>
      </c>
      <c r="C43" s="11">
        <v>45866.7271412037</v>
      </c>
      <c r="D43" s="179" t="s">
        <v>50</v>
      </c>
      <c r="E43" s="180" t="s">
        <v>6404</v>
      </c>
      <c r="F43" s="188"/>
      <c r="G43" s="179" t="s">
        <v>6405</v>
      </c>
      <c r="H43" s="189"/>
      <c r="I43" s="189"/>
      <c r="J43" s="187" t="s">
        <v>3467</v>
      </c>
      <c r="K43" s="187"/>
      <c r="L43" s="184" t="str">
        <f>IFERROR(__xludf.DUMMYFUNCTION("ifna(IF(and(D43=""Saída"",J43=""Sangria""),if(sum(QUERY(IMPORTRANGE(""https://docs.google.com/spreadsheets/d/1wBSFbIXYswW2S5SMKo44LPsdTG4P4kfP5VRdAS5E_4o"",""BD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'""&amp;YEAR(C43)&amp;""-""&amp;MONTH(C43)&amp;""-""&amp;DAY(C43)&amp;""'""))&gt;0,""Depositada"",if(sum(QUERY(IMPORTRANGE(""https://docs.google.com/spreadsheets/d/1wBSFbIXYswW2S5SMKo44LPsdTG4P4kfP5VRdAS5E_4o"",""BD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Sangria"")"),"")</f>
        <v/>
      </c>
      <c r="M43" s="185">
        <f>IFERROR(__xludf.DUMMYFUNCTION("ifna(VALUE(REGEXEXTRACT(E43,""[0-9.]+[,]+[0-9]+"")))"),22.11)</f>
        <v>22.11</v>
      </c>
      <c r="N43" s="108"/>
      <c r="R43" s="110"/>
    </row>
    <row r="44" ht="14.25" customHeight="1">
      <c r="A44" s="178"/>
      <c r="B44" s="10">
        <v>1596556.0</v>
      </c>
      <c r="C44" s="11">
        <v>45866.82949074074</v>
      </c>
      <c r="D44" s="179" t="s">
        <v>50</v>
      </c>
      <c r="E44" s="180" t="s">
        <v>6384</v>
      </c>
      <c r="F44" s="181"/>
      <c r="G44" s="179" t="s">
        <v>4690</v>
      </c>
      <c r="H44" s="189"/>
      <c r="I44" s="189"/>
      <c r="J44" s="187" t="s">
        <v>3044</v>
      </c>
      <c r="K44" s="187" t="s">
        <v>3168</v>
      </c>
      <c r="L44" s="184" t="str">
        <f>IFERROR(__xludf.DUMMYFUNCTION("ifna(IF(and(D44=""Saída"",J44=""Sangria""),if(sum(QUERY(IMPORTRANGE(""https://docs.google.com/spreadsheets/d/1wBSFbIXYswW2S5SMKo44LPsdTG4P4kfP5VRdAS5E_4o"",""BD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'""&amp;YEAR(C44)&amp;""-""&amp;MONTH(C44)&amp;""-""&amp;DAY(C44)&amp;""'""))&gt;0,""Depositada"",if(sum(QUERY(IMPORTRANGE(""https://docs.google.com/spreadsheets/d/1wBSFbIXYswW2S5SMKo44LPsdTG4P4kfP5VRdAS5E_4o"",""BD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Sangria"")"),"")</f>
        <v/>
      </c>
      <c r="M44" s="185">
        <f>IFERROR(__xludf.DUMMYFUNCTION("ifna(VALUE(REGEXEXTRACT(E44,""[0-9.]+[,]+[0-9]+"")))"),11.37)</f>
        <v>11.37</v>
      </c>
      <c r="N44" s="108"/>
      <c r="R44" s="110"/>
    </row>
    <row r="45" ht="14.25" customHeight="1">
      <c r="A45" s="178"/>
      <c r="B45" s="10">
        <v>1597321.0</v>
      </c>
      <c r="C45" s="11">
        <v>45867.624560185184</v>
      </c>
      <c r="D45" s="179" t="s">
        <v>50</v>
      </c>
      <c r="E45" s="180" t="s">
        <v>1279</v>
      </c>
      <c r="F45" s="181"/>
      <c r="G45" s="179" t="s">
        <v>6409</v>
      </c>
      <c r="H45" s="190"/>
      <c r="I45" s="190"/>
      <c r="J45" s="187" t="s">
        <v>3746</v>
      </c>
      <c r="K45" s="187"/>
      <c r="L45" s="184" t="str">
        <f>IFERROR(__xludf.DUMMYFUNCTION("ifna(IF(and(D45=""Saída"",J45=""Sangria""),if(sum(QUERY(IMPORTRANGE(""https://docs.google.com/spreadsheets/d/1wBSFbIXYswW2S5SMKo44LPsdTG4P4kfP5VRdAS5E_4o"",""BD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'""&amp;YEAR(C45)&amp;""-""&amp;MONTH(C45)&amp;""-""&amp;DAY(C45)&amp;""'""))&gt;0,""Depositada"",if(sum(QUERY(IMPORTRANGE(""https://docs.google.com/spreadsheets/d/1wBSFbIXYswW2S5SMKo44LPsdTG4P4kfP5VRdAS5E_4o"",""BD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Sangria"")"),"#REF!")</f>
        <v>#REF!</v>
      </c>
      <c r="M45" s="185">
        <f>IFERROR(__xludf.DUMMYFUNCTION("ifna(VALUE(REGEXEXTRACT(E45,""[0-9.]+[,]+[0-9]+"")))"),600.0)</f>
        <v>600</v>
      </c>
      <c r="N45" s="108"/>
      <c r="R45" s="110"/>
    </row>
    <row r="46" ht="18.75" customHeight="1">
      <c r="A46" s="178"/>
      <c r="B46" s="10">
        <v>1597744.0</v>
      </c>
      <c r="C46" s="11">
        <v>45867.768125</v>
      </c>
      <c r="D46" s="179" t="s">
        <v>50</v>
      </c>
      <c r="E46" s="180" t="s">
        <v>6418</v>
      </c>
      <c r="F46" s="181"/>
      <c r="G46" s="179" t="s">
        <v>4665</v>
      </c>
      <c r="H46" s="190"/>
      <c r="I46" s="190"/>
      <c r="J46" s="187" t="s">
        <v>3044</v>
      </c>
      <c r="K46" s="187" t="s">
        <v>3040</v>
      </c>
      <c r="L46" s="184" t="str">
        <f>IFERROR(__xludf.DUMMYFUNCTION("ifna(IF(and(D46=""Saída"",J46=""Sangria""),if(sum(QUERY(IMPORTRANGE(""https://docs.google.com/spreadsheets/d/1wBSFbIXYswW2S5SMKo44LPsdTG4P4kfP5VRdAS5E_4o"",""BD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'""&amp;YEAR(C46)&amp;""-""&amp;MONTH(C46)&amp;""-""&amp;DAY(C46)&amp;""'""))&gt;0,""Depositada"",if(sum(QUERY(IMPORTRANGE(""https://docs.google.com/spreadsheets/d/1wBSFbIXYswW2S5SMKo44LPsdTG4P4kfP5VRdAS5E_4o"",""BD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Sangria"")"),"")</f>
        <v/>
      </c>
      <c r="M46" s="185">
        <f>IFERROR(__xludf.DUMMYFUNCTION("ifna(VALUE(REGEXEXTRACT(E46,""[0-9.]+[,]+[0-9]+"")))"),41.74)</f>
        <v>41.74</v>
      </c>
      <c r="N46" s="108"/>
      <c r="R46" s="110"/>
    </row>
    <row r="47" ht="14.25" customHeight="1">
      <c r="A47" s="178"/>
      <c r="B47" s="10">
        <v>1597756.0</v>
      </c>
      <c r="C47" s="11">
        <v>45867.77324074074</v>
      </c>
      <c r="D47" s="179" t="s">
        <v>50</v>
      </c>
      <c r="E47" s="180" t="s">
        <v>963</v>
      </c>
      <c r="F47" s="188"/>
      <c r="G47" s="179" t="s">
        <v>4639</v>
      </c>
      <c r="H47" s="190"/>
      <c r="I47" s="190"/>
      <c r="J47" s="187" t="s">
        <v>3044</v>
      </c>
      <c r="K47" s="187" t="s">
        <v>3137</v>
      </c>
      <c r="L47" s="184" t="str">
        <f>IFERROR(__xludf.DUMMYFUNCTION("ifna(IF(and(D47=""Saída"",J47=""Sangria""),if(sum(QUERY(IMPORTRANGE(""https://docs.google.com/spreadsheets/d/1wBSFbIXYswW2S5SMKo44LPsdTG4P4kfP5VRdAS5E_4o"",""BD M Sangrias!a:i""),""select Col6 where Col7 = 'Depositada' and Col9 = '""&amp;K47&amp;""' and Col6 = """&amp;"&amp;M47&amp;"" and Col4 = date '""&amp;YEAR(C47)&amp;""-""&amp;MONTH(C47)&amp;""-""&amp;DAY(C47)&amp;""'""))&gt;0,""Depositada"",if(sum(QUERY(IMPORTRANGE(""https://docs.google.com/spreadsheets/d/1wBSFbIXYswW2S5SMKo44LPsdTG4P4kfP5VRdAS5E_4o"",""BD M Sangrias!a:i""),""select Col6 where Col7"&amp;" = 'Caixa Atendimento' and Col9 = '""&amp;K47&amp;""' and Col6 = ""&amp;M47&amp;"" and Col4 = date '""&amp;YEAR(C47)&amp;""-""&amp;MONTH(C47)&amp;""-""&amp;DAY(C47)&amp;""'""))&gt;0,""Caixa Atendimento"",""Caixa Sangria"")),""""),""Caixa Sangria"")"),"")</f>
        <v/>
      </c>
      <c r="M47" s="185">
        <f>IFERROR(__xludf.DUMMYFUNCTION("ifna(VALUE(REGEXEXTRACT(E47,""[0-9.]+[,]+[0-9]+"")))"),46.39)</f>
        <v>46.39</v>
      </c>
      <c r="R47" s="110"/>
    </row>
    <row r="48">
      <c r="A48" s="178"/>
      <c r="B48" s="10">
        <v>1597808.0</v>
      </c>
      <c r="C48" s="11">
        <v>45867.79922453704</v>
      </c>
      <c r="D48" s="179" t="s">
        <v>50</v>
      </c>
      <c r="E48" s="180" t="s">
        <v>6430</v>
      </c>
      <c r="F48" s="181"/>
      <c r="G48" s="179" t="s">
        <v>4690</v>
      </c>
      <c r="H48" s="190"/>
      <c r="I48" s="190"/>
      <c r="J48" s="187" t="s">
        <v>3044</v>
      </c>
      <c r="K48" s="187" t="s">
        <v>3168</v>
      </c>
      <c r="L48" s="184" t="str">
        <f>IFERROR(__xludf.DUMMYFUNCTION("ifna(IF(and(D48=""Saída"",J48=""Sangria""),if(sum(QUERY(IMPORTRANGE(""https://docs.google.com/spreadsheets/d/1wBSFbIXYswW2S5SMKo44LPsdTG4P4kfP5VRdAS5E_4o"",""BD M Sangrias!a:i""),""select Col6 where Col7 = 'Depositada' and Col9 = '""&amp;K48&amp;""' and Col6 = """&amp;"&amp;M48&amp;"" and Col4 = date '""&amp;YEAR(C48)&amp;""-""&amp;MONTH(C48)&amp;""-""&amp;DAY(C48)&amp;""'""))&gt;0,""Depositada"",if(sum(QUERY(IMPORTRANGE(""https://docs.google.com/spreadsheets/d/1wBSFbIXYswW2S5SMKo44LPsdTG4P4kfP5VRdAS5E_4o"",""BD M Sangrias!a:i""),""select Col6 where Col7"&amp;" = 'Caixa Atendimento' and Col9 = '""&amp;K48&amp;""'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IFERROR(__xludf.DUMMYFUNCTION("ifna(VALUE(REGEXEXTRACT(E48,""[0-9.]+[,]+[0-9]+"")))"),47.16)</f>
        <v>47.16</v>
      </c>
      <c r="N48" s="191" t="str">
        <f>B7</f>
        <v>Carolina</v>
      </c>
      <c r="O48" s="106"/>
      <c r="P48" s="106"/>
      <c r="Q48" s="106"/>
      <c r="R48" s="110"/>
      <c r="S48" s="123" t="str">
        <f>B8</f>
        <v>Sabrine</v>
      </c>
      <c r="T48" s="106"/>
      <c r="U48" s="106"/>
      <c r="V48" s="124"/>
    </row>
    <row r="49" ht="21.0" customHeight="1">
      <c r="A49" s="178"/>
      <c r="B49" s="10">
        <v>1598530.0</v>
      </c>
      <c r="C49" s="11">
        <v>45868.616747685184</v>
      </c>
      <c r="D49" s="179" t="s">
        <v>50</v>
      </c>
      <c r="E49" s="180" t="s">
        <v>6433</v>
      </c>
      <c r="F49" s="181"/>
      <c r="G49" s="179" t="s">
        <v>6434</v>
      </c>
      <c r="H49" s="190"/>
      <c r="I49" s="190"/>
      <c r="J49" s="187" t="s">
        <v>3903</v>
      </c>
      <c r="K49" s="187"/>
      <c r="L49" s="184" t="str">
        <f>IFERROR(__xludf.DUMMYFUNCTION("ifna(IF(and(D49=""Saída"",J49=""Sangria""),if(sum(QUERY(IMPORTRANGE(""https://docs.google.com/spreadsheets/d/1wBSFbIXYswW2S5SMKo44LPsdTG4P4kfP5VRdAS5E_4o"",""BD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'""&amp;YEAR(C49)&amp;""-""&amp;MONTH(C49)&amp;""-""&amp;DAY(C49)&amp;""'""))&gt;0,""Depositada"",if(sum(QUERY(IMPORTRANGE(""https://docs.google.com/spreadsheets/d/1wBSFbIXYswW2S5SMKo44LPsdTG4P4kfP5VRdAS5E_4o"",""BD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IFERROR(__xludf.DUMMYFUNCTION("ifna(VALUE(REGEXEXTRACT(E49,""[0-9.]+[,]+[0-9]+"")))"),71.91)</f>
        <v>71.91</v>
      </c>
      <c r="N49" s="45" t="str">
        <f>IFERROR(__xludf.DUMMYFUNCTION("query(C28:L504,""select Col1,Col3,Col8,Col9 where (Col8 = 'Adiantamento' or Col8 = 'Consumo') and Col9 = '""&amp;B7&amp;""'"",1)"),"Data")</f>
        <v>Data</v>
      </c>
      <c r="O49" s="46" t="str">
        <f>IFERROR(__xludf.DUMMYFUNCTION("""COMPUTED_VALUE"""),"Valor ")</f>
        <v>Valor </v>
      </c>
      <c r="P49" s="46" t="str">
        <f>IFERROR(__xludf.DUMMYFUNCTION("""COMPUTED_VALUE"""),"Tipo")</f>
        <v>Tipo</v>
      </c>
      <c r="Q49" s="46" t="str">
        <f>IFERROR(__xludf.DUMMYFUNCTION("""COMPUTED_VALUE"""),"Funcionário")</f>
        <v>Funcionário</v>
      </c>
      <c r="R49" s="48"/>
      <c r="S49" s="49" t="str">
        <f>IFERROR(__xludf.DUMMYFUNCTION("query(C28:L504,""select Col1,Col3,Col8,Col9 where (Col8 = 'Adiantamento' or Col8 = 'Consumo') and Col9 = '""&amp;B8&amp;""'"",1)"),"Data")</f>
        <v>Data</v>
      </c>
      <c r="T49" s="49" t="str">
        <f>IFERROR(__xludf.DUMMYFUNCTION("""COMPUTED_VALUE"""),"Valor ")</f>
        <v>Valor </v>
      </c>
      <c r="U49" s="49" t="str">
        <f>IFERROR(__xludf.DUMMYFUNCTION("""COMPUTED_VALUE"""),"Tipo")</f>
        <v>Tipo</v>
      </c>
      <c r="V49" s="50" t="str">
        <f>IFERROR(__xludf.DUMMYFUNCTION("""COMPUTED_VALUE"""),"Funcionário")</f>
        <v>Funcionário</v>
      </c>
    </row>
    <row r="50" ht="14.25" customHeight="1">
      <c r="A50" s="178"/>
      <c r="B50" s="10">
        <v>1598958.0</v>
      </c>
      <c r="C50" s="11">
        <v>45868.744675925926</v>
      </c>
      <c r="D50" s="179" t="s">
        <v>50</v>
      </c>
      <c r="E50" s="180" t="s">
        <v>6441</v>
      </c>
      <c r="F50" s="188"/>
      <c r="G50" s="179" t="s">
        <v>6442</v>
      </c>
      <c r="H50" s="190"/>
      <c r="I50" s="190"/>
      <c r="J50" s="187" t="s">
        <v>3467</v>
      </c>
      <c r="K50" s="187"/>
      <c r="L50" s="184" t="str">
        <f>IFERROR(__xludf.DUMMYFUNCTION("ifna(IF(and(D50=""Saída"",J50=""Sangria""),if(sum(QUERY(IMPORTRANGE(""https://docs.google.com/spreadsheets/d/1wBSFbIXYswW2S5SMKo44LPsdTG4P4kfP5VRdAS5E_4o"",""BD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'""&amp;YEAR(C50)&amp;""-""&amp;MONTH(C50)&amp;""-""&amp;DAY(C50)&amp;""'""))&gt;0,""Depositada"",if(sum(QUERY(IMPORTRANGE(""https://docs.google.com/spreadsheets/d/1wBSFbIXYswW2S5SMKo44LPsdTG4P4kfP5VRdAS5E_4o"",""BD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Sangria"")"),"")</f>
        <v/>
      </c>
      <c r="M50" s="185">
        <f>IFERROR(__xludf.DUMMYFUNCTION("ifna(VALUE(REGEXEXTRACT(E50,""[0-9.]+[,]+[0-9]+"")))"),36.3)</f>
        <v>36.3</v>
      </c>
      <c r="N50" s="51">
        <f>IFERROR(__xludf.DUMMYFUNCTION("""COMPUTED_VALUE"""),45867.773240740746)</f>
        <v>45867.77324</v>
      </c>
      <c r="O50" s="52" t="str">
        <f>IFERROR(__xludf.DUMMYFUNCTION("""COMPUTED_VALUE"""),"R$ 46,39")</f>
        <v>R$ 46,39</v>
      </c>
      <c r="P50" s="52" t="str">
        <f>IFERROR(__xludf.DUMMYFUNCTION("""COMPUTED_VALUE"""),"Consumo")</f>
        <v>Consumo</v>
      </c>
      <c r="Q50" s="52" t="str">
        <f>IFERROR(__xludf.DUMMYFUNCTION("""COMPUTED_VALUE"""),"Carolina")</f>
        <v>Carolina</v>
      </c>
      <c r="R50" s="54"/>
      <c r="S50" s="55">
        <f>IFERROR(__xludf.DUMMYFUNCTION("""COMPUTED_VALUE"""),45866.82949074074)</f>
        <v>45866.82949</v>
      </c>
      <c r="T50" s="52" t="str">
        <f>IFERROR(__xludf.DUMMYFUNCTION("""COMPUTED_VALUE"""),"R$ 11,37")</f>
        <v>R$ 11,37</v>
      </c>
      <c r="U50" s="52" t="str">
        <f>IFERROR(__xludf.DUMMYFUNCTION("""COMPUTED_VALUE"""),"Consumo")</f>
        <v>Consumo</v>
      </c>
      <c r="V50" s="53" t="str">
        <f>IFERROR(__xludf.DUMMYFUNCTION("""COMPUTED_VALUE"""),"Sabrine")</f>
        <v>Sabrine</v>
      </c>
    </row>
    <row r="51" ht="24.75" customHeight="1">
      <c r="A51" s="178"/>
      <c r="B51" s="10">
        <v>1599015.0</v>
      </c>
      <c r="C51" s="11">
        <v>45868.76267361111</v>
      </c>
      <c r="D51" s="179" t="s">
        <v>50</v>
      </c>
      <c r="E51" s="180" t="s">
        <v>6444</v>
      </c>
      <c r="F51" s="181"/>
      <c r="G51" s="179" t="s">
        <v>6445</v>
      </c>
      <c r="H51" s="190"/>
      <c r="I51" s="190"/>
      <c r="J51" s="187" t="s">
        <v>3467</v>
      </c>
      <c r="K51" s="187"/>
      <c r="L51" s="184" t="str">
        <f>IFERROR(__xludf.DUMMYFUNCTION("ifna(IF(and(D51=""Saída"",J51=""Sangria""),if(sum(QUERY(IMPORTRANGE(""https://docs.google.com/spreadsheets/d/1wBSFbIXYswW2S5SMKo44LPsdTG4P4kfP5VRdAS5E_4o"",""BD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'""&amp;YEAR(C51)&amp;""-""&amp;MONTH(C51)&amp;""-""&amp;DAY(C51)&amp;""'""))&gt;0,""Depositada"",if(sum(QUERY(IMPORTRANGE(""https://docs.google.com/spreadsheets/d/1wBSFbIXYswW2S5SMKo44LPsdTG4P4kfP5VRdAS5E_4o"",""BD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Sangria"")"),"")</f>
        <v/>
      </c>
      <c r="M51" s="185">
        <f>IFERROR(__xludf.DUMMYFUNCTION("ifna(VALUE(REGEXEXTRACT(E51,""[0-9.]+[,]+[0-9]+"")))"),25.94)</f>
        <v>25.94</v>
      </c>
      <c r="N51" s="51">
        <f>IFERROR(__xludf.DUMMYFUNCTION("""COMPUTED_VALUE"""),45876.77615740741)</f>
        <v>45876.77616</v>
      </c>
      <c r="O51" s="52" t="str">
        <f>IFERROR(__xludf.DUMMYFUNCTION("""COMPUTED_VALUE"""),"R$ 36,30")</f>
        <v>R$ 36,30</v>
      </c>
      <c r="P51" s="52" t="str">
        <f>IFERROR(__xludf.DUMMYFUNCTION("""COMPUTED_VALUE"""),"Consumo")</f>
        <v>Consumo</v>
      </c>
      <c r="Q51" s="52" t="str">
        <f>IFERROR(__xludf.DUMMYFUNCTION("""COMPUTED_VALUE"""),"Carolina")</f>
        <v>Carolina</v>
      </c>
      <c r="R51" s="54"/>
      <c r="S51" s="55">
        <f>IFERROR(__xludf.DUMMYFUNCTION("""COMPUTED_VALUE"""),45867.79922453704)</f>
        <v>45867.79922</v>
      </c>
      <c r="T51" s="52" t="str">
        <f>IFERROR(__xludf.DUMMYFUNCTION("""COMPUTED_VALUE"""),"R$ 47,16")</f>
        <v>R$ 47,16</v>
      </c>
      <c r="U51" s="52" t="str">
        <f>IFERROR(__xludf.DUMMYFUNCTION("""COMPUTED_VALUE"""),"Consumo")</f>
        <v>Consumo</v>
      </c>
      <c r="V51" s="53" t="str">
        <f>IFERROR(__xludf.DUMMYFUNCTION("""COMPUTED_VALUE"""),"Sabrine")</f>
        <v>Sabrine</v>
      </c>
    </row>
    <row r="52" ht="14.25" customHeight="1">
      <c r="A52" s="178"/>
      <c r="B52" s="10">
        <v>1599294.0</v>
      </c>
      <c r="C52" s="11">
        <v>45868.8784375</v>
      </c>
      <c r="D52" s="179" t="s">
        <v>50</v>
      </c>
      <c r="E52" s="180" t="s">
        <v>991</v>
      </c>
      <c r="F52" s="181"/>
      <c r="G52" s="179" t="s">
        <v>6449</v>
      </c>
      <c r="H52" s="190"/>
      <c r="I52" s="190"/>
      <c r="J52" s="187" t="s">
        <v>3746</v>
      </c>
      <c r="K52" s="187" t="s">
        <v>3168</v>
      </c>
      <c r="L52" s="184" t="str">
        <f>IFERROR(__xludf.DUMMYFUNCTION("ifna(IF(and(D52=""Saída"",J52=""Sangria""),if(sum(QUERY(IMPORTRANGE(""https://docs.google.com/spreadsheets/d/1wBSFbIXYswW2S5SMKo44LPsdTG4P4kfP5VRdAS5E_4o"",""BD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'""&amp;YEAR(C52)&amp;""-""&amp;MONTH(C52)&amp;""-""&amp;DAY(C52)&amp;""'""))&gt;0,""Depositada"",if(sum(QUERY(IMPORTRANGE(""https://docs.google.com/spreadsheets/d/1wBSFbIXYswW2S5SMKo44LPsdTG4P4kfP5VRdAS5E_4o"",""BD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Sangria"")"),"#REF!")</f>
        <v>#REF!</v>
      </c>
      <c r="M52" s="185">
        <f>IFERROR(__xludf.DUMMYFUNCTION("ifna(VALUE(REGEXEXTRACT(E52,""[0-9.]+[,]+[0-9]+"")))"),700.0)</f>
        <v>700</v>
      </c>
      <c r="N52" s="51">
        <f>IFERROR(__xludf.DUMMYFUNCTION("""COMPUTED_VALUE"""),45877.74241898148)</f>
        <v>45877.74242</v>
      </c>
      <c r="O52" s="52" t="str">
        <f>IFERROR(__xludf.DUMMYFUNCTION("""COMPUTED_VALUE"""),"R$ 31,95")</f>
        <v>R$ 31,95</v>
      </c>
      <c r="P52" s="52" t="str">
        <f>IFERROR(__xludf.DUMMYFUNCTION("""COMPUTED_VALUE"""),"Consumo")</f>
        <v>Consumo</v>
      </c>
      <c r="Q52" s="52" t="str">
        <f>IFERROR(__xludf.DUMMYFUNCTION("""COMPUTED_VALUE"""),"Carolina")</f>
        <v>Carolina</v>
      </c>
      <c r="R52" s="54"/>
      <c r="S52" s="55">
        <f>IFERROR(__xludf.DUMMYFUNCTION("""COMPUTED_VALUE"""),45869.82554398148)</f>
        <v>45869.82554</v>
      </c>
      <c r="T52" s="52" t="str">
        <f>IFERROR(__xludf.DUMMYFUNCTION("""COMPUTED_VALUE"""),"R$ 20,06")</f>
        <v>R$ 20,06</v>
      </c>
      <c r="U52" s="52" t="str">
        <f>IFERROR(__xludf.DUMMYFUNCTION("""COMPUTED_VALUE"""),"Consumo")</f>
        <v>Consumo</v>
      </c>
      <c r="V52" s="53" t="str">
        <f>IFERROR(__xludf.DUMMYFUNCTION("""COMPUTED_VALUE"""),"Sabrine")</f>
        <v>Sabrine</v>
      </c>
    </row>
    <row r="53" ht="14.25" customHeight="1">
      <c r="A53" s="178"/>
      <c r="B53" s="10">
        <v>1600535.0</v>
      </c>
      <c r="C53" s="11">
        <v>45869.82554398148</v>
      </c>
      <c r="D53" s="179" t="s">
        <v>50</v>
      </c>
      <c r="E53" s="180" t="s">
        <v>6456</v>
      </c>
      <c r="F53" s="188"/>
      <c r="G53" s="179" t="s">
        <v>4960</v>
      </c>
      <c r="H53" s="190"/>
      <c r="I53" s="190"/>
      <c r="J53" s="187" t="s">
        <v>3044</v>
      </c>
      <c r="K53" s="187" t="s">
        <v>3168</v>
      </c>
      <c r="L53" s="184" t="str">
        <f>IFERROR(__xludf.DUMMYFUNCTION("ifna(IF(and(D53=""Saída"",J53=""Sangria""),if(sum(QUERY(IMPORTRANGE(""https://docs.google.com/spreadsheets/d/1wBSFbIXYswW2S5SMKo44LPsdTG4P4kfP5VRdAS5E_4o"",""BD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'""&amp;YEAR(C53)&amp;""-""&amp;MONTH(C53)&amp;""-""&amp;DAY(C53)&amp;""'""))&gt;0,""Depositada"",if(sum(QUERY(IMPORTRANGE(""https://docs.google.com/spreadsheets/d/1wBSFbIXYswW2S5SMKo44LPsdTG4P4kfP5VRdAS5E_4o"",""BD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Sangria"")"),"")</f>
        <v/>
      </c>
      <c r="M53" s="185">
        <f>IFERROR(__xludf.DUMMYFUNCTION("ifna(VALUE(REGEXEXTRACT(E53,""[0-9.]+[,]+[0-9]+"")))"),20.06)</f>
        <v>20.06</v>
      </c>
      <c r="N53" s="51">
        <f>IFERROR(__xludf.DUMMYFUNCTION("""COMPUTED_VALUE"""),45881.77438657408)</f>
        <v>45881.77439</v>
      </c>
      <c r="O53" s="52" t="str">
        <f>IFERROR(__xludf.DUMMYFUNCTION("""COMPUTED_VALUE"""),"R$ 33,10")</f>
        <v>R$ 33,10</v>
      </c>
      <c r="P53" s="52" t="str">
        <f>IFERROR(__xludf.DUMMYFUNCTION("""COMPUTED_VALUE"""),"Consumo")</f>
        <v>Consumo</v>
      </c>
      <c r="Q53" s="52" t="str">
        <f>IFERROR(__xludf.DUMMYFUNCTION("""COMPUTED_VALUE"""),"Carolina")</f>
        <v>Carolina</v>
      </c>
      <c r="R53" s="54"/>
      <c r="S53" s="55">
        <f>IFERROR(__xludf.DUMMYFUNCTION("""COMPUTED_VALUE"""),45870.81015046296)</f>
        <v>45870.81015</v>
      </c>
      <c r="T53" s="52" t="str">
        <f>IFERROR(__xludf.DUMMYFUNCTION("""COMPUTED_VALUE"""),"R$ 70,46")</f>
        <v>R$ 70,46</v>
      </c>
      <c r="U53" s="52" t="str">
        <f>IFERROR(__xludf.DUMMYFUNCTION("""COMPUTED_VALUE"""),"Consumo")</f>
        <v>Consumo</v>
      </c>
      <c r="V53" s="53" t="str">
        <f>IFERROR(__xludf.DUMMYFUNCTION("""COMPUTED_VALUE"""),"Sabrine")</f>
        <v>Sabrine</v>
      </c>
    </row>
    <row r="54" ht="14.25" customHeight="1">
      <c r="A54" s="178"/>
      <c r="B54" s="10">
        <v>1600651.0</v>
      </c>
      <c r="C54" s="11">
        <v>45869.874444444446</v>
      </c>
      <c r="D54" s="179" t="s">
        <v>50</v>
      </c>
      <c r="E54" s="180" t="s">
        <v>6464</v>
      </c>
      <c r="F54" s="181"/>
      <c r="G54" s="179" t="s">
        <v>6458</v>
      </c>
      <c r="H54" s="190"/>
      <c r="I54" s="190"/>
      <c r="J54" s="187" t="s">
        <v>3903</v>
      </c>
      <c r="K54" s="187"/>
      <c r="L54" s="184" t="str">
        <f>IFERROR(__xludf.DUMMYFUNCTION("ifna(IF(and(D54=""Saída"",J54=""Sangria""),if(sum(QUERY(IMPORTRANGE(""https://docs.google.com/spreadsheets/d/1wBSFbIXYswW2S5SMKo44LPsdTG4P4kfP5VRdAS5E_4o"",""BD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'""&amp;YEAR(C54)&amp;""-""&amp;MONTH(C54)&amp;""-""&amp;DAY(C54)&amp;""'""))&gt;0,""Depositada"",if(sum(QUERY(IMPORTRANGE(""https://docs.google.com/spreadsheets/d/1wBSFbIXYswW2S5SMKo44LPsdTG4P4kfP5VRdAS5E_4o"",""BD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Sangria"")"),"")</f>
        <v/>
      </c>
      <c r="M54" s="185">
        <f>IFERROR(__xludf.DUMMYFUNCTION("ifna(VALUE(REGEXEXTRACT(E54,""[0-9.]+[,]+[0-9]+"")))"),500.4)</f>
        <v>500.4</v>
      </c>
      <c r="N54" s="51">
        <f>IFERROR(__xludf.DUMMYFUNCTION("""COMPUTED_VALUE"""),45887.71553240741)</f>
        <v>45887.71553</v>
      </c>
      <c r="O54" s="52" t="str">
        <f>IFERROR(__xludf.DUMMYFUNCTION("""COMPUTED_VALUE"""),"R$ 5,00")</f>
        <v>R$ 5,00</v>
      </c>
      <c r="P54" s="52" t="str">
        <f>IFERROR(__xludf.DUMMYFUNCTION("""COMPUTED_VALUE"""),"Consumo")</f>
        <v>Consumo</v>
      </c>
      <c r="Q54" s="52" t="str">
        <f>IFERROR(__xludf.DUMMYFUNCTION("""COMPUTED_VALUE"""),"Carolina")</f>
        <v>Carolina</v>
      </c>
      <c r="R54" s="54"/>
      <c r="S54" s="55">
        <f>IFERROR(__xludf.DUMMYFUNCTION("""COMPUTED_VALUE"""),45872.78407407408)</f>
        <v>45872.78407</v>
      </c>
      <c r="T54" s="52" t="str">
        <f>IFERROR(__xludf.DUMMYFUNCTION("""COMPUTED_VALUE"""),"R$ 15,90")</f>
        <v>R$ 15,90</v>
      </c>
      <c r="U54" s="52" t="str">
        <f>IFERROR(__xludf.DUMMYFUNCTION("""COMPUTED_VALUE"""),"Consumo")</f>
        <v>Consumo</v>
      </c>
      <c r="V54" s="53" t="str">
        <f>IFERROR(__xludf.DUMMYFUNCTION("""COMPUTED_VALUE"""),"Sabrine")</f>
        <v>Sabrine</v>
      </c>
    </row>
    <row r="55" ht="14.25" customHeight="1">
      <c r="A55" s="178"/>
      <c r="B55" s="10">
        <v>1600681.0</v>
      </c>
      <c r="C55" s="11">
        <v>45869.88199074074</v>
      </c>
      <c r="D55" s="179" t="s">
        <v>50</v>
      </c>
      <c r="E55" s="180" t="s">
        <v>1279</v>
      </c>
      <c r="F55" s="181"/>
      <c r="G55" s="179" t="s">
        <v>6471</v>
      </c>
      <c r="H55" s="190"/>
      <c r="I55" s="190"/>
      <c r="J55" s="187" t="s">
        <v>3746</v>
      </c>
      <c r="K55" s="187" t="s">
        <v>3168</v>
      </c>
      <c r="L55" s="184" t="str">
        <f>IFERROR(__xludf.DUMMYFUNCTION("ifna(IF(and(D55=""Saída"",J55=""Sangria""),if(sum(QUERY(IMPORTRANGE(""https://docs.google.com/spreadsheets/d/1wBSFbIXYswW2S5SMKo44LPsdTG4P4kfP5VRdAS5E_4o"",""BD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'""&amp;YEAR(C55)&amp;""-""&amp;MONTH(C55)&amp;""-""&amp;DAY(C55)&amp;""'""))&gt;0,""Depositada"",if(sum(QUERY(IMPORTRANGE(""https://docs.google.com/spreadsheets/d/1wBSFbIXYswW2S5SMKo44LPsdTG4P4kfP5VRdAS5E_4o"",""BD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Sangria"")"),"#REF!")</f>
        <v>#REF!</v>
      </c>
      <c r="M55" s="185">
        <f>IFERROR(__xludf.DUMMYFUNCTION("ifna(VALUE(REGEXEXTRACT(E55,""[0-9.]+[,]+[0-9]+"")))"),600.0)</f>
        <v>600</v>
      </c>
      <c r="N55" s="51">
        <f>IFERROR(__xludf.DUMMYFUNCTION("""COMPUTED_VALUE"""),45889.72136574074)</f>
        <v>45889.72137</v>
      </c>
      <c r="O55" s="79" t="str">
        <f>IFERROR(__xludf.DUMMYFUNCTION("""COMPUTED_VALUE"""),"R$ 5,00")</f>
        <v>R$ 5,00</v>
      </c>
      <c r="P55" s="79" t="str">
        <f>IFERROR(__xludf.DUMMYFUNCTION("""COMPUTED_VALUE"""),"Consumo")</f>
        <v>Consumo</v>
      </c>
      <c r="Q55" s="79" t="str">
        <f>IFERROR(__xludf.DUMMYFUNCTION("""COMPUTED_VALUE"""),"Carolina")</f>
        <v>Carolina</v>
      </c>
      <c r="R55" s="81"/>
      <c r="S55" s="55">
        <f>IFERROR(__xludf.DUMMYFUNCTION("""COMPUTED_VALUE"""),45872.84175925926)</f>
        <v>45872.84176</v>
      </c>
      <c r="T55" s="79" t="str">
        <f>IFERROR(__xludf.DUMMYFUNCTION("""COMPUTED_VALUE"""),"R$ 41,80")</f>
        <v>R$ 41,80</v>
      </c>
      <c r="U55" s="79" t="str">
        <f>IFERROR(__xludf.DUMMYFUNCTION("""COMPUTED_VALUE"""),"Consumo")</f>
        <v>Consumo</v>
      </c>
      <c r="V55" s="80" t="str">
        <f>IFERROR(__xludf.DUMMYFUNCTION("""COMPUTED_VALUE"""),"Sabrine")</f>
        <v>Sabrine</v>
      </c>
    </row>
    <row r="56" ht="14.25" customHeight="1">
      <c r="A56" s="178"/>
      <c r="B56" s="10">
        <v>1602109.0</v>
      </c>
      <c r="C56" s="11">
        <v>45870.81015046296</v>
      </c>
      <c r="D56" s="179" t="s">
        <v>50</v>
      </c>
      <c r="E56" s="180" t="s">
        <v>6477</v>
      </c>
      <c r="F56" s="188"/>
      <c r="G56" s="179" t="s">
        <v>4960</v>
      </c>
      <c r="H56" s="190"/>
      <c r="I56" s="190"/>
      <c r="J56" s="187" t="s">
        <v>3044</v>
      </c>
      <c r="K56" s="187" t="s">
        <v>3168</v>
      </c>
      <c r="L56" s="184" t="str">
        <f>IFERROR(__xludf.DUMMYFUNCTION("ifna(IF(and(D56=""Saída"",J56=""Sangria""),if(sum(QUERY(IMPORTRANGE(""https://docs.google.com/spreadsheets/d/1wBSFbIXYswW2S5SMKo44LPsdTG4P4kfP5VRdAS5E_4o"",""BD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'""&amp;YEAR(C56)&amp;""-""&amp;MONTH(C56)&amp;""-""&amp;DAY(C56)&amp;""'""))&gt;0,""Depositada"",if(sum(QUERY(IMPORTRANGE(""https://docs.google.com/spreadsheets/d/1wBSFbIXYswW2S5SMKo44LPsdTG4P4kfP5VRdAS5E_4o"",""BD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Sangria"")"),"")</f>
        <v/>
      </c>
      <c r="M56" s="185">
        <f>IFERROR(__xludf.DUMMYFUNCTION("ifna(VALUE(REGEXEXTRACT(E56,""[0-9.]+[,]+[0-9]+"")))"),70.46)</f>
        <v>70.46</v>
      </c>
      <c r="N56" s="88"/>
      <c r="O56" s="89"/>
      <c r="P56" s="89"/>
      <c r="Q56" s="89"/>
      <c r="R56" s="91"/>
      <c r="S56" s="236">
        <f>IFERROR(__xludf.DUMMYFUNCTION("""COMPUTED_VALUE"""),45873.88130787037)</f>
        <v>45873.88131</v>
      </c>
      <c r="T56" s="89" t="str">
        <f>IFERROR(__xludf.DUMMYFUNCTION("""COMPUTED_VALUE"""),"R$ 37,45")</f>
        <v>R$ 37,45</v>
      </c>
      <c r="U56" s="89" t="str">
        <f>IFERROR(__xludf.DUMMYFUNCTION("""COMPUTED_VALUE"""),"Consumo")</f>
        <v>Consumo</v>
      </c>
      <c r="V56" s="90" t="str">
        <f>IFERROR(__xludf.DUMMYFUNCTION("""COMPUTED_VALUE"""),"Sabrine")</f>
        <v>Sabrine</v>
      </c>
    </row>
    <row r="57" ht="17.25" customHeight="1">
      <c r="A57" s="178"/>
      <c r="B57" s="10">
        <v>1602170.0</v>
      </c>
      <c r="C57" s="11">
        <v>45870.83392361111</v>
      </c>
      <c r="D57" s="179" t="s">
        <v>50</v>
      </c>
      <c r="E57" s="180" t="s">
        <v>6486</v>
      </c>
      <c r="F57" s="181"/>
      <c r="G57" s="179" t="s">
        <v>4983</v>
      </c>
      <c r="H57" s="190"/>
      <c r="I57" s="190"/>
      <c r="J57" s="187" t="s">
        <v>3044</v>
      </c>
      <c r="K57" s="187" t="s">
        <v>3077</v>
      </c>
      <c r="L57" s="184" t="str">
        <f>IFERROR(__xludf.DUMMYFUNCTION("ifna(IF(and(D57=""Saída"",J57=""Sangria""),if(sum(QUERY(IMPORTRANGE(""https://docs.google.com/spreadsheets/d/1wBSFbIXYswW2S5SMKo44LPsdTG4P4kfP5VRdAS5E_4o"",""BD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'""&amp;YEAR(C57)&amp;""-""&amp;MONTH(C57)&amp;""-""&amp;DAY(C57)&amp;""'""))&gt;0,""Depositada"",if(sum(QUERY(IMPORTRANGE(""https://docs.google.com/spreadsheets/d/1wBSFbIXYswW2S5SMKo44LPsdTG4P4kfP5VRdAS5E_4o"",""BD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Sangria"")"),"")</f>
        <v/>
      </c>
      <c r="M57" s="185">
        <f>IFERROR(__xludf.DUMMYFUNCTION("ifna(VALUE(REGEXEXTRACT(E57,""[0-9.]+[,]+[0-9]+"")))"),31.58)</f>
        <v>31.58</v>
      </c>
      <c r="N57" s="88"/>
      <c r="O57" s="89"/>
      <c r="P57" s="89"/>
      <c r="Q57" s="89"/>
      <c r="R57" s="91"/>
      <c r="S57" s="236">
        <f>IFERROR(__xludf.DUMMYFUNCTION("""COMPUTED_VALUE"""),45874.87871527778)</f>
        <v>45874.87872</v>
      </c>
      <c r="T57" s="89" t="str">
        <f>IFERROR(__xludf.DUMMYFUNCTION("""COMPUTED_VALUE"""),"R$ 30,16")</f>
        <v>R$ 30,16</v>
      </c>
      <c r="U57" s="89" t="str">
        <f>IFERROR(__xludf.DUMMYFUNCTION("""COMPUTED_VALUE"""),"Consumo")</f>
        <v>Consumo</v>
      </c>
      <c r="V57" s="90" t="str">
        <f>IFERROR(__xludf.DUMMYFUNCTION("""COMPUTED_VALUE"""),"Sabrine")</f>
        <v>Sabrine</v>
      </c>
    </row>
    <row r="58" ht="14.25" customHeight="1">
      <c r="A58" s="178"/>
      <c r="B58" s="10">
        <v>1602357.0</v>
      </c>
      <c r="C58" s="11">
        <v>45870.89740740741</v>
      </c>
      <c r="D58" s="179" t="s">
        <v>50</v>
      </c>
      <c r="E58" s="180" t="s">
        <v>1151</v>
      </c>
      <c r="F58" s="181"/>
      <c r="G58" s="179" t="s">
        <v>6489</v>
      </c>
      <c r="H58" s="190"/>
      <c r="I58" s="190"/>
      <c r="J58" s="187" t="s">
        <v>3746</v>
      </c>
      <c r="K58" s="187" t="s">
        <v>3168</v>
      </c>
      <c r="L58" s="184" t="str">
        <f>IFERROR(__xludf.DUMMYFUNCTION("ifna(IF(and(D58=""Saída"",J58=""Sangria""),if(sum(QUERY(IMPORTRANGE(""https://docs.google.com/spreadsheets/d/1wBSFbIXYswW2S5SMKo44LPsdTG4P4kfP5VRdAS5E_4o"",""BD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'""&amp;YEAR(C58)&amp;""-""&amp;MONTH(C58)&amp;""-""&amp;DAY(C58)&amp;""'""))&gt;0,""Depositada"",if(sum(QUERY(IMPORTRANGE(""https://docs.google.com/spreadsheets/d/1wBSFbIXYswW2S5SMKo44LPsdTG4P4kfP5VRdAS5E_4o"",""BD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Sangria"")"),"#REF!")</f>
        <v>#REF!</v>
      </c>
      <c r="M58" s="185">
        <f>IFERROR(__xludf.DUMMYFUNCTION("ifna(VALUE(REGEXEXTRACT(E58,""[0-9.]+[,]+[0-9]+"")))"),900.0)</f>
        <v>900</v>
      </c>
      <c r="N58" s="88"/>
      <c r="O58" s="89"/>
      <c r="P58" s="89"/>
      <c r="Q58" s="89"/>
      <c r="R58" s="91"/>
      <c r="S58" s="236">
        <f>IFERROR(__xludf.DUMMYFUNCTION("""COMPUTED_VALUE"""),45875.807175925926)</f>
        <v>45875.80718</v>
      </c>
      <c r="T58" s="89" t="str">
        <f>IFERROR(__xludf.DUMMYFUNCTION("""COMPUTED_VALUE"""),"R$ 16,10")</f>
        <v>R$ 16,10</v>
      </c>
      <c r="U58" s="89" t="str">
        <f>IFERROR(__xludf.DUMMYFUNCTION("""COMPUTED_VALUE"""),"Consumo")</f>
        <v>Consumo</v>
      </c>
      <c r="V58" s="90" t="str">
        <f>IFERROR(__xludf.DUMMYFUNCTION("""COMPUTED_VALUE"""),"Sabrine")</f>
        <v>Sabrine</v>
      </c>
    </row>
    <row r="59" ht="14.25" customHeight="1">
      <c r="A59" s="178"/>
      <c r="H59" s="190"/>
      <c r="I59" s="190"/>
      <c r="J59" s="187"/>
      <c r="K59" s="187"/>
      <c r="L59" s="184" t="str">
        <f>IFERROR(__xludf.DUMMYFUNCTION("ifna(IF(and(D59=""Saída"",J59=""Sangria""),if(sum(QUERY(IMPORTRANGE(""https://docs.google.com/spreadsheets/d/1wBSFbIXYswW2S5SMKo44LPsdTG4P4kfP5VRdAS5E_4o"",""BD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'""&amp;YEAR(C59)&amp;""-""&amp;MONTH(C59)&amp;""-""&amp;DAY(C59)&amp;""'""))&gt;0,""Depositada"",if(sum(QUERY(IMPORTRANGE(""https://docs.google.com/spreadsheets/d/1wBSFbIXYswW2S5SMKo44LPsdTG4P4kfP5VRdAS5E_4o"",""BD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 t="str">
        <f>IFERROR(__xludf.DUMMYFUNCTION("ifna(VALUE(REGEXEXTRACT(E59,""[0-9.]+[,]+[0-9]+"")))"),"")</f>
        <v/>
      </c>
      <c r="N59" s="88"/>
      <c r="O59" s="89"/>
      <c r="P59" s="89"/>
      <c r="Q59" s="89"/>
      <c r="R59" s="91"/>
      <c r="S59" s="236">
        <f>IFERROR(__xludf.DUMMYFUNCTION("""COMPUTED_VALUE"""),45876.87224537037)</f>
        <v>45876.87225</v>
      </c>
      <c r="T59" s="89" t="str">
        <f>IFERROR(__xludf.DUMMYFUNCTION("""COMPUTED_VALUE"""),"R$ 47,54")</f>
        <v>R$ 47,54</v>
      </c>
      <c r="U59" s="89" t="str">
        <f>IFERROR(__xludf.DUMMYFUNCTION("""COMPUTED_VALUE"""),"Consumo")</f>
        <v>Consumo</v>
      </c>
      <c r="V59" s="90" t="str">
        <f>IFERROR(__xludf.DUMMYFUNCTION("""COMPUTED_VALUE"""),"Sabrine")</f>
        <v>Sabrine</v>
      </c>
    </row>
    <row r="60" ht="14.25" customHeight="1">
      <c r="A60" s="178"/>
      <c r="B60" s="10">
        <v>1604489.0</v>
      </c>
      <c r="C60" s="11">
        <v>45871.90064814815</v>
      </c>
      <c r="D60" s="179" t="s">
        <v>50</v>
      </c>
      <c r="E60" s="180" t="s">
        <v>6498</v>
      </c>
      <c r="F60" s="181"/>
      <c r="G60" s="179" t="s">
        <v>6499</v>
      </c>
      <c r="H60" s="190"/>
      <c r="I60" s="190"/>
      <c r="J60" s="187" t="s">
        <v>3903</v>
      </c>
      <c r="K60" s="187"/>
      <c r="L60" s="184" t="str">
        <f>IFERROR(__xludf.DUMMYFUNCTION("ifna(IF(and(D60=""Saída"",J60=""Sangria""),if(sum(QUERY(IMPORTRANGE(""https://docs.google.com/spreadsheets/d/1wBSFbIXYswW2S5SMKo44LPsdTG4P4kfP5VRdAS5E_4o"",""BD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'""&amp;YEAR(C60)&amp;""-""&amp;MONTH(C60)&amp;""-""&amp;DAY(C60)&amp;""'""))&gt;0,""Depositada"",if(sum(QUERY(IMPORTRANGE(""https://docs.google.com/spreadsheets/d/1wBSFbIXYswW2S5SMKo44LPsdTG4P4kfP5VRdAS5E_4o"",""BD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Sangria"")"),"")</f>
        <v/>
      </c>
      <c r="M60" s="185">
        <f>IFERROR(__xludf.DUMMYFUNCTION("ifna(VALUE(REGEXEXTRACT(E60,""[0-9.]+[,]+[0-9]+"")))"),155.0)</f>
        <v>155</v>
      </c>
      <c r="N60" s="192"/>
      <c r="O60" s="193"/>
      <c r="P60" s="194"/>
      <c r="Q60" s="195"/>
      <c r="R60" s="91"/>
      <c r="S60" s="236">
        <f>IFERROR(__xludf.DUMMYFUNCTION("""COMPUTED_VALUE"""),45877.784687499996)</f>
        <v>45877.78469</v>
      </c>
      <c r="T60" s="89" t="str">
        <f>IFERROR(__xludf.DUMMYFUNCTION("""COMPUTED_VALUE"""),"R$ 15,34")</f>
        <v>R$ 15,34</v>
      </c>
      <c r="U60" s="89" t="str">
        <f>IFERROR(__xludf.DUMMYFUNCTION("""COMPUTED_VALUE"""),"Consumo")</f>
        <v>Consumo</v>
      </c>
      <c r="V60" s="90" t="str">
        <f>IFERROR(__xludf.DUMMYFUNCTION("""COMPUTED_VALUE"""),"Sabrine")</f>
        <v>Sabrine</v>
      </c>
    </row>
    <row r="61" ht="14.25" customHeight="1">
      <c r="A61" s="178"/>
      <c r="B61" s="10">
        <v>1604492.0</v>
      </c>
      <c r="C61" s="11">
        <v>45871.90105324074</v>
      </c>
      <c r="D61" s="179" t="s">
        <v>50</v>
      </c>
      <c r="E61" s="180" t="s">
        <v>6502</v>
      </c>
      <c r="F61" s="188"/>
      <c r="G61" s="179" t="s">
        <v>6503</v>
      </c>
      <c r="H61" s="190"/>
      <c r="I61" s="190"/>
      <c r="J61" s="187" t="s">
        <v>3903</v>
      </c>
      <c r="K61" s="187"/>
      <c r="L61" s="184" t="str">
        <f>IFERROR(__xludf.DUMMYFUNCTION("ifna(IF(and(D61=""Saída"",J61=""Sangria""),if(sum(QUERY(IMPORTRANGE(""https://docs.google.com/spreadsheets/d/1wBSFbIXYswW2S5SMKo44LPsdTG4P4kfP5VRdAS5E_4o"",""BD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'""&amp;YEAR(C61)&amp;""-""&amp;MONTH(C61)&amp;""-""&amp;DAY(C61)&amp;""'""))&gt;0,""Depositada"",if(sum(QUERY(IMPORTRANGE(""https://docs.google.com/spreadsheets/d/1wBSFbIXYswW2S5SMKo44LPsdTG4P4kfP5VRdAS5E_4o"",""BD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IFERROR(__xludf.DUMMYFUNCTION("ifna(VALUE(REGEXEXTRACT(E61,""[0-9.]+[,]+[0-9]+"")))"),50.5)</f>
        <v>50.5</v>
      </c>
      <c r="N61" s="88"/>
      <c r="O61" s="89"/>
      <c r="P61" s="89"/>
      <c r="Q61" s="89"/>
      <c r="R61" s="91"/>
      <c r="S61" s="236">
        <f>IFERROR(__xludf.DUMMYFUNCTION("""COMPUTED_VALUE"""),45879.89857638889)</f>
        <v>45879.89858</v>
      </c>
      <c r="T61" s="89" t="str">
        <f>IFERROR(__xludf.DUMMYFUNCTION("""COMPUTED_VALUE"""),"R$ 38,65")</f>
        <v>R$ 38,65</v>
      </c>
      <c r="U61" s="89" t="str">
        <f>IFERROR(__xludf.DUMMYFUNCTION("""COMPUTED_VALUE"""),"Consumo")</f>
        <v>Consumo</v>
      </c>
      <c r="V61" s="90" t="str">
        <f>IFERROR(__xludf.DUMMYFUNCTION("""COMPUTED_VALUE"""),"Sabrine")</f>
        <v>Sabrine</v>
      </c>
    </row>
    <row r="62" ht="14.25" customHeight="1">
      <c r="A62" s="178"/>
      <c r="B62" s="10">
        <v>1604604.0</v>
      </c>
      <c r="C62" s="11">
        <v>45871.91693287037</v>
      </c>
      <c r="D62" s="179" t="s">
        <v>50</v>
      </c>
      <c r="E62" s="180" t="s">
        <v>4276</v>
      </c>
      <c r="F62" s="181"/>
      <c r="G62" s="179" t="s">
        <v>6508</v>
      </c>
      <c r="H62" s="190"/>
      <c r="I62" s="190"/>
      <c r="J62" s="187" t="s">
        <v>3746</v>
      </c>
      <c r="K62" s="187"/>
      <c r="L62" s="184" t="str">
        <f>IFERROR(__xludf.DUMMYFUNCTION("ifna(IF(and(D62=""Saída"",J62=""Sangria""),if(sum(QUERY(IMPORTRANGE(""https://docs.google.com/spreadsheets/d/1wBSFbIXYswW2S5SMKo44LPsdTG4P4kfP5VRdAS5E_4o"",""BD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'""&amp;YEAR(C62)&amp;""-""&amp;MONTH(C62)&amp;""-""&amp;DAY(C62)&amp;""'""))&gt;0,""Depositada"",if(sum(QUERY(IMPORTRANGE(""https://docs.google.com/spreadsheets/d/1wBSFbIXYswW2S5SMKo44LPsdTG4P4kfP5VRdAS5E_4o"",""BD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Sangria"")"),"#REF!")</f>
        <v>#REF!</v>
      </c>
      <c r="M62" s="185">
        <f>IFERROR(__xludf.DUMMYFUNCTION("ifna(VALUE(REGEXEXTRACT(E62,""[0-9.]+[,]+[0-9]+"")))"),1500.0)</f>
        <v>1500</v>
      </c>
      <c r="N62" s="88"/>
      <c r="O62" s="89"/>
      <c r="P62" s="89"/>
      <c r="Q62" s="89"/>
      <c r="R62" s="91"/>
      <c r="S62" s="236">
        <f>IFERROR(__xludf.DUMMYFUNCTION("""COMPUTED_VALUE"""),45880.645416666666)</f>
        <v>45880.64542</v>
      </c>
      <c r="T62" s="89" t="str">
        <f>IFERROR(__xludf.DUMMYFUNCTION("""COMPUTED_VALUE"""),"R$ 4,00")</f>
        <v>R$ 4,00</v>
      </c>
      <c r="U62" s="89" t="str">
        <f>IFERROR(__xludf.DUMMYFUNCTION("""COMPUTED_VALUE"""),"Consumo")</f>
        <v>Consumo</v>
      </c>
      <c r="V62" s="90" t="str">
        <f>IFERROR(__xludf.DUMMYFUNCTION("""COMPUTED_VALUE"""),"Sabrine")</f>
        <v>Sabrine</v>
      </c>
    </row>
    <row r="63" ht="14.25" customHeight="1">
      <c r="A63" s="178"/>
      <c r="B63" s="10">
        <v>1604611.0</v>
      </c>
      <c r="C63" s="11">
        <v>45871.91738425926</v>
      </c>
      <c r="D63" s="179" t="s">
        <v>50</v>
      </c>
      <c r="E63" s="180" t="s">
        <v>6514</v>
      </c>
      <c r="F63" s="181"/>
      <c r="G63" s="179" t="s">
        <v>6515</v>
      </c>
      <c r="H63" s="190"/>
      <c r="I63" s="190"/>
      <c r="J63" s="187" t="s">
        <v>3825</v>
      </c>
      <c r="K63" s="187"/>
      <c r="L63" s="184" t="str">
        <f>IFERROR(__xludf.DUMMYFUNCTION("ifna(IF(and(D63=""Saída"",J63=""Sangria""),if(sum(QUERY(IMPORTRANGE(""https://docs.google.com/spreadsheets/d/1wBSFbIXYswW2S5SMKo44LPsdTG4P4kfP5VRdAS5E_4o"",""BD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'""&amp;YEAR(C63)&amp;""-""&amp;MONTH(C63)&amp;""-""&amp;DAY(C63)&amp;""'""))&gt;0,""Depositada"",if(sum(QUERY(IMPORTRANGE(""https://docs.google.com/spreadsheets/d/1wBSFbIXYswW2S5SMKo44LPsdTG4P4kfP5VRdAS5E_4o"",""BD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Sangria"")"),"")</f>
        <v/>
      </c>
      <c r="M63" s="185">
        <f>IFERROR(__xludf.DUMMYFUNCTION("ifna(VALUE(REGEXEXTRACT(E63,""[0-9.]+[,]+[0-9]+"")))"),110.0)</f>
        <v>110</v>
      </c>
      <c r="N63" s="108"/>
      <c r="O63" s="109"/>
      <c r="P63" s="109"/>
      <c r="Q63" s="109"/>
      <c r="R63" s="110"/>
      <c r="S63" s="236">
        <f>IFERROR(__xludf.DUMMYFUNCTION("""COMPUTED_VALUE"""),45880.86728009259)</f>
        <v>45880.86728</v>
      </c>
      <c r="T63" s="109" t="str">
        <f>IFERROR(__xludf.DUMMYFUNCTION("""COMPUTED_VALUE"""),"R$ 18,57")</f>
        <v>R$ 18,57</v>
      </c>
      <c r="U63" s="109" t="str">
        <f>IFERROR(__xludf.DUMMYFUNCTION("""COMPUTED_VALUE"""),"Consumo")</f>
        <v>Consumo</v>
      </c>
      <c r="V63" s="111" t="str">
        <f>IFERROR(__xludf.DUMMYFUNCTION("""COMPUTED_VALUE"""),"Sabrine")</f>
        <v>Sabrine</v>
      </c>
    </row>
    <row r="64" ht="14.25" customHeight="1">
      <c r="A64" s="178"/>
      <c r="B64" s="10">
        <v>1604786.0</v>
      </c>
      <c r="C64" s="11">
        <v>45871.9350462963</v>
      </c>
      <c r="D64" s="179" t="s">
        <v>50</v>
      </c>
      <c r="E64" s="180" t="s">
        <v>6514</v>
      </c>
      <c r="F64" s="181"/>
      <c r="G64" s="179" t="s">
        <v>6521</v>
      </c>
      <c r="H64" s="190"/>
      <c r="I64" s="190"/>
      <c r="J64" s="187" t="s">
        <v>3825</v>
      </c>
      <c r="K64" s="187"/>
      <c r="L64" s="184" t="str">
        <f>IFERROR(__xludf.DUMMYFUNCTION("ifna(IF(and(D64=""Saída"",J64=""Sangria""),if(sum(QUERY(IMPORTRANGE(""https://docs.google.com/spreadsheets/d/1wBSFbIXYswW2S5SMKo44LPsdTG4P4kfP5VRdAS5E_4o"",""BD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'""&amp;YEAR(C64)&amp;""-""&amp;MONTH(C64)&amp;""-""&amp;DAY(C64)&amp;""'""))&gt;0,""Depositada"",if(sum(QUERY(IMPORTRANGE(""https://docs.google.com/spreadsheets/d/1wBSFbIXYswW2S5SMKo44LPsdTG4P4kfP5VRdAS5E_4o"",""BD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IFERROR(__xludf.DUMMYFUNCTION("ifna(VALUE(REGEXEXTRACT(E64,""[0-9.]+[,]+[0-9]+"")))"),110.0)</f>
        <v>110</v>
      </c>
      <c r="R64" s="24"/>
      <c r="S64" s="238">
        <f>IFERROR(__xludf.DUMMYFUNCTION("""COMPUTED_VALUE"""),45881.86456018519)</f>
        <v>45881.86456</v>
      </c>
      <c r="T64" s="239" t="str">
        <f>IFERROR(__xludf.DUMMYFUNCTION("""COMPUTED_VALUE"""),"R$ 44,47")</f>
        <v>R$ 44,47</v>
      </c>
      <c r="U64" s="239" t="str">
        <f>IFERROR(__xludf.DUMMYFUNCTION("""COMPUTED_VALUE"""),"Consumo")</f>
        <v>Consumo</v>
      </c>
      <c r="V64" s="239" t="str">
        <f>IFERROR(__xludf.DUMMYFUNCTION("""COMPUTED_VALUE"""),"Sabrine")</f>
        <v>Sabrine</v>
      </c>
    </row>
    <row r="65" ht="14.25" customHeight="1">
      <c r="A65" s="178"/>
      <c r="B65" s="10">
        <v>1605583.0</v>
      </c>
      <c r="C65" s="11">
        <v>45872.67233796296</v>
      </c>
      <c r="D65" s="179" t="s">
        <v>50</v>
      </c>
      <c r="E65" s="180" t="s">
        <v>6525</v>
      </c>
      <c r="F65" s="188"/>
      <c r="G65" s="179" t="s">
        <v>6513</v>
      </c>
      <c r="H65" s="190"/>
      <c r="I65" s="190"/>
      <c r="J65" s="187" t="s">
        <v>3044</v>
      </c>
      <c r="K65" s="187" t="s">
        <v>3040</v>
      </c>
      <c r="L65" s="184" t="str">
        <f>IFERROR(__xludf.DUMMYFUNCTION("ifna(IF(and(D65=""Saída"",J65=""Sangria""),if(sum(QUERY(IMPORTRANGE(""https://docs.google.com/spreadsheets/d/1wBSFbIXYswW2S5SMKo44LPsdTG4P4kfP5VRdAS5E_4o"",""BD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'""&amp;YEAR(C65)&amp;""-""&amp;MONTH(C65)&amp;""-""&amp;DAY(C65)&amp;""'""))&gt;0,""Depositada"",if(sum(QUERY(IMPORTRANGE(""https://docs.google.com/spreadsheets/d/1wBSFbIXYswW2S5SMKo44LPsdTG4P4kfP5VRdAS5E_4o"",""BD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Sangria"")"),"")</f>
        <v/>
      </c>
      <c r="M65" s="185">
        <f>IFERROR(__xludf.DUMMYFUNCTION("ifna(VALUE(REGEXEXTRACT(E65,""[0-9.]+[,]+[0-9]+"")))"),76.22)</f>
        <v>76.22</v>
      </c>
      <c r="R65" s="24"/>
      <c r="S65" s="238">
        <f>IFERROR(__xludf.DUMMYFUNCTION("""COMPUTED_VALUE"""),45882.80401620371)</f>
        <v>45882.80402</v>
      </c>
      <c r="T65" s="239" t="str">
        <f>IFERROR(__xludf.DUMMYFUNCTION("""COMPUTED_VALUE"""),"R$ 15,34")</f>
        <v>R$ 15,34</v>
      </c>
      <c r="U65" s="239" t="str">
        <f>IFERROR(__xludf.DUMMYFUNCTION("""COMPUTED_VALUE"""),"Consumo")</f>
        <v>Consumo</v>
      </c>
      <c r="V65" s="239" t="str">
        <f>IFERROR(__xludf.DUMMYFUNCTION("""COMPUTED_VALUE"""),"Sabrine")</f>
        <v>Sabrine</v>
      </c>
    </row>
    <row r="66" ht="14.25" customHeight="1">
      <c r="A66" s="178"/>
      <c r="B66" s="10">
        <v>1606137.0</v>
      </c>
      <c r="C66" s="11">
        <v>45872.78407407407</v>
      </c>
      <c r="D66" s="179" t="s">
        <v>50</v>
      </c>
      <c r="E66" s="180" t="s">
        <v>6527</v>
      </c>
      <c r="F66" s="181"/>
      <c r="G66" s="179" t="s">
        <v>4960</v>
      </c>
      <c r="H66" s="190"/>
      <c r="I66" s="190"/>
      <c r="J66" s="187" t="s">
        <v>3044</v>
      </c>
      <c r="K66" s="187" t="s">
        <v>3168</v>
      </c>
      <c r="L66" s="184" t="str">
        <f>IFERROR(__xludf.DUMMYFUNCTION("ifna(IF(and(D66=""Saída"",J66=""Sangria""),if(sum(QUERY(IMPORTRANGE(""https://docs.google.com/spreadsheets/d/1wBSFbIXYswW2S5SMKo44LPsdTG4P4kfP5VRdAS5E_4o"",""BD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'""&amp;YEAR(C66)&amp;""-""&amp;MONTH(C66)&amp;""-""&amp;DAY(C66)&amp;""'""))&gt;0,""Depositada"",if(sum(QUERY(IMPORTRANGE(""https://docs.google.com/spreadsheets/d/1wBSFbIXYswW2S5SMKo44LPsdTG4P4kfP5VRdAS5E_4o"",""BD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IFERROR(__xludf.DUMMYFUNCTION("ifna(VALUE(REGEXEXTRACT(E66,""[0-9.]+[,]+[0-9]+"")))"),15.9)</f>
        <v>15.9</v>
      </c>
      <c r="R66" s="24"/>
      <c r="S66" s="238">
        <f>IFERROR(__xludf.DUMMYFUNCTION("""COMPUTED_VALUE"""),45882.88144675926)</f>
        <v>45882.88145</v>
      </c>
      <c r="T66" s="239" t="str">
        <f>IFERROR(__xludf.DUMMYFUNCTION("""COMPUTED_VALUE"""),"R$ 30,45")</f>
        <v>R$ 30,45</v>
      </c>
      <c r="U66" s="239" t="str">
        <f>IFERROR(__xludf.DUMMYFUNCTION("""COMPUTED_VALUE"""),"Consumo")</f>
        <v>Consumo</v>
      </c>
      <c r="V66" s="239" t="str">
        <f>IFERROR(__xludf.DUMMYFUNCTION("""COMPUTED_VALUE"""),"Sabrine")</f>
        <v>Sabrine</v>
      </c>
    </row>
    <row r="67" ht="14.25" customHeight="1">
      <c r="A67" s="178"/>
      <c r="B67" s="10">
        <v>1606446.0</v>
      </c>
      <c r="C67" s="11">
        <v>45872.84175925926</v>
      </c>
      <c r="D67" s="179" t="s">
        <v>50</v>
      </c>
      <c r="E67" s="180" t="s">
        <v>6531</v>
      </c>
      <c r="F67" s="181"/>
      <c r="G67" s="179" t="s">
        <v>4960</v>
      </c>
      <c r="H67" s="190"/>
      <c r="I67" s="190"/>
      <c r="J67" s="187" t="s">
        <v>3044</v>
      </c>
      <c r="K67" s="187" t="s">
        <v>3168</v>
      </c>
      <c r="L67" s="184" t="str">
        <f>IFERROR(__xludf.DUMMYFUNCTION("ifna(IF(and(D67=""Saída"",J67=""Sangria""),if(sum(QUERY(IMPORTRANGE(""https://docs.google.com/spreadsheets/d/1wBSFbIXYswW2S5SMKo44LPsdTG4P4kfP5VRdAS5E_4o"",""BD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'""&amp;YEAR(C67)&amp;""-""&amp;MONTH(C67)&amp;""-""&amp;DAY(C67)&amp;""'""))&gt;0,""Depositada"",if(sum(QUERY(IMPORTRANGE(""https://docs.google.com/spreadsheets/d/1wBSFbIXYswW2S5SMKo44LPsdTG4P4kfP5VRdAS5E_4o"",""BD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IFERROR(__xludf.DUMMYFUNCTION("ifna(VALUE(REGEXEXTRACT(E67,""[0-9.]+[,]+[0-9]+"")))"),41.8)</f>
        <v>41.8</v>
      </c>
      <c r="R67" s="24"/>
      <c r="S67" s="238">
        <f>IFERROR(__xludf.DUMMYFUNCTION("""COMPUTED_VALUE"""),45884.5465625)</f>
        <v>45884.54656</v>
      </c>
      <c r="T67" s="239" t="str">
        <f>IFERROR(__xludf.DUMMYFUNCTION("""COMPUTED_VALUE"""),"R$ 8,00")</f>
        <v>R$ 8,00</v>
      </c>
      <c r="U67" s="239" t="str">
        <f>IFERROR(__xludf.DUMMYFUNCTION("""COMPUTED_VALUE"""),"Consumo")</f>
        <v>Consumo</v>
      </c>
      <c r="V67" s="239" t="str">
        <f>IFERROR(__xludf.DUMMYFUNCTION("""COMPUTED_VALUE"""),"Sabrine")</f>
        <v>Sabrine</v>
      </c>
    </row>
    <row r="68">
      <c r="A68" s="178"/>
      <c r="B68" s="10">
        <v>1606817.0</v>
      </c>
      <c r="C68" s="11">
        <v>45872.90292824074</v>
      </c>
      <c r="D68" s="179" t="s">
        <v>50</v>
      </c>
      <c r="E68" s="180" t="s">
        <v>6536</v>
      </c>
      <c r="F68" s="181"/>
      <c r="G68" s="179" t="s">
        <v>6538</v>
      </c>
      <c r="H68" s="190"/>
      <c r="I68" s="190"/>
      <c r="J68" s="187" t="s">
        <v>3825</v>
      </c>
      <c r="K68" s="187"/>
      <c r="L68" s="184" t="str">
        <f>IFERROR(__xludf.DUMMYFUNCTION("ifna(IF(and(D68=""Saída"",J68=""Sangria""),if(sum(QUERY(IMPORTRANGE(""https://docs.google.com/spreadsheets/d/1wBSFbIXYswW2S5SMKo44LPsdTG4P4kfP5VRdAS5E_4o"",""BD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'""&amp;YEAR(C68)&amp;""-""&amp;MONTH(C68)&amp;""-""&amp;DAY(C68)&amp;""'""))&gt;0,""Depositada"",if(sum(QUERY(IMPORTRANGE(""https://docs.google.com/spreadsheets/d/1wBSFbIXYswW2S5SMKo44LPsdTG4P4kfP5VRdAS5E_4o"",""BD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Sangria"")"),"")</f>
        <v/>
      </c>
      <c r="M68" s="185">
        <f>IFERROR(__xludf.DUMMYFUNCTION("ifna(VALUE(REGEXEXTRACT(E68,""[0-9.]+[,]+[0-9]+"")))"),72.0)</f>
        <v>72</v>
      </c>
      <c r="S68" s="238">
        <f>IFERROR(__xludf.DUMMYFUNCTION("""COMPUTED_VALUE"""),45884.805706018524)</f>
        <v>45884.80571</v>
      </c>
      <c r="T68" s="239" t="str">
        <f>IFERROR(__xludf.DUMMYFUNCTION("""COMPUTED_VALUE"""),"R$ 19,68")</f>
        <v>R$ 19,68</v>
      </c>
      <c r="U68" s="239" t="str">
        <f>IFERROR(__xludf.DUMMYFUNCTION("""COMPUTED_VALUE"""),"Consumo")</f>
        <v>Consumo</v>
      </c>
      <c r="V68" s="239" t="str">
        <f>IFERROR(__xludf.DUMMYFUNCTION("""COMPUTED_VALUE"""),"Sabrine")</f>
        <v>Sabrine</v>
      </c>
    </row>
    <row r="69" ht="14.25" customHeight="1">
      <c r="A69" s="178"/>
      <c r="B69" s="10">
        <v>1606822.0</v>
      </c>
      <c r="C69" s="11">
        <v>45872.90315972222</v>
      </c>
      <c r="D69" s="179" t="s">
        <v>50</v>
      </c>
      <c r="E69" s="180" t="s">
        <v>6540</v>
      </c>
      <c r="F69" s="181"/>
      <c r="G69" s="179" t="s">
        <v>6541</v>
      </c>
      <c r="H69" s="190"/>
      <c r="I69" s="190"/>
      <c r="J69" s="187" t="s">
        <v>3746</v>
      </c>
      <c r="K69" s="187" t="s">
        <v>3168</v>
      </c>
      <c r="L69" s="184" t="str">
        <f>IFERROR(__xludf.DUMMYFUNCTION("ifna(IF(and(D69=""Saída"",J69=""Sangria""),if(sum(QUERY(IMPORTRANGE(""https://docs.google.com/spreadsheets/d/1wBSFbIXYswW2S5SMKo44LPsdTG4P4kfP5VRdAS5E_4o"",""BD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'""&amp;YEAR(C69)&amp;""-""&amp;MONTH(C69)&amp;""-""&amp;DAY(C69)&amp;""'""))&gt;0,""Depositada"",if(sum(QUERY(IMPORTRANGE(""https://docs.google.com/spreadsheets/d/1wBSFbIXYswW2S5SMKo44LPsdTG4P4kfP5VRdAS5E_4o"",""BD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Sangria"")"),"#REF!")</f>
        <v>#REF!</v>
      </c>
      <c r="M69" s="185">
        <f>IFERROR(__xludf.DUMMYFUNCTION("ifna(VALUE(REGEXEXTRACT(E69,""[0-9.]+[,]+[0-9]+"")))"),950.0)</f>
        <v>950</v>
      </c>
      <c r="S69" s="238">
        <f>IFERROR(__xludf.DUMMYFUNCTION("""COMPUTED_VALUE"""),45886.9037962963)</f>
        <v>45886.9038</v>
      </c>
      <c r="T69" s="239" t="str">
        <f>IFERROR(__xludf.DUMMYFUNCTION("""COMPUTED_VALUE"""),"R$ 51,50")</f>
        <v>R$ 51,50</v>
      </c>
      <c r="U69" s="239" t="str">
        <f>IFERROR(__xludf.DUMMYFUNCTION("""COMPUTED_VALUE"""),"Consumo")</f>
        <v>Consumo</v>
      </c>
      <c r="V69" s="239" t="str">
        <f>IFERROR(__xludf.DUMMYFUNCTION("""COMPUTED_VALUE"""),"Sabrine")</f>
        <v>Sabrine</v>
      </c>
    </row>
    <row r="70" ht="24.75" customHeight="1">
      <c r="A70" s="178"/>
      <c r="B70" s="10">
        <v>1608510.0</v>
      </c>
      <c r="C70" s="11">
        <v>45873.88130787037</v>
      </c>
      <c r="D70" s="179" t="s">
        <v>50</v>
      </c>
      <c r="E70" s="180" t="s">
        <v>6544</v>
      </c>
      <c r="F70" s="188"/>
      <c r="G70" s="179" t="s">
        <v>4960</v>
      </c>
      <c r="H70" s="190"/>
      <c r="I70" s="190"/>
      <c r="J70" s="187" t="s">
        <v>3044</v>
      </c>
      <c r="K70" s="187" t="s">
        <v>3168</v>
      </c>
      <c r="L70" s="184" t="str">
        <f>IFERROR(__xludf.DUMMYFUNCTION("ifna(IF(and(D70=""Saída"",J70=""Sangria""),if(sum(QUERY(IMPORTRANGE(""https://docs.google.com/spreadsheets/d/1wBSFbIXYswW2S5SMKo44LPsdTG4P4kfP5VRdAS5E_4o"",""BD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'""&amp;YEAR(C70)&amp;""-""&amp;MONTH(C70)&amp;""-""&amp;DAY(C70)&amp;""'""))&gt;0,""Depositada"",if(sum(QUERY(IMPORTRANGE(""https://docs.google.com/spreadsheets/d/1wBSFbIXYswW2S5SMKo44LPsdTG4P4kfP5VRdAS5E_4o"",""BD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Sangria"")"),"")</f>
        <v/>
      </c>
      <c r="M70" s="185">
        <f>IFERROR(__xludf.DUMMYFUNCTION("ifna(VALUE(REGEXEXTRACT(E70,""[0-9.]+[,]+[0-9]+"")))"),37.45)</f>
        <v>37.45</v>
      </c>
      <c r="S70" s="238">
        <f>IFERROR(__xludf.DUMMYFUNCTION("""COMPUTED_VALUE"""),45887.81381944445)</f>
        <v>45887.81382</v>
      </c>
      <c r="T70" s="239" t="str">
        <f>IFERROR(__xludf.DUMMYFUNCTION("""COMPUTED_VALUE"""),"R$ 4,00")</f>
        <v>R$ 4,00</v>
      </c>
      <c r="U70" s="239" t="str">
        <f>IFERROR(__xludf.DUMMYFUNCTION("""COMPUTED_VALUE"""),"Consumo")</f>
        <v>Consumo</v>
      </c>
      <c r="V70" s="239" t="str">
        <f>IFERROR(__xludf.DUMMYFUNCTION("""COMPUTED_VALUE"""),"Sabrine")</f>
        <v>Sabrine</v>
      </c>
    </row>
    <row r="71" ht="14.25" customHeight="1">
      <c r="A71" s="178"/>
      <c r="B71" s="10">
        <v>1608520.0</v>
      </c>
      <c r="C71" s="11">
        <v>45873.88296296296</v>
      </c>
      <c r="D71" s="179" t="s">
        <v>50</v>
      </c>
      <c r="E71" s="180" t="s">
        <v>6548</v>
      </c>
      <c r="F71" s="181"/>
      <c r="G71" s="179" t="s">
        <v>4983</v>
      </c>
      <c r="H71" s="190"/>
      <c r="I71" s="190"/>
      <c r="J71" s="187" t="s">
        <v>3044</v>
      </c>
      <c r="K71" s="187" t="s">
        <v>3077</v>
      </c>
      <c r="L71" s="184" t="str">
        <f>IFERROR(__xludf.DUMMYFUNCTION("ifna(IF(and(D71=""Saída"",J71=""Sangria""),if(sum(QUERY(IMPORTRANGE(""https://docs.google.com/spreadsheets/d/1wBSFbIXYswW2S5SMKo44LPsdTG4P4kfP5VRdAS5E_4o"",""BD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'""&amp;YEAR(C71)&amp;""-""&amp;MONTH(C71)&amp;""-""&amp;DAY(C71)&amp;""'""))&gt;0,""Depositada"",if(sum(QUERY(IMPORTRANGE(""https://docs.google.com/spreadsheets/d/1wBSFbIXYswW2S5SMKo44LPsdTG4P4kfP5VRdAS5E_4o"",""BD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IFERROR(__xludf.DUMMYFUNCTION("ifna(VALUE(REGEXEXTRACT(E71,""[0-9.]+[,]+[0-9]+"")))"),37.83)</f>
        <v>37.83</v>
      </c>
    </row>
    <row r="72" ht="14.25" customHeight="1">
      <c r="A72" s="178"/>
      <c r="B72" s="10">
        <v>1609034.0</v>
      </c>
      <c r="C72" s="11">
        <v>45874.55777777778</v>
      </c>
      <c r="D72" s="179" t="s">
        <v>50</v>
      </c>
      <c r="E72" s="180" t="s">
        <v>6551</v>
      </c>
      <c r="F72" s="181"/>
      <c r="G72" s="179" t="s">
        <v>6552</v>
      </c>
      <c r="H72" s="190"/>
      <c r="I72" s="190"/>
      <c r="J72" s="187" t="s">
        <v>3903</v>
      </c>
      <c r="K72" s="187"/>
      <c r="L72" s="184" t="str">
        <f>IFERROR(__xludf.DUMMYFUNCTION("ifna(IF(and(D72=""Saída"",J72=""Sangria""),if(sum(QUERY(IMPORTRANGE(""https://docs.google.com/spreadsheets/d/1wBSFbIXYswW2S5SMKo44LPsdTG4P4kfP5VRdAS5E_4o"",""BD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'""&amp;YEAR(C72)&amp;""-""&amp;MONTH(C72)&amp;""-""&amp;DAY(C72)&amp;""'""))&gt;0,""Depositada"",if(sum(QUERY(IMPORTRANGE(""https://docs.google.com/spreadsheets/d/1wBSFbIXYswW2S5SMKo44LPsdTG4P4kfP5VRdAS5E_4o"",""BD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Sangria"")"),"")</f>
        <v/>
      </c>
      <c r="M72" s="185">
        <f>IFERROR(__xludf.DUMMYFUNCTION("ifna(VALUE(REGEXEXTRACT(E72,""[0-9.]+[,]+[0-9]+"")))"),11.5)</f>
        <v>11.5</v>
      </c>
    </row>
    <row r="73" ht="27.75" customHeight="1">
      <c r="A73" s="178"/>
      <c r="B73" s="10">
        <v>1609039.0</v>
      </c>
      <c r="C73" s="11">
        <v>45874.55940972222</v>
      </c>
      <c r="D73" s="179" t="s">
        <v>50</v>
      </c>
      <c r="E73" s="180" t="s">
        <v>943</v>
      </c>
      <c r="F73" s="181"/>
      <c r="G73" s="179" t="s">
        <v>328</v>
      </c>
      <c r="H73" s="190"/>
      <c r="I73" s="190"/>
      <c r="J73" s="187" t="s">
        <v>3903</v>
      </c>
      <c r="K73" s="187"/>
      <c r="L73" s="184" t="str">
        <f>IFERROR(__xludf.DUMMYFUNCTION("ifna(IF(and(D73=""Saída"",J73=""Sangria""),if(sum(QUERY(IMPORTRANGE(""https://docs.google.com/spreadsheets/d/1wBSFbIXYswW2S5SMKo44LPsdTG4P4kfP5VRdAS5E_4o"",""BD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'""&amp;YEAR(C73)&amp;""-""&amp;MONTH(C73)&amp;""-""&amp;DAY(C73)&amp;""'""))&gt;0,""Depositada"",if(sum(QUERY(IMPORTRANGE(""https://docs.google.com/spreadsheets/d/1wBSFbIXYswW2S5SMKo44LPsdTG4P4kfP5VRdAS5E_4o"",""BD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IFERROR(__xludf.DUMMYFUNCTION("ifna(VALUE(REGEXEXTRACT(E73,""[0-9.]+[,]+[0-9]+"")))"),12.0)</f>
        <v>12</v>
      </c>
    </row>
    <row r="74" ht="14.25" customHeight="1">
      <c r="A74" s="178"/>
      <c r="B74" s="10">
        <v>1609331.0</v>
      </c>
      <c r="C74" s="11">
        <v>45874.69619212963</v>
      </c>
      <c r="D74" s="179" t="s">
        <v>50</v>
      </c>
      <c r="E74" s="180" t="s">
        <v>1611</v>
      </c>
      <c r="F74" s="181"/>
      <c r="G74" s="179" t="s">
        <v>6557</v>
      </c>
      <c r="H74" s="190"/>
      <c r="I74" s="190"/>
      <c r="J74" s="187" t="s">
        <v>3903</v>
      </c>
      <c r="K74" s="187"/>
      <c r="L74" s="184" t="str">
        <f>IFERROR(__xludf.DUMMYFUNCTION("ifna(IF(and(D74=""Saída"",J74=""Sangria""),if(sum(QUERY(IMPORTRANGE(""https://docs.google.com/spreadsheets/d/1wBSFbIXYswW2S5SMKo44LPsdTG4P4kfP5VRdAS5E_4o"",""BD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'""&amp;YEAR(C74)&amp;""-""&amp;MONTH(C74)&amp;""-""&amp;DAY(C74)&amp;""'""))&gt;0,""Depositada"",if(sum(QUERY(IMPORTRANGE(""https://docs.google.com/spreadsheets/d/1wBSFbIXYswW2S5SMKo44LPsdTG4P4kfP5VRdAS5E_4o"",""BD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Sangria"")"),"")</f>
        <v/>
      </c>
      <c r="M74" s="185">
        <f>IFERROR(__xludf.DUMMYFUNCTION("ifna(VALUE(REGEXEXTRACT(E74,""[0-9.]+[,]+[0-9]+"")))"),7.0)</f>
        <v>7</v>
      </c>
    </row>
    <row r="75" ht="14.25" customHeight="1">
      <c r="A75" s="178"/>
      <c r="B75" s="10">
        <v>1609333.0</v>
      </c>
      <c r="C75" s="11">
        <v>45874.69645833333</v>
      </c>
      <c r="D75" s="179" t="s">
        <v>50</v>
      </c>
      <c r="E75" s="180" t="s">
        <v>6561</v>
      </c>
      <c r="F75" s="181"/>
      <c r="G75" s="179" t="s">
        <v>6562</v>
      </c>
      <c r="H75" s="190"/>
      <c r="I75" s="190"/>
      <c r="J75" s="187" t="s">
        <v>3903</v>
      </c>
      <c r="K75" s="187"/>
      <c r="L75" s="184" t="str">
        <f>IFERROR(__xludf.DUMMYFUNCTION("ifna(IF(and(D75=""Saída"",J75=""Sangria""),if(sum(QUERY(IMPORTRANGE(""https://docs.google.com/spreadsheets/d/1wBSFbIXYswW2S5SMKo44LPsdTG4P4kfP5VRdAS5E_4o"",""BD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'""&amp;YEAR(C75)&amp;""-""&amp;MONTH(C75)&amp;""-""&amp;DAY(C75)&amp;""'""))&gt;0,""Depositada"",if(sum(QUERY(IMPORTRANGE(""https://docs.google.com/spreadsheets/d/1wBSFbIXYswW2S5SMKo44LPsdTG4P4kfP5VRdAS5E_4o"",""BD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IFERROR(__xludf.DUMMYFUNCTION("ifna(VALUE(REGEXEXTRACT(E75,""[0-9.]+[,]+[0-9]+"")))"),6.0)</f>
        <v>6</v>
      </c>
    </row>
    <row r="76" ht="14.25" customHeight="1">
      <c r="A76" s="178"/>
      <c r="B76" s="10">
        <v>1609338.0</v>
      </c>
      <c r="C76" s="11">
        <v>45874.69708333333</v>
      </c>
      <c r="D76" s="179" t="s">
        <v>50</v>
      </c>
      <c r="E76" s="180" t="s">
        <v>6565</v>
      </c>
      <c r="F76" s="181"/>
      <c r="G76" s="179" t="s">
        <v>6566</v>
      </c>
      <c r="H76" s="190"/>
      <c r="I76" s="190"/>
      <c r="J76" s="187" t="s">
        <v>3903</v>
      </c>
      <c r="K76" s="187"/>
      <c r="L76" s="184" t="str">
        <f>IFERROR(__xludf.DUMMYFUNCTION("ifna(IF(and(D76=""Saída"",J76=""Sangria""),if(sum(QUERY(IMPORTRANGE(""https://docs.google.com/spreadsheets/d/1wBSFbIXYswW2S5SMKo44LPsdTG4P4kfP5VRdAS5E_4o"",""BD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'""&amp;YEAR(C76)&amp;""-""&amp;MONTH(C76)&amp;""-""&amp;DAY(C76)&amp;""'""))&gt;0,""Depositada"",if(sum(QUERY(IMPORTRANGE(""https://docs.google.com/spreadsheets/d/1wBSFbIXYswW2S5SMKo44LPsdTG4P4kfP5VRdAS5E_4o"",""BD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Sangria"")"),"")</f>
        <v/>
      </c>
      <c r="M76" s="185">
        <f>IFERROR(__xludf.DUMMYFUNCTION("ifna(VALUE(REGEXEXTRACT(E76,""[0-9.]+[,]+[0-9]+"")))"),416.0)</f>
        <v>416</v>
      </c>
    </row>
    <row r="77" ht="14.25" customHeight="1">
      <c r="A77" s="178"/>
      <c r="B77" s="10">
        <v>1609569.0</v>
      </c>
      <c r="C77" s="11">
        <v>45874.787407407406</v>
      </c>
      <c r="D77" s="179" t="s">
        <v>50</v>
      </c>
      <c r="E77" s="180" t="s">
        <v>4506</v>
      </c>
      <c r="F77" s="181"/>
      <c r="G77" s="179" t="s">
        <v>6570</v>
      </c>
      <c r="H77" s="190"/>
      <c r="I77" s="190"/>
      <c r="J77" s="187" t="s">
        <v>3825</v>
      </c>
      <c r="K77" s="187"/>
      <c r="L77" s="184" t="str">
        <f>IFERROR(__xludf.DUMMYFUNCTION("ifna(IF(and(D77=""Saída"",J77=""Sangria""),if(sum(QUERY(IMPORTRANGE(""https://docs.google.com/spreadsheets/d/1wBSFbIXYswW2S5SMKo44LPsdTG4P4kfP5VRdAS5E_4o"",""BD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'""&amp;YEAR(C77)&amp;""-""&amp;MONTH(C77)&amp;""-""&amp;DAY(C77)&amp;""'""))&gt;0,""Depositada"",if(sum(QUERY(IMPORTRANGE(""https://docs.google.com/spreadsheets/d/1wBSFbIXYswW2S5SMKo44LPsdTG4P4kfP5VRdAS5E_4o"",""BD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IFERROR(__xludf.DUMMYFUNCTION("ifna(VALUE(REGEXEXTRACT(E77,""[0-9.]+[,]+[0-9]+"")))"),91.0)</f>
        <v>91</v>
      </c>
    </row>
    <row r="78" ht="33.0" customHeight="1">
      <c r="A78" s="178"/>
      <c r="B78" s="10">
        <v>1609686.0</v>
      </c>
      <c r="C78" s="11">
        <v>45874.84916666667</v>
      </c>
      <c r="D78" s="179" t="s">
        <v>50</v>
      </c>
      <c r="E78" s="180" t="s">
        <v>566</v>
      </c>
      <c r="F78" s="188"/>
      <c r="G78" s="179" t="s">
        <v>4983</v>
      </c>
      <c r="H78" s="190"/>
      <c r="I78" s="190"/>
      <c r="J78" s="196"/>
      <c r="K78" s="187" t="s">
        <v>3077</v>
      </c>
      <c r="L78" s="184" t="str">
        <f>IFERROR(__xludf.DUMMYFUNCTION("ifna(IF(and(D78=""Saída"",J78=""Sangria""),if(sum(QUERY(IMPORTRANGE(""https://docs.google.com/spreadsheets/d/1wBSFbIXYswW2S5SMKo44LPsdTG4P4kfP5VRdAS5E_4o"",""BD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'""&amp;YEAR(C78)&amp;""-""&amp;MONTH(C78)&amp;""-""&amp;DAY(C78)&amp;""'""))&gt;0,""Depositada"",if(sum(QUERY(IMPORTRANGE(""https://docs.google.com/spreadsheets/d/1wBSFbIXYswW2S5SMKo44LPsdTG4P4kfP5VRdAS5E_4o"",""BD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IFERROR(__xludf.DUMMYFUNCTION("ifna(VALUE(REGEXEXTRACT(E78,""[0-9.]+[,]+[0-9]+"")))"),20.58)</f>
        <v>20.58</v>
      </c>
      <c r="N78" s="191" t="str">
        <f>B10</f>
        <v/>
      </c>
      <c r="O78" s="106"/>
      <c r="P78" s="106"/>
      <c r="Q78" s="106"/>
      <c r="R78" s="122"/>
      <c r="S78" s="123" t="str">
        <f>B11</f>
        <v/>
      </c>
      <c r="T78" s="106"/>
      <c r="U78" s="106"/>
      <c r="V78" s="124"/>
    </row>
    <row r="79" ht="14.25" customHeight="1">
      <c r="A79" s="178"/>
      <c r="B79" s="10">
        <v>1609750.0</v>
      </c>
      <c r="C79" s="11">
        <v>45874.87871527778</v>
      </c>
      <c r="D79" s="179" t="s">
        <v>50</v>
      </c>
      <c r="E79" s="180" t="s">
        <v>6577</v>
      </c>
      <c r="F79" s="181"/>
      <c r="G79" s="179" t="s">
        <v>4960</v>
      </c>
      <c r="H79" s="190"/>
      <c r="I79" s="190"/>
      <c r="J79" s="187" t="s">
        <v>3044</v>
      </c>
      <c r="K79" s="187" t="s">
        <v>3168</v>
      </c>
      <c r="L79" s="184" t="str">
        <f>IFERROR(__xludf.DUMMYFUNCTION("ifna(IF(and(D79=""Saída"",J79=""Sangria""),if(sum(QUERY(IMPORTRANGE(""https://docs.google.com/spreadsheets/d/1wBSFbIXYswW2S5SMKo44LPsdTG4P4kfP5VRdAS5E_4o"",""BD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'""&amp;YEAR(C79)&amp;""-""&amp;MONTH(C79)&amp;""-""&amp;DAY(C79)&amp;""'""))&gt;0,""Depositada"",if(sum(QUERY(IMPORTRANGE(""https://docs.google.com/spreadsheets/d/1wBSFbIXYswW2S5SMKo44LPsdTG4P4kfP5VRdAS5E_4o"",""BD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IFERROR(__xludf.DUMMYFUNCTION("ifna(VALUE(REGEXEXTRACT(E79,""[0-9.]+[,]+[0-9]+"")))"),30.16)</f>
        <v>30.16</v>
      </c>
      <c r="N79" s="45" t="str">
        <f>IFERROR(__xludf.DUMMYFUNCTION("query(C28:L504,""select Col1,Col3,Col8,Col9 where (Col8 = 'Adiantamento' or Col8 = 'Consumo') and Col9 = '""&amp;A10&amp;""'"",1)"),"Data")</f>
        <v>Data</v>
      </c>
      <c r="O79" s="46" t="str">
        <f>IFERROR(__xludf.DUMMYFUNCTION("""COMPUTED_VALUE"""),"Valor ")</f>
        <v>Valor </v>
      </c>
      <c r="P79" s="46" t="str">
        <f>IFERROR(__xludf.DUMMYFUNCTION("""COMPUTED_VALUE"""),"Tipo")</f>
        <v>Tipo</v>
      </c>
      <c r="Q79" s="46" t="str">
        <f>IFERROR(__xludf.DUMMYFUNCTION("""COMPUTED_VALUE"""),"Funcionário")</f>
        <v>Funcionário</v>
      </c>
      <c r="R79" s="48"/>
      <c r="S79" s="49" t="str">
        <f>IFERROR(__xludf.DUMMYFUNCTION("query(C28:L504,""select Col1,Col3,Col8,Col9 where (Col8 = 'Adiantamento' or Col8 = 'Consumo') and Col9 = '""&amp;A11&amp;""'"",1)"),"Data")</f>
        <v>Data</v>
      </c>
      <c r="T79" s="49" t="str">
        <f>IFERROR(__xludf.DUMMYFUNCTION("""COMPUTED_VALUE"""),"Valor ")</f>
        <v>Valor </v>
      </c>
      <c r="U79" s="49" t="str">
        <f>IFERROR(__xludf.DUMMYFUNCTION("""COMPUTED_VALUE"""),"Tipo")</f>
        <v>Tipo</v>
      </c>
      <c r="V79" s="50" t="str">
        <f>IFERROR(__xludf.DUMMYFUNCTION("""COMPUTED_VALUE"""),"Funcionário")</f>
        <v>Funcionário</v>
      </c>
    </row>
    <row r="80" ht="14.25" customHeight="1">
      <c r="A80" s="178"/>
      <c r="B80" s="10">
        <v>1609769.0</v>
      </c>
      <c r="C80" s="11">
        <v>45874.88166666667</v>
      </c>
      <c r="D80" s="179" t="s">
        <v>50</v>
      </c>
      <c r="E80" s="180" t="s">
        <v>6479</v>
      </c>
      <c r="F80" s="181"/>
      <c r="G80" s="179" t="s">
        <v>6580</v>
      </c>
      <c r="H80" s="190"/>
      <c r="I80" s="190"/>
      <c r="J80" s="187" t="s">
        <v>3746</v>
      </c>
      <c r="K80" s="187" t="s">
        <v>3168</v>
      </c>
      <c r="L80" s="184" t="str">
        <f>IFERROR(__xludf.DUMMYFUNCTION("ifna(IF(and(D80=""Saída"",J80=""Sangria""),if(sum(QUERY(IMPORTRANGE(""https://docs.google.com/spreadsheets/d/1wBSFbIXYswW2S5SMKo44LPsdTG4P4kfP5VRdAS5E_4o"",""BD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'""&amp;YEAR(C80)&amp;""-""&amp;MONTH(C80)&amp;""-""&amp;DAY(C80)&amp;""'""))&gt;0,""Depositada"",if(sum(QUERY(IMPORTRANGE(""https://docs.google.com/spreadsheets/d/1wBSFbIXYswW2S5SMKo44LPsdTG4P4kfP5VRdAS5E_4o"",""BD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Sangria"")"),"#REF!")</f>
        <v>#REF!</v>
      </c>
      <c r="M80" s="185">
        <f>IFERROR(__xludf.DUMMYFUNCTION("ifna(VALUE(REGEXEXTRACT(E80,""[0-9.]+[,]+[0-9]+"")))"),300.0)</f>
        <v>300</v>
      </c>
      <c r="N80" s="51"/>
      <c r="O80" s="52"/>
      <c r="P80" s="52"/>
      <c r="Q80" s="52"/>
      <c r="R80" s="54"/>
      <c r="S80" s="52"/>
      <c r="T80" s="52"/>
      <c r="U80" s="52"/>
      <c r="V80" s="53"/>
    </row>
    <row r="81" ht="14.25" customHeight="1">
      <c r="A81" s="178"/>
      <c r="B81" s="10">
        <v>1610407.0</v>
      </c>
      <c r="C81" s="11">
        <v>45875.64627314815</v>
      </c>
      <c r="D81" s="179" t="s">
        <v>50</v>
      </c>
      <c r="E81" s="180" t="s">
        <v>6582</v>
      </c>
      <c r="F81" s="181"/>
      <c r="G81" s="179" t="s">
        <v>6584</v>
      </c>
      <c r="H81" s="190"/>
      <c r="I81" s="190"/>
      <c r="J81" s="187" t="s">
        <v>3903</v>
      </c>
      <c r="K81" s="187"/>
      <c r="L81" s="184" t="str">
        <f>IFERROR(__xludf.DUMMYFUNCTION("ifna(IF(and(D81=""Saída"",J81=""Sangria""),if(sum(QUERY(IMPORTRANGE(""https://docs.google.com/spreadsheets/d/1wBSFbIXYswW2S5SMKo44LPsdTG4P4kfP5VRdAS5E_4o"",""BD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'""&amp;YEAR(C81)&amp;""-""&amp;MONTH(C81)&amp;""-""&amp;DAY(C81)&amp;""'""))&gt;0,""Depositada"",if(sum(QUERY(IMPORTRANGE(""https://docs.google.com/spreadsheets/d/1wBSFbIXYswW2S5SMKo44LPsdTG4P4kfP5VRdAS5E_4o"",""BD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Sangria"")"),"")</f>
        <v/>
      </c>
      <c r="M81" s="185">
        <f>IFERROR(__xludf.DUMMYFUNCTION("ifna(VALUE(REGEXEXTRACT(E81,""[0-9.]+[,]+[0-9]+"")))"),380.64)</f>
        <v>380.64</v>
      </c>
      <c r="N81" s="51"/>
      <c r="O81" s="52"/>
      <c r="P81" s="52"/>
      <c r="Q81" s="52"/>
      <c r="R81" s="54"/>
      <c r="S81" s="52"/>
      <c r="T81" s="52"/>
      <c r="U81" s="52"/>
      <c r="V81" s="53"/>
    </row>
    <row r="82" ht="14.25" customHeight="1">
      <c r="A82" s="178"/>
      <c r="B82" s="10">
        <v>1610858.0</v>
      </c>
      <c r="C82" s="11">
        <v>45875.807175925926</v>
      </c>
      <c r="D82" s="179" t="s">
        <v>50</v>
      </c>
      <c r="E82" s="180" t="s">
        <v>6586</v>
      </c>
      <c r="F82" s="181"/>
      <c r="G82" s="179" t="s">
        <v>4960</v>
      </c>
      <c r="H82" s="190"/>
      <c r="I82" s="190"/>
      <c r="J82" s="187" t="s">
        <v>3044</v>
      </c>
      <c r="K82" s="187" t="s">
        <v>3168</v>
      </c>
      <c r="L82" s="184" t="str">
        <f>IFERROR(__xludf.DUMMYFUNCTION("ifna(IF(and(D82=""Saída"",J82=""Sangria""),if(sum(QUERY(IMPORTRANGE(""https://docs.google.com/spreadsheets/d/1wBSFbIXYswW2S5SMKo44LPsdTG4P4kfP5VRdAS5E_4o"",""BD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'""&amp;YEAR(C82)&amp;""-""&amp;MONTH(C82)&amp;""-""&amp;DAY(C82)&amp;""'""))&gt;0,""Depositada"",if(sum(QUERY(IMPORTRANGE(""https://docs.google.com/spreadsheets/d/1wBSFbIXYswW2S5SMKo44LPsdTG4P4kfP5VRdAS5E_4o"",""BD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Sangria"")"),"")</f>
        <v/>
      </c>
      <c r="M82" s="185">
        <f>IFERROR(__xludf.DUMMYFUNCTION("ifna(VALUE(REGEXEXTRACT(E82,""[0-9.]+[,]+[0-9]+"")))"),16.1)</f>
        <v>16.1</v>
      </c>
      <c r="N82" s="51"/>
      <c r="O82" s="52"/>
      <c r="P82" s="52"/>
      <c r="Q82" s="52"/>
      <c r="R82" s="54"/>
      <c r="S82" s="52"/>
      <c r="T82" s="52"/>
      <c r="U82" s="52"/>
      <c r="V82" s="53"/>
    </row>
    <row r="83" ht="14.25" customHeight="1">
      <c r="A83" s="178"/>
      <c r="B83" s="10">
        <v>1610996.0</v>
      </c>
      <c r="C83" s="11">
        <v>45875.87021990741</v>
      </c>
      <c r="D83" s="179" t="s">
        <v>50</v>
      </c>
      <c r="E83" s="180" t="s">
        <v>6587</v>
      </c>
      <c r="F83" s="188"/>
      <c r="G83" s="179" t="s">
        <v>6588</v>
      </c>
      <c r="H83" s="190"/>
      <c r="I83" s="190"/>
      <c r="J83" s="187" t="s">
        <v>3903</v>
      </c>
      <c r="K83" s="187"/>
      <c r="L83" s="184" t="str">
        <f>IFERROR(__xludf.DUMMYFUNCTION("ifna(IF(and(D83=""Saída"",J83=""Sangria""),if(sum(QUERY(IMPORTRANGE(""https://docs.google.com/spreadsheets/d/1wBSFbIXYswW2S5SMKo44LPsdTG4P4kfP5VRdAS5E_4o"",""BD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'""&amp;YEAR(C83)&amp;""-""&amp;MONTH(C83)&amp;""-""&amp;DAY(C83)&amp;""'""))&gt;0,""Depositada"",if(sum(QUERY(IMPORTRANGE(""https://docs.google.com/spreadsheets/d/1wBSFbIXYswW2S5SMKo44LPsdTG4P4kfP5VRdAS5E_4o"",""BD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Sangria"")"),"")</f>
        <v/>
      </c>
      <c r="M83" s="185">
        <f>IFERROR(__xludf.DUMMYFUNCTION("ifna(VALUE(REGEXEXTRACT(E83,""[0-9.]+[,]+[0-9]+"")))"),102.76)</f>
        <v>102.76</v>
      </c>
      <c r="N83" s="51"/>
      <c r="O83" s="52"/>
      <c r="P83" s="52"/>
      <c r="Q83" s="52"/>
      <c r="R83" s="54"/>
      <c r="S83" s="52"/>
      <c r="T83" s="52"/>
      <c r="U83" s="52"/>
      <c r="V83" s="53"/>
    </row>
    <row r="84" ht="14.25" customHeight="1">
      <c r="A84" s="178"/>
      <c r="B84" s="10">
        <v>1610997.0</v>
      </c>
      <c r="C84" s="11">
        <v>45875.870729166665</v>
      </c>
      <c r="D84" s="179" t="s">
        <v>50</v>
      </c>
      <c r="E84" s="180" t="s">
        <v>6590</v>
      </c>
      <c r="F84" s="181"/>
      <c r="G84" s="179" t="s">
        <v>6591</v>
      </c>
      <c r="H84" s="190"/>
      <c r="I84" s="190"/>
      <c r="J84" s="187" t="s">
        <v>3903</v>
      </c>
      <c r="K84" s="187"/>
      <c r="L84" s="184" t="str">
        <f>IFERROR(__xludf.DUMMYFUNCTION("ifna(IF(and(D84=""Saída"",J84=""Sangria""),if(sum(QUERY(IMPORTRANGE(""https://docs.google.com/spreadsheets/d/1wBSFbIXYswW2S5SMKo44LPsdTG4P4kfP5VRdAS5E_4o"",""BD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'""&amp;YEAR(C84)&amp;""-""&amp;MONTH(C84)&amp;""-""&amp;DAY(C84)&amp;""'""))&gt;0,""Depositada"",if(sum(QUERY(IMPORTRANGE(""https://docs.google.com/spreadsheets/d/1wBSFbIXYswW2S5SMKo44LPsdTG4P4kfP5VRdAS5E_4o"",""BD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IFERROR(__xludf.DUMMYFUNCTION("ifna(VALUE(REGEXEXTRACT(E84,""[0-9.]+[,]+[0-9]+"")))"),43.0)</f>
        <v>43</v>
      </c>
      <c r="N84" s="51"/>
      <c r="O84" s="52"/>
      <c r="P84" s="52"/>
      <c r="Q84" s="52"/>
      <c r="R84" s="54"/>
      <c r="S84" s="52"/>
      <c r="T84" s="52"/>
      <c r="U84" s="52"/>
      <c r="V84" s="53"/>
    </row>
    <row r="85" ht="14.25" customHeight="1">
      <c r="A85" s="178"/>
      <c r="B85" s="10">
        <v>1611000.0</v>
      </c>
      <c r="C85" s="11">
        <v>45875.87116898148</v>
      </c>
      <c r="D85" s="179" t="s">
        <v>50</v>
      </c>
      <c r="E85" s="180" t="s">
        <v>3868</v>
      </c>
      <c r="F85" s="181"/>
      <c r="G85" s="179" t="s">
        <v>6595</v>
      </c>
      <c r="H85" s="190"/>
      <c r="I85" s="190"/>
      <c r="J85" s="187" t="s">
        <v>3903</v>
      </c>
      <c r="K85" s="187"/>
      <c r="L85" s="184" t="str">
        <f>IFERROR(__xludf.DUMMYFUNCTION("ifna(IF(and(D85=""Saída"",J85=""Sangria""),if(sum(QUERY(IMPORTRANGE(""https://docs.google.com/spreadsheets/d/1wBSFbIXYswW2S5SMKo44LPsdTG4P4kfP5VRdAS5E_4o"",""BD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'""&amp;YEAR(C85)&amp;""-""&amp;MONTH(C85)&amp;""-""&amp;DAY(C85)&amp;""'""))&gt;0,""Depositada"",if(sum(QUERY(IMPORTRANGE(""https://docs.google.com/spreadsheets/d/1wBSFbIXYswW2S5SMKo44LPsdTG4P4kfP5VRdAS5E_4o"",""BD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IFERROR(__xludf.DUMMYFUNCTION("ifna(VALUE(REGEXEXTRACT(E85,""[0-9.]+[,]+[0-9]+"")))"),38.0)</f>
        <v>38</v>
      </c>
      <c r="N85" s="51"/>
      <c r="O85" s="79"/>
      <c r="P85" s="79"/>
      <c r="Q85" s="79"/>
      <c r="R85" s="81"/>
      <c r="S85" s="79"/>
      <c r="T85" s="79"/>
      <c r="U85" s="79"/>
      <c r="V85" s="80"/>
    </row>
    <row r="86" ht="14.25" customHeight="1">
      <c r="A86" s="178"/>
      <c r="B86" s="10">
        <v>1611004.0</v>
      </c>
      <c r="C86" s="11">
        <v>45875.87263888889</v>
      </c>
      <c r="D86" s="179" t="s">
        <v>50</v>
      </c>
      <c r="E86" s="180" t="s">
        <v>6601</v>
      </c>
      <c r="F86" s="181"/>
      <c r="G86" s="179" t="s">
        <v>6602</v>
      </c>
      <c r="H86" s="190"/>
      <c r="I86" s="190"/>
      <c r="J86" s="187" t="s">
        <v>3903</v>
      </c>
      <c r="K86" s="187"/>
      <c r="L86" s="184" t="str">
        <f>IFERROR(__xludf.DUMMYFUNCTION("ifna(IF(and(D86=""Saída"",J86=""Sangria""),if(sum(QUERY(IMPORTRANGE(""https://docs.google.com/spreadsheets/d/1wBSFbIXYswW2S5SMKo44LPsdTG4P4kfP5VRdAS5E_4o"",""BD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'""&amp;YEAR(C86)&amp;""-""&amp;MONTH(C86)&amp;""-""&amp;DAY(C86)&amp;""'""))&gt;0,""Depositada"",if(sum(QUERY(IMPORTRANGE(""https://docs.google.com/spreadsheets/d/1wBSFbIXYswW2S5SMKo44LPsdTG4P4kfP5VRdAS5E_4o"",""BD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IFERROR(__xludf.DUMMYFUNCTION("ifna(VALUE(REGEXEXTRACT(E86,""[0-9.]+[,]+[0-9]+"")))"),8.99)</f>
        <v>8.99</v>
      </c>
      <c r="N86" s="88"/>
      <c r="O86" s="89"/>
      <c r="P86" s="89"/>
      <c r="Q86" s="89"/>
      <c r="R86" s="91"/>
      <c r="S86" s="89"/>
      <c r="T86" s="89"/>
      <c r="U86" s="89"/>
      <c r="V86" s="90"/>
    </row>
    <row r="87" ht="14.25" customHeight="1">
      <c r="A87" s="178"/>
      <c r="B87" s="10">
        <v>1612224.0</v>
      </c>
      <c r="C87" s="11">
        <v>45876.77615740741</v>
      </c>
      <c r="D87" s="179" t="s">
        <v>50</v>
      </c>
      <c r="E87" s="180" t="s">
        <v>6441</v>
      </c>
      <c r="F87" s="181"/>
      <c r="G87" s="179" t="s">
        <v>6446</v>
      </c>
      <c r="H87" s="190"/>
      <c r="I87" s="190"/>
      <c r="J87" s="187" t="s">
        <v>3044</v>
      </c>
      <c r="K87" s="187" t="s">
        <v>3137</v>
      </c>
      <c r="L87" s="184" t="str">
        <f>IFERROR(__xludf.DUMMYFUNCTION("ifna(IF(and(D87=""Saída"",J87=""Sangria""),if(sum(QUERY(IMPORTRANGE(""https://docs.google.com/spreadsheets/d/1wBSFbIXYswW2S5SMKo44LPsdTG4P4kfP5VRdAS5E_4o"",""BD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'""&amp;YEAR(C87)&amp;""-""&amp;MONTH(C87)&amp;""-""&amp;DAY(C87)&amp;""'""))&gt;0,""Depositada"",if(sum(QUERY(IMPORTRANGE(""https://docs.google.com/spreadsheets/d/1wBSFbIXYswW2S5SMKo44LPsdTG4P4kfP5VRdAS5E_4o"",""BD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Sangria"")"),"")</f>
        <v/>
      </c>
      <c r="M87" s="185">
        <f>IFERROR(__xludf.DUMMYFUNCTION("ifna(VALUE(REGEXEXTRACT(E87,""[0-9.]+[,]+[0-9]+"")))"),36.3)</f>
        <v>36.3</v>
      </c>
      <c r="N87" s="192"/>
      <c r="O87" s="193"/>
      <c r="P87" s="194"/>
      <c r="Q87" s="195"/>
      <c r="R87" s="91"/>
      <c r="S87" s="89"/>
      <c r="T87" s="89"/>
      <c r="U87" s="89"/>
      <c r="V87" s="90"/>
    </row>
    <row r="88" ht="14.25" customHeight="1">
      <c r="A88" s="178"/>
      <c r="B88" s="10">
        <v>1612322.0</v>
      </c>
      <c r="C88" s="11">
        <v>45876.81471064815</v>
      </c>
      <c r="D88" s="179" t="s">
        <v>50</v>
      </c>
      <c r="E88" s="180" t="s">
        <v>6611</v>
      </c>
      <c r="F88" s="181"/>
      <c r="G88" s="179" t="s">
        <v>4983</v>
      </c>
      <c r="H88" s="190"/>
      <c r="I88" s="190"/>
      <c r="J88" s="187" t="s">
        <v>3044</v>
      </c>
      <c r="K88" s="187" t="s">
        <v>3077</v>
      </c>
      <c r="L88" s="184" t="str">
        <f>IFERROR(__xludf.DUMMYFUNCTION("ifna(IF(and(D88=""Saída"",J88=""Sangria""),if(sum(QUERY(IMPORTRANGE(""https://docs.google.com/spreadsheets/d/1wBSFbIXYswW2S5SMKo44LPsdTG4P4kfP5VRdAS5E_4o"",""BD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'""&amp;YEAR(C88)&amp;""-""&amp;MONTH(C88)&amp;""-""&amp;DAY(C88)&amp;""'""))&gt;0,""Depositada"",if(sum(QUERY(IMPORTRANGE(""https://docs.google.com/spreadsheets/d/1wBSFbIXYswW2S5SMKo44LPsdTG4P4kfP5VRdAS5E_4o"",""BD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Sangria"")"),"")</f>
        <v/>
      </c>
      <c r="M88" s="185">
        <f>IFERROR(__xludf.DUMMYFUNCTION("ifna(VALUE(REGEXEXTRACT(E88,""[0-9.]+[,]+[0-9]+"")))"),25.05)</f>
        <v>25.05</v>
      </c>
      <c r="N88" s="192"/>
      <c r="O88" s="193"/>
      <c r="P88" s="194"/>
      <c r="Q88" s="195"/>
      <c r="R88" s="91"/>
      <c r="S88" s="89"/>
      <c r="T88" s="89"/>
      <c r="U88" s="89"/>
      <c r="V88" s="90"/>
    </row>
    <row r="89" ht="14.25" customHeight="1">
      <c r="A89" s="178"/>
      <c r="B89" s="10">
        <v>1612346.0</v>
      </c>
      <c r="C89" s="11">
        <v>45876.82413194444</v>
      </c>
      <c r="D89" s="179" t="s">
        <v>50</v>
      </c>
      <c r="E89" s="180" t="s">
        <v>6616</v>
      </c>
      <c r="F89" s="188"/>
      <c r="G89" s="179" t="s">
        <v>6618</v>
      </c>
      <c r="H89" s="190"/>
      <c r="I89" s="190"/>
      <c r="J89" s="187" t="s">
        <v>3903</v>
      </c>
      <c r="K89" s="187"/>
      <c r="L89" s="184" t="str">
        <f>IFERROR(__xludf.DUMMYFUNCTION("ifna(IF(and(D89=""Saída"",J89=""Sangria""),if(sum(QUERY(IMPORTRANGE(""https://docs.google.com/spreadsheets/d/1wBSFbIXYswW2S5SMKo44LPsdTG4P4kfP5VRdAS5E_4o"",""BD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'""&amp;YEAR(C89)&amp;""-""&amp;MONTH(C89)&amp;""-""&amp;DAY(C89)&amp;""'""))&gt;0,""Depositada"",if(sum(QUERY(IMPORTRANGE(""https://docs.google.com/spreadsheets/d/1wBSFbIXYswW2S5SMKo44LPsdTG4P4kfP5VRdAS5E_4o"",""BD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Sangria"")"),"")</f>
        <v/>
      </c>
      <c r="M89" s="185">
        <f>IFERROR(__xludf.DUMMYFUNCTION("ifna(VALUE(REGEXEXTRACT(E89,""[0-9.]+[,]+[0-9]+"")))"),621.73)</f>
        <v>621.73</v>
      </c>
      <c r="N89" s="192"/>
      <c r="O89" s="193"/>
      <c r="P89" s="194"/>
      <c r="Q89" s="195"/>
      <c r="R89" s="91"/>
      <c r="S89" s="89"/>
      <c r="T89" s="89"/>
      <c r="U89" s="89"/>
      <c r="V89" s="90"/>
    </row>
    <row r="90" ht="14.25" customHeight="1">
      <c r="A90" s="178"/>
      <c r="B90" s="10">
        <v>1612459.0</v>
      </c>
      <c r="C90" s="11">
        <v>45876.872245370374</v>
      </c>
      <c r="D90" s="179" t="s">
        <v>50</v>
      </c>
      <c r="E90" s="180" t="s">
        <v>6628</v>
      </c>
      <c r="F90" s="181"/>
      <c r="G90" s="179" t="s">
        <v>6629</v>
      </c>
      <c r="H90" s="190"/>
      <c r="I90" s="190"/>
      <c r="J90" s="187" t="s">
        <v>3044</v>
      </c>
      <c r="K90" s="187" t="s">
        <v>3168</v>
      </c>
      <c r="L90" s="184" t="str">
        <f>IFERROR(__xludf.DUMMYFUNCTION("ifna(IF(and(D90=""Saída"",J90=""Sangria""),if(sum(QUERY(IMPORTRANGE(""https://docs.google.com/spreadsheets/d/1wBSFbIXYswW2S5SMKo44LPsdTG4P4kfP5VRdAS5E_4o"",""BD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'""&amp;YEAR(C90)&amp;""-""&amp;MONTH(C90)&amp;""-""&amp;DAY(C90)&amp;""'""))&gt;0,""Depositada"",if(sum(QUERY(IMPORTRANGE(""https://docs.google.com/spreadsheets/d/1wBSFbIXYswW2S5SMKo44LPsdTG4P4kfP5VRdAS5E_4o"",""BD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IFERROR(__xludf.DUMMYFUNCTION("ifna(VALUE(REGEXEXTRACT(E90,""[0-9.]+[,]+[0-9]+"")))"),47.54)</f>
        <v>47.54</v>
      </c>
      <c r="N90" s="192"/>
      <c r="O90" s="193"/>
      <c r="P90" s="194"/>
      <c r="Q90" s="195"/>
      <c r="R90" s="91"/>
      <c r="S90" s="89"/>
      <c r="T90" s="89"/>
      <c r="U90" s="89"/>
      <c r="V90" s="90"/>
    </row>
    <row r="91" ht="14.25" customHeight="1">
      <c r="A91" s="178"/>
      <c r="B91" s="10">
        <v>1613253.0</v>
      </c>
      <c r="C91" s="11">
        <v>45877.63873842593</v>
      </c>
      <c r="D91" s="179" t="s">
        <v>50</v>
      </c>
      <c r="E91" s="180" t="s">
        <v>188</v>
      </c>
      <c r="F91" s="181"/>
      <c r="G91" s="179" t="s">
        <v>6636</v>
      </c>
      <c r="H91" s="190"/>
      <c r="I91" s="190"/>
      <c r="J91" s="187" t="s">
        <v>3903</v>
      </c>
      <c r="K91" s="187"/>
      <c r="L91" s="184" t="str">
        <f>IFERROR(__xludf.DUMMYFUNCTION("ifna(IF(and(D91=""Saída"",J91=""Sangria""),if(sum(QUERY(IMPORTRANGE(""https://docs.google.com/spreadsheets/d/1wBSFbIXYswW2S5SMKo44LPsdTG4P4kfP5VRdAS5E_4o"",""BD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'""&amp;YEAR(C91)&amp;""-""&amp;MONTH(C91)&amp;""-""&amp;DAY(C91)&amp;""'""))&gt;0,""Depositada"",if(sum(QUERY(IMPORTRANGE(""https://docs.google.com/spreadsheets/d/1wBSFbIXYswW2S5SMKo44LPsdTG4P4kfP5VRdAS5E_4o"",""BD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Sangria"")"),"")</f>
        <v/>
      </c>
      <c r="M91" s="185">
        <f>IFERROR(__xludf.DUMMYFUNCTION("ifna(VALUE(REGEXEXTRACT(E91,""[0-9.]+[,]+[0-9]+"")))"),15.59)</f>
        <v>15.59</v>
      </c>
      <c r="N91" s="88"/>
      <c r="O91" s="89"/>
      <c r="P91" s="89"/>
      <c r="Q91" s="89"/>
      <c r="R91" s="91"/>
      <c r="S91" s="89"/>
      <c r="T91" s="89"/>
      <c r="U91" s="89"/>
      <c r="V91" s="90"/>
    </row>
    <row r="92" ht="14.25" customHeight="1">
      <c r="A92" s="178"/>
      <c r="B92" s="10">
        <v>1613257.0</v>
      </c>
      <c r="C92" s="11">
        <v>45877.64046296296</v>
      </c>
      <c r="D92" s="179" t="s">
        <v>50</v>
      </c>
      <c r="E92" s="180" t="s">
        <v>6638</v>
      </c>
      <c r="F92" s="181"/>
      <c r="G92" s="179" t="s">
        <v>6639</v>
      </c>
      <c r="H92" s="190"/>
      <c r="I92" s="190"/>
      <c r="J92" s="187" t="s">
        <v>3903</v>
      </c>
      <c r="K92" s="187"/>
      <c r="L92" s="184" t="str">
        <f>IFERROR(__xludf.DUMMYFUNCTION("ifna(IF(and(D92=""Saída"",J92=""Sangria""),if(sum(QUERY(IMPORTRANGE(""https://docs.google.com/spreadsheets/d/1wBSFbIXYswW2S5SMKo44LPsdTG4P4kfP5VRdAS5E_4o"",""BD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'""&amp;YEAR(C92)&amp;""-""&amp;MONTH(C92)&amp;""-""&amp;DAY(C92)&amp;""'""))&gt;0,""Depositada"",if(sum(QUERY(IMPORTRANGE(""https://docs.google.com/spreadsheets/d/1wBSFbIXYswW2S5SMKo44LPsdTG4P4kfP5VRdAS5E_4o"",""BD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Sangria"")"),"")</f>
        <v/>
      </c>
      <c r="M92" s="185">
        <f>IFERROR(__xludf.DUMMYFUNCTION("ifna(VALUE(REGEXEXTRACT(E92,""[0-9.]+[,]+[0-9]+"")))"),312.0)</f>
        <v>312</v>
      </c>
      <c r="N92" s="88"/>
      <c r="O92" s="89"/>
      <c r="P92" s="89"/>
      <c r="Q92" s="89"/>
      <c r="R92" s="91"/>
      <c r="S92" s="89"/>
      <c r="T92" s="89"/>
      <c r="U92" s="89"/>
      <c r="V92" s="90"/>
    </row>
    <row r="93" ht="14.25" customHeight="1">
      <c r="A93" s="178"/>
      <c r="B93" s="10">
        <v>1613481.0</v>
      </c>
      <c r="C93" s="11">
        <v>45877.708761574075</v>
      </c>
      <c r="D93" s="179" t="s">
        <v>50</v>
      </c>
      <c r="E93" s="180" t="s">
        <v>823</v>
      </c>
      <c r="F93" s="188"/>
      <c r="G93" s="179" t="s">
        <v>6513</v>
      </c>
      <c r="H93" s="190"/>
      <c r="I93" s="190"/>
      <c r="J93" s="187" t="s">
        <v>3044</v>
      </c>
      <c r="K93" s="187" t="s">
        <v>3040</v>
      </c>
      <c r="L93" s="184" t="str">
        <f>IFERROR(__xludf.DUMMYFUNCTION("ifna(IF(and(D93=""Saída"",J93=""Sangria""),if(sum(QUERY(IMPORTRANGE(""https://docs.google.com/spreadsheets/d/1wBSFbIXYswW2S5SMKo44LPsdTG4P4kfP5VRdAS5E_4o"",""BD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'""&amp;YEAR(C93)&amp;""-""&amp;MONTH(C93)&amp;""-""&amp;DAY(C93)&amp;""'""))&gt;0,""Depositada"",if(sum(QUERY(IMPORTRANGE(""https://docs.google.com/spreadsheets/d/1wBSFbIXYswW2S5SMKo44LPsdTG4P4kfP5VRdAS5E_4o"",""BD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IFERROR(__xludf.DUMMYFUNCTION("ifna(VALUE(REGEXEXTRACT(E93,""[0-9.]+[,]+[0-9]+"")))"),8.95)</f>
        <v>8.95</v>
      </c>
      <c r="N93" s="108"/>
      <c r="O93" s="109"/>
      <c r="P93" s="109"/>
      <c r="Q93" s="109"/>
      <c r="R93" s="91"/>
      <c r="S93" s="109"/>
      <c r="T93" s="109"/>
      <c r="U93" s="109"/>
      <c r="V93" s="111"/>
    </row>
    <row r="94" ht="14.25" customHeight="1">
      <c r="A94" s="178"/>
      <c r="B94" s="10">
        <v>1613564.0</v>
      </c>
      <c r="C94" s="11">
        <v>45877.733935185184</v>
      </c>
      <c r="D94" s="179" t="s">
        <v>50</v>
      </c>
      <c r="E94" s="180" t="s">
        <v>157</v>
      </c>
      <c r="F94" s="181"/>
      <c r="G94" s="179" t="s">
        <v>6642</v>
      </c>
      <c r="H94" s="190"/>
      <c r="I94" s="190"/>
      <c r="J94" s="187" t="s">
        <v>3903</v>
      </c>
      <c r="K94" s="187"/>
      <c r="L94" s="184" t="str">
        <f>IFERROR(__xludf.DUMMYFUNCTION("ifna(IF(and(D94=""Saída"",J94=""Sangria""),if(sum(QUERY(IMPORTRANGE(""https://docs.google.com/spreadsheets/d/1wBSFbIXYswW2S5SMKo44LPsdTG4P4kfP5VRdAS5E_4o"",""BD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'""&amp;YEAR(C94)&amp;""-""&amp;MONTH(C94)&amp;""-""&amp;DAY(C94)&amp;""'""))&gt;0,""Depositada"",if(sum(QUERY(IMPORTRANGE(""https://docs.google.com/spreadsheets/d/1wBSFbIXYswW2S5SMKo44LPsdTG4P4kfP5VRdAS5E_4o"",""BD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Sangria"")"),"")</f>
        <v/>
      </c>
      <c r="M94" s="185">
        <f>IFERROR(__xludf.DUMMYFUNCTION("ifna(VALUE(REGEXEXTRACT(E94,""[0-9.]+[,]+[0-9]+"")))"),5.0)</f>
        <v>5</v>
      </c>
      <c r="N94" s="197"/>
      <c r="O94" s="198"/>
      <c r="P94" s="198"/>
      <c r="Q94" s="198"/>
      <c r="R94" s="91"/>
      <c r="S94" s="198"/>
      <c r="T94" s="198"/>
      <c r="U94" s="198"/>
      <c r="V94" s="199"/>
    </row>
    <row r="95" ht="14.25" customHeight="1">
      <c r="A95" s="178"/>
      <c r="B95" s="10">
        <v>1613588.0</v>
      </c>
      <c r="C95" s="11">
        <v>45877.742418981485</v>
      </c>
      <c r="D95" s="179" t="s">
        <v>50</v>
      </c>
      <c r="E95" s="180" t="s">
        <v>6645</v>
      </c>
      <c r="F95" s="181"/>
      <c r="G95" s="179" t="s">
        <v>6446</v>
      </c>
      <c r="H95" s="190"/>
      <c r="I95" s="190"/>
      <c r="J95" s="187" t="s">
        <v>3044</v>
      </c>
      <c r="K95" s="187" t="s">
        <v>3137</v>
      </c>
      <c r="L95" s="184" t="str">
        <f>IFERROR(__xludf.DUMMYFUNCTION("ifna(IF(and(D95=""Saída"",J95=""Sangria""),if(sum(QUERY(IMPORTRANGE(""https://docs.google.com/spreadsheets/d/1wBSFbIXYswW2S5SMKo44LPsdTG4P4kfP5VRdAS5E_4o"",""BD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'""&amp;YEAR(C95)&amp;""-""&amp;MONTH(C95)&amp;""-""&amp;DAY(C95)&amp;""'""))&gt;0,""Depositada"",if(sum(QUERY(IMPORTRANGE(""https://docs.google.com/spreadsheets/d/1wBSFbIXYswW2S5SMKo44LPsdTG4P4kfP5VRdAS5E_4o"",""BD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>
        <f>IFERROR(__xludf.DUMMYFUNCTION("ifna(VALUE(REGEXEXTRACT(E95,""[0-9.]+[,]+[0-9]+"")))"),31.95)</f>
        <v>31.95</v>
      </c>
      <c r="N95" s="197"/>
      <c r="O95" s="198"/>
      <c r="P95" s="198"/>
      <c r="Q95" s="198"/>
      <c r="R95" s="91"/>
      <c r="S95" s="198"/>
      <c r="T95" s="198"/>
      <c r="U95" s="198"/>
      <c r="V95" s="199"/>
    </row>
    <row r="96" ht="14.25" customHeight="1">
      <c r="A96" s="178"/>
      <c r="B96" s="10">
        <v>1613724.0</v>
      </c>
      <c r="C96" s="11">
        <v>45877.7846875</v>
      </c>
      <c r="D96" s="179" t="s">
        <v>50</v>
      </c>
      <c r="E96" s="180" t="s">
        <v>6646</v>
      </c>
      <c r="F96" s="181"/>
      <c r="G96" s="179" t="s">
        <v>4960</v>
      </c>
      <c r="H96" s="190"/>
      <c r="I96" s="190"/>
      <c r="J96" s="187" t="s">
        <v>3044</v>
      </c>
      <c r="K96" s="187" t="s">
        <v>3168</v>
      </c>
      <c r="L96" s="184" t="str">
        <f>IFERROR(__xludf.DUMMYFUNCTION("ifna(IF(and(D96=""Saída"",J96=""Sangria""),if(sum(QUERY(IMPORTRANGE(""https://docs.google.com/spreadsheets/d/1wBSFbIXYswW2S5SMKo44LPsdTG4P4kfP5VRdAS5E_4o"",""BD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'""&amp;YEAR(C96)&amp;""-""&amp;MONTH(C96)&amp;""-""&amp;DAY(C96)&amp;""'""))&gt;0,""Depositada"",if(sum(QUERY(IMPORTRANGE(""https://docs.google.com/spreadsheets/d/1wBSFbIXYswW2S5SMKo44LPsdTG4P4kfP5VRdAS5E_4o"",""BD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Sangria"")"),"")</f>
        <v/>
      </c>
      <c r="M96" s="185">
        <f>IFERROR(__xludf.DUMMYFUNCTION("ifna(VALUE(REGEXEXTRACT(E96,""[0-9.]+[,]+[0-9]+"")))"),15.34)</f>
        <v>15.34</v>
      </c>
      <c r="N96" s="197"/>
      <c r="O96" s="198"/>
      <c r="P96" s="198"/>
      <c r="Q96" s="198"/>
      <c r="R96" s="91"/>
      <c r="S96" s="198"/>
      <c r="T96" s="198"/>
      <c r="U96" s="198"/>
      <c r="V96" s="199"/>
    </row>
    <row r="97" ht="14.25" customHeight="1">
      <c r="A97" s="178"/>
      <c r="B97" s="10">
        <v>1614502.0</v>
      </c>
      <c r="C97" s="11">
        <v>45878.568564814814</v>
      </c>
      <c r="D97" s="179" t="s">
        <v>50</v>
      </c>
      <c r="E97" s="180" t="s">
        <v>6648</v>
      </c>
      <c r="F97" s="181"/>
      <c r="G97" s="179" t="s">
        <v>6649</v>
      </c>
      <c r="H97" s="190"/>
      <c r="I97" s="190"/>
      <c r="J97" s="187" t="s">
        <v>3903</v>
      </c>
      <c r="K97" s="187"/>
      <c r="L97" s="184" t="str">
        <f>IFERROR(__xludf.DUMMYFUNCTION("ifna(IF(and(D97=""Saída"",J97=""Sangria""),if(sum(QUERY(IMPORTRANGE(""https://docs.google.com/spreadsheets/d/1wBSFbIXYswW2S5SMKo44LPsdTG4P4kfP5VRdAS5E_4o"",""BD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'""&amp;YEAR(C97)&amp;""-""&amp;MONTH(C97)&amp;""-""&amp;DAY(C97)&amp;""'""))&gt;0,""Depositada"",if(sum(QUERY(IMPORTRANGE(""https://docs.google.com/spreadsheets/d/1wBSFbIXYswW2S5SMKo44LPsdTG4P4kfP5VRdAS5E_4o"",""BD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Sangria"")"),"")</f>
        <v/>
      </c>
      <c r="M97" s="185">
        <f>IFERROR(__xludf.DUMMYFUNCTION("ifna(VALUE(REGEXEXTRACT(E97,""[0-9.]+[,]+[0-9]+"")))"),22.85)</f>
        <v>22.85</v>
      </c>
      <c r="N97" s="197"/>
      <c r="O97" s="198"/>
      <c r="P97" s="198"/>
      <c r="Q97" s="198"/>
      <c r="R97" s="91"/>
      <c r="S97" s="198"/>
      <c r="T97" s="198"/>
      <c r="U97" s="198"/>
      <c r="V97" s="199"/>
    </row>
    <row r="98" ht="14.25" customHeight="1">
      <c r="A98" s="178"/>
      <c r="B98" s="10">
        <v>1614893.0</v>
      </c>
      <c r="C98" s="11">
        <v>45878.70988425926</v>
      </c>
      <c r="D98" s="179" t="s">
        <v>50</v>
      </c>
      <c r="E98" s="180" t="s">
        <v>6651</v>
      </c>
      <c r="F98" s="181"/>
      <c r="G98" s="179" t="s">
        <v>4983</v>
      </c>
      <c r="H98" s="190"/>
      <c r="I98" s="190"/>
      <c r="J98" s="196"/>
      <c r="K98" s="187" t="s">
        <v>3077</v>
      </c>
      <c r="L98" s="184" t="str">
        <f>IFERROR(__xludf.DUMMYFUNCTION("ifna(IF(and(D98=""Saída"",J98=""Sangria""),if(sum(QUERY(IMPORTRANGE(""https://docs.google.com/spreadsheets/d/1wBSFbIXYswW2S5SMKo44LPsdTG4P4kfP5VRdAS5E_4o"",""BD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'""&amp;YEAR(C98)&amp;""-""&amp;MONTH(C98)&amp;""-""&amp;DAY(C98)&amp;""'""))&gt;0,""Depositada"",if(sum(QUERY(IMPORTRANGE(""https://docs.google.com/spreadsheets/d/1wBSFbIXYswW2S5SMKo44LPsdTG4P4kfP5VRdAS5E_4o"",""BD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Sangria"")"),"")</f>
        <v/>
      </c>
      <c r="M98" s="185">
        <f>IFERROR(__xludf.DUMMYFUNCTION("ifna(VALUE(REGEXEXTRACT(E98,""[0-9.]+[,]+[0-9]+"")))"),17.13)</f>
        <v>17.13</v>
      </c>
      <c r="N98" s="200"/>
      <c r="O98" s="201"/>
      <c r="P98" s="201"/>
      <c r="Q98" s="201"/>
      <c r="R98" s="202"/>
      <c r="S98" s="201"/>
      <c r="T98" s="201"/>
      <c r="U98" s="201"/>
      <c r="V98" s="203"/>
    </row>
    <row r="99" ht="14.25" customHeight="1">
      <c r="A99" s="178"/>
      <c r="B99" s="10">
        <v>1615018.0</v>
      </c>
      <c r="C99" s="11">
        <v>45878.74454861111</v>
      </c>
      <c r="D99" s="179" t="s">
        <v>50</v>
      </c>
      <c r="E99" s="180" t="s">
        <v>6654</v>
      </c>
      <c r="F99" s="181"/>
      <c r="G99" s="179" t="s">
        <v>6655</v>
      </c>
      <c r="H99" s="190"/>
      <c r="I99" s="190"/>
      <c r="J99" s="187" t="s">
        <v>3825</v>
      </c>
      <c r="K99" s="187"/>
      <c r="L99" s="184" t="str">
        <f>IFERROR(__xludf.DUMMYFUNCTION("ifna(IF(and(D99=""Saída"",J99=""Sangria""),if(sum(QUERY(IMPORTRANGE(""https://docs.google.com/spreadsheets/d/1wBSFbIXYswW2S5SMKo44LPsdTG4P4kfP5VRdAS5E_4o"",""BD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'""&amp;YEAR(C99)&amp;""-""&amp;MONTH(C99)&amp;""-""&amp;DAY(C99)&amp;""'""))&gt;0,""Depositada"",if(sum(QUERY(IMPORTRANGE(""https://docs.google.com/spreadsheets/d/1wBSFbIXYswW2S5SMKo44LPsdTG4P4kfP5VRdAS5E_4o"",""BD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Sangria"")"),"")</f>
        <v/>
      </c>
      <c r="M99" s="185">
        <f>IFERROR(__xludf.DUMMYFUNCTION("ifna(VALUE(REGEXEXTRACT(E99,""[0-9.]+[,]+[0-9]+"")))"),60.0)</f>
        <v>60</v>
      </c>
      <c r="N99" s="24"/>
      <c r="O99" s="24"/>
      <c r="P99" s="24"/>
      <c r="Q99" s="24"/>
      <c r="R99" s="24"/>
      <c r="S99" s="24"/>
      <c r="T99" s="24"/>
      <c r="U99" s="24"/>
      <c r="V99" s="24"/>
    </row>
    <row r="100" ht="14.25" customHeight="1">
      <c r="A100" s="178"/>
      <c r="B100" s="10">
        <v>1615042.0</v>
      </c>
      <c r="C100" s="11">
        <v>45878.75434027778</v>
      </c>
      <c r="D100" s="179" t="s">
        <v>50</v>
      </c>
      <c r="E100" s="180" t="s">
        <v>6657</v>
      </c>
      <c r="F100" s="181"/>
      <c r="G100" s="179" t="s">
        <v>6658</v>
      </c>
      <c r="H100" s="190"/>
      <c r="I100" s="190"/>
      <c r="J100" s="187" t="s">
        <v>3044</v>
      </c>
      <c r="K100" s="187" t="s">
        <v>3040</v>
      </c>
      <c r="L100" s="184" t="str">
        <f>IFERROR(__xludf.DUMMYFUNCTION("ifna(IF(and(D100=""Saída"",J100=""Sangria""),if(sum(QUERY(IMPORTRANGE(""https://docs.google.com/spreadsheets/d/1wBSFbIXYswW2S5SMKo44LPsdTG4P4kfP5VRdAS5E_4o"",""BD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'""&amp;YEAR(C100)&amp;""-""&amp;MONTH(C100)&amp;""-""&amp;DAY(C100)&amp;""'""))&gt;0,""Depositada"",if(sum(QUERY(IMPORTRANGE(""https://docs.google.com/spreadsheets/d/1wBSFbIXYswW2S5SMKo44LPsdTG4P4kfP5VRdAS5E_4o"",""BD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IFERROR(__xludf.DUMMYFUNCTION("ifna(VALUE(REGEXEXTRACT(E100,""[0-9.]+[,]+[0-9]+"")))"),10.74)</f>
        <v>10.74</v>
      </c>
      <c r="N100" s="24"/>
      <c r="O100" s="24"/>
      <c r="P100" s="24"/>
      <c r="Q100" s="24"/>
      <c r="R100" s="24"/>
      <c r="S100" s="24"/>
      <c r="T100" s="24"/>
      <c r="U100" s="24"/>
      <c r="V100" s="24"/>
    </row>
    <row r="101" ht="14.25" customHeight="1">
      <c r="A101" s="178"/>
      <c r="B101" s="10">
        <v>1615450.0</v>
      </c>
      <c r="C101" s="11">
        <v>45878.87737268519</v>
      </c>
      <c r="D101" s="179" t="s">
        <v>50</v>
      </c>
      <c r="E101" s="180" t="s">
        <v>157</v>
      </c>
      <c r="F101" s="188"/>
      <c r="G101" s="179" t="s">
        <v>4960</v>
      </c>
      <c r="H101" s="190"/>
      <c r="I101" s="190"/>
      <c r="J101" s="187" t="s">
        <v>3044</v>
      </c>
      <c r="K101" s="187" t="s">
        <v>3040</v>
      </c>
      <c r="L101" s="184" t="str">
        <f>IFERROR(__xludf.DUMMYFUNCTION("ifna(IF(and(D101=""Saída"",J101=""Sangria""),if(sum(QUERY(IMPORTRANGE(""https://docs.google.com/spreadsheets/d/1wBSFbIXYswW2S5SMKo44LPsdTG4P4kfP5VRdAS5E_4o"",""BD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'""&amp;YEAR(C101)&amp;""-""&amp;MONTH(C101)&amp;""-""&amp;DAY(C101)&amp;""'""))&gt;0,""Depositada"",if(sum(QUERY(IMPORTRANGE(""https://docs.google.com/spreadsheets/d/1wBSFbIXYswW2S5SMKo44LPsdTG4P4kfP5VRdAS5E_4o"",""BD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Sangria"")"),"")</f>
        <v/>
      </c>
      <c r="M101" s="185">
        <f>IFERROR(__xludf.DUMMYFUNCTION("ifna(VALUE(REGEXEXTRACT(E101,""[0-9.]+[,]+[0-9]+"")))"),5.0)</f>
        <v>5</v>
      </c>
      <c r="N101" s="24"/>
      <c r="O101" s="24"/>
      <c r="P101" s="24"/>
      <c r="Q101" s="24"/>
      <c r="R101" s="24"/>
      <c r="S101" s="24"/>
      <c r="T101" s="24"/>
      <c r="U101" s="24"/>
      <c r="V101" s="24"/>
    </row>
    <row r="102" ht="52.5" customHeight="1">
      <c r="A102" s="178"/>
      <c r="B102" s="10">
        <v>1615492.0</v>
      </c>
      <c r="C102" s="11">
        <v>45878.88914351852</v>
      </c>
      <c r="D102" s="179" t="s">
        <v>50</v>
      </c>
      <c r="E102" s="180" t="s">
        <v>494</v>
      </c>
      <c r="F102" s="181"/>
      <c r="G102" s="179" t="s">
        <v>6662</v>
      </c>
      <c r="H102" s="190"/>
      <c r="I102" s="190"/>
      <c r="J102" s="187" t="s">
        <v>3044</v>
      </c>
      <c r="K102" s="187" t="s">
        <v>3040</v>
      </c>
      <c r="L102" s="184" t="str">
        <f>IFERROR(__xludf.DUMMYFUNCTION("ifna(IF(and(D102=""Saída"",J102=""Sangria""),if(sum(QUERY(IMPORTRANGE(""https://docs.google.com/spreadsheets/d/1wBSFbIXYswW2S5SMKo44LPsdTG4P4kfP5VRdAS5E_4o"",""BD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'""&amp;YEAR(C102)&amp;""-""&amp;MONTH(C102)&amp;""-""&amp;DAY(C102)&amp;""'""))&gt;0,""Depositada"",if(sum(QUERY(IMPORTRANGE(""https://docs.google.com/spreadsheets/d/1wBSFbIXYswW2S5SMKo44LPsdTG4P4kfP5VRdAS5E_4o"",""BD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Sangria"")"),"")</f>
        <v/>
      </c>
      <c r="M102" s="185">
        <f>IFERROR(__xludf.DUMMYFUNCTION("ifna(VALUE(REGEXEXTRACT(E102,""[0-9.]+[,]+[0-9]+"")))"),0.01)</f>
        <v>0.01</v>
      </c>
      <c r="N102" s="24"/>
      <c r="O102" s="24"/>
      <c r="P102" s="24"/>
      <c r="Q102" s="24"/>
      <c r="R102" s="24"/>
      <c r="S102" s="24"/>
      <c r="T102" s="185"/>
      <c r="U102" s="185"/>
      <c r="V102" s="185"/>
    </row>
    <row r="103" ht="14.25" customHeight="1">
      <c r="A103" s="178"/>
      <c r="B103" s="10">
        <v>1617581.0</v>
      </c>
      <c r="C103" s="11">
        <v>45879.89857638889</v>
      </c>
      <c r="D103" s="179" t="s">
        <v>50</v>
      </c>
      <c r="E103" s="180" t="s">
        <v>6665</v>
      </c>
      <c r="F103" s="181"/>
      <c r="G103" s="179" t="s">
        <v>4690</v>
      </c>
      <c r="H103" s="190"/>
      <c r="I103" s="190"/>
      <c r="J103" s="187" t="s">
        <v>3044</v>
      </c>
      <c r="K103" s="187" t="s">
        <v>3168</v>
      </c>
      <c r="L103" s="184" t="str">
        <f>IFERROR(__xludf.DUMMYFUNCTION("ifna(IF(and(D103=""Saída"",J103=""Sangria""),if(sum(QUERY(IMPORTRANGE(""https://docs.google.com/spreadsheets/d/1wBSFbIXYswW2S5SMKo44LPsdTG4P4kfP5VRdAS5E_4o"",""BD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'""&amp;YEAR(C103)&amp;""-""&amp;MONTH(C103)&amp;""-""&amp;DAY(C103)&amp;""'""))&gt;0,""Depositada"",if(sum(QUERY(IMPORTRANGE(""https://docs.google.com/spreadsheets/d/1wBSFbIXYswW2S5SMKo44LPsdTG4P4kfP5VRdAS5E_4o"",""BD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Sangria"")"),"")</f>
        <v/>
      </c>
      <c r="M103" s="185">
        <f>IFERROR(__xludf.DUMMYFUNCTION("ifna(VALUE(REGEXEXTRACT(E103,""[0-9.]+[,]+[0-9]+"")))"),38.65)</f>
        <v>38.65</v>
      </c>
      <c r="N103" s="204" t="s">
        <v>5033</v>
      </c>
      <c r="O103" s="205"/>
      <c r="P103" s="205"/>
      <c r="Q103" s="205"/>
      <c r="R103" s="205"/>
      <c r="S103" s="59"/>
      <c r="T103" s="185"/>
      <c r="U103" s="185"/>
      <c r="V103" s="185"/>
    </row>
    <row r="104" ht="14.25" customHeight="1">
      <c r="A104" s="178"/>
      <c r="B104" s="10">
        <v>1617628.0</v>
      </c>
      <c r="C104" s="11">
        <v>45879.903657407405</v>
      </c>
      <c r="D104" s="179" t="s">
        <v>50</v>
      </c>
      <c r="E104" s="180" t="s">
        <v>4300</v>
      </c>
      <c r="F104" s="188"/>
      <c r="G104" s="179" t="s">
        <v>6666</v>
      </c>
      <c r="H104" s="190"/>
      <c r="I104" s="190"/>
      <c r="J104" s="187" t="s">
        <v>3825</v>
      </c>
      <c r="K104" s="187"/>
      <c r="L104" s="184" t="str">
        <f>IFERROR(__xludf.DUMMYFUNCTION("ifna(IF(and(D104=""Saída"",J104=""Sangria""),if(sum(QUERY(IMPORTRANGE(""https://docs.google.com/spreadsheets/d/1wBSFbIXYswW2S5SMKo44LPsdTG4P4kfP5VRdAS5E_4o"",""BD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'""&amp;YEAR(C104)&amp;""-""&amp;MONTH(C104)&amp;""-""&amp;DAY(C104)&amp;""'""))&gt;0,""Depositada"",if(sum(QUERY(IMPORTRANGE(""https://docs.google.com/spreadsheets/d/1wBSFbIXYswW2S5SMKo44LPsdTG4P4kfP5VRdAS5E_4o"",""BD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Sangria"")"),"")</f>
        <v/>
      </c>
      <c r="M104" s="185">
        <f>IFERROR(__xludf.DUMMYFUNCTION("ifna(VALUE(REGEXEXTRACT(E104,""[0-9.]+[,]+[0-9]+"")))"),104.0)</f>
        <v>104</v>
      </c>
      <c r="N104" s="206"/>
      <c r="S104" s="207"/>
      <c r="T104" s="185"/>
      <c r="U104" s="185"/>
      <c r="V104" s="185"/>
    </row>
    <row r="105" ht="14.25" customHeight="1">
      <c r="A105" s="178"/>
      <c r="B105" s="10">
        <v>1617647.0</v>
      </c>
      <c r="C105" s="11">
        <v>45879.90675925926</v>
      </c>
      <c r="D105" s="179" t="s">
        <v>50</v>
      </c>
      <c r="E105" s="180" t="s">
        <v>3819</v>
      </c>
      <c r="F105" s="181"/>
      <c r="G105" s="179" t="s">
        <v>6667</v>
      </c>
      <c r="H105" s="190"/>
      <c r="I105" s="190"/>
      <c r="J105" s="187" t="s">
        <v>3825</v>
      </c>
      <c r="K105" s="187"/>
      <c r="L105" s="184" t="str">
        <f>IFERROR(__xludf.DUMMYFUNCTION("ifna(IF(and(D105=""Saída"",J105=""Sangria""),if(sum(QUERY(IMPORTRANGE(""https://docs.google.com/spreadsheets/d/1wBSFbIXYswW2S5SMKo44LPsdTG4P4kfP5VRdAS5E_4o"",""BD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'""&amp;YEAR(C105)&amp;""-""&amp;MONTH(C105)&amp;""-""&amp;DAY(C105)&amp;""'""))&gt;0,""Depositada"",if(sum(QUERY(IMPORTRANGE(""https://docs.google.com/spreadsheets/d/1wBSFbIXYswW2S5SMKo44LPsdTG4P4kfP5VRdAS5E_4o"",""BD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Sangria"")"),"")</f>
        <v/>
      </c>
      <c r="M105" s="185">
        <f>IFERROR(__xludf.DUMMYFUNCTION("ifna(VALUE(REGEXEXTRACT(E105,""[0-9.]+[,]+[0-9]+"")))"),110.5)</f>
        <v>110.5</v>
      </c>
      <c r="N105" s="208" t="s">
        <v>4</v>
      </c>
      <c r="O105" s="209" t="s">
        <v>1</v>
      </c>
      <c r="P105" s="209" t="s">
        <v>5084</v>
      </c>
      <c r="Q105" s="209" t="s">
        <v>41</v>
      </c>
      <c r="R105" s="210" t="s">
        <v>17</v>
      </c>
      <c r="S105" s="207"/>
      <c r="T105" s="185"/>
      <c r="U105" s="185"/>
      <c r="V105" s="185"/>
    </row>
    <row r="106" ht="14.25" customHeight="1">
      <c r="A106" s="178"/>
      <c r="B106" s="10">
        <v>1617673.0</v>
      </c>
      <c r="C106" s="11">
        <v>45879.91008101852</v>
      </c>
      <c r="D106" s="179" t="s">
        <v>50</v>
      </c>
      <c r="E106" s="180" t="s">
        <v>6668</v>
      </c>
      <c r="F106" s="181"/>
      <c r="G106" s="179" t="s">
        <v>6669</v>
      </c>
      <c r="H106" s="190"/>
      <c r="I106" s="190"/>
      <c r="J106" s="187" t="s">
        <v>3746</v>
      </c>
      <c r="K106" s="187" t="s">
        <v>3168</v>
      </c>
      <c r="L106" s="184" t="str">
        <f>IFERROR(__xludf.DUMMYFUNCTION("ifna(IF(and(D106=""Saída"",J106=""Sangria""),if(sum(QUERY(IMPORTRANGE(""https://docs.google.com/spreadsheets/d/1wBSFbIXYswW2S5SMKo44LPsdTG4P4kfP5VRdAS5E_4o"",""BD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'""&amp;YEAR(C106)&amp;""-""&amp;MONTH(C106)&amp;""-""&amp;DAY(C106)&amp;""'""))&gt;0,""Depositada"",if(sum(QUERY(IMPORTRANGE(""https://docs.google.com/spreadsheets/d/1wBSFbIXYswW2S5SMKo44LPsdTG4P4kfP5VRdAS5E_4o"",""BD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Sangria"")"),"#REF!")</f>
        <v>#REF!</v>
      </c>
      <c r="M106" s="185">
        <f>IFERROR(__xludf.DUMMYFUNCTION("ifna(VALUE(REGEXEXTRACT(E106,""[0-9.]+[,]+[0-9]+"")))"),2200.0)</f>
        <v>2200</v>
      </c>
      <c r="N106" s="211" t="s">
        <v>1108</v>
      </c>
      <c r="O106" s="193">
        <v>45894.0</v>
      </c>
      <c r="P106" s="194" t="s">
        <v>1183</v>
      </c>
      <c r="Q106" s="195">
        <v>500.0</v>
      </c>
      <c r="R106" s="212"/>
      <c r="S106" s="213" t="str">
        <f t="shared" ref="S106:S126" si="1">IFERROR(VLOOKUP(P106, $A$4:$B$11, 2, FALSE), "")</f>
        <v>Rayana</v>
      </c>
      <c r="T106" s="185"/>
      <c r="U106" s="185"/>
      <c r="V106" s="185"/>
    </row>
    <row r="107" ht="14.25" customHeight="1">
      <c r="A107" s="178"/>
      <c r="B107" s="10">
        <v>1618499.0</v>
      </c>
      <c r="C107" s="11">
        <v>45880.627962962964</v>
      </c>
      <c r="D107" s="179" t="s">
        <v>50</v>
      </c>
      <c r="E107" s="180" t="s">
        <v>6672</v>
      </c>
      <c r="F107" s="181"/>
      <c r="G107" s="179" t="s">
        <v>6673</v>
      </c>
      <c r="H107" s="190"/>
      <c r="I107" s="190"/>
      <c r="J107" s="187" t="s">
        <v>3903</v>
      </c>
      <c r="K107" s="187"/>
      <c r="L107" s="184" t="str">
        <f>IFERROR(__xludf.DUMMYFUNCTION("ifna(IF(and(D107=""Saída"",J107=""Sangria""),if(sum(QUERY(IMPORTRANGE(""https://docs.google.com/spreadsheets/d/1wBSFbIXYswW2S5SMKo44LPsdTG4P4kfP5VRdAS5E_4o"",""BD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'""&amp;YEAR(C107)&amp;""-""&amp;MONTH(C107)&amp;""-""&amp;DAY(C107)&amp;""'""))&gt;0,""Depositada"",if(sum(QUERY(IMPORTRANGE(""https://docs.google.com/spreadsheets/d/1wBSFbIXYswW2S5SMKo44LPsdTG4P4kfP5VRdAS5E_4o"",""BD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Sangria"")"),"")</f>
        <v/>
      </c>
      <c r="M107" s="185">
        <f>IFERROR(__xludf.DUMMYFUNCTION("ifna(VALUE(REGEXEXTRACT(E107,""[0-9.]+[,]+[0-9]+"")))"),260.0)</f>
        <v>260</v>
      </c>
      <c r="N107" s="211"/>
      <c r="O107" s="193"/>
      <c r="P107" s="194"/>
      <c r="Q107" s="195"/>
      <c r="R107" s="214"/>
      <c r="S107" s="213" t="str">
        <f t="shared" si="1"/>
        <v/>
      </c>
      <c r="T107" s="185"/>
      <c r="U107" s="185"/>
      <c r="V107" s="185"/>
    </row>
    <row r="108" ht="14.25" customHeight="1">
      <c r="A108" s="178"/>
      <c r="B108" s="10">
        <v>1618533.0</v>
      </c>
      <c r="C108" s="11">
        <v>45880.645416666666</v>
      </c>
      <c r="D108" s="179" t="s">
        <v>50</v>
      </c>
      <c r="E108" s="180" t="s">
        <v>246</v>
      </c>
      <c r="F108" s="181"/>
      <c r="G108" s="179" t="s">
        <v>4690</v>
      </c>
      <c r="H108" s="190"/>
      <c r="I108" s="190"/>
      <c r="J108" s="187" t="s">
        <v>3044</v>
      </c>
      <c r="K108" s="187" t="s">
        <v>3168</v>
      </c>
      <c r="L108" s="184" t="str">
        <f>IFERROR(__xludf.DUMMYFUNCTION("ifna(IF(and(D108=""Saída"",J108=""Sangria""),if(sum(QUERY(IMPORTRANGE(""https://docs.google.com/spreadsheets/d/1wBSFbIXYswW2S5SMKo44LPsdTG4P4kfP5VRdAS5E_4o"",""BD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'""&amp;YEAR(C108)&amp;""-""&amp;MONTH(C108)&amp;""-""&amp;DAY(C108)&amp;""'""))&gt;0,""Depositada"",if(sum(QUERY(IMPORTRANGE(""https://docs.google.com/spreadsheets/d/1wBSFbIXYswW2S5SMKo44LPsdTG4P4kfP5VRdAS5E_4o"",""BD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Sangria"")"),"")</f>
        <v/>
      </c>
      <c r="M108" s="185">
        <f>IFERROR(__xludf.DUMMYFUNCTION("ifna(VALUE(REGEXEXTRACT(E108,""[0-9.]+[,]+[0-9]+"")))"),4.0)</f>
        <v>4</v>
      </c>
      <c r="N108" s="211"/>
      <c r="O108" s="193"/>
      <c r="P108" s="194"/>
      <c r="Q108" s="195"/>
      <c r="R108" s="215"/>
      <c r="S108" s="213" t="str">
        <f t="shared" si="1"/>
        <v/>
      </c>
      <c r="T108" s="185"/>
      <c r="U108" s="185"/>
      <c r="V108" s="185"/>
    </row>
    <row r="109" ht="14.25" customHeight="1">
      <c r="A109" s="178"/>
      <c r="B109" s="10">
        <v>1618581.0</v>
      </c>
      <c r="C109" s="11">
        <v>45880.662210648145</v>
      </c>
      <c r="D109" s="179" t="s">
        <v>50</v>
      </c>
      <c r="E109" s="180" t="s">
        <v>6676</v>
      </c>
      <c r="F109" s="188"/>
      <c r="G109" s="179" t="s">
        <v>4535</v>
      </c>
      <c r="H109" s="190"/>
      <c r="I109" s="190"/>
      <c r="J109" s="187" t="s">
        <v>3903</v>
      </c>
      <c r="K109" s="187"/>
      <c r="L109" s="184" t="str">
        <f>IFERROR(__xludf.DUMMYFUNCTION("ifna(IF(and(D109=""Saída"",J109=""Sangria""),if(sum(QUERY(IMPORTRANGE(""https://docs.google.com/spreadsheets/d/1wBSFbIXYswW2S5SMKo44LPsdTG4P4kfP5VRdAS5E_4o"",""BD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'""&amp;YEAR(C109)&amp;""-""&amp;MONTH(C109)&amp;""-""&amp;DAY(C109)&amp;""'""))&gt;0,""Depositada"",if(sum(QUERY(IMPORTRANGE(""https://docs.google.com/spreadsheets/d/1wBSFbIXYswW2S5SMKo44LPsdTG4P4kfP5VRdAS5E_4o"",""BD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>
        <f>IFERROR(__xludf.DUMMYFUNCTION("ifna(VALUE(REGEXEXTRACT(E109,""[0-9.]+[,]+[0-9]+"")))"),7.96)</f>
        <v>7.96</v>
      </c>
      <c r="N109" s="211"/>
      <c r="O109" s="193"/>
      <c r="P109" s="194"/>
      <c r="Q109" s="195"/>
      <c r="R109" s="216"/>
      <c r="S109" s="213" t="str">
        <f t="shared" si="1"/>
        <v/>
      </c>
      <c r="T109" s="185"/>
      <c r="U109" s="185"/>
      <c r="V109" s="185"/>
    </row>
    <row r="110" ht="14.25" customHeight="1">
      <c r="A110" s="178"/>
      <c r="B110" s="10">
        <v>1618799.0</v>
      </c>
      <c r="C110" s="11">
        <v>45880.73069444444</v>
      </c>
      <c r="D110" s="179" t="s">
        <v>50</v>
      </c>
      <c r="E110" s="180" t="s">
        <v>6678</v>
      </c>
      <c r="F110" s="181"/>
      <c r="G110" s="179" t="s">
        <v>6679</v>
      </c>
      <c r="H110" s="190"/>
      <c r="I110" s="190"/>
      <c r="J110" s="187" t="s">
        <v>3903</v>
      </c>
      <c r="K110" s="187"/>
      <c r="L110" s="184" t="str">
        <f>IFERROR(__xludf.DUMMYFUNCTION("ifna(IF(and(D110=""Saída"",J110=""Sangria""),if(sum(QUERY(IMPORTRANGE(""https://docs.google.com/spreadsheets/d/1wBSFbIXYswW2S5SMKo44LPsdTG4P4kfP5VRdAS5E_4o"",""BD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'""&amp;YEAR(C110)&amp;""-""&amp;MONTH(C110)&amp;""-""&amp;DAY(C110)&amp;""'""))&gt;0,""Depositada"",if(sum(QUERY(IMPORTRANGE(""https://docs.google.com/spreadsheets/d/1wBSFbIXYswW2S5SMKo44LPsdTG4P4kfP5VRdAS5E_4o"",""BD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Sangria"")"),"")</f>
        <v/>
      </c>
      <c r="M110" s="185">
        <f>IFERROR(__xludf.DUMMYFUNCTION("ifna(VALUE(REGEXEXTRACT(E110,""[0-9.]+[,]+[0-9]+"")))"),43.8)</f>
        <v>43.8</v>
      </c>
      <c r="N110" s="211"/>
      <c r="O110" s="193"/>
      <c r="P110" s="194"/>
      <c r="Q110" s="195"/>
      <c r="R110" s="215"/>
      <c r="S110" s="213" t="str">
        <f t="shared" si="1"/>
        <v/>
      </c>
      <c r="T110" s="185"/>
      <c r="U110" s="185"/>
      <c r="V110" s="185"/>
    </row>
    <row r="111" ht="14.25" customHeight="1">
      <c r="A111" s="178"/>
      <c r="B111" s="10">
        <v>1619111.0</v>
      </c>
      <c r="C111" s="11">
        <v>45880.86728009259</v>
      </c>
      <c r="D111" s="179" t="s">
        <v>50</v>
      </c>
      <c r="E111" s="180" t="s">
        <v>6681</v>
      </c>
      <c r="F111" s="181"/>
      <c r="G111" s="179" t="s">
        <v>4690</v>
      </c>
      <c r="H111" s="190"/>
      <c r="I111" s="190"/>
      <c r="J111" s="187" t="s">
        <v>3044</v>
      </c>
      <c r="K111" s="187" t="s">
        <v>3168</v>
      </c>
      <c r="L111" s="184" t="str">
        <f>IFERROR(__xludf.DUMMYFUNCTION("ifna(IF(and(D111=""Saída"",J111=""Sangria""),if(sum(QUERY(IMPORTRANGE(""https://docs.google.com/spreadsheets/d/1wBSFbIXYswW2S5SMKo44LPsdTG4P4kfP5VRdAS5E_4o"",""BD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'""&amp;YEAR(C111)&amp;""-""&amp;MONTH(C111)&amp;""-""&amp;DAY(C111)&amp;""'""))&gt;0,""Depositada"",if(sum(QUERY(IMPORTRANGE(""https://docs.google.com/spreadsheets/d/1wBSFbIXYswW2S5SMKo44LPsdTG4P4kfP5VRdAS5E_4o"",""BD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>
        <f>IFERROR(__xludf.DUMMYFUNCTION("ifna(VALUE(REGEXEXTRACT(E111,""[0-9.]+[,]+[0-9]+"")))"),18.57)</f>
        <v>18.57</v>
      </c>
      <c r="N111" s="217"/>
      <c r="O111" s="218"/>
      <c r="P111" s="219"/>
      <c r="Q111" s="220"/>
      <c r="R111" s="216"/>
      <c r="S111" s="213" t="str">
        <f t="shared" si="1"/>
        <v/>
      </c>
      <c r="T111" s="185"/>
      <c r="U111" s="185"/>
      <c r="V111" s="185"/>
    </row>
    <row r="112" ht="14.25" customHeight="1">
      <c r="A112" s="178"/>
      <c r="B112" s="10">
        <v>1619117.0</v>
      </c>
      <c r="C112" s="11">
        <v>45880.867847222224</v>
      </c>
      <c r="D112" s="179" t="s">
        <v>50</v>
      </c>
      <c r="E112" s="180" t="s">
        <v>157</v>
      </c>
      <c r="F112" s="181"/>
      <c r="G112" s="179" t="s">
        <v>4704</v>
      </c>
      <c r="H112" s="190"/>
      <c r="I112" s="190"/>
      <c r="J112" s="187" t="s">
        <v>3044</v>
      </c>
      <c r="K112" s="187" t="s">
        <v>3077</v>
      </c>
      <c r="L112" s="184" t="str">
        <f>IFERROR(__xludf.DUMMYFUNCTION("ifna(IF(and(D112=""Saída"",J112=""Sangria""),if(sum(QUERY(IMPORTRANGE(""https://docs.google.com/spreadsheets/d/1wBSFbIXYswW2S5SMKo44LPsdTG4P4kfP5VRdAS5E_4o"",""BD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'""&amp;YEAR(C112)&amp;""-""&amp;MONTH(C112)&amp;""-""&amp;DAY(C112)&amp;""'""))&gt;0,""Depositada"",if(sum(QUERY(IMPORTRANGE(""https://docs.google.com/spreadsheets/d/1wBSFbIXYswW2S5SMKo44LPsdTG4P4kfP5VRdAS5E_4o"",""BD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IFERROR(__xludf.DUMMYFUNCTION("ifna(VALUE(REGEXEXTRACT(E112,""[0-9.]+[,]+[0-9]+"")))"),5.0)</f>
        <v>5</v>
      </c>
      <c r="N112" s="221"/>
      <c r="O112" s="222"/>
      <c r="P112" s="215"/>
      <c r="Q112" s="223" t="str">
        <f t="shared" ref="Q112:Q148" si="2">IFERROR(VLOOKUP(P112, $B$4:$C$18, 2, FALSE), "")</f>
        <v/>
      </c>
      <c r="R112" s="215" t="str">
        <f t="shared" ref="R112:R148" si="3">IFERROR(VLOOKUP(P112, $A$4:$B$18, 2, FALSE), "")</f>
        <v/>
      </c>
      <c r="S112" s="213" t="str">
        <f t="shared" si="1"/>
        <v/>
      </c>
      <c r="T112" s="185"/>
      <c r="U112" s="185"/>
      <c r="V112" s="185"/>
    </row>
    <row r="113" ht="14.25" customHeight="1">
      <c r="A113" s="178"/>
      <c r="B113" s="10">
        <v>1619880.0</v>
      </c>
      <c r="C113" s="11">
        <v>45881.62898148148</v>
      </c>
      <c r="D113" s="179" t="s">
        <v>50</v>
      </c>
      <c r="E113" s="180" t="s">
        <v>236</v>
      </c>
      <c r="F113" s="181"/>
      <c r="G113" s="179" t="s">
        <v>6683</v>
      </c>
      <c r="H113" s="190"/>
      <c r="I113" s="190"/>
      <c r="J113" s="187" t="s">
        <v>3903</v>
      </c>
      <c r="K113" s="187"/>
      <c r="L113" s="184" t="str">
        <f>IFERROR(__xludf.DUMMYFUNCTION("ifna(IF(and(D113=""Saída"",J113=""Sangria""),if(sum(QUERY(IMPORTRANGE(""https://docs.google.com/spreadsheets/d/1wBSFbIXYswW2S5SMKo44LPsdTG4P4kfP5VRdAS5E_4o"",""BD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'""&amp;YEAR(C113)&amp;""-""&amp;MONTH(C113)&amp;""-""&amp;DAY(C113)&amp;""'""))&gt;0,""Depositada"",if(sum(QUERY(IMPORTRANGE(""https://docs.google.com/spreadsheets/d/1wBSFbIXYswW2S5SMKo44LPsdTG4P4kfP5VRdAS5E_4o"",""BD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>
        <f>IFERROR(__xludf.DUMMYFUNCTION("ifna(VALUE(REGEXEXTRACT(E113,""[0-9.]+[,]+[0-9]+"")))"),30.0)</f>
        <v>30</v>
      </c>
      <c r="N113" s="224"/>
      <c r="O113" s="225"/>
      <c r="P113" s="216"/>
      <c r="Q113" s="226" t="str">
        <f t="shared" si="2"/>
        <v/>
      </c>
      <c r="R113" s="216" t="str">
        <f t="shared" si="3"/>
        <v/>
      </c>
      <c r="S113" s="213" t="str">
        <f t="shared" si="1"/>
        <v/>
      </c>
      <c r="T113" s="185"/>
      <c r="U113" s="185"/>
      <c r="V113" s="185"/>
    </row>
    <row r="114" ht="14.25" customHeight="1">
      <c r="A114" s="178"/>
      <c r="B114" s="10">
        <v>1619891.0</v>
      </c>
      <c r="C114" s="11">
        <v>45881.631273148145</v>
      </c>
      <c r="D114" s="179" t="s">
        <v>50</v>
      </c>
      <c r="E114" s="180" t="s">
        <v>6545</v>
      </c>
      <c r="F114" s="181"/>
      <c r="G114" s="179" t="s">
        <v>6686</v>
      </c>
      <c r="H114" s="190"/>
      <c r="I114" s="190"/>
      <c r="J114" s="187" t="s">
        <v>3903</v>
      </c>
      <c r="K114" s="187"/>
      <c r="L114" s="184" t="str">
        <f>IFERROR(__xludf.DUMMYFUNCTION("ifna(IF(and(D114=""Saída"",J114=""Sangria""),if(sum(QUERY(IMPORTRANGE(""https://docs.google.com/spreadsheets/d/1wBSFbIXYswW2S5SMKo44LPsdTG4P4kfP5VRdAS5E_4o"",""BD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'""&amp;YEAR(C114)&amp;""-""&amp;MONTH(C114)&amp;""-""&amp;DAY(C114)&amp;""'""))&gt;0,""Depositada"",if(sum(QUERY(IMPORTRANGE(""https://docs.google.com/spreadsheets/d/1wBSFbIXYswW2S5SMKo44LPsdTG4P4kfP5VRdAS5E_4o"",""BD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>
        <f>IFERROR(__xludf.DUMMYFUNCTION("ifna(VALUE(REGEXEXTRACT(E114,""[0-9.]+[,]+[0-9]+"")))"),20.0)</f>
        <v>20</v>
      </c>
      <c r="N114" s="221"/>
      <c r="O114" s="222"/>
      <c r="P114" s="215"/>
      <c r="Q114" s="223" t="str">
        <f t="shared" si="2"/>
        <v/>
      </c>
      <c r="R114" s="215" t="str">
        <f t="shared" si="3"/>
        <v/>
      </c>
      <c r="S114" s="213" t="str">
        <f t="shared" si="1"/>
        <v/>
      </c>
      <c r="T114" s="185"/>
      <c r="U114" s="185"/>
      <c r="V114" s="185"/>
    </row>
    <row r="115" ht="14.25" customHeight="1">
      <c r="A115" s="178"/>
      <c r="B115" s="10">
        <v>1619917.0</v>
      </c>
      <c r="C115" s="11">
        <v>45881.646203703705</v>
      </c>
      <c r="D115" s="179" t="s">
        <v>50</v>
      </c>
      <c r="E115" s="180" t="s">
        <v>6688</v>
      </c>
      <c r="F115" s="181"/>
      <c r="G115" s="179" t="s">
        <v>6689</v>
      </c>
      <c r="H115" s="190"/>
      <c r="I115" s="190"/>
      <c r="J115" s="187" t="s">
        <v>3903</v>
      </c>
      <c r="K115" s="187"/>
      <c r="L115" s="184" t="str">
        <f>IFERROR(__xludf.DUMMYFUNCTION("ifna(IF(and(D115=""Saída"",J115=""Sangria""),if(sum(QUERY(IMPORTRANGE(""https://docs.google.com/spreadsheets/d/1wBSFbIXYswW2S5SMKo44LPsdTG4P4kfP5VRdAS5E_4o"",""BD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'""&amp;YEAR(C115)&amp;""-""&amp;MONTH(C115)&amp;""-""&amp;DAY(C115)&amp;""'""))&gt;0,""Depositada"",if(sum(QUERY(IMPORTRANGE(""https://docs.google.com/spreadsheets/d/1wBSFbIXYswW2S5SMKo44LPsdTG4P4kfP5VRdAS5E_4o"",""BD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>
        <f>IFERROR(__xludf.DUMMYFUNCTION("ifna(VALUE(REGEXEXTRACT(E115,""[0-9.]+[,]+[0-9]+"")))"),356.92)</f>
        <v>356.92</v>
      </c>
      <c r="N115" s="224"/>
      <c r="O115" s="225"/>
      <c r="P115" s="216"/>
      <c r="Q115" s="226" t="str">
        <f t="shared" si="2"/>
        <v/>
      </c>
      <c r="R115" s="216" t="str">
        <f t="shared" si="3"/>
        <v/>
      </c>
      <c r="S115" s="213" t="str">
        <f t="shared" si="1"/>
        <v/>
      </c>
      <c r="T115" s="185"/>
      <c r="U115" s="185"/>
      <c r="V115" s="185"/>
    </row>
    <row r="116" ht="14.25" customHeight="1">
      <c r="A116" s="178"/>
      <c r="B116" s="10">
        <v>1620146.0</v>
      </c>
      <c r="C116" s="11">
        <v>45881.71627314815</v>
      </c>
      <c r="D116" s="179" t="s">
        <v>50</v>
      </c>
      <c r="E116" s="180" t="s">
        <v>6691</v>
      </c>
      <c r="F116" s="188"/>
      <c r="G116" s="179" t="s">
        <v>6692</v>
      </c>
      <c r="H116" s="190"/>
      <c r="I116" s="190"/>
      <c r="J116" s="187" t="s">
        <v>3903</v>
      </c>
      <c r="K116" s="187"/>
      <c r="L116" s="184" t="str">
        <f>IFERROR(__xludf.DUMMYFUNCTION("ifna(IF(and(D116=""Saída"",J116=""Sangria""),if(sum(QUERY(IMPORTRANGE(""https://docs.google.com/spreadsheets/d/1wBSFbIXYswW2S5SMKo44LPsdTG4P4kfP5VRdAS5E_4o"",""BD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'""&amp;YEAR(C116)&amp;""-""&amp;MONTH(C116)&amp;""-""&amp;DAY(C116)&amp;""'""))&gt;0,""Depositada"",if(sum(QUERY(IMPORTRANGE(""https://docs.google.com/spreadsheets/d/1wBSFbIXYswW2S5SMKo44LPsdTG4P4kfP5VRdAS5E_4o"",""BD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Sangria"")"),"")</f>
        <v/>
      </c>
      <c r="M116" s="185">
        <f>IFERROR(__xludf.DUMMYFUNCTION("ifna(VALUE(REGEXEXTRACT(E116,""[0-9.]+[,]+[0-9]+"")))"),17.7)</f>
        <v>17.7</v>
      </c>
      <c r="N116" s="221"/>
      <c r="O116" s="222"/>
      <c r="P116" s="215"/>
      <c r="Q116" s="223" t="str">
        <f t="shared" si="2"/>
        <v/>
      </c>
      <c r="R116" s="215" t="str">
        <f t="shared" si="3"/>
        <v/>
      </c>
      <c r="S116" s="213" t="str">
        <f t="shared" si="1"/>
        <v/>
      </c>
      <c r="T116" s="185"/>
      <c r="U116" s="185"/>
      <c r="V116" s="185"/>
    </row>
    <row r="117" ht="14.25" customHeight="1">
      <c r="A117" s="178"/>
      <c r="B117" s="10">
        <v>1620304.0</v>
      </c>
      <c r="C117" s="11">
        <v>45881.77365740741</v>
      </c>
      <c r="D117" s="179" t="s">
        <v>50</v>
      </c>
      <c r="E117" s="180" t="s">
        <v>6695</v>
      </c>
      <c r="F117" s="181"/>
      <c r="G117" s="179" t="s">
        <v>6696</v>
      </c>
      <c r="H117" s="190"/>
      <c r="I117" s="190"/>
      <c r="J117" s="187" t="s">
        <v>3044</v>
      </c>
      <c r="K117" s="187" t="s">
        <v>3040</v>
      </c>
      <c r="L117" s="184" t="str">
        <f>IFERROR(__xludf.DUMMYFUNCTION("ifna(IF(and(D117=""Saída"",J117=""Sangria""),if(sum(QUERY(IMPORTRANGE(""https://docs.google.com/spreadsheets/d/1wBSFbIXYswW2S5SMKo44LPsdTG4P4kfP5VRdAS5E_4o"",""BD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'""&amp;YEAR(C117)&amp;""-""&amp;MONTH(C117)&amp;""-""&amp;DAY(C117)&amp;""'""))&gt;0,""Depositada"",if(sum(QUERY(IMPORTRANGE(""https://docs.google.com/spreadsheets/d/1wBSFbIXYswW2S5SMKo44LPsdTG4P4kfP5VRdAS5E_4o"",""BD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>
        <f>IFERROR(__xludf.DUMMYFUNCTION("ifna(VALUE(REGEXEXTRACT(E117,""[0-9.]+[,]+[0-9]+"")))"),30.18)</f>
        <v>30.18</v>
      </c>
      <c r="N117" s="224"/>
      <c r="O117" s="216"/>
      <c r="P117" s="216"/>
      <c r="Q117" s="226" t="str">
        <f t="shared" si="2"/>
        <v/>
      </c>
      <c r="R117" s="216" t="str">
        <f t="shared" si="3"/>
        <v/>
      </c>
      <c r="S117" s="213" t="str">
        <f t="shared" si="1"/>
        <v/>
      </c>
      <c r="T117" s="185"/>
      <c r="U117" s="185"/>
      <c r="V117" s="185"/>
    </row>
    <row r="118" ht="14.25" customHeight="1">
      <c r="A118" s="178"/>
      <c r="B118" s="10">
        <v>1620307.0</v>
      </c>
      <c r="C118" s="11">
        <v>45881.77438657408</v>
      </c>
      <c r="D118" s="179" t="s">
        <v>50</v>
      </c>
      <c r="E118" s="180" t="s">
        <v>6697</v>
      </c>
      <c r="F118" s="181"/>
      <c r="G118" s="179" t="s">
        <v>6446</v>
      </c>
      <c r="H118" s="190"/>
      <c r="I118" s="190"/>
      <c r="J118" s="187" t="s">
        <v>3044</v>
      </c>
      <c r="K118" s="187" t="s">
        <v>3137</v>
      </c>
      <c r="L118" s="184" t="str">
        <f>IFERROR(__xludf.DUMMYFUNCTION("ifna(IF(and(D118=""Saída"",J118=""Sangria""),if(sum(QUERY(IMPORTRANGE(""https://docs.google.com/spreadsheets/d/1wBSFbIXYswW2S5SMKo44LPsdTG4P4kfP5VRdAS5E_4o"",""BD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'""&amp;YEAR(C118)&amp;""-""&amp;MONTH(C118)&amp;""-""&amp;DAY(C118)&amp;""'""))&gt;0,""Depositada"",if(sum(QUERY(IMPORTRANGE(""https://docs.google.com/spreadsheets/d/1wBSFbIXYswW2S5SMKo44LPsdTG4P4kfP5VRdAS5E_4o"",""BD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Sangria"")"),"")</f>
        <v/>
      </c>
      <c r="M118" s="185">
        <f>IFERROR(__xludf.DUMMYFUNCTION("ifna(VALUE(REGEXEXTRACT(E118,""[0-9.]+[,]+[0-9]+"")))"),33.1)</f>
        <v>33.1</v>
      </c>
      <c r="N118" s="221"/>
      <c r="O118" s="215"/>
      <c r="P118" s="215"/>
      <c r="Q118" s="223" t="str">
        <f t="shared" si="2"/>
        <v/>
      </c>
      <c r="R118" s="215" t="str">
        <f t="shared" si="3"/>
        <v/>
      </c>
      <c r="S118" s="213" t="str">
        <f t="shared" si="1"/>
        <v/>
      </c>
      <c r="T118" s="185"/>
      <c r="U118" s="185"/>
      <c r="V118" s="185"/>
    </row>
    <row r="119" ht="14.25" customHeight="1">
      <c r="A119" s="178"/>
      <c r="B119" s="10">
        <v>1620499.0</v>
      </c>
      <c r="C119" s="11">
        <v>45881.86456018518</v>
      </c>
      <c r="D119" s="179" t="s">
        <v>50</v>
      </c>
      <c r="E119" s="180" t="s">
        <v>6699</v>
      </c>
      <c r="F119" s="181"/>
      <c r="G119" s="179" t="s">
        <v>4960</v>
      </c>
      <c r="H119" s="190"/>
      <c r="I119" s="190"/>
      <c r="J119" s="187" t="s">
        <v>3044</v>
      </c>
      <c r="K119" s="187" t="s">
        <v>3168</v>
      </c>
      <c r="L119" s="184" t="str">
        <f>IFERROR(__xludf.DUMMYFUNCTION("ifna(IF(and(D119=""Saída"",J119=""Sangria""),if(sum(QUERY(IMPORTRANGE(""https://docs.google.com/spreadsheets/d/1wBSFbIXYswW2S5SMKo44LPsdTG4P4kfP5VRdAS5E_4o"",""BD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'""&amp;YEAR(C119)&amp;""-""&amp;MONTH(C119)&amp;""-""&amp;DAY(C119)&amp;""'""))&gt;0,""Depositada"",if(sum(QUERY(IMPORTRANGE(""https://docs.google.com/spreadsheets/d/1wBSFbIXYswW2S5SMKo44LPsdTG4P4kfP5VRdAS5E_4o"",""BD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>
        <f>IFERROR(__xludf.DUMMYFUNCTION("ifna(VALUE(REGEXEXTRACT(E119,""[0-9.]+[,]+[0-9]+"")))"),44.47)</f>
        <v>44.47</v>
      </c>
      <c r="N119" s="224"/>
      <c r="O119" s="216"/>
      <c r="P119" s="216"/>
      <c r="Q119" s="226" t="str">
        <f t="shared" si="2"/>
        <v/>
      </c>
      <c r="R119" s="216" t="str">
        <f t="shared" si="3"/>
        <v/>
      </c>
      <c r="S119" s="213" t="str">
        <f t="shared" si="1"/>
        <v/>
      </c>
      <c r="T119" s="185"/>
      <c r="U119" s="185"/>
      <c r="V119" s="185"/>
    </row>
    <row r="120" ht="14.25" customHeight="1">
      <c r="A120" s="178"/>
      <c r="B120" s="10">
        <v>1620506.0</v>
      </c>
      <c r="C120" s="11">
        <v>45881.86670138889</v>
      </c>
      <c r="D120" s="179" t="s">
        <v>50</v>
      </c>
      <c r="E120" s="180" t="s">
        <v>6700</v>
      </c>
      <c r="F120" s="181"/>
      <c r="G120" s="179" t="s">
        <v>6701</v>
      </c>
      <c r="H120" s="190"/>
      <c r="I120" s="190"/>
      <c r="J120" s="187" t="s">
        <v>3746</v>
      </c>
      <c r="K120" s="187" t="s">
        <v>3168</v>
      </c>
      <c r="L120" s="184" t="str">
        <f>IFERROR(__xludf.DUMMYFUNCTION("ifna(IF(and(D120=""Saída"",J120=""Sangria""),if(sum(QUERY(IMPORTRANGE(""https://docs.google.com/spreadsheets/d/1wBSFbIXYswW2S5SMKo44LPsdTG4P4kfP5VRdAS5E_4o"",""BD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'""&amp;YEAR(C120)&amp;""-""&amp;MONTH(C120)&amp;""-""&amp;DAY(C120)&amp;""'""))&gt;0,""Depositada"",if(sum(QUERY(IMPORTRANGE(""https://docs.google.com/spreadsheets/d/1wBSFbIXYswW2S5SMKo44LPsdTG4P4kfP5VRdAS5E_4o"",""BD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Sangria"")"),"#REF!")</f>
        <v>#REF!</v>
      </c>
      <c r="M120" s="185">
        <f>IFERROR(__xludf.DUMMYFUNCTION("ifna(VALUE(REGEXEXTRACT(E120,""[0-9.]+[,]+[0-9]+"")))"),400.0)</f>
        <v>400</v>
      </c>
      <c r="N120" s="221"/>
      <c r="O120" s="215"/>
      <c r="P120" s="215"/>
      <c r="Q120" s="223" t="str">
        <f t="shared" si="2"/>
        <v/>
      </c>
      <c r="R120" s="215" t="str">
        <f t="shared" si="3"/>
        <v/>
      </c>
      <c r="S120" s="213" t="str">
        <f t="shared" si="1"/>
        <v/>
      </c>
      <c r="T120" s="185"/>
      <c r="U120" s="185"/>
      <c r="V120" s="185"/>
    </row>
    <row r="121" ht="14.25" customHeight="1">
      <c r="A121" s="178"/>
      <c r="B121" s="10">
        <v>1621256.0</v>
      </c>
      <c r="C121" s="11">
        <v>45882.63214120371</v>
      </c>
      <c r="D121" s="179" t="s">
        <v>50</v>
      </c>
      <c r="E121" s="180" t="s">
        <v>6703</v>
      </c>
      <c r="F121" s="181"/>
      <c r="G121" s="179" t="s">
        <v>6704</v>
      </c>
      <c r="H121" s="190"/>
      <c r="I121" s="190"/>
      <c r="J121" s="187" t="s">
        <v>3903</v>
      </c>
      <c r="K121" s="187"/>
      <c r="L121" s="184" t="str">
        <f>IFERROR(__xludf.DUMMYFUNCTION("ifna(IF(and(D121=""Saída"",J121=""Sangria""),if(sum(QUERY(IMPORTRANGE(""https://docs.google.com/spreadsheets/d/1wBSFbIXYswW2S5SMKo44LPsdTG4P4kfP5VRdAS5E_4o"",""BD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'""&amp;YEAR(C121)&amp;""-""&amp;MONTH(C121)&amp;""-""&amp;DAY(C121)&amp;""'""))&gt;0,""Depositada"",if(sum(QUERY(IMPORTRANGE(""https://docs.google.com/spreadsheets/d/1wBSFbIXYswW2S5SMKo44LPsdTG4P4kfP5VRdAS5E_4o"",""BD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>
        <f>IFERROR(__xludf.DUMMYFUNCTION("ifna(VALUE(REGEXEXTRACT(E121,""[0-9.]+[,]+[0-9]+"")))"),8.28)</f>
        <v>8.28</v>
      </c>
      <c r="N121" s="224"/>
      <c r="O121" s="216"/>
      <c r="P121" s="216"/>
      <c r="Q121" s="226" t="str">
        <f t="shared" si="2"/>
        <v/>
      </c>
      <c r="R121" s="216" t="str">
        <f t="shared" si="3"/>
        <v/>
      </c>
      <c r="S121" s="213" t="str">
        <f t="shared" si="1"/>
        <v/>
      </c>
      <c r="T121" s="185"/>
      <c r="U121" s="185"/>
      <c r="V121" s="185"/>
    </row>
    <row r="122" ht="14.25" customHeight="1">
      <c r="A122" s="178"/>
      <c r="B122" s="10">
        <v>1621713.0</v>
      </c>
      <c r="C122" s="11">
        <v>45882.771215277775</v>
      </c>
      <c r="D122" s="179" t="s">
        <v>50</v>
      </c>
      <c r="E122" s="180" t="s">
        <v>6707</v>
      </c>
      <c r="F122" s="181"/>
      <c r="G122" s="179" t="s">
        <v>6513</v>
      </c>
      <c r="H122" s="190"/>
      <c r="I122" s="190"/>
      <c r="J122" s="187" t="s">
        <v>3044</v>
      </c>
      <c r="K122" s="187" t="s">
        <v>3040</v>
      </c>
      <c r="L122" s="184" t="str">
        <f>IFERROR(__xludf.DUMMYFUNCTION("ifna(IF(and(D122=""Saída"",J122=""Sangria""),if(sum(QUERY(IMPORTRANGE(""https://docs.google.com/spreadsheets/d/1wBSFbIXYswW2S5SMKo44LPsdTG4P4kfP5VRdAS5E_4o"",""BD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'""&amp;YEAR(C122)&amp;""-""&amp;MONTH(C122)&amp;""-""&amp;DAY(C122)&amp;""'""))&gt;0,""Depositada"",if(sum(QUERY(IMPORTRANGE(""https://docs.google.com/spreadsheets/d/1wBSFbIXYswW2S5SMKo44LPsdTG4P4kfP5VRdAS5E_4o"",""BD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Sangria"")"),"")</f>
        <v/>
      </c>
      <c r="M122" s="185">
        <f>IFERROR(__xludf.DUMMYFUNCTION("ifna(VALUE(REGEXEXTRACT(E122,""[0-9.]+[,]+[0-9]+"")))"),61.6)</f>
        <v>61.6</v>
      </c>
      <c r="N122" s="221"/>
      <c r="O122" s="215"/>
      <c r="P122" s="215"/>
      <c r="Q122" s="223" t="str">
        <f t="shared" si="2"/>
        <v/>
      </c>
      <c r="R122" s="215" t="str">
        <f t="shared" si="3"/>
        <v/>
      </c>
      <c r="S122" s="213" t="str">
        <f t="shared" si="1"/>
        <v/>
      </c>
      <c r="T122" s="185"/>
      <c r="U122" s="185"/>
      <c r="V122" s="185"/>
    </row>
    <row r="123" ht="14.25" customHeight="1">
      <c r="A123" s="178"/>
      <c r="B123" s="10">
        <v>1621755.0</v>
      </c>
      <c r="C123" s="11">
        <v>45882.79020833333</v>
      </c>
      <c r="D123" s="179" t="s">
        <v>50</v>
      </c>
      <c r="E123" s="180" t="s">
        <v>6709</v>
      </c>
      <c r="F123" s="188"/>
      <c r="G123" s="179" t="s">
        <v>4983</v>
      </c>
      <c r="H123" s="190"/>
      <c r="I123" s="190"/>
      <c r="J123" s="187" t="s">
        <v>3044</v>
      </c>
      <c r="K123" s="187" t="s">
        <v>3077</v>
      </c>
      <c r="L123" s="184" t="str">
        <f>IFERROR(__xludf.DUMMYFUNCTION("ifna(IF(and(D123=""Saída"",J123=""Sangria""),if(sum(QUERY(IMPORTRANGE(""https://docs.google.com/spreadsheets/d/1wBSFbIXYswW2S5SMKo44LPsdTG4P4kfP5VRdAS5E_4o"",""BD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'""&amp;YEAR(C123)&amp;""-""&amp;MONTH(C123)&amp;""-""&amp;DAY(C123)&amp;""'""))&gt;0,""Depositada"",if(sum(QUERY(IMPORTRANGE(""https://docs.google.com/spreadsheets/d/1wBSFbIXYswW2S5SMKo44LPsdTG4P4kfP5VRdAS5E_4o"",""BD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Sangria"")"),"")</f>
        <v/>
      </c>
      <c r="M123" s="185">
        <f>IFERROR(__xludf.DUMMYFUNCTION("ifna(VALUE(REGEXEXTRACT(E123,""[0-9.]+[,]+[0-9]+"")))"),35.91)</f>
        <v>35.91</v>
      </c>
      <c r="N123" s="224"/>
      <c r="O123" s="216"/>
      <c r="P123" s="216"/>
      <c r="Q123" s="226" t="str">
        <f t="shared" si="2"/>
        <v/>
      </c>
      <c r="R123" s="216" t="str">
        <f t="shared" si="3"/>
        <v/>
      </c>
      <c r="S123" s="213" t="str">
        <f t="shared" si="1"/>
        <v/>
      </c>
      <c r="T123" s="185"/>
      <c r="U123" s="185"/>
      <c r="V123" s="185"/>
    </row>
    <row r="124" ht="14.25" customHeight="1">
      <c r="A124" s="178"/>
      <c r="B124" s="10">
        <v>1621786.0</v>
      </c>
      <c r="C124" s="11">
        <v>45882.80401620371</v>
      </c>
      <c r="D124" s="179" t="s">
        <v>50</v>
      </c>
      <c r="E124" s="180" t="s">
        <v>6646</v>
      </c>
      <c r="F124" s="181"/>
      <c r="G124" s="179" t="s">
        <v>4960</v>
      </c>
      <c r="H124" s="190"/>
      <c r="I124" s="190"/>
      <c r="J124" s="187" t="s">
        <v>3044</v>
      </c>
      <c r="K124" s="187" t="s">
        <v>3168</v>
      </c>
      <c r="L124" s="184" t="str">
        <f>IFERROR(__xludf.DUMMYFUNCTION("ifna(IF(and(D124=""Saída"",J124=""Sangria""),if(sum(QUERY(IMPORTRANGE(""https://docs.google.com/spreadsheets/d/1wBSFbIXYswW2S5SMKo44LPsdTG4P4kfP5VRdAS5E_4o"",""BD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'""&amp;YEAR(C124)&amp;""-""&amp;MONTH(C124)&amp;""-""&amp;DAY(C124)&amp;""'""))&gt;0,""Depositada"",if(sum(QUERY(IMPORTRANGE(""https://docs.google.com/spreadsheets/d/1wBSFbIXYswW2S5SMKo44LPsdTG4P4kfP5VRdAS5E_4o"",""BD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Sangria"")"),"")</f>
        <v/>
      </c>
      <c r="M124" s="185">
        <f>IFERROR(__xludf.DUMMYFUNCTION("ifna(VALUE(REGEXEXTRACT(E124,""[0-9.]+[,]+[0-9]+"")))"),15.34)</f>
        <v>15.34</v>
      </c>
      <c r="N124" s="221"/>
      <c r="O124" s="215"/>
      <c r="P124" s="215"/>
      <c r="Q124" s="223" t="str">
        <f t="shared" si="2"/>
        <v/>
      </c>
      <c r="R124" s="215" t="str">
        <f t="shared" si="3"/>
        <v/>
      </c>
      <c r="S124" s="213" t="str">
        <f t="shared" si="1"/>
        <v/>
      </c>
      <c r="T124" s="185"/>
      <c r="U124" s="185"/>
      <c r="V124" s="185"/>
    </row>
    <row r="125" ht="14.25" customHeight="1">
      <c r="A125" s="178"/>
      <c r="B125" s="10">
        <v>1621991.0</v>
      </c>
      <c r="C125" s="11">
        <v>45882.88144675926</v>
      </c>
      <c r="D125" s="179" t="s">
        <v>50</v>
      </c>
      <c r="E125" s="180" t="s">
        <v>6711</v>
      </c>
      <c r="F125" s="181"/>
      <c r="G125" s="179" t="s">
        <v>4960</v>
      </c>
      <c r="H125" s="190"/>
      <c r="I125" s="190"/>
      <c r="J125" s="187" t="s">
        <v>3044</v>
      </c>
      <c r="K125" s="187" t="s">
        <v>3168</v>
      </c>
      <c r="L125" s="184" t="str">
        <f>IFERROR(__xludf.DUMMYFUNCTION("ifna(IF(and(D125=""Saída"",J125=""Sangria""),if(sum(QUERY(IMPORTRANGE(""https://docs.google.com/spreadsheets/d/1wBSFbIXYswW2S5SMKo44LPsdTG4P4kfP5VRdAS5E_4o"",""BD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'""&amp;YEAR(C125)&amp;""-""&amp;MONTH(C125)&amp;""-""&amp;DAY(C125)&amp;""'""))&gt;0,""Depositada"",if(sum(QUERY(IMPORTRANGE(""https://docs.google.com/spreadsheets/d/1wBSFbIXYswW2S5SMKo44LPsdTG4P4kfP5VRdAS5E_4o"",""BD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>
        <f>IFERROR(__xludf.DUMMYFUNCTION("ifna(VALUE(REGEXEXTRACT(E125,""[0-9.]+[,]+[0-9]+"")))"),30.45)</f>
        <v>30.45</v>
      </c>
      <c r="N125" s="224"/>
      <c r="O125" s="216"/>
      <c r="P125" s="216"/>
      <c r="Q125" s="226" t="str">
        <f t="shared" si="2"/>
        <v/>
      </c>
      <c r="R125" s="216" t="str">
        <f t="shared" si="3"/>
        <v/>
      </c>
      <c r="S125" s="213" t="str">
        <f t="shared" si="1"/>
        <v/>
      </c>
      <c r="T125" s="185"/>
      <c r="U125" s="185"/>
      <c r="V125" s="185"/>
    </row>
    <row r="126" ht="14.25" customHeight="1">
      <c r="A126" s="178"/>
      <c r="B126" s="10">
        <v>1622017.0</v>
      </c>
      <c r="C126" s="11">
        <v>45882.89100694445</v>
      </c>
      <c r="D126" s="179" t="s">
        <v>50</v>
      </c>
      <c r="E126" s="180" t="s">
        <v>1279</v>
      </c>
      <c r="F126" s="181"/>
      <c r="G126" s="179" t="s">
        <v>6713</v>
      </c>
      <c r="H126" s="190"/>
      <c r="I126" s="190"/>
      <c r="J126" s="187" t="s">
        <v>3746</v>
      </c>
      <c r="K126" s="187" t="s">
        <v>3168</v>
      </c>
      <c r="L126" s="184" t="str">
        <f>IFERROR(__xludf.DUMMYFUNCTION("ifna(IF(and(D126=""Saída"",J126=""Sangria""),if(sum(QUERY(IMPORTRANGE(""https://docs.google.com/spreadsheets/d/1wBSFbIXYswW2S5SMKo44LPsdTG4P4kfP5VRdAS5E_4o"",""BD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'""&amp;YEAR(C126)&amp;""-""&amp;MONTH(C126)&amp;""-""&amp;DAY(C126)&amp;""'""))&gt;0,""Depositada"",if(sum(QUERY(IMPORTRANGE(""https://docs.google.com/spreadsheets/d/1wBSFbIXYswW2S5SMKo44LPsdTG4P4kfP5VRdAS5E_4o"",""BD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Sangria"")"),"#REF!")</f>
        <v>#REF!</v>
      </c>
      <c r="M126" s="185">
        <f>IFERROR(__xludf.DUMMYFUNCTION("ifna(VALUE(REGEXEXTRACT(E126,""[0-9.]+[,]+[0-9]+"")))"),600.0)</f>
        <v>600</v>
      </c>
      <c r="N126" s="221"/>
      <c r="O126" s="215"/>
      <c r="P126" s="215"/>
      <c r="Q126" s="223" t="str">
        <f t="shared" si="2"/>
        <v/>
      </c>
      <c r="R126" s="215" t="str">
        <f t="shared" si="3"/>
        <v/>
      </c>
      <c r="S126" s="213" t="str">
        <f t="shared" si="1"/>
        <v/>
      </c>
      <c r="T126" s="185"/>
      <c r="U126" s="185"/>
      <c r="V126" s="185"/>
    </row>
    <row r="127" ht="25.5" customHeight="1">
      <c r="A127" s="178"/>
      <c r="B127" s="10">
        <v>1622571.0</v>
      </c>
      <c r="C127" s="11">
        <v>45883.58846064815</v>
      </c>
      <c r="D127" s="179" t="s">
        <v>50</v>
      </c>
      <c r="E127" s="180" t="s">
        <v>1635</v>
      </c>
      <c r="F127" s="181"/>
      <c r="G127" s="179" t="s">
        <v>6715</v>
      </c>
      <c r="H127" s="190"/>
      <c r="I127" s="190"/>
      <c r="J127" s="187" t="s">
        <v>3467</v>
      </c>
      <c r="K127" s="187"/>
      <c r="L127" s="184" t="str">
        <f>IFERROR(__xludf.DUMMYFUNCTION("ifna(IF(and(D127=""Saída"",J127=""Sangria""),if(sum(QUERY(IMPORTRANGE(""https://docs.google.com/spreadsheets/d/1wBSFbIXYswW2S5SMKo44LPsdTG4P4kfP5VRdAS5E_4o"",""BD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'""&amp;YEAR(C127)&amp;""-""&amp;MONTH(C127)&amp;""-""&amp;DAY(C127)&amp;""'""))&gt;0,""Depositada"",if(sum(QUERY(IMPORTRANGE(""https://docs.google.com/spreadsheets/d/1wBSFbIXYswW2S5SMKo44LPsdTG4P4kfP5VRdAS5E_4o"",""BD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>
        <f>IFERROR(__xludf.DUMMYFUNCTION("ifna(VALUE(REGEXEXTRACT(E127,""[0-9.]+[,]+[0-9]+"")))"),18.28)</f>
        <v>18.28</v>
      </c>
      <c r="N127" s="224"/>
      <c r="O127" s="216"/>
      <c r="P127" s="216"/>
      <c r="Q127" s="226" t="str">
        <f t="shared" si="2"/>
        <v/>
      </c>
      <c r="R127" s="216" t="str">
        <f t="shared" si="3"/>
        <v/>
      </c>
      <c r="S127" s="227" t="str">
        <f t="shared" ref="S127:S148" si="4">IFERROR(VLOOKUP(P127, $A$4:$B$18, 2, FALSE), "")</f>
        <v/>
      </c>
      <c r="T127" s="185"/>
      <c r="U127" s="185"/>
      <c r="V127" s="185"/>
    </row>
    <row r="128" ht="25.5" customHeight="1">
      <c r="A128" s="178"/>
      <c r="B128" s="10">
        <v>1622576.0</v>
      </c>
      <c r="C128" s="11">
        <v>45883.589837962965</v>
      </c>
      <c r="D128" s="179" t="s">
        <v>50</v>
      </c>
      <c r="E128" s="180" t="s">
        <v>6718</v>
      </c>
      <c r="F128" s="181"/>
      <c r="G128" s="179" t="s">
        <v>536</v>
      </c>
      <c r="H128" s="190"/>
      <c r="I128" s="190"/>
      <c r="J128" s="187" t="s">
        <v>3903</v>
      </c>
      <c r="K128" s="187"/>
      <c r="L128" s="184" t="str">
        <f>IFERROR(__xludf.DUMMYFUNCTION("ifna(IF(and(D128=""Saída"",J128=""Sangria""),if(sum(QUERY(IMPORTRANGE(""https://docs.google.com/spreadsheets/d/1wBSFbIXYswW2S5SMKo44LPsdTG4P4kfP5VRdAS5E_4o"",""BD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'""&amp;YEAR(C128)&amp;""-""&amp;MONTH(C128)&amp;""-""&amp;DAY(C128)&amp;""'""))&gt;0,""Depositada"",if(sum(QUERY(IMPORTRANGE(""https://docs.google.com/spreadsheets/d/1wBSFbIXYswW2S5SMKo44LPsdTG4P4kfP5VRdAS5E_4o"",""BD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>
        <f>IFERROR(__xludf.DUMMYFUNCTION("ifna(VALUE(REGEXEXTRACT(E128,""[0-9.]+[,]+[0-9]+"")))"),139.95)</f>
        <v>139.95</v>
      </c>
      <c r="N128" s="221"/>
      <c r="O128" s="215"/>
      <c r="P128" s="215"/>
      <c r="Q128" s="223" t="str">
        <f t="shared" si="2"/>
        <v/>
      </c>
      <c r="R128" s="215" t="str">
        <f t="shared" si="3"/>
        <v/>
      </c>
      <c r="S128" s="227" t="str">
        <f t="shared" si="4"/>
        <v/>
      </c>
      <c r="T128" s="185"/>
      <c r="U128" s="185"/>
      <c r="V128" s="185"/>
    </row>
    <row r="129" ht="25.5" customHeight="1">
      <c r="A129" s="178"/>
      <c r="B129" s="10">
        <v>1622607.0</v>
      </c>
      <c r="C129" s="11">
        <v>45883.605844907404</v>
      </c>
      <c r="D129" s="179" t="s">
        <v>50</v>
      </c>
      <c r="E129" s="180" t="s">
        <v>6654</v>
      </c>
      <c r="F129" s="181"/>
      <c r="G129" s="179" t="s">
        <v>6722</v>
      </c>
      <c r="H129" s="190"/>
      <c r="I129" s="190"/>
      <c r="J129" s="187" t="s">
        <v>3467</v>
      </c>
      <c r="K129" s="187"/>
      <c r="L129" s="184" t="str">
        <f>IFERROR(__xludf.DUMMYFUNCTION("ifna(IF(and(D129=""Saída"",J129=""Sangria""),if(sum(QUERY(IMPORTRANGE(""https://docs.google.com/spreadsheets/d/1wBSFbIXYswW2S5SMKo44LPsdTG4P4kfP5VRdAS5E_4o"",""BD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'""&amp;YEAR(C129)&amp;""-""&amp;MONTH(C129)&amp;""-""&amp;DAY(C129)&amp;""'""))&gt;0,""Depositada"",if(sum(QUERY(IMPORTRANGE(""https://docs.google.com/spreadsheets/d/1wBSFbIXYswW2S5SMKo44LPsdTG4P4kfP5VRdAS5E_4o"",""BD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>
        <f>IFERROR(__xludf.DUMMYFUNCTION("ifna(VALUE(REGEXEXTRACT(E129,""[0-9.]+[,]+[0-9]+"")))"),60.0)</f>
        <v>60</v>
      </c>
      <c r="N129" s="224"/>
      <c r="O129" s="216"/>
      <c r="P129" s="216"/>
      <c r="Q129" s="226" t="str">
        <f t="shared" si="2"/>
        <v/>
      </c>
      <c r="R129" s="216" t="str">
        <f t="shared" si="3"/>
        <v/>
      </c>
      <c r="S129" s="227" t="str">
        <f t="shared" si="4"/>
        <v/>
      </c>
      <c r="T129" s="185"/>
      <c r="U129" s="185"/>
      <c r="V129" s="185"/>
    </row>
    <row r="130" ht="14.25" customHeight="1">
      <c r="A130" s="178"/>
      <c r="B130" s="10">
        <v>1622821.0</v>
      </c>
      <c r="C130" s="11">
        <v>45883.678391203706</v>
      </c>
      <c r="D130" s="179" t="s">
        <v>50</v>
      </c>
      <c r="E130" s="180" t="s">
        <v>194</v>
      </c>
      <c r="F130" s="181"/>
      <c r="G130" s="179" t="s">
        <v>6725</v>
      </c>
      <c r="H130" s="190"/>
      <c r="I130" s="190"/>
      <c r="J130" s="187" t="s">
        <v>3466</v>
      </c>
      <c r="K130" s="187"/>
      <c r="L130" s="184" t="str">
        <f>IFERROR(__xludf.DUMMYFUNCTION("ifna(IF(and(D130=""Saída"",J130=""Sangria""),if(sum(QUERY(IMPORTRANGE(""https://docs.google.com/spreadsheets/d/1wBSFbIXYswW2S5SMKo44LPsdTG4P4kfP5VRdAS5E_4o"",""BD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'""&amp;YEAR(C130)&amp;""-""&amp;MONTH(C130)&amp;""-""&amp;DAY(C130)&amp;""'""))&gt;0,""Depositada"",if(sum(QUERY(IMPORTRANGE(""https://docs.google.com/spreadsheets/d/1wBSFbIXYswW2S5SMKo44LPsdTG4P4kfP5VRdAS5E_4o"",""BD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>
        <f>IFERROR(__xludf.DUMMYFUNCTION("ifna(VALUE(REGEXEXTRACT(E130,""[0-9.]+[,]+[0-9]+"")))"),250.0)</f>
        <v>250</v>
      </c>
      <c r="N130" s="221"/>
      <c r="O130" s="215"/>
      <c r="P130" s="215"/>
      <c r="Q130" s="223" t="str">
        <f t="shared" si="2"/>
        <v/>
      </c>
      <c r="R130" s="215" t="str">
        <f t="shared" si="3"/>
        <v/>
      </c>
      <c r="S130" s="227" t="str">
        <f t="shared" si="4"/>
        <v/>
      </c>
      <c r="T130" s="185"/>
      <c r="U130" s="185"/>
      <c r="V130" s="185"/>
    </row>
    <row r="131" ht="14.25" customHeight="1">
      <c r="A131" s="178"/>
      <c r="B131" s="10">
        <v>1622836.0</v>
      </c>
      <c r="C131" s="11">
        <v>45883.68534722222</v>
      </c>
      <c r="D131" s="179" t="s">
        <v>227</v>
      </c>
      <c r="E131" s="180" t="s">
        <v>494</v>
      </c>
      <c r="F131" s="188"/>
      <c r="G131" s="179" t="s">
        <v>6729</v>
      </c>
      <c r="H131" s="190"/>
      <c r="I131" s="190"/>
      <c r="J131" s="228"/>
      <c r="K131" s="187"/>
      <c r="L131" s="184" t="str">
        <f>IFERROR(__xludf.DUMMYFUNCTION("ifna(IF(and(D131=""Saída"",J131=""Sangria""),if(sum(QUERY(IMPORTRANGE(""https://docs.google.com/spreadsheets/d/1wBSFbIXYswW2S5SMKo44LPsdTG4P4kfP5VRdAS5E_4o"",""BD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'""&amp;YEAR(C131)&amp;""-""&amp;MONTH(C131)&amp;""-""&amp;DAY(C131)&amp;""'""))&gt;0,""Depositada"",if(sum(QUERY(IMPORTRANGE(""https://docs.google.com/spreadsheets/d/1wBSFbIXYswW2S5SMKo44LPsdTG4P4kfP5VRdAS5E_4o"",""BD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>
        <f>IFERROR(__xludf.DUMMYFUNCTION("ifna(VALUE(REGEXEXTRACT(E131,""[0-9.]+[,]+[0-9]+"")))"),0.01)</f>
        <v>0.01</v>
      </c>
      <c r="N131" s="224"/>
      <c r="O131" s="216"/>
      <c r="P131" s="216"/>
      <c r="Q131" s="226" t="str">
        <f t="shared" si="2"/>
        <v/>
      </c>
      <c r="R131" s="216" t="str">
        <f t="shared" si="3"/>
        <v/>
      </c>
      <c r="S131" s="227" t="str">
        <f t="shared" si="4"/>
        <v/>
      </c>
      <c r="T131" s="185"/>
      <c r="U131" s="185"/>
      <c r="V131" s="185"/>
    </row>
    <row r="132" ht="14.25" customHeight="1">
      <c r="A132" s="178"/>
      <c r="B132" s="10">
        <v>1623128.0</v>
      </c>
      <c r="C132" s="11">
        <v>45883.78111111111</v>
      </c>
      <c r="D132" s="179" t="s">
        <v>50</v>
      </c>
      <c r="E132" s="180" t="s">
        <v>6731</v>
      </c>
      <c r="F132" s="181"/>
      <c r="G132" s="179" t="s">
        <v>6671</v>
      </c>
      <c r="H132" s="190"/>
      <c r="I132" s="190"/>
      <c r="J132" s="187" t="s">
        <v>3466</v>
      </c>
      <c r="K132" s="187"/>
      <c r="L132" s="184" t="str">
        <f>IFERROR(__xludf.DUMMYFUNCTION("ifna(IF(and(D132=""Saída"",J132=""Sangria""),if(sum(QUERY(IMPORTRANGE(""https://docs.google.com/spreadsheets/d/1wBSFbIXYswW2S5SMKo44LPsdTG4P4kfP5VRdAS5E_4o"",""BD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'""&amp;YEAR(C132)&amp;""-""&amp;MONTH(C132)&amp;""-""&amp;DAY(C132)&amp;""'""))&gt;0,""Depositada"",if(sum(QUERY(IMPORTRANGE(""https://docs.google.com/spreadsheets/d/1wBSFbIXYswW2S5SMKo44LPsdTG4P4kfP5VRdAS5E_4o"",""BD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Sangria"")"),"")</f>
        <v/>
      </c>
      <c r="M132" s="185">
        <f>IFERROR(__xludf.DUMMYFUNCTION("ifna(VALUE(REGEXEXTRACT(E132,""[0-9.]+[,]+[0-9]+"")))"),100.0)</f>
        <v>100</v>
      </c>
      <c r="N132" s="221"/>
      <c r="O132" s="215"/>
      <c r="P132" s="215"/>
      <c r="Q132" s="223" t="str">
        <f t="shared" si="2"/>
        <v/>
      </c>
      <c r="R132" s="215" t="str">
        <f t="shared" si="3"/>
        <v/>
      </c>
      <c r="S132" s="227" t="str">
        <f t="shared" si="4"/>
        <v/>
      </c>
      <c r="T132" s="185"/>
      <c r="U132" s="185"/>
      <c r="V132" s="185"/>
    </row>
    <row r="133" ht="14.25" customHeight="1">
      <c r="A133" s="178"/>
      <c r="B133" s="10">
        <v>1623130.0</v>
      </c>
      <c r="C133" s="11">
        <v>45883.78157407408</v>
      </c>
      <c r="D133" s="179" t="s">
        <v>227</v>
      </c>
      <c r="E133" s="180" t="s">
        <v>494</v>
      </c>
      <c r="F133" s="181"/>
      <c r="G133" s="179" t="s">
        <v>6734</v>
      </c>
      <c r="H133" s="190"/>
      <c r="I133" s="190"/>
      <c r="K133" s="187"/>
      <c r="L133" s="184" t="str">
        <f>IFERROR(__xludf.DUMMYFUNCTION("ifna(IF(and(D133=""Saída"",J133=""Sangria""),if(sum(QUERY(IMPORTRANGE(""https://docs.google.com/spreadsheets/d/1wBSFbIXYswW2S5SMKo44LPsdTG4P4kfP5VRdAS5E_4o"",""BD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'""&amp;YEAR(C133)&amp;""-""&amp;MONTH(C133)&amp;""-""&amp;DAY(C133)&amp;""'""))&gt;0,""Depositada"",if(sum(QUERY(IMPORTRANGE(""https://docs.google.com/spreadsheets/d/1wBSFbIXYswW2S5SMKo44LPsdTG4P4kfP5VRdAS5E_4o"",""BD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>
        <f>IFERROR(__xludf.DUMMYFUNCTION("ifna(VALUE(REGEXEXTRACT(E133,""[0-9.]+[,]+[0-9]+"")))"),0.01)</f>
        <v>0.01</v>
      </c>
      <c r="N133" s="224"/>
      <c r="O133" s="216"/>
      <c r="P133" s="216"/>
      <c r="Q133" s="226" t="str">
        <f t="shared" si="2"/>
        <v/>
      </c>
      <c r="R133" s="216" t="str">
        <f t="shared" si="3"/>
        <v/>
      </c>
      <c r="S133" s="227" t="str">
        <f t="shared" si="4"/>
        <v/>
      </c>
      <c r="T133" s="185"/>
      <c r="U133" s="185"/>
      <c r="V133" s="185"/>
    </row>
    <row r="134" ht="14.25" customHeight="1">
      <c r="A134" s="178"/>
      <c r="B134" s="10">
        <v>1623136.0</v>
      </c>
      <c r="C134" s="11">
        <v>45883.783125</v>
      </c>
      <c r="D134" s="179" t="s">
        <v>50</v>
      </c>
      <c r="E134" s="180" t="s">
        <v>1294</v>
      </c>
      <c r="F134" s="181"/>
      <c r="G134" s="179" t="s">
        <v>6737</v>
      </c>
      <c r="H134" s="190"/>
      <c r="I134" s="190"/>
      <c r="J134" s="187" t="s">
        <v>3467</v>
      </c>
      <c r="K134" s="187"/>
      <c r="L134" s="184" t="str">
        <f>IFERROR(__xludf.DUMMYFUNCTION("ifna(IF(and(D134=""Saída"",J134=""Sangria""),if(sum(QUERY(IMPORTRANGE(""https://docs.google.com/spreadsheets/d/1wBSFbIXYswW2S5SMKo44LPsdTG4P4kfP5VRdAS5E_4o"",""BD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'""&amp;YEAR(C134)&amp;""-""&amp;MONTH(C134)&amp;""-""&amp;DAY(C134)&amp;""'""))&gt;0,""Depositada"",if(sum(QUERY(IMPORTRANGE(""https://docs.google.com/spreadsheets/d/1wBSFbIXYswW2S5SMKo44LPsdTG4P4kfP5VRdAS5E_4o"",""BD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>
        <f>IFERROR(__xludf.DUMMYFUNCTION("ifna(VALUE(REGEXEXTRACT(E134,""[0-9.]+[,]+[0-9]+"")))"),16.61)</f>
        <v>16.61</v>
      </c>
      <c r="N134" s="221"/>
      <c r="O134" s="215"/>
      <c r="P134" s="215"/>
      <c r="Q134" s="223" t="str">
        <f t="shared" si="2"/>
        <v/>
      </c>
      <c r="R134" s="215" t="str">
        <f t="shared" si="3"/>
        <v/>
      </c>
      <c r="S134" s="227" t="str">
        <f t="shared" si="4"/>
        <v/>
      </c>
      <c r="T134" s="185"/>
      <c r="U134" s="185"/>
      <c r="V134" s="185"/>
    </row>
    <row r="135" ht="14.25" customHeight="1">
      <c r="A135" s="178"/>
      <c r="B135" s="10">
        <v>1623891.0</v>
      </c>
      <c r="C135" s="11">
        <v>45884.54472222222</v>
      </c>
      <c r="D135" s="179" t="s">
        <v>50</v>
      </c>
      <c r="E135" s="180" t="s">
        <v>205</v>
      </c>
      <c r="F135" s="181"/>
      <c r="G135" s="179" t="s">
        <v>4665</v>
      </c>
      <c r="H135" s="190"/>
      <c r="I135" s="190"/>
      <c r="J135" s="187" t="s">
        <v>3044</v>
      </c>
      <c r="K135" s="187" t="s">
        <v>3040</v>
      </c>
      <c r="L135" s="184" t="str">
        <f>IFERROR(__xludf.DUMMYFUNCTION("ifna(IF(and(D135=""Saída"",J135=""Sangria""),if(sum(QUERY(IMPORTRANGE(""https://docs.google.com/spreadsheets/d/1wBSFbIXYswW2S5SMKo44LPsdTG4P4kfP5VRdAS5E_4o"",""BD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'""&amp;YEAR(C135)&amp;""-""&amp;MONTH(C135)&amp;""-""&amp;DAY(C135)&amp;""'""))&gt;0,""Depositada"",if(sum(QUERY(IMPORTRANGE(""https://docs.google.com/spreadsheets/d/1wBSFbIXYswW2S5SMKo44LPsdTG4P4kfP5VRdAS5E_4o"",""BD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Sangria"")"),"")</f>
        <v/>
      </c>
      <c r="M135" s="185">
        <f>IFERROR(__xludf.DUMMYFUNCTION("ifna(VALUE(REGEXEXTRACT(E135,""[0-9.]+[,]+[0-9]+"")))"),10.0)</f>
        <v>10</v>
      </c>
      <c r="N135" s="224"/>
      <c r="O135" s="216"/>
      <c r="P135" s="216"/>
      <c r="Q135" s="226" t="str">
        <f t="shared" si="2"/>
        <v/>
      </c>
      <c r="R135" s="216" t="str">
        <f t="shared" si="3"/>
        <v/>
      </c>
      <c r="S135" s="227" t="str">
        <f t="shared" si="4"/>
        <v/>
      </c>
      <c r="T135" s="185"/>
      <c r="U135" s="185"/>
      <c r="V135" s="185"/>
    </row>
    <row r="136" ht="14.25" customHeight="1">
      <c r="A136" s="178"/>
      <c r="B136" s="10">
        <v>1623894.0</v>
      </c>
      <c r="C136" s="11">
        <v>45884.5465625</v>
      </c>
      <c r="D136" s="179" t="s">
        <v>50</v>
      </c>
      <c r="E136" s="180" t="s">
        <v>708</v>
      </c>
      <c r="F136" s="181"/>
      <c r="G136" s="179" t="s">
        <v>4690</v>
      </c>
      <c r="H136" s="190"/>
      <c r="I136" s="190"/>
      <c r="J136" s="187" t="s">
        <v>3044</v>
      </c>
      <c r="K136" s="187" t="s">
        <v>3168</v>
      </c>
      <c r="L136" s="184" t="str">
        <f>IFERROR(__xludf.DUMMYFUNCTION("ifna(IF(and(D136=""Saída"",J136=""Sangria""),if(sum(QUERY(IMPORTRANGE(""https://docs.google.com/spreadsheets/d/1wBSFbIXYswW2S5SMKo44LPsdTG4P4kfP5VRdAS5E_4o"",""BD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'""&amp;YEAR(C136)&amp;""-""&amp;MONTH(C136)&amp;""-""&amp;DAY(C136)&amp;""'""))&gt;0,""Depositada"",if(sum(QUERY(IMPORTRANGE(""https://docs.google.com/spreadsheets/d/1wBSFbIXYswW2S5SMKo44LPsdTG4P4kfP5VRdAS5E_4o"",""BD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Sangria"")"),"")</f>
        <v/>
      </c>
      <c r="M136" s="185">
        <f>IFERROR(__xludf.DUMMYFUNCTION("ifna(VALUE(REGEXEXTRACT(E136,""[0-9.]+[,]+[0-9]+"")))"),8.0)</f>
        <v>8</v>
      </c>
      <c r="N136" s="221"/>
      <c r="O136" s="215"/>
      <c r="P136" s="215"/>
      <c r="Q136" s="223" t="str">
        <f t="shared" si="2"/>
        <v/>
      </c>
      <c r="R136" s="215" t="str">
        <f t="shared" si="3"/>
        <v/>
      </c>
      <c r="S136" s="227" t="str">
        <f t="shared" si="4"/>
        <v/>
      </c>
      <c r="T136" s="185"/>
      <c r="U136" s="185"/>
      <c r="V136" s="185"/>
    </row>
    <row r="137" ht="14.25" customHeight="1">
      <c r="A137" s="178"/>
      <c r="B137" s="10">
        <v>1624343.0</v>
      </c>
      <c r="C137" s="11">
        <v>45884.701828703706</v>
      </c>
      <c r="D137" s="179" t="s">
        <v>50</v>
      </c>
      <c r="E137" s="180" t="s">
        <v>6731</v>
      </c>
      <c r="F137" s="188"/>
      <c r="G137" s="179" t="s">
        <v>545</v>
      </c>
      <c r="H137" s="190"/>
      <c r="I137" s="190"/>
      <c r="J137" s="187"/>
      <c r="K137" s="187"/>
      <c r="L137" s="184" t="str">
        <f>IFERROR(__xludf.DUMMYFUNCTION("ifna(IF(and(D137=""Saída"",J137=""Sangria""),if(sum(QUERY(IMPORTRANGE(""https://docs.google.com/spreadsheets/d/1wBSFbIXYswW2S5SMKo44LPsdTG4P4kfP5VRdAS5E_4o"",""BD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'""&amp;YEAR(C137)&amp;""-""&amp;MONTH(C137)&amp;""-""&amp;DAY(C137)&amp;""'""))&gt;0,""Depositada"",if(sum(QUERY(IMPORTRANGE(""https://docs.google.com/spreadsheets/d/1wBSFbIXYswW2S5SMKo44LPsdTG4P4kfP5VRdAS5E_4o"",""BD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>
        <f>IFERROR(__xludf.DUMMYFUNCTION("ifna(VALUE(REGEXEXTRACT(E137,""[0-9.]+[,]+[0-9]+"")))"),100.0)</f>
        <v>100</v>
      </c>
      <c r="N137" s="224"/>
      <c r="O137" s="216"/>
      <c r="P137" s="216"/>
      <c r="Q137" s="226" t="str">
        <f t="shared" si="2"/>
        <v/>
      </c>
      <c r="R137" s="216" t="str">
        <f t="shared" si="3"/>
        <v/>
      </c>
      <c r="S137" s="227" t="str">
        <f t="shared" si="4"/>
        <v/>
      </c>
      <c r="T137" s="185"/>
      <c r="U137" s="185"/>
      <c r="V137" s="185"/>
    </row>
    <row r="138" ht="14.25" customHeight="1">
      <c r="A138" s="178"/>
      <c r="B138" s="10">
        <v>1624745.0</v>
      </c>
      <c r="C138" s="11">
        <v>45884.80570601852</v>
      </c>
      <c r="D138" s="179" t="s">
        <v>50</v>
      </c>
      <c r="E138" s="180" t="s">
        <v>6746</v>
      </c>
      <c r="F138" s="181"/>
      <c r="G138" s="179" t="s">
        <v>4960</v>
      </c>
      <c r="H138" s="190"/>
      <c r="I138" s="190"/>
      <c r="J138" s="187" t="s">
        <v>3044</v>
      </c>
      <c r="K138" s="187" t="s">
        <v>3168</v>
      </c>
      <c r="L138" s="184" t="str">
        <f>IFERROR(__xludf.DUMMYFUNCTION("ifna(IF(and(D138=""Saída"",J138=""Sangria""),if(sum(QUERY(IMPORTRANGE(""https://docs.google.com/spreadsheets/d/1wBSFbIXYswW2S5SMKo44LPsdTG4P4kfP5VRdAS5E_4o"",""BD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'""&amp;YEAR(C138)&amp;""-""&amp;MONTH(C138)&amp;""-""&amp;DAY(C138)&amp;""'""))&gt;0,""Depositada"",if(sum(QUERY(IMPORTRANGE(""https://docs.google.com/spreadsheets/d/1wBSFbIXYswW2S5SMKo44LPsdTG4P4kfP5VRdAS5E_4o"",""BD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Sangria"")"),"")</f>
        <v/>
      </c>
      <c r="M138" s="185">
        <f>IFERROR(__xludf.DUMMYFUNCTION("ifna(VALUE(REGEXEXTRACT(E138,""[0-9.]+[,]+[0-9]+"")))"),19.68)</f>
        <v>19.68</v>
      </c>
      <c r="N138" s="221"/>
      <c r="O138" s="215"/>
      <c r="P138" s="215"/>
      <c r="Q138" s="223" t="str">
        <f t="shared" si="2"/>
        <v/>
      </c>
      <c r="R138" s="215" t="str">
        <f t="shared" si="3"/>
        <v/>
      </c>
      <c r="S138" s="227" t="str">
        <f t="shared" si="4"/>
        <v/>
      </c>
      <c r="T138" s="185"/>
      <c r="U138" s="185"/>
      <c r="V138" s="185"/>
    </row>
    <row r="139" ht="14.25" customHeight="1">
      <c r="A139" s="178"/>
      <c r="B139" s="10">
        <v>1624831.0</v>
      </c>
      <c r="C139" s="11">
        <v>45884.8440625</v>
      </c>
      <c r="D139" s="179" t="s">
        <v>50</v>
      </c>
      <c r="E139" s="180" t="s">
        <v>6717</v>
      </c>
      <c r="F139" s="181"/>
      <c r="G139" s="179" t="s">
        <v>4983</v>
      </c>
      <c r="H139" s="190"/>
      <c r="I139" s="190"/>
      <c r="J139" s="187" t="s">
        <v>3044</v>
      </c>
      <c r="K139" s="187" t="s">
        <v>3077</v>
      </c>
      <c r="L139" s="184" t="str">
        <f>IFERROR(__xludf.DUMMYFUNCTION("ifna(IF(and(D139=""Saída"",J139=""Sangria""),if(sum(QUERY(IMPORTRANGE(""https://docs.google.com/spreadsheets/d/1wBSFbIXYswW2S5SMKo44LPsdTG4P4kfP5VRdAS5E_4o"",""BD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'""&amp;YEAR(C139)&amp;""-""&amp;MONTH(C139)&amp;""-""&amp;DAY(C139)&amp;""'""))&gt;0,""Depositada"",if(sum(QUERY(IMPORTRANGE(""https://docs.google.com/spreadsheets/d/1wBSFbIXYswW2S5SMKo44LPsdTG4P4kfP5VRdAS5E_4o"",""BD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>
        <f>IFERROR(__xludf.DUMMYFUNCTION("ifna(VALUE(REGEXEXTRACT(E139,""[0-9.]+[,]+[0-9]+"")))"),24.03)</f>
        <v>24.03</v>
      </c>
      <c r="N139" s="224"/>
      <c r="O139" s="216"/>
      <c r="P139" s="216"/>
      <c r="Q139" s="226" t="str">
        <f t="shared" si="2"/>
        <v/>
      </c>
      <c r="R139" s="216" t="str">
        <f t="shared" si="3"/>
        <v/>
      </c>
      <c r="S139" s="227" t="str">
        <f t="shared" si="4"/>
        <v/>
      </c>
      <c r="T139" s="185"/>
      <c r="U139" s="185"/>
      <c r="V139" s="185"/>
    </row>
    <row r="140" ht="14.25" customHeight="1">
      <c r="A140" s="178"/>
      <c r="B140" s="10">
        <v>1624900.0</v>
      </c>
      <c r="C140" s="11">
        <v>45884.86850694445</v>
      </c>
      <c r="D140" s="179" t="s">
        <v>50</v>
      </c>
      <c r="E140" s="180" t="s">
        <v>6700</v>
      </c>
      <c r="F140" s="181"/>
      <c r="G140" s="179" t="s">
        <v>6753</v>
      </c>
      <c r="H140" s="190"/>
      <c r="I140" s="190"/>
      <c r="J140" s="187" t="s">
        <v>3903</v>
      </c>
      <c r="K140" s="187"/>
      <c r="L140" s="184" t="str">
        <f>IFERROR(__xludf.DUMMYFUNCTION("ifna(IF(and(D140=""Saída"",J140=""Sangria""),if(sum(QUERY(IMPORTRANGE(""https://docs.google.com/spreadsheets/d/1wBSFbIXYswW2S5SMKo44LPsdTG4P4kfP5VRdAS5E_4o"",""BD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'""&amp;YEAR(C140)&amp;""-""&amp;MONTH(C140)&amp;""-""&amp;DAY(C140)&amp;""'""))&gt;0,""Depositada"",if(sum(QUERY(IMPORTRANGE(""https://docs.google.com/spreadsheets/d/1wBSFbIXYswW2S5SMKo44LPsdTG4P4kfP5VRdAS5E_4o"",""BD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Sangria"")"),"")</f>
        <v/>
      </c>
      <c r="M140" s="185">
        <f>IFERROR(__xludf.DUMMYFUNCTION("ifna(VALUE(REGEXEXTRACT(E140,""[0-9.]+[,]+[0-9]+"")))"),400.0)</f>
        <v>400</v>
      </c>
      <c r="N140" s="221"/>
      <c r="O140" s="215"/>
      <c r="P140" s="215"/>
      <c r="Q140" s="223" t="str">
        <f t="shared" si="2"/>
        <v/>
      </c>
      <c r="R140" s="215" t="str">
        <f t="shared" si="3"/>
        <v/>
      </c>
      <c r="S140" s="227" t="str">
        <f t="shared" si="4"/>
        <v/>
      </c>
      <c r="T140" s="185"/>
      <c r="U140" s="185"/>
      <c r="V140" s="185"/>
    </row>
    <row r="141" ht="14.25" customHeight="1">
      <c r="A141" s="178"/>
      <c r="B141" s="10">
        <v>1626687.0</v>
      </c>
      <c r="C141" s="11">
        <v>45885.82971064815</v>
      </c>
      <c r="D141" s="179" t="s">
        <v>50</v>
      </c>
      <c r="E141" s="180" t="s">
        <v>6756</v>
      </c>
      <c r="F141" s="181"/>
      <c r="G141" s="179" t="s">
        <v>552</v>
      </c>
      <c r="H141" s="190"/>
      <c r="I141" s="190"/>
      <c r="J141" s="187" t="s">
        <v>3903</v>
      </c>
      <c r="K141" s="187"/>
      <c r="L141" s="184" t="str">
        <f>IFERROR(__xludf.DUMMYFUNCTION("ifna(IF(and(D141=""Saída"",J141=""Sangria""),if(sum(QUERY(IMPORTRANGE(""https://docs.google.com/spreadsheets/d/1wBSFbIXYswW2S5SMKo44LPsdTG4P4kfP5VRdAS5E_4o"",""BD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'""&amp;YEAR(C141)&amp;""-""&amp;MONTH(C141)&amp;""-""&amp;DAY(C141)&amp;""'""))&gt;0,""Depositada"",if(sum(QUERY(IMPORTRANGE(""https://docs.google.com/spreadsheets/d/1wBSFbIXYswW2S5SMKo44LPsdTG4P4kfP5VRdAS5E_4o"",""BD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>
        <f>IFERROR(__xludf.DUMMYFUNCTION("ifna(VALUE(REGEXEXTRACT(E141,""[0-9.]+[,]+[0-9]+"")))"),441.4)</f>
        <v>441.4</v>
      </c>
      <c r="N141" s="224"/>
      <c r="O141" s="216"/>
      <c r="P141" s="216"/>
      <c r="Q141" s="226" t="str">
        <f t="shared" si="2"/>
        <v/>
      </c>
      <c r="R141" s="216" t="str">
        <f t="shared" si="3"/>
        <v/>
      </c>
      <c r="S141" s="227" t="str">
        <f t="shared" si="4"/>
        <v/>
      </c>
      <c r="T141" s="185"/>
      <c r="U141" s="185"/>
      <c r="V141" s="185"/>
    </row>
    <row r="142" ht="14.25" customHeight="1">
      <c r="A142" s="178"/>
      <c r="B142" s="10">
        <v>1626688.0</v>
      </c>
      <c r="C142" s="11">
        <v>45885.83027777778</v>
      </c>
      <c r="D142" s="179" t="s">
        <v>50</v>
      </c>
      <c r="E142" s="180" t="s">
        <v>6759</v>
      </c>
      <c r="F142" s="181"/>
      <c r="G142" s="179" t="s">
        <v>6760</v>
      </c>
      <c r="H142" s="190"/>
      <c r="I142" s="190"/>
      <c r="J142" s="187" t="s">
        <v>3903</v>
      </c>
      <c r="K142" s="187"/>
      <c r="L142" s="184" t="str">
        <f>IFERROR(__xludf.DUMMYFUNCTION("ifna(IF(and(D142=""Saída"",J142=""Sangria""),if(sum(QUERY(IMPORTRANGE(""https://docs.google.com/spreadsheets/d/1wBSFbIXYswW2S5SMKo44LPsdTG4P4kfP5VRdAS5E_4o"",""BD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'""&amp;YEAR(C142)&amp;""-""&amp;MONTH(C142)&amp;""-""&amp;DAY(C142)&amp;""'""))&gt;0,""Depositada"",if(sum(QUERY(IMPORTRANGE(""https://docs.google.com/spreadsheets/d/1wBSFbIXYswW2S5SMKo44LPsdTG4P4kfP5VRdAS5E_4o"",""BD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Sangria"")"),"")</f>
        <v/>
      </c>
      <c r="M142" s="185">
        <f>IFERROR(__xludf.DUMMYFUNCTION("ifna(VALUE(REGEXEXTRACT(E142,""[0-9.]+[,]+[0-9]+"")))"),825.0)</f>
        <v>825</v>
      </c>
      <c r="N142" s="221"/>
      <c r="O142" s="215"/>
      <c r="P142" s="215"/>
      <c r="Q142" s="223" t="str">
        <f t="shared" si="2"/>
        <v/>
      </c>
      <c r="R142" s="215" t="str">
        <f t="shared" si="3"/>
        <v/>
      </c>
      <c r="S142" s="227" t="str">
        <f t="shared" si="4"/>
        <v/>
      </c>
      <c r="T142" s="185"/>
      <c r="U142" s="185"/>
      <c r="V142" s="185"/>
    </row>
    <row r="143" ht="14.25" customHeight="1">
      <c r="A143" s="178"/>
      <c r="B143" s="10">
        <v>1626704.0</v>
      </c>
      <c r="C143" s="11">
        <v>45885.83511574074</v>
      </c>
      <c r="D143" s="179" t="s">
        <v>50</v>
      </c>
      <c r="E143" s="180" t="s">
        <v>6764</v>
      </c>
      <c r="F143" s="188"/>
      <c r="G143" s="179" t="s">
        <v>6649</v>
      </c>
      <c r="H143" s="190"/>
      <c r="I143" s="190"/>
      <c r="J143" s="187" t="s">
        <v>3903</v>
      </c>
      <c r="K143" s="187"/>
      <c r="L143" s="184" t="str">
        <f>IFERROR(__xludf.DUMMYFUNCTION("ifna(IF(and(D143=""Saída"",J143=""Sangria""),if(sum(QUERY(IMPORTRANGE(""https://docs.google.com/spreadsheets/d/1wBSFbIXYswW2S5SMKo44LPsdTG4P4kfP5VRdAS5E_4o"",""BD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'""&amp;YEAR(C143)&amp;""-""&amp;MONTH(C143)&amp;""-""&amp;DAY(C143)&amp;""'""))&gt;0,""Depositada"",if(sum(QUERY(IMPORTRANGE(""https://docs.google.com/spreadsheets/d/1wBSFbIXYswW2S5SMKo44LPsdTG4P4kfP5VRdAS5E_4o"",""BD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>
        <f>IFERROR(__xludf.DUMMYFUNCTION("ifna(VALUE(REGEXEXTRACT(E143,""[0-9.]+[,]+[0-9]+"")))"),37.15)</f>
        <v>37.15</v>
      </c>
      <c r="N143" s="229"/>
      <c r="O143" s="230"/>
      <c r="P143" s="230"/>
      <c r="Q143" s="231" t="str">
        <f t="shared" si="2"/>
        <v/>
      </c>
      <c r="R143" s="230" t="str">
        <f t="shared" si="3"/>
        <v/>
      </c>
      <c r="S143" s="227" t="str">
        <f t="shared" si="4"/>
        <v/>
      </c>
      <c r="T143" s="185"/>
      <c r="U143" s="185"/>
      <c r="V143" s="185"/>
    </row>
    <row r="144" ht="14.25" customHeight="1">
      <c r="A144" s="178"/>
      <c r="B144" s="10">
        <v>1626826.0</v>
      </c>
      <c r="C144" s="11">
        <v>45885.87278935185</v>
      </c>
      <c r="D144" s="179" t="s">
        <v>50</v>
      </c>
      <c r="E144" s="180" t="s">
        <v>4506</v>
      </c>
      <c r="F144" s="181"/>
      <c r="G144" s="179" t="s">
        <v>6768</v>
      </c>
      <c r="H144" s="190"/>
      <c r="I144" s="190"/>
      <c r="J144" s="187" t="s">
        <v>3825</v>
      </c>
      <c r="K144" s="187"/>
      <c r="L144" s="184" t="str">
        <f>IFERROR(__xludf.DUMMYFUNCTION("ifna(IF(and(D144=""Saída"",J144=""Sangria""),if(sum(QUERY(IMPORTRANGE(""https://docs.google.com/spreadsheets/d/1wBSFbIXYswW2S5SMKo44LPsdTG4P4kfP5VRdAS5E_4o"",""BD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'""&amp;YEAR(C144)&amp;""-""&amp;MONTH(C144)&amp;""-""&amp;DAY(C144)&amp;""'""))&gt;0,""Depositada"",if(sum(QUERY(IMPORTRANGE(""https://docs.google.com/spreadsheets/d/1wBSFbIXYswW2S5SMKo44LPsdTG4P4kfP5VRdAS5E_4o"",""BD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>
        <f>IFERROR(__xludf.DUMMYFUNCTION("ifna(VALUE(REGEXEXTRACT(E144,""[0-9.]+[,]+[0-9]+"")))"),91.0)</f>
        <v>91</v>
      </c>
      <c r="N144" s="229"/>
      <c r="O144" s="230"/>
      <c r="P144" s="230"/>
      <c r="Q144" s="231" t="str">
        <f t="shared" si="2"/>
        <v/>
      </c>
      <c r="R144" s="230" t="str">
        <f t="shared" si="3"/>
        <v/>
      </c>
      <c r="S144" s="227" t="str">
        <f t="shared" si="4"/>
        <v/>
      </c>
      <c r="T144" s="185"/>
      <c r="U144" s="185"/>
      <c r="V144" s="185"/>
    </row>
    <row r="145" ht="14.25" customHeight="1">
      <c r="A145" s="178"/>
      <c r="B145" s="10">
        <v>1627045.0</v>
      </c>
      <c r="C145" s="11">
        <v>45885.91079861111</v>
      </c>
      <c r="D145" s="179" t="s">
        <v>50</v>
      </c>
      <c r="E145" s="180" t="s">
        <v>1129</v>
      </c>
      <c r="F145" s="181"/>
      <c r="G145" s="179" t="s">
        <v>6772</v>
      </c>
      <c r="H145" s="190"/>
      <c r="I145" s="190"/>
      <c r="J145" s="187" t="s">
        <v>3825</v>
      </c>
      <c r="K145" s="187"/>
      <c r="L145" s="184" t="str">
        <f>IFERROR(__xludf.DUMMYFUNCTION("ifna(IF(and(D145=""Saída"",J145=""Sangria""),if(sum(QUERY(IMPORTRANGE(""https://docs.google.com/spreadsheets/d/1wBSFbIXYswW2S5SMKo44LPsdTG4P4kfP5VRdAS5E_4o"",""BD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'""&amp;YEAR(C145)&amp;""-""&amp;MONTH(C145)&amp;""-""&amp;DAY(C145)&amp;""'""))&gt;0,""Depositada"",if(sum(QUERY(IMPORTRANGE(""https://docs.google.com/spreadsheets/d/1wBSFbIXYswW2S5SMKo44LPsdTG4P4kfP5VRdAS5E_4o"",""BD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>
        <f>IFERROR(__xludf.DUMMYFUNCTION("ifna(VALUE(REGEXEXTRACT(E145,""[0-9.]+[,]+[0-9]+"")))"),120.0)</f>
        <v>120</v>
      </c>
      <c r="N145" s="229"/>
      <c r="O145" s="230"/>
      <c r="P145" s="230"/>
      <c r="Q145" s="231" t="str">
        <f t="shared" si="2"/>
        <v/>
      </c>
      <c r="R145" s="230" t="str">
        <f t="shared" si="3"/>
        <v/>
      </c>
      <c r="S145" s="227" t="str">
        <f t="shared" si="4"/>
        <v/>
      </c>
      <c r="T145" s="185"/>
      <c r="U145" s="185"/>
      <c r="V145" s="185"/>
    </row>
    <row r="146" ht="43.5" customHeight="1">
      <c r="A146" s="178"/>
      <c r="B146" s="10">
        <v>1627233.0</v>
      </c>
      <c r="C146" s="11">
        <v>45885.93126157407</v>
      </c>
      <c r="D146" s="179" t="s">
        <v>50</v>
      </c>
      <c r="E146" s="180" t="s">
        <v>1294</v>
      </c>
      <c r="F146" s="181"/>
      <c r="G146" s="179" t="s">
        <v>6776</v>
      </c>
      <c r="H146" s="190"/>
      <c r="I146" s="190"/>
      <c r="J146" s="187"/>
      <c r="K146" s="187"/>
      <c r="L146" s="184" t="str">
        <f>IFERROR(__xludf.DUMMYFUNCTION("ifna(IF(and(D146=""Saída"",J146=""Sangria""),if(sum(QUERY(IMPORTRANGE(""https://docs.google.com/spreadsheets/d/1wBSFbIXYswW2S5SMKo44LPsdTG4P4kfP5VRdAS5E_4o"",""BD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'""&amp;YEAR(C146)&amp;""-""&amp;MONTH(C146)&amp;""-""&amp;DAY(C146)&amp;""'""))&gt;0,""Depositada"",if(sum(QUERY(IMPORTRANGE(""https://docs.google.com/spreadsheets/d/1wBSFbIXYswW2S5SMKo44LPsdTG4P4kfP5VRdAS5E_4o"",""BD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>
        <f>IFERROR(__xludf.DUMMYFUNCTION("ifna(VALUE(REGEXEXTRACT(E146,""[0-9.]+[,]+[0-9]+"")))"),16.61)</f>
        <v>16.61</v>
      </c>
      <c r="N146" s="229"/>
      <c r="O146" s="230"/>
      <c r="P146" s="230"/>
      <c r="Q146" s="231" t="str">
        <f t="shared" si="2"/>
        <v/>
      </c>
      <c r="R146" s="230" t="str">
        <f t="shared" si="3"/>
        <v/>
      </c>
      <c r="S146" s="227" t="str">
        <f t="shared" si="4"/>
        <v/>
      </c>
      <c r="T146" s="185"/>
      <c r="U146" s="185"/>
      <c r="V146" s="185"/>
    </row>
    <row r="147" ht="14.25" customHeight="1">
      <c r="A147" s="178"/>
      <c r="B147" s="10">
        <v>1628516.0</v>
      </c>
      <c r="C147" s="11">
        <v>45886.73611111111</v>
      </c>
      <c r="D147" s="179" t="s">
        <v>50</v>
      </c>
      <c r="E147" s="180" t="s">
        <v>6780</v>
      </c>
      <c r="F147" s="181"/>
      <c r="G147" s="179" t="s">
        <v>6513</v>
      </c>
      <c r="H147" s="190"/>
      <c r="I147" s="190"/>
      <c r="J147" s="187" t="s">
        <v>3044</v>
      </c>
      <c r="K147" s="187" t="s">
        <v>3040</v>
      </c>
      <c r="L147" s="184" t="str">
        <f>IFERROR(__xludf.DUMMYFUNCTION("ifna(IF(and(D147=""Saída"",J147=""Sangria""),if(sum(QUERY(IMPORTRANGE(""https://docs.google.com/spreadsheets/d/1wBSFbIXYswW2S5SMKo44LPsdTG4P4kfP5VRdAS5E_4o"",""BD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'""&amp;YEAR(C147)&amp;""-""&amp;MONTH(C147)&amp;""-""&amp;DAY(C147)&amp;""'""))&gt;0,""Depositada"",if(sum(QUERY(IMPORTRANGE(""https://docs.google.com/spreadsheets/d/1wBSFbIXYswW2S5SMKo44LPsdTG4P4kfP5VRdAS5E_4o"",""BD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>
        <f>IFERROR(__xludf.DUMMYFUNCTION("ifna(VALUE(REGEXEXTRACT(E147,""[0-9.]+[,]+[0-9]+"")))"),11.25)</f>
        <v>11.25</v>
      </c>
      <c r="N147" s="229"/>
      <c r="O147" s="230"/>
      <c r="P147" s="230"/>
      <c r="Q147" s="231" t="str">
        <f t="shared" si="2"/>
        <v/>
      </c>
      <c r="R147" s="230" t="str">
        <f t="shared" si="3"/>
        <v/>
      </c>
      <c r="S147" s="227" t="str">
        <f t="shared" si="4"/>
        <v/>
      </c>
      <c r="T147" s="185"/>
      <c r="U147" s="185"/>
      <c r="V147" s="185"/>
    </row>
    <row r="148" ht="14.25" customHeight="1">
      <c r="A148" s="178"/>
      <c r="B148" s="10">
        <v>1629572.0</v>
      </c>
      <c r="C148" s="11">
        <v>45886.89474537037</v>
      </c>
      <c r="D148" s="179" t="s">
        <v>50</v>
      </c>
      <c r="E148" s="180" t="s">
        <v>4300</v>
      </c>
      <c r="F148" s="181"/>
      <c r="G148" s="179" t="s">
        <v>6783</v>
      </c>
      <c r="H148" s="190"/>
      <c r="I148" s="190"/>
      <c r="J148" s="187" t="s">
        <v>3825</v>
      </c>
      <c r="K148" s="187"/>
      <c r="L148" s="184" t="str">
        <f>IFERROR(__xludf.DUMMYFUNCTION("ifna(IF(and(D148=""Saída"",J148=""Sangria""),if(sum(QUERY(IMPORTRANGE(""https://docs.google.com/spreadsheets/d/1wBSFbIXYswW2S5SMKo44LPsdTG4P4kfP5VRdAS5E_4o"",""BD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'""&amp;YEAR(C148)&amp;""-""&amp;MONTH(C148)&amp;""-""&amp;DAY(C148)&amp;""'""))&gt;0,""Depositada"",if(sum(QUERY(IMPORTRANGE(""https://docs.google.com/spreadsheets/d/1wBSFbIXYswW2S5SMKo44LPsdTG4P4kfP5VRdAS5E_4o"",""BD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Sangria"")"),"")</f>
        <v/>
      </c>
      <c r="M148" s="185">
        <f>IFERROR(__xludf.DUMMYFUNCTION("ifna(VALUE(REGEXEXTRACT(E148,""[0-9.]+[,]+[0-9]+"")))"),104.0)</f>
        <v>104</v>
      </c>
      <c r="N148" s="232"/>
      <c r="O148" s="233"/>
      <c r="P148" s="233"/>
      <c r="Q148" s="234" t="str">
        <f t="shared" si="2"/>
        <v/>
      </c>
      <c r="R148" s="233" t="str">
        <f t="shared" si="3"/>
        <v/>
      </c>
      <c r="S148" s="235" t="str">
        <f t="shared" si="4"/>
        <v/>
      </c>
      <c r="T148" s="185"/>
      <c r="U148" s="185"/>
      <c r="V148" s="185"/>
    </row>
    <row r="149" ht="14.25" customHeight="1">
      <c r="A149" s="178"/>
      <c r="B149" s="10">
        <v>1629575.0</v>
      </c>
      <c r="C149" s="11">
        <v>45886.89494212963</v>
      </c>
      <c r="D149" s="179" t="s">
        <v>50</v>
      </c>
      <c r="E149" s="180" t="s">
        <v>4300</v>
      </c>
      <c r="F149" s="188"/>
      <c r="G149" s="179" t="s">
        <v>6786</v>
      </c>
      <c r="H149" s="190"/>
      <c r="I149" s="190"/>
      <c r="J149" s="187" t="s">
        <v>3825</v>
      </c>
      <c r="K149" s="187"/>
      <c r="L149" s="184" t="str">
        <f>IFERROR(__xludf.DUMMYFUNCTION("ifna(IF(and(D149=""Saída"",J149=""Sangria""),if(sum(QUERY(IMPORTRANGE(""https://docs.google.com/spreadsheets/d/1wBSFbIXYswW2S5SMKo44LPsdTG4P4kfP5VRdAS5E_4o"",""BD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'""&amp;YEAR(C149)&amp;""-""&amp;MONTH(C149)&amp;""-""&amp;DAY(C149)&amp;""'""))&gt;0,""Depositada"",if(sum(QUERY(IMPORTRANGE(""https://docs.google.com/spreadsheets/d/1wBSFbIXYswW2S5SMKo44LPsdTG4P4kfP5VRdAS5E_4o"",""BD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>
        <f>IFERROR(__xludf.DUMMYFUNCTION("ifna(VALUE(REGEXEXTRACT(E149,""[0-9.]+[,]+[0-9]+"")))"),104.0)</f>
        <v>104</v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0">
        <v>1629577.0</v>
      </c>
      <c r="C150" s="11">
        <v>45886.89513888889</v>
      </c>
      <c r="D150" s="179" t="s">
        <v>50</v>
      </c>
      <c r="E150" s="180" t="s">
        <v>4506</v>
      </c>
      <c r="F150" s="181"/>
      <c r="G150" s="179" t="s">
        <v>6788</v>
      </c>
      <c r="H150" s="190"/>
      <c r="I150" s="190"/>
      <c r="J150" s="187" t="s">
        <v>3825</v>
      </c>
      <c r="K150" s="187"/>
      <c r="L150" s="184" t="str">
        <f>IFERROR(__xludf.DUMMYFUNCTION("ifna(IF(and(D150=""Saída"",J150=""Sangria""),if(sum(QUERY(IMPORTRANGE(""https://docs.google.com/spreadsheets/d/1wBSFbIXYswW2S5SMKo44LPsdTG4P4kfP5VRdAS5E_4o"",""BD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'""&amp;YEAR(C150)&amp;""-""&amp;MONTH(C150)&amp;""-""&amp;DAY(C150)&amp;""'""))&gt;0,""Depositada"",if(sum(QUERY(IMPORTRANGE(""https://docs.google.com/spreadsheets/d/1wBSFbIXYswW2S5SMKo44LPsdTG4P4kfP5VRdAS5E_4o"",""BD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>
        <f>IFERROR(__xludf.DUMMYFUNCTION("ifna(VALUE(REGEXEXTRACT(E150,""[0-9.]+[,]+[0-9]+"")))"),91.0)</f>
        <v>91</v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0">
        <v>1629588.0</v>
      </c>
      <c r="C151" s="11">
        <v>45886.896898148145</v>
      </c>
      <c r="D151" s="179" t="s">
        <v>50</v>
      </c>
      <c r="E151" s="180" t="s">
        <v>6791</v>
      </c>
      <c r="F151" s="181"/>
      <c r="G151" s="179" t="s">
        <v>6792</v>
      </c>
      <c r="H151" s="190"/>
      <c r="I151" s="190"/>
      <c r="J151" s="187" t="s">
        <v>3903</v>
      </c>
      <c r="K151" s="187"/>
      <c r="L151" s="184" t="str">
        <f>IFERROR(__xludf.DUMMYFUNCTION("ifna(IF(and(D151=""Saída"",J151=""Sangria""),if(sum(QUERY(IMPORTRANGE(""https://docs.google.com/spreadsheets/d/1wBSFbIXYswW2S5SMKo44LPsdTG4P4kfP5VRdAS5E_4o"",""BD M Sangrias!a:i""),""select Col6 where Col7 = 'Depositada' and Col9 = '""&amp;K151&amp;""' and Col6 ="&amp;" ""&amp;M151&amp;"" and Col4 = date '""&amp;YEAR(C151)&amp;""-""&amp;MONTH(C151)&amp;""-""&amp;DAY(C151)&amp;""'""))&gt;0,""Depositada"",if(sum(QUERY(IMPORTRANGE(""https://docs.google.com/spreadsheets/d/1wBSFbIXYswW2S5SMKo44LPsdTG4P4kfP5VRdAS5E_4o"",""BD M Sangrias!a:i""),""select Col6 whe"&amp;"re Col7 = 'Caixa Atendimento' and Col9 = '""&amp;K151&amp;""' and Col6 = ""&amp;M151&amp;"" and Col4 = date '""&amp;YEAR(C151)&amp;""-""&amp;MONTH(C151)&amp;""-""&amp;DAY(C151)&amp;""'""))&gt;0,""Caixa Atendimento"",""Caixa Sangria"")),""""),""Caixa Sangria"")"),"")</f>
        <v/>
      </c>
      <c r="M151" s="185">
        <f>IFERROR(__xludf.DUMMYFUNCTION("ifna(VALUE(REGEXEXTRACT(E151,""[0-9.]+[,]+[0-9]+"")))"),15.65)</f>
        <v>15.65</v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0">
        <v>1629646.0</v>
      </c>
      <c r="C152" s="11">
        <v>45886.9037962963</v>
      </c>
      <c r="D152" s="179" t="s">
        <v>50</v>
      </c>
      <c r="E152" s="180" t="s">
        <v>6796</v>
      </c>
      <c r="F152" s="181"/>
      <c r="G152" s="179" t="s">
        <v>4960</v>
      </c>
      <c r="H152" s="190"/>
      <c r="I152" s="190"/>
      <c r="J152" s="187" t="s">
        <v>3044</v>
      </c>
      <c r="K152" s="187" t="s">
        <v>3168</v>
      </c>
      <c r="L152" s="184" t="str">
        <f>IFERROR(__xludf.DUMMYFUNCTION("ifna(IF(and(D152=""Saída"",J152=""Sangria""),if(sum(QUERY(IMPORTRANGE(""https://docs.google.com/spreadsheets/d/1wBSFbIXYswW2S5SMKo44LPsdTG4P4kfP5VRdAS5E_4o"",""BD M Sangrias!a:i""),""select Col6 where Col7 = 'Depositada' and Col9 = '""&amp;K152&amp;""' and Col6 ="&amp;" ""&amp;M152&amp;"" and Col4 = date '""&amp;YEAR(C152)&amp;""-""&amp;MONTH(C152)&amp;""-""&amp;DAY(C152)&amp;""'""))&gt;0,""Depositada"",if(sum(QUERY(IMPORTRANGE(""https://docs.google.com/spreadsheets/d/1wBSFbIXYswW2S5SMKo44LPsdTG4P4kfP5VRdAS5E_4o"",""BD M Sangrias!a:i""),""select Col6 whe"&amp;"re Col7 = 'Caixa Atendimento' and Col9 = '""&amp;K152&amp;""' and Col6 = ""&amp;M152&amp;"" and Col4 = date '""&amp;YEAR(C152)&amp;""-""&amp;MONTH(C152)&amp;""-""&amp;DAY(C152)&amp;""'""))&gt;0,""Caixa Atendimento"",""Caixa Sangria"")),""""),""Caixa Sangria"")"),"")</f>
        <v/>
      </c>
      <c r="M152" s="185">
        <f>IFERROR(__xludf.DUMMYFUNCTION("ifna(VALUE(REGEXEXTRACT(E152,""[0-9.]+[,]+[0-9]+"")))"),51.5)</f>
        <v>51.5</v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0">
        <v>1629714.0</v>
      </c>
      <c r="C153" s="11">
        <v>45886.91050925926</v>
      </c>
      <c r="D153" s="179" t="s">
        <v>50</v>
      </c>
      <c r="E153" s="180" t="s">
        <v>1664</v>
      </c>
      <c r="F153" s="181"/>
      <c r="G153" s="179" t="s">
        <v>6798</v>
      </c>
      <c r="H153" s="190"/>
      <c r="I153" s="190"/>
      <c r="J153" s="187" t="s">
        <v>3746</v>
      </c>
      <c r="K153" s="187" t="s">
        <v>3168</v>
      </c>
      <c r="L153" s="184" t="str">
        <f>IFERROR(__xludf.DUMMYFUNCTION("ifna(IF(and(D153=""Saída"",J153=""Sangria""),if(sum(QUERY(IMPORTRANGE(""https://docs.google.com/spreadsheets/d/1wBSFbIXYswW2S5SMKo44LPsdTG4P4kfP5VRdAS5E_4o"",""BD M Sangrias!a:i""),""select Col6 where Col7 = 'Depositada' and Col9 = '""&amp;K153&amp;""' and Col6 ="&amp;" ""&amp;M153&amp;"" and Col4 = date '""&amp;YEAR(C153)&amp;""-""&amp;MONTH(C153)&amp;""-""&amp;DAY(C153)&amp;""'""))&gt;0,""Depositada"",if(sum(QUERY(IMPORTRANGE(""https://docs.google.com/spreadsheets/d/1wBSFbIXYswW2S5SMKo44LPsdTG4P4kfP5VRdAS5E_4o"",""BD M Sangrias!a:i""),""select Col6 whe"&amp;"re Col7 = 'Caixa Atendimento' and Col9 = '""&amp;K153&amp;""' and Col6 = ""&amp;M153&amp;"" and Col4 = date '""&amp;YEAR(C153)&amp;""-""&amp;MONTH(C153)&amp;""-""&amp;DAY(C153)&amp;""'""))&gt;0,""Caixa Atendimento"",""Caixa Sangria"")),""""),""Caixa Sangria"")"),"#REF!")</f>
        <v>#REF!</v>
      </c>
      <c r="M153" s="185">
        <f>IFERROR(__xludf.DUMMYFUNCTION("ifna(VALUE(REGEXEXTRACT(E153,""[0-9.]+[,]+[0-9]+"")))"),1250.0)</f>
        <v>1250</v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0">
        <v>1629717.0</v>
      </c>
      <c r="C154" s="11">
        <v>45886.91074074074</v>
      </c>
      <c r="D154" s="179" t="s">
        <v>50</v>
      </c>
      <c r="E154" s="180" t="s">
        <v>6612</v>
      </c>
      <c r="F154" s="181"/>
      <c r="G154" s="179" t="s">
        <v>6798</v>
      </c>
      <c r="H154" s="190"/>
      <c r="I154" s="190"/>
      <c r="J154" s="187" t="s">
        <v>3746</v>
      </c>
      <c r="K154" s="187" t="s">
        <v>3168</v>
      </c>
      <c r="L154" s="184" t="str">
        <f>IFERROR(__xludf.DUMMYFUNCTION("ifna(IF(and(D154=""Saída"",J154=""Sangria""),if(sum(QUERY(IMPORTRANGE(""https://docs.google.com/spreadsheets/d/1wBSFbIXYswW2S5SMKo44LPsdTG4P4kfP5VRdAS5E_4o"",""BD M Sangrias!a:i""),""select Col6 where Col7 = 'Depositada' and Col9 = '""&amp;K154&amp;""' and Col6 ="&amp;" ""&amp;M154&amp;"" and Col4 = date '""&amp;YEAR(C154)&amp;""-""&amp;MONTH(C154)&amp;""-""&amp;DAY(C154)&amp;""'""))&gt;0,""Depositada"",if(sum(QUERY(IMPORTRANGE(""https://docs.google.com/spreadsheets/d/1wBSFbIXYswW2S5SMKo44LPsdTG4P4kfP5VRdAS5E_4o"",""BD M Sangrias!a:i""),""select Col6 whe"&amp;"re Col7 = 'Caixa Atendimento' and Col9 = '""&amp;K154&amp;""' and Col6 = ""&amp;M154&amp;"" and Col4 = date '""&amp;YEAR(C154)&amp;""-""&amp;MONTH(C154)&amp;""-""&amp;DAY(C154)&amp;""'""))&gt;0,""Caixa Atendimento"",""Caixa Sangria"")),""""),""Caixa Sangria"")"),"#REF!")</f>
        <v>#REF!</v>
      </c>
      <c r="M154" s="185">
        <f>IFERROR(__xludf.DUMMYFUNCTION("ifna(VALUE(REGEXEXTRACT(E154,""[0-9.]+[,]+[0-9]+"")))"),2000.0)</f>
        <v>2000</v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0">
        <v>1631030.0</v>
      </c>
      <c r="C155" s="11">
        <v>45887.69657407407</v>
      </c>
      <c r="D155" s="179" t="s">
        <v>50</v>
      </c>
      <c r="E155" s="180" t="s">
        <v>157</v>
      </c>
      <c r="F155" s="181"/>
      <c r="G155" s="179" t="s">
        <v>6696</v>
      </c>
      <c r="H155" s="190"/>
      <c r="I155" s="190"/>
      <c r="J155" s="187" t="s">
        <v>3044</v>
      </c>
      <c r="K155" s="187" t="s">
        <v>3040</v>
      </c>
      <c r="L155" s="184" t="str">
        <f>IFERROR(__xludf.DUMMYFUNCTION("ifna(IF(and(D155=""Saída"",J155=""Sangria""),if(sum(QUERY(IMPORTRANGE(""https://docs.google.com/spreadsheets/d/1wBSFbIXYswW2S5SMKo44LPsdTG4P4kfP5VRdAS5E_4o"",""BD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'""&amp;YEAR(C155)&amp;""-""&amp;MONTH(C155)&amp;""-""&amp;DAY(C155)&amp;""'""))&gt;0,""Depositada"",if(sum(QUERY(IMPORTRANGE(""https://docs.google.com/spreadsheets/d/1wBSFbIXYswW2S5SMKo44LPsdTG4P4kfP5VRdAS5E_4o"",""BD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>
        <f>IFERROR(__xludf.DUMMYFUNCTION("ifna(VALUE(REGEXEXTRACT(E155,""[0-9.]+[,]+[0-9]+"")))"),5.0)</f>
        <v>5</v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0">
        <v>1631042.0</v>
      </c>
      <c r="C156" s="11">
        <v>45887.69981481481</v>
      </c>
      <c r="D156" s="179" t="s">
        <v>50</v>
      </c>
      <c r="E156" s="180" t="s">
        <v>157</v>
      </c>
      <c r="F156" s="181"/>
      <c r="G156" s="179" t="s">
        <v>4983</v>
      </c>
      <c r="H156" s="190"/>
      <c r="I156" s="190"/>
      <c r="J156" s="187" t="s">
        <v>3044</v>
      </c>
      <c r="K156" s="187" t="s">
        <v>3077</v>
      </c>
      <c r="L156" s="184" t="str">
        <f>IFERROR(__xludf.DUMMYFUNCTION("ifna(IF(and(D156=""Saída"",J156=""Sangria""),if(sum(QUERY(IMPORTRANGE(""https://docs.google.com/spreadsheets/d/1wBSFbIXYswW2S5SMKo44LPsdTG4P4kfP5VRdAS5E_4o"",""BD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'""&amp;YEAR(C156)&amp;""-""&amp;MONTH(C156)&amp;""-""&amp;DAY(C156)&amp;""'""))&gt;0,""Depositada"",if(sum(QUERY(IMPORTRANGE(""https://docs.google.com/spreadsheets/d/1wBSFbIXYswW2S5SMKo44LPsdTG4P4kfP5VRdAS5E_4o"",""BD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Sangria"")"),"")</f>
        <v/>
      </c>
      <c r="M156" s="185">
        <f>IFERROR(__xludf.DUMMYFUNCTION("ifna(VALUE(REGEXEXTRACT(E156,""[0-9.]+[,]+[0-9]+"")))"),5.0)</f>
        <v>5</v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0">
        <v>1631097.0</v>
      </c>
      <c r="C157" s="11">
        <v>45887.715532407405</v>
      </c>
      <c r="D157" s="179" t="s">
        <v>50</v>
      </c>
      <c r="E157" s="180" t="s">
        <v>157</v>
      </c>
      <c r="F157" s="181"/>
      <c r="G157" s="179" t="s">
        <v>6446</v>
      </c>
      <c r="H157" s="190"/>
      <c r="I157" s="190"/>
      <c r="J157" s="187" t="s">
        <v>3044</v>
      </c>
      <c r="K157" s="187" t="s">
        <v>3137</v>
      </c>
      <c r="L157" s="184" t="str">
        <f>IFERROR(__xludf.DUMMYFUNCTION("ifna(IF(and(D157=""Saída"",J157=""Sangria""),if(sum(QUERY(IMPORTRANGE(""https://docs.google.com/spreadsheets/d/1wBSFbIXYswW2S5SMKo44LPsdTG4P4kfP5VRdAS5E_4o"",""BD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'""&amp;YEAR(C157)&amp;""-""&amp;MONTH(C157)&amp;""-""&amp;DAY(C157)&amp;""'""))&gt;0,""Depositada"",if(sum(QUERY(IMPORTRANGE(""https://docs.google.com/spreadsheets/d/1wBSFbIXYswW2S5SMKo44LPsdTG4P4kfP5VRdAS5E_4o"",""BD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>
        <f>IFERROR(__xludf.DUMMYFUNCTION("ifna(VALUE(REGEXEXTRACT(E157,""[0-9.]+[,]+[0-9]+"")))"),5.0)</f>
        <v>5</v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38.25" customHeight="1">
      <c r="A158" s="178"/>
      <c r="B158" s="10">
        <v>1631211.0</v>
      </c>
      <c r="C158" s="11">
        <v>45887.74628472222</v>
      </c>
      <c r="D158" s="179" t="s">
        <v>50</v>
      </c>
      <c r="E158" s="180" t="s">
        <v>6805</v>
      </c>
      <c r="F158" s="181"/>
      <c r="G158" s="179" t="s">
        <v>6806</v>
      </c>
      <c r="H158" s="190"/>
      <c r="I158" s="190"/>
      <c r="J158" s="187" t="s">
        <v>3467</v>
      </c>
      <c r="K158" s="187"/>
      <c r="L158" s="184" t="str">
        <f>IFERROR(__xludf.DUMMYFUNCTION("ifna(IF(and(D158=""Saída"",J158=""Sangria""),if(sum(QUERY(IMPORTRANGE(""https://docs.google.com/spreadsheets/d/1wBSFbIXYswW2S5SMKo44LPsdTG4P4kfP5VRdAS5E_4o"",""BD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'""&amp;YEAR(C158)&amp;""-""&amp;MONTH(C158)&amp;""-""&amp;DAY(C158)&amp;""'""))&gt;0,""Depositada"",if(sum(QUERY(IMPORTRANGE(""https://docs.google.com/spreadsheets/d/1wBSFbIXYswW2S5SMKo44LPsdTG4P4kfP5VRdAS5E_4o"",""BD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>
        <f>IFERROR(__xludf.DUMMYFUNCTION("ifna(VALUE(REGEXEXTRACT(E158,""[0-9.]+[,]+[0-9]+"")))"),25.43)</f>
        <v>25.43</v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33.75" customHeight="1">
      <c r="A159" s="178"/>
      <c r="B159" s="10">
        <v>1631213.0</v>
      </c>
      <c r="C159" s="11">
        <v>45887.74684027778</v>
      </c>
      <c r="D159" s="179" t="s">
        <v>50</v>
      </c>
      <c r="E159" s="180" t="s">
        <v>6808</v>
      </c>
      <c r="F159" s="181"/>
      <c r="G159" s="179" t="s">
        <v>6671</v>
      </c>
      <c r="H159" s="190"/>
      <c r="I159" s="190"/>
      <c r="J159" s="187" t="s">
        <v>3466</v>
      </c>
      <c r="K159" s="187"/>
      <c r="L159" s="184" t="str">
        <f>IFERROR(__xludf.DUMMYFUNCTION("ifna(IF(and(D159=""Saída"",J159=""Sangria""),if(sum(QUERY(IMPORTRANGE(""https://docs.google.com/spreadsheets/d/1wBSFbIXYswW2S5SMKo44LPsdTG4P4kfP5VRdAS5E_4o"",""BD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'""&amp;YEAR(C159)&amp;""-""&amp;MONTH(C159)&amp;""-""&amp;DAY(C159)&amp;""'""))&gt;0,""Depositada"",if(sum(QUERY(IMPORTRANGE(""https://docs.google.com/spreadsheets/d/1wBSFbIXYswW2S5SMKo44LPsdTG4P4kfP5VRdAS5E_4o"",""BD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>
        <f>IFERROR(__xludf.DUMMYFUNCTION("ifna(VALUE(REGEXEXTRACT(E159,""[0-9.]+[,]+[0-9]+"")))"),202.0)</f>
        <v>202</v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28.5" customHeight="1">
      <c r="A160" s="178"/>
      <c r="B160" s="10">
        <v>1631227.0</v>
      </c>
      <c r="C160" s="11">
        <v>45887.74916666667</v>
      </c>
      <c r="D160" s="179" t="s">
        <v>227</v>
      </c>
      <c r="E160" s="180" t="s">
        <v>494</v>
      </c>
      <c r="F160" s="188"/>
      <c r="G160" s="179" t="s">
        <v>6811</v>
      </c>
      <c r="H160" s="190"/>
      <c r="I160" s="190"/>
      <c r="J160" s="187" t="s">
        <v>3874</v>
      </c>
      <c r="K160" s="187"/>
      <c r="L160" s="184" t="str">
        <f>IFERROR(__xludf.DUMMYFUNCTION("ifna(IF(and(D160=""Saída"",J160=""Sangria""),if(sum(QUERY(IMPORTRANGE(""https://docs.google.com/spreadsheets/d/1wBSFbIXYswW2S5SMKo44LPsdTG4P4kfP5VRdAS5E_4o"",""BD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'""&amp;YEAR(C160)&amp;""-""&amp;MONTH(C160)&amp;""-""&amp;DAY(C160)&amp;""'""))&gt;0,""Depositada"",if(sum(QUERY(IMPORTRANGE(""https://docs.google.com/spreadsheets/d/1wBSFbIXYswW2S5SMKo44LPsdTG4P4kfP5VRdAS5E_4o"",""BD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>
        <f>IFERROR(__xludf.DUMMYFUNCTION("ifna(VALUE(REGEXEXTRACT(E160,""[0-9.]+[,]+[0-9]+"")))"),0.01)</f>
        <v>0.01</v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36.75" customHeight="1">
      <c r="A161" s="178"/>
      <c r="B161" s="10">
        <v>1631322.0</v>
      </c>
      <c r="C161" s="11">
        <v>45887.776875</v>
      </c>
      <c r="D161" s="179" t="s">
        <v>50</v>
      </c>
      <c r="E161" s="180" t="s">
        <v>329</v>
      </c>
      <c r="F161" s="181"/>
      <c r="G161" s="179" t="s">
        <v>6814</v>
      </c>
      <c r="H161" s="190"/>
      <c r="I161" s="190"/>
      <c r="J161" s="187" t="s">
        <v>3466</v>
      </c>
      <c r="K161" s="187"/>
      <c r="L161" s="184" t="str">
        <f>IFERROR(__xludf.DUMMYFUNCTION("ifna(IF(and(D161=""Saída"",J161=""Sangria""),if(sum(QUERY(IMPORTRANGE(""https://docs.google.com/spreadsheets/d/1wBSFbIXYswW2S5SMKo44LPsdTG4P4kfP5VRdAS5E_4o"",""BD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'""&amp;YEAR(C161)&amp;""-""&amp;MONTH(C161)&amp;""-""&amp;DAY(C161)&amp;""'""))&gt;0,""Depositada"",if(sum(QUERY(IMPORTRANGE(""https://docs.google.com/spreadsheets/d/1wBSFbIXYswW2S5SMKo44LPsdTG4P4kfP5VRdAS5E_4o"",""BD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>
        <f>IFERROR(__xludf.DUMMYFUNCTION("ifna(VALUE(REGEXEXTRACT(E161,""[0-9.]+[,]+[0-9]+"")))"),200.0)</f>
        <v>200</v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0">
        <v>1631327.0</v>
      </c>
      <c r="C162" s="11">
        <v>45887.778402777774</v>
      </c>
      <c r="D162" s="179" t="s">
        <v>227</v>
      </c>
      <c r="E162" s="180" t="s">
        <v>494</v>
      </c>
      <c r="F162" s="181"/>
      <c r="G162" s="179" t="s">
        <v>6817</v>
      </c>
      <c r="H162" s="190"/>
      <c r="I162" s="190"/>
      <c r="J162" s="187" t="s">
        <v>3874</v>
      </c>
      <c r="K162" s="187"/>
      <c r="L162" s="184" t="str">
        <f>IFERROR(__xludf.DUMMYFUNCTION("ifna(IF(and(D162=""Saída"",J162=""Sangria""),if(sum(QUERY(IMPORTRANGE(""https://docs.google.com/spreadsheets/d/1wBSFbIXYswW2S5SMKo44LPsdTG4P4kfP5VRdAS5E_4o"",""BD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'""&amp;YEAR(C162)&amp;""-""&amp;MONTH(C162)&amp;""-""&amp;DAY(C162)&amp;""'""))&gt;0,""Depositada"",if(sum(QUERY(IMPORTRANGE(""https://docs.google.com/spreadsheets/d/1wBSFbIXYswW2S5SMKo44LPsdTG4P4kfP5VRdAS5E_4o"",""BD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>
        <f>IFERROR(__xludf.DUMMYFUNCTION("ifna(VALUE(REGEXEXTRACT(E162,""[0-9.]+[,]+[0-9]+"")))"),0.01)</f>
        <v>0.01</v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0">
        <v>1631391.0</v>
      </c>
      <c r="C163" s="11">
        <v>45887.81381944445</v>
      </c>
      <c r="D163" s="179" t="s">
        <v>50</v>
      </c>
      <c r="E163" s="180" t="s">
        <v>246</v>
      </c>
      <c r="F163" s="181"/>
      <c r="G163" s="179" t="s">
        <v>4960</v>
      </c>
      <c r="H163" s="190"/>
      <c r="I163" s="190"/>
      <c r="J163" s="187" t="s">
        <v>3044</v>
      </c>
      <c r="K163" s="187" t="s">
        <v>3168</v>
      </c>
      <c r="L163" s="184" t="str">
        <f>IFERROR(__xludf.DUMMYFUNCTION("ifna(IF(and(D163=""Saída"",J163=""Sangria""),if(sum(QUERY(IMPORTRANGE(""https://docs.google.com/spreadsheets/d/1wBSFbIXYswW2S5SMKo44LPsdTG4P4kfP5VRdAS5E_4o"",""BD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'""&amp;YEAR(C163)&amp;""-""&amp;MONTH(C163)&amp;""-""&amp;DAY(C163)&amp;""'""))&gt;0,""Depositada"",if(sum(QUERY(IMPORTRANGE(""https://docs.google.com/spreadsheets/d/1wBSFbIXYswW2S5SMKo44LPsdTG4P4kfP5VRdAS5E_4o"",""BD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>
        <f>IFERROR(__xludf.DUMMYFUNCTION("ifna(VALUE(REGEXEXTRACT(E163,""[0-9.]+[,]+[0-9]+"")))"),4.0)</f>
        <v>4</v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0">
        <v>1631589.0</v>
      </c>
      <c r="C164" s="11">
        <v>45887.884108796294</v>
      </c>
      <c r="D164" s="179" t="s">
        <v>50</v>
      </c>
      <c r="E164" s="180" t="s">
        <v>6536</v>
      </c>
      <c r="F164" s="181"/>
      <c r="G164" s="179" t="s">
        <v>6821</v>
      </c>
      <c r="H164" s="190"/>
      <c r="I164" s="190"/>
      <c r="J164" s="187" t="s">
        <v>3903</v>
      </c>
      <c r="K164" s="187"/>
      <c r="L164" s="184" t="str">
        <f>IFERROR(__xludf.DUMMYFUNCTION("ifna(IF(and(D164=""Saída"",J164=""Sangria""),if(sum(QUERY(IMPORTRANGE(""https://docs.google.com/spreadsheets/d/1wBSFbIXYswW2S5SMKo44LPsdTG4P4kfP5VRdAS5E_4o"",""BD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'""&amp;YEAR(C164)&amp;""-""&amp;MONTH(C164)&amp;""-""&amp;DAY(C164)&amp;""'""))&gt;0,""Depositada"",if(sum(QUERY(IMPORTRANGE(""https://docs.google.com/spreadsheets/d/1wBSFbIXYswW2S5SMKo44LPsdTG4P4kfP5VRdAS5E_4o"",""BD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>
        <f>IFERROR(__xludf.DUMMYFUNCTION("ifna(VALUE(REGEXEXTRACT(E164,""[0-9.]+[,]+[0-9]+"")))"),72.0)</f>
        <v>72</v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0">
        <v>1632804.0</v>
      </c>
      <c r="C165" s="11">
        <v>45888.76840277778</v>
      </c>
      <c r="D165" s="179" t="s">
        <v>50</v>
      </c>
      <c r="E165" s="180" t="s">
        <v>494</v>
      </c>
      <c r="F165" s="188"/>
      <c r="G165" s="179" t="s">
        <v>6823</v>
      </c>
      <c r="H165" s="190"/>
      <c r="I165" s="190"/>
      <c r="J165" s="187" t="s">
        <v>3903</v>
      </c>
      <c r="K165" s="187"/>
      <c r="L165" s="184" t="str">
        <f>IFERROR(__xludf.DUMMYFUNCTION("ifna(IF(and(D165=""Saída"",J165=""Sangria""),if(sum(QUERY(IMPORTRANGE(""https://docs.google.com/spreadsheets/d/1wBSFbIXYswW2S5SMKo44LPsdTG4P4kfP5VRdAS5E_4o"",""BD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'""&amp;YEAR(C165)&amp;""-""&amp;MONTH(C165)&amp;""-""&amp;DAY(C165)&amp;""'""))&gt;0,""Depositada"",if(sum(QUERY(IMPORTRANGE(""https://docs.google.com/spreadsheets/d/1wBSFbIXYswW2S5SMKo44LPsdTG4P4kfP5VRdAS5E_4o"",""BD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>
        <f>IFERROR(__xludf.DUMMYFUNCTION("ifna(VALUE(REGEXEXTRACT(E165,""[0-9.]+[,]+[0-9]+"")))"),0.01)</f>
        <v>0.01</v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0">
        <v>1634060.0</v>
      </c>
      <c r="C166" s="11">
        <v>45889.72136574074</v>
      </c>
      <c r="D166" s="179" t="s">
        <v>50</v>
      </c>
      <c r="E166" s="180" t="s">
        <v>157</v>
      </c>
      <c r="F166" s="181"/>
      <c r="G166" s="179" t="s">
        <v>6446</v>
      </c>
      <c r="H166" s="190"/>
      <c r="I166" s="190"/>
      <c r="J166" s="187" t="s">
        <v>3044</v>
      </c>
      <c r="K166" s="187" t="s">
        <v>3137</v>
      </c>
      <c r="L166" s="184" t="str">
        <f>IFERROR(__xludf.DUMMYFUNCTION("ifna(IF(and(D166=""Saída"",J166=""Sangria""),if(sum(QUERY(IMPORTRANGE(""https://docs.google.com/spreadsheets/d/1wBSFbIXYswW2S5SMKo44LPsdTG4P4kfP5VRdAS5E_4o"",""BD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'""&amp;YEAR(C166)&amp;""-""&amp;MONTH(C166)&amp;""-""&amp;DAY(C166)&amp;""'""))&gt;0,""Depositada"",if(sum(QUERY(IMPORTRANGE(""https://docs.google.com/spreadsheets/d/1wBSFbIXYswW2S5SMKo44LPsdTG4P4kfP5VRdAS5E_4o"",""BD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>
        <f>IFERROR(__xludf.DUMMYFUNCTION("ifna(VALUE(REGEXEXTRACT(E166,""[0-9.]+[,]+[0-9]+"")))"),5.0)</f>
        <v>5</v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0">
        <v>1634153.0</v>
      </c>
      <c r="C167" s="11">
        <v>45889.74607638889</v>
      </c>
      <c r="D167" s="179" t="s">
        <v>50</v>
      </c>
      <c r="E167" s="180" t="s">
        <v>6731</v>
      </c>
      <c r="F167" s="181"/>
      <c r="G167" s="179" t="s">
        <v>6804</v>
      </c>
      <c r="H167" s="190"/>
      <c r="I167" s="190"/>
      <c r="J167" s="187" t="s">
        <v>3466</v>
      </c>
      <c r="K167" s="187"/>
      <c r="L167" s="184" t="str">
        <f>IFERROR(__xludf.DUMMYFUNCTION("ifna(IF(and(D167=""Saída"",J167=""Sangria""),if(sum(QUERY(IMPORTRANGE(""https://docs.google.com/spreadsheets/d/1wBSFbIXYswW2S5SMKo44LPsdTG4P4kfP5VRdAS5E_4o"",""BD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'""&amp;YEAR(C167)&amp;""-""&amp;MONTH(C167)&amp;""-""&amp;DAY(C167)&amp;""'""))&gt;0,""Depositada"",if(sum(QUERY(IMPORTRANGE(""https://docs.google.com/spreadsheets/d/1wBSFbIXYswW2S5SMKo44LPsdTG4P4kfP5VRdAS5E_4o"",""BD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Sangria"")"),"")</f>
        <v/>
      </c>
      <c r="M167" s="185">
        <f>IFERROR(__xludf.DUMMYFUNCTION("ifna(VALUE(REGEXEXTRACT(E167,""[0-9.]+[,]+[0-9]+"")))"),100.0)</f>
        <v>100</v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0">
        <v>1634154.0</v>
      </c>
      <c r="C168" s="11">
        <v>45889.74667824074</v>
      </c>
      <c r="D168" s="179" t="s">
        <v>227</v>
      </c>
      <c r="E168" s="180" t="s">
        <v>494</v>
      </c>
      <c r="F168" s="188"/>
      <c r="G168" s="179" t="s">
        <v>6830</v>
      </c>
      <c r="H168" s="190"/>
      <c r="I168" s="190"/>
      <c r="J168" s="187" t="s">
        <v>3466</v>
      </c>
      <c r="K168" s="187"/>
      <c r="L168" s="184" t="str">
        <f>IFERROR(__xludf.DUMMYFUNCTION("ifna(IF(and(D168=""Saída"",J168=""Sangria""),if(sum(QUERY(IMPORTRANGE(""https://docs.google.com/spreadsheets/d/1wBSFbIXYswW2S5SMKo44LPsdTG4P4kfP5VRdAS5E_4o"",""BD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'""&amp;YEAR(C168)&amp;""-""&amp;MONTH(C168)&amp;""-""&amp;DAY(C168)&amp;""'""))&gt;0,""Depositada"",if(sum(QUERY(IMPORTRANGE(""https://docs.google.com/spreadsheets/d/1wBSFbIXYswW2S5SMKo44LPsdTG4P4kfP5VRdAS5E_4o"",""BD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>
        <f>IFERROR(__xludf.DUMMYFUNCTION("ifna(VALUE(REGEXEXTRACT(E168,""[0-9.]+[,]+[0-9]+"")))"),0.01)</f>
        <v>0.01</v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0">
        <v>1634266.0</v>
      </c>
      <c r="C169" s="11">
        <v>45889.79009259259</v>
      </c>
      <c r="D169" s="179" t="s">
        <v>50</v>
      </c>
      <c r="E169" s="180" t="s">
        <v>6834</v>
      </c>
      <c r="F169" s="181"/>
      <c r="G169" s="179" t="s">
        <v>6835</v>
      </c>
      <c r="H169" s="190"/>
      <c r="I169" s="190"/>
      <c r="J169" s="187" t="s">
        <v>3903</v>
      </c>
      <c r="K169" s="187"/>
      <c r="L169" s="184" t="str">
        <f>IFERROR(__xludf.DUMMYFUNCTION("ifna(IF(and(D169=""Saída"",J169=""Sangria""),if(sum(QUERY(IMPORTRANGE(""https://docs.google.com/spreadsheets/d/1wBSFbIXYswW2S5SMKo44LPsdTG4P4kfP5VRdAS5E_4o"",""BD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'""&amp;YEAR(C169)&amp;""-""&amp;MONTH(C169)&amp;""-""&amp;DAY(C169)&amp;""'""))&gt;0,""Depositada"",if(sum(QUERY(IMPORTRANGE(""https://docs.google.com/spreadsheets/d/1wBSFbIXYswW2S5SMKo44LPsdTG4P4kfP5VRdAS5E_4o"",""BD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>
        <f>IFERROR(__xludf.DUMMYFUNCTION("ifna(VALUE(REGEXEXTRACT(E169,""[0-9.]+[,]+[0-9]+"")))"),95.88)</f>
        <v>95.88</v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0">
        <v>1634269.0</v>
      </c>
      <c r="C170" s="11">
        <v>45889.79047453704</v>
      </c>
      <c r="D170" s="179" t="s">
        <v>50</v>
      </c>
      <c r="E170" s="180" t="s">
        <v>6838</v>
      </c>
      <c r="F170" s="181"/>
      <c r="G170" s="179" t="s">
        <v>6839</v>
      </c>
      <c r="H170" s="190"/>
      <c r="I170" s="190"/>
      <c r="J170" s="187" t="s">
        <v>3903</v>
      </c>
      <c r="K170" s="187"/>
      <c r="L170" s="184" t="str">
        <f>IFERROR(__xludf.DUMMYFUNCTION("ifna(IF(and(D170=""Saída"",J170=""Sangria""),if(sum(QUERY(IMPORTRANGE(""https://docs.google.com/spreadsheets/d/1wBSFbIXYswW2S5SMKo44LPsdTG4P4kfP5VRdAS5E_4o"",""BD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'""&amp;YEAR(C170)&amp;""-""&amp;MONTH(C170)&amp;""-""&amp;DAY(C170)&amp;""'""))&gt;0,""Depositada"",if(sum(QUERY(IMPORTRANGE(""https://docs.google.com/spreadsheets/d/1wBSFbIXYswW2S5SMKo44LPsdTG4P4kfP5VRdAS5E_4o"",""BD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>
        <f>IFERROR(__xludf.DUMMYFUNCTION("ifna(VALUE(REGEXEXTRACT(E170,""[0-9.]+[,]+[0-9]+"")))"),34.5)</f>
        <v>34.5</v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0">
        <v>1634271.0</v>
      </c>
      <c r="C171" s="11">
        <v>45889.79072916666</v>
      </c>
      <c r="D171" s="179" t="s">
        <v>50</v>
      </c>
      <c r="E171" s="180" t="s">
        <v>6841</v>
      </c>
      <c r="F171" s="181"/>
      <c r="G171" s="179" t="s">
        <v>6843</v>
      </c>
      <c r="H171" s="190"/>
      <c r="I171" s="190"/>
      <c r="J171" s="187" t="s">
        <v>3903</v>
      </c>
      <c r="K171" s="187"/>
      <c r="L171" s="184" t="str">
        <f>IFERROR(__xludf.DUMMYFUNCTION("ifna(IF(and(D171=""Saída"",J171=""Sangria""),if(sum(QUERY(IMPORTRANGE(""https://docs.google.com/spreadsheets/d/1wBSFbIXYswW2S5SMKo44LPsdTG4P4kfP5VRdAS5E_4o"",""BD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'""&amp;YEAR(C171)&amp;""-""&amp;MONTH(C171)&amp;""-""&amp;DAY(C171)&amp;""'""))&gt;0,""Depositada"",if(sum(QUERY(IMPORTRANGE(""https://docs.google.com/spreadsheets/d/1wBSFbIXYswW2S5SMKo44LPsdTG4P4kfP5VRdAS5E_4o"",""BD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>
        <f>IFERROR(__xludf.DUMMYFUNCTION("ifna(VALUE(REGEXEXTRACT(E171,""[0-9.]+[,]+[0-9]+"")))"),54.0)</f>
        <v>54</v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0">
        <v>1634272.0</v>
      </c>
      <c r="C172" s="11">
        <v>45889.79112268519</v>
      </c>
      <c r="D172" s="179" t="s">
        <v>50</v>
      </c>
      <c r="E172" s="180" t="s">
        <v>6847</v>
      </c>
      <c r="F172" s="181"/>
      <c r="G172" s="179" t="s">
        <v>6849</v>
      </c>
      <c r="H172" s="190"/>
      <c r="I172" s="190"/>
      <c r="J172" s="187" t="s">
        <v>3903</v>
      </c>
      <c r="K172" s="187"/>
      <c r="L172" s="184" t="str">
        <f>IFERROR(__xludf.DUMMYFUNCTION("ifna(IF(and(D172=""Saída"",J172=""Sangria""),if(sum(QUERY(IMPORTRANGE(""https://docs.google.com/spreadsheets/d/1wBSFbIXYswW2S5SMKo44LPsdTG4P4kfP5VRdAS5E_4o"",""BD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'""&amp;YEAR(C172)&amp;""-""&amp;MONTH(C172)&amp;""-""&amp;DAY(C172)&amp;""'""))&gt;0,""Depositada"",if(sum(QUERY(IMPORTRANGE(""https://docs.google.com/spreadsheets/d/1wBSFbIXYswW2S5SMKo44LPsdTG4P4kfP5VRdAS5E_4o"",""BD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>
        <f>IFERROR(__xludf.DUMMYFUNCTION("ifna(VALUE(REGEXEXTRACT(E172,""[0-9.]+[,]+[0-9]+"")))"),211.94)</f>
        <v>211.94</v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0">
        <v>1634326.0</v>
      </c>
      <c r="C173" s="11">
        <v>45889.818703703706</v>
      </c>
      <c r="D173" s="179" t="s">
        <v>50</v>
      </c>
      <c r="E173" s="180" t="s">
        <v>6853</v>
      </c>
      <c r="F173" s="181"/>
      <c r="G173" s="179" t="s">
        <v>6854</v>
      </c>
      <c r="H173" s="190"/>
      <c r="I173" s="190"/>
      <c r="J173" s="187" t="s">
        <v>3903</v>
      </c>
      <c r="K173" s="187"/>
      <c r="L173" s="184" t="str">
        <f>IFERROR(__xludf.DUMMYFUNCTION("ifna(IF(and(D173=""Saída"",J173=""Sangria""),if(sum(QUERY(IMPORTRANGE(""https://docs.google.com/spreadsheets/d/1wBSFbIXYswW2S5SMKo44LPsdTG4P4kfP5VRdAS5E_4o"",""BD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'""&amp;YEAR(C173)&amp;""-""&amp;MONTH(C173)&amp;""-""&amp;DAY(C173)&amp;""'""))&gt;0,""Depositada"",if(sum(QUERY(IMPORTRANGE(""https://docs.google.com/spreadsheets/d/1wBSFbIXYswW2S5SMKo44LPsdTG4P4kfP5VRdAS5E_4o"",""BD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>
        <f>IFERROR(__xludf.DUMMYFUNCTION("ifna(VALUE(REGEXEXTRACT(E173,""[0-9.]+[,]+[0-9]+"")))"),36.19)</f>
        <v>36.19</v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0">
        <v>1635329.0</v>
      </c>
      <c r="C174" s="11">
        <v>45890.65734953704</v>
      </c>
      <c r="D174" s="179" t="s">
        <v>50</v>
      </c>
      <c r="E174" s="180" t="s">
        <v>6856</v>
      </c>
      <c r="F174" s="181"/>
      <c r="G174" s="179" t="s">
        <v>6857</v>
      </c>
      <c r="H174" s="190"/>
      <c r="I174" s="190"/>
      <c r="J174" s="187" t="s">
        <v>3467</v>
      </c>
      <c r="K174" s="187"/>
      <c r="L174" s="184" t="str">
        <f>IFERROR(__xludf.DUMMYFUNCTION("ifna(IF(and(D174=""Saída"",J174=""Sangria""),if(sum(QUERY(IMPORTRANGE(""https://docs.google.com/spreadsheets/d/1wBSFbIXYswW2S5SMKo44LPsdTG4P4kfP5VRdAS5E_4o"",""BD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'""&amp;YEAR(C174)&amp;""-""&amp;MONTH(C174)&amp;""-""&amp;DAY(C174)&amp;""'""))&gt;0,""Depositada"",if(sum(QUERY(IMPORTRANGE(""https://docs.google.com/spreadsheets/d/1wBSFbIXYswW2S5SMKo44LPsdTG4P4kfP5VRdAS5E_4o"",""BD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>
        <f>IFERROR(__xludf.DUMMYFUNCTION("ifna(VALUE(REGEXEXTRACT(E174,""[0-9.]+[,]+[0-9]+"")))"),35.0)</f>
        <v>35</v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0">
        <v>1635331.0</v>
      </c>
      <c r="C175" s="11">
        <v>45890.65771990741</v>
      </c>
      <c r="D175" s="179" t="s">
        <v>50</v>
      </c>
      <c r="E175" s="180" t="s">
        <v>6860</v>
      </c>
      <c r="F175" s="188"/>
      <c r="G175" s="179" t="s">
        <v>6861</v>
      </c>
      <c r="H175" s="190"/>
      <c r="I175" s="190"/>
      <c r="J175" s="187" t="s">
        <v>3903</v>
      </c>
      <c r="K175" s="187"/>
      <c r="L175" s="184" t="str">
        <f>IFERROR(__xludf.DUMMYFUNCTION("ifna(IF(and(D175=""Saída"",J175=""Sangria""),if(sum(QUERY(IMPORTRANGE(""https://docs.google.com/spreadsheets/d/1wBSFbIXYswW2S5SMKo44LPsdTG4P4kfP5VRdAS5E_4o"",""BD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'""&amp;YEAR(C175)&amp;""-""&amp;MONTH(C175)&amp;""-""&amp;DAY(C175)&amp;""'""))&gt;0,""Depositada"",if(sum(QUERY(IMPORTRANGE(""https://docs.google.com/spreadsheets/d/1wBSFbIXYswW2S5SMKo44LPsdTG4P4kfP5VRdAS5E_4o"",""BD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>
        <f>IFERROR(__xludf.DUMMYFUNCTION("ifna(VALUE(REGEXEXTRACT(E175,""[0-9.]+[,]+[0-9]+"")))"),7.62)</f>
        <v>7.62</v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0">
        <v>1636111.0</v>
      </c>
      <c r="C176" s="11">
        <v>45890.885729166665</v>
      </c>
      <c r="D176" s="179" t="s">
        <v>50</v>
      </c>
      <c r="E176" s="180" t="s">
        <v>1279</v>
      </c>
      <c r="F176" s="181"/>
      <c r="G176" s="179" t="s">
        <v>6864</v>
      </c>
      <c r="H176" s="190"/>
      <c r="I176" s="190"/>
      <c r="J176" s="187" t="s">
        <v>3903</v>
      </c>
      <c r="K176" s="187"/>
      <c r="L176" s="184" t="str">
        <f>IFERROR(__xludf.DUMMYFUNCTION("ifna(IF(and(D176=""Saída"",J176=""Sangria""),if(sum(QUERY(IMPORTRANGE(""https://docs.google.com/spreadsheets/d/1wBSFbIXYswW2S5SMKo44LPsdTG4P4kfP5VRdAS5E_4o"",""BD M Sangrias!a:i""),""select Col6 where Col7 = 'Depositada' and Col9 = '""&amp;K176&amp;""' and Col6 ="&amp;" ""&amp;M176&amp;"" and Col4 = date '""&amp;YEAR(C176)&amp;""-""&amp;MONTH(C176)&amp;""-""&amp;DAY(C176)&amp;""'""))&gt;0,""Depositada"",if(sum(QUERY(IMPORTRANGE(""https://docs.google.com/spreadsheets/d/1wBSFbIXYswW2S5SMKo44LPsdTG4P4kfP5VRdAS5E_4o"",""BD M Sangrias!a:i""),""select Col6 whe"&amp;"re Col7 = 'Caixa Atendimento' and Col9 = '""&amp;K176&amp;""' and Col6 = ""&amp;M176&amp;"" and Col4 = date '""&amp;YEAR(C176)&amp;""-""&amp;MONTH(C176)&amp;""-""&amp;DAY(C176)&amp;""'""))&gt;0,""Caixa Atendimento"",""Caixa Sangria"")),""""),""Caixa Sangria"")"),"")</f>
        <v/>
      </c>
      <c r="M176" s="185">
        <f>IFERROR(__xludf.DUMMYFUNCTION("ifna(VALUE(REGEXEXTRACT(E176,""[0-9.]+[,]+[0-9]+"")))"),600.0)</f>
        <v>600</v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0">
        <v>1636113.0</v>
      </c>
      <c r="C177" s="11">
        <v>45890.88643518519</v>
      </c>
      <c r="D177" s="179" t="s">
        <v>50</v>
      </c>
      <c r="E177" s="180" t="s">
        <v>6867</v>
      </c>
      <c r="F177" s="181"/>
      <c r="G177" s="179" t="s">
        <v>6869</v>
      </c>
      <c r="H177" s="190"/>
      <c r="I177" s="190"/>
      <c r="K177" s="187"/>
      <c r="L177" s="184" t="str">
        <f>IFERROR(__xludf.DUMMYFUNCTION("ifna(IF(and(D177=""Saída"",J177=""Sangria""),if(sum(QUERY(IMPORTRANGE(""https://docs.google.com/spreadsheets/d/1wBSFbIXYswW2S5SMKo44LPsdTG4P4kfP5VRdAS5E_4o"",""BD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'""&amp;YEAR(C177)&amp;""-""&amp;MONTH(C177)&amp;""-""&amp;DAY(C177)&amp;""'""))&gt;0,""Depositada"",if(sum(QUERY(IMPORTRANGE(""https://docs.google.com/spreadsheets/d/1wBSFbIXYswW2S5SMKo44LPsdTG4P4kfP5VRdAS5E_4o"",""BD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>
        <f>IFERROR(__xludf.DUMMYFUNCTION("ifna(VALUE(REGEXEXTRACT(E177,""[0-9.]+[,]+[0-9]+"")))"),384.0)</f>
        <v>384</v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0">
        <v>1637607.0</v>
      </c>
      <c r="C178" s="11">
        <v>45891.75800925926</v>
      </c>
      <c r="D178" s="179" t="s">
        <v>50</v>
      </c>
      <c r="E178" s="180" t="s">
        <v>6739</v>
      </c>
      <c r="F178" s="188"/>
      <c r="G178" s="179" t="s">
        <v>6458</v>
      </c>
      <c r="H178" s="190"/>
      <c r="I178" s="190"/>
      <c r="J178" s="187" t="s">
        <v>3903</v>
      </c>
      <c r="K178" s="187"/>
      <c r="L178" s="184" t="str">
        <f>IFERROR(__xludf.DUMMYFUNCTION("ifna(IF(and(D178=""Saída"",J178=""Sangria""),if(sum(QUERY(IMPORTRANGE(""https://docs.google.com/spreadsheets/d/1wBSFbIXYswW2S5SMKo44LPsdTG4P4kfP5VRdAS5E_4o"",""BD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'""&amp;YEAR(C178)&amp;""-""&amp;MONTH(C178)&amp;""-""&amp;DAY(C178)&amp;""'""))&gt;0,""Depositada"",if(sum(QUERY(IMPORTRANGE(""https://docs.google.com/spreadsheets/d/1wBSFbIXYswW2S5SMKo44LPsdTG4P4kfP5VRdAS5E_4o"",""BD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>
        <f>IFERROR(__xludf.DUMMYFUNCTION("ifna(VALUE(REGEXEXTRACT(E178,""[0-9.]+[,]+[0-9]+"")))"),350.0)</f>
        <v>350</v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0">
        <v>1638054.0</v>
      </c>
      <c r="C179" s="11">
        <v>45891.884780092594</v>
      </c>
      <c r="D179" s="179" t="s">
        <v>50</v>
      </c>
      <c r="E179" s="180" t="s">
        <v>6540</v>
      </c>
      <c r="F179" s="181"/>
      <c r="G179" s="179" t="s">
        <v>6872</v>
      </c>
      <c r="H179" s="190"/>
      <c r="I179" s="190"/>
      <c r="J179" s="187" t="s">
        <v>3746</v>
      </c>
      <c r="K179" s="187" t="s">
        <v>3168</v>
      </c>
      <c r="L179" s="184" t="str">
        <f>IFERROR(__xludf.DUMMYFUNCTION("ifna(IF(and(D179=""Saída"",J179=""Sangria""),if(sum(QUERY(IMPORTRANGE(""https://docs.google.com/spreadsheets/d/1wBSFbIXYswW2S5SMKo44LPsdTG4P4kfP5VRdAS5E_4o"",""BD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'""&amp;YEAR(C179)&amp;""-""&amp;MONTH(C179)&amp;""-""&amp;DAY(C179)&amp;""'""))&gt;0,""Depositada"",if(sum(QUERY(IMPORTRANGE(""https://docs.google.com/spreadsheets/d/1wBSFbIXYswW2S5SMKo44LPsdTG4P4kfP5VRdAS5E_4o"",""BD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Sangria"")"),"#REF!")</f>
        <v>#REF!</v>
      </c>
      <c r="M179" s="185">
        <f>IFERROR(__xludf.DUMMYFUNCTION("ifna(VALUE(REGEXEXTRACT(E179,""[0-9.]+[,]+[0-9]+"")))"),950.0)</f>
        <v>950</v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0">
        <v>1638842.0</v>
      </c>
      <c r="C180" s="11">
        <v>45892.55915509259</v>
      </c>
      <c r="D180" s="179" t="s">
        <v>50</v>
      </c>
      <c r="E180" s="180" t="s">
        <v>6874</v>
      </c>
      <c r="F180" s="181"/>
      <c r="G180" s="179" t="s">
        <v>6875</v>
      </c>
      <c r="H180" s="190"/>
      <c r="I180" s="190"/>
      <c r="K180" s="187"/>
      <c r="L180" s="184" t="str">
        <f>IFERROR(__xludf.DUMMYFUNCTION("ifna(IF(and(D180=""Saída"",J180=""Sangria""),if(sum(QUERY(IMPORTRANGE(""https://docs.google.com/spreadsheets/d/1wBSFbIXYswW2S5SMKo44LPsdTG4P4kfP5VRdAS5E_4o"",""BD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'""&amp;YEAR(C180)&amp;""-""&amp;MONTH(C180)&amp;""-""&amp;DAY(C180)&amp;""'""))&gt;0,""Depositada"",if(sum(QUERY(IMPORTRANGE(""https://docs.google.com/spreadsheets/d/1wBSFbIXYswW2S5SMKo44LPsdTG4P4kfP5VRdAS5E_4o"",""BD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>
        <f>IFERROR(__xludf.DUMMYFUNCTION("ifna(VALUE(REGEXEXTRACT(E180,""[0-9.]+[,]+[0-9]+"")))"),22.55)</f>
        <v>22.55</v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0">
        <v>1639813.0</v>
      </c>
      <c r="C181" s="11">
        <v>45892.81791666667</v>
      </c>
      <c r="D181" s="179" t="s">
        <v>50</v>
      </c>
      <c r="E181" s="180" t="s">
        <v>6879</v>
      </c>
      <c r="F181" s="188"/>
      <c r="G181" s="179" t="s">
        <v>6880</v>
      </c>
      <c r="H181" s="190"/>
      <c r="I181" s="190"/>
      <c r="J181" s="187" t="s">
        <v>3825</v>
      </c>
      <c r="K181" s="187"/>
      <c r="L181" s="184" t="str">
        <f>IFERROR(__xludf.DUMMYFUNCTION("ifna(IF(and(D181=""Saída"",J181=""Sangria""),if(sum(QUERY(IMPORTRANGE(""https://docs.google.com/spreadsheets/d/1wBSFbIXYswW2S5SMKo44LPsdTG4P4kfP5VRdAS5E_4o"",""BD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'""&amp;YEAR(C181)&amp;""-""&amp;MONTH(C181)&amp;""-""&amp;DAY(C181)&amp;""'""))&gt;0,""Depositada"",if(sum(QUERY(IMPORTRANGE(""https://docs.google.com/spreadsheets/d/1wBSFbIXYswW2S5SMKo44LPsdTG4P4kfP5VRdAS5E_4o"",""BD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>
        <f>IFERROR(__xludf.DUMMYFUNCTION("ifna(VALUE(REGEXEXTRACT(E181,""[0-9.]+[,]+[0-9]+"")))"),80.0)</f>
        <v>80</v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0">
        <v>1640171.0</v>
      </c>
      <c r="C182" s="11">
        <v>45892.89673611111</v>
      </c>
      <c r="D182" s="179" t="s">
        <v>50</v>
      </c>
      <c r="E182" s="180" t="s">
        <v>3819</v>
      </c>
      <c r="F182" s="181"/>
      <c r="G182" s="179" t="s">
        <v>6881</v>
      </c>
      <c r="H182" s="190"/>
      <c r="I182" s="190"/>
      <c r="J182" s="187" t="s">
        <v>3825</v>
      </c>
      <c r="K182" s="187"/>
      <c r="L182" s="184" t="str">
        <f>IFERROR(__xludf.DUMMYFUNCTION("ifna(IF(and(D182=""Saída"",J182=""Sangria""),if(sum(QUERY(IMPORTRANGE(""https://docs.google.com/spreadsheets/d/1wBSFbIXYswW2S5SMKo44LPsdTG4P4kfP5VRdAS5E_4o"",""BD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'""&amp;YEAR(C182)&amp;""-""&amp;MONTH(C182)&amp;""-""&amp;DAY(C182)&amp;""'""))&gt;0,""Depositada"",if(sum(QUERY(IMPORTRANGE(""https://docs.google.com/spreadsheets/d/1wBSFbIXYswW2S5SMKo44LPsdTG4P4kfP5VRdAS5E_4o"",""BD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>
        <f>IFERROR(__xludf.DUMMYFUNCTION("ifna(VALUE(REGEXEXTRACT(E182,""[0-9.]+[,]+[0-9]+"")))"),110.5)</f>
        <v>110.5</v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0">
        <v>1640174.0</v>
      </c>
      <c r="C183" s="11">
        <v>45892.896944444445</v>
      </c>
      <c r="D183" s="179" t="s">
        <v>50</v>
      </c>
      <c r="E183" s="180" t="s">
        <v>719</v>
      </c>
      <c r="F183" s="181"/>
      <c r="G183" s="179" t="s">
        <v>6885</v>
      </c>
      <c r="H183" s="190"/>
      <c r="I183" s="190"/>
      <c r="J183" s="187" t="s">
        <v>3746</v>
      </c>
      <c r="K183" s="187" t="s">
        <v>3168</v>
      </c>
      <c r="L183" s="184" t="str">
        <f>IFERROR(__xludf.DUMMYFUNCTION("ifna(IF(and(D183=""Saída"",J183=""Sangria""),if(sum(QUERY(IMPORTRANGE(""https://docs.google.com/spreadsheets/d/1wBSFbIXYswW2S5SMKo44LPsdTG4P4kfP5VRdAS5E_4o"",""BD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'""&amp;YEAR(C183)&amp;""-""&amp;MONTH(C183)&amp;""-""&amp;DAY(C183)&amp;""'""))&gt;0,""Depositada"",if(sum(QUERY(IMPORTRANGE(""https://docs.google.com/spreadsheets/d/1wBSFbIXYswW2S5SMKo44LPsdTG4P4kfP5VRdAS5E_4o"",""BD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Sangria"")"),"#REF!")</f>
        <v>#REF!</v>
      </c>
      <c r="M183" s="185">
        <f>IFERROR(__xludf.DUMMYFUNCTION("ifna(VALUE(REGEXEXTRACT(E183,""[0-9.]+[,]+[0-9]+"")))"),500.0)</f>
        <v>500</v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0">
        <v>1643493.0</v>
      </c>
      <c r="C184" s="11">
        <v>45894.735289351855</v>
      </c>
      <c r="D184" s="179" t="s">
        <v>50</v>
      </c>
      <c r="E184" s="180" t="s">
        <v>6887</v>
      </c>
      <c r="F184" s="181"/>
      <c r="G184" s="179" t="s">
        <v>6888</v>
      </c>
      <c r="H184" s="190"/>
      <c r="I184" s="190"/>
      <c r="J184" s="187"/>
      <c r="K184" s="187"/>
      <c r="L184" s="184" t="str">
        <f>IFERROR(__xludf.DUMMYFUNCTION("ifna(IF(and(D184=""Saída"",J184=""Sangria""),if(sum(QUERY(IMPORTRANGE(""https://docs.google.com/spreadsheets/d/1wBSFbIXYswW2S5SMKo44LPsdTG4P4kfP5VRdAS5E_4o"",""BD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'""&amp;YEAR(C184)&amp;""-""&amp;MONTH(C184)&amp;""-""&amp;DAY(C184)&amp;""'""))&gt;0,""Depositada"",if(sum(QUERY(IMPORTRANGE(""https://docs.google.com/spreadsheets/d/1wBSFbIXYswW2S5SMKo44LPsdTG4P4kfP5VRdAS5E_4o"",""BD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>
        <f>IFERROR(__xludf.DUMMYFUNCTION("ifna(VALUE(REGEXEXTRACT(E184,""[0-9.]+[,]+[0-9]+"")))"),9.9)</f>
        <v>9.9</v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0">
        <v>1643495.0</v>
      </c>
      <c r="C185" s="11">
        <v>45894.73559027778</v>
      </c>
      <c r="D185" s="179" t="s">
        <v>50</v>
      </c>
      <c r="E185" s="180" t="s">
        <v>6892</v>
      </c>
      <c r="F185" s="188"/>
      <c r="G185" s="179" t="s">
        <v>6893</v>
      </c>
      <c r="H185" s="190"/>
      <c r="I185" s="190"/>
      <c r="J185" s="187"/>
      <c r="K185" s="187"/>
      <c r="L185" s="184" t="str">
        <f>IFERROR(__xludf.DUMMYFUNCTION("ifna(IF(and(D185=""Saída"",J185=""Sangria""),if(sum(QUERY(IMPORTRANGE(""https://docs.google.com/spreadsheets/d/1wBSFbIXYswW2S5SMKo44LPsdTG4P4kfP5VRdAS5E_4o"",""BD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'""&amp;YEAR(C185)&amp;""-""&amp;MONTH(C185)&amp;""-""&amp;DAY(C185)&amp;""'""))&gt;0,""Depositada"",if(sum(QUERY(IMPORTRANGE(""https://docs.google.com/spreadsheets/d/1wBSFbIXYswW2S5SMKo44LPsdTG4P4kfP5VRdAS5E_4o"",""BD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>
        <f>IFERROR(__xludf.DUMMYFUNCTION("ifna(VALUE(REGEXEXTRACT(E185,""[0-9.]+[,]+[0-9]+"")))"),7.99)</f>
        <v>7.99</v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0">
        <v>1643497.0</v>
      </c>
      <c r="C186" s="11">
        <v>45894.735972222225</v>
      </c>
      <c r="D186" s="179" t="s">
        <v>50</v>
      </c>
      <c r="E186" s="180" t="s">
        <v>6895</v>
      </c>
      <c r="F186" s="181"/>
      <c r="G186" s="179" t="s">
        <v>6463</v>
      </c>
      <c r="H186" s="190"/>
      <c r="I186" s="190"/>
      <c r="J186" s="187"/>
      <c r="K186" s="187"/>
      <c r="L186" s="184" t="str">
        <f>IFERROR(__xludf.DUMMYFUNCTION("ifna(IF(and(D186=""Saída"",J186=""Sangria""),if(sum(QUERY(IMPORTRANGE(""https://docs.google.com/spreadsheets/d/1wBSFbIXYswW2S5SMKo44LPsdTG4P4kfP5VRdAS5E_4o"",""BD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'""&amp;YEAR(C186)&amp;""-""&amp;MONTH(C186)&amp;""-""&amp;DAY(C186)&amp;""'""))&gt;0,""Depositada"",if(sum(QUERY(IMPORTRANGE(""https://docs.google.com/spreadsheets/d/1wBSFbIXYswW2S5SMKo44LPsdTG4P4kfP5VRdAS5E_4o"",""BD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>
        <f>IFERROR(__xludf.DUMMYFUNCTION("ifna(VALUE(REGEXEXTRACT(E186,""[0-9.]+[,]+[0-9]+"")))"),14.0)</f>
        <v>14</v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0">
        <v>1643501.0</v>
      </c>
      <c r="C187" s="11">
        <v>45894.73645833333</v>
      </c>
      <c r="D187" s="179" t="s">
        <v>50</v>
      </c>
      <c r="E187" s="180" t="s">
        <v>3885</v>
      </c>
      <c r="F187" s="181"/>
      <c r="G187" s="179" t="s">
        <v>6898</v>
      </c>
      <c r="H187" s="190"/>
      <c r="I187" s="190"/>
      <c r="J187" s="187"/>
      <c r="K187" s="187"/>
      <c r="L187" s="184" t="str">
        <f>IFERROR(__xludf.DUMMYFUNCTION("ifna(IF(and(D187=""Saída"",J187=""Sangria""),if(sum(QUERY(IMPORTRANGE(""https://docs.google.com/spreadsheets/d/1wBSFbIXYswW2S5SMKo44LPsdTG4P4kfP5VRdAS5E_4o"",""BD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'""&amp;YEAR(C187)&amp;""-""&amp;MONTH(C187)&amp;""-""&amp;DAY(C187)&amp;""'""))&gt;0,""Depositada"",if(sum(QUERY(IMPORTRANGE(""https://docs.google.com/spreadsheets/d/1wBSFbIXYswW2S5SMKo44LPsdTG4P4kfP5VRdAS5E_4o"",""BD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>
        <f>IFERROR(__xludf.DUMMYFUNCTION("ifna(VALUE(REGEXEXTRACT(E187,""[0-9.]+[,]+[0-9]+"")))"),78.0)</f>
        <v>78</v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0">
        <v>1643502.0</v>
      </c>
      <c r="C188" s="11">
        <v>45894.73700231482</v>
      </c>
      <c r="D188" s="179" t="s">
        <v>50</v>
      </c>
      <c r="E188" s="180" t="s">
        <v>6900</v>
      </c>
      <c r="F188" s="181"/>
      <c r="G188" s="179" t="s">
        <v>6584</v>
      </c>
      <c r="H188" s="190"/>
      <c r="I188" s="190"/>
      <c r="J188" s="187"/>
      <c r="K188" s="187"/>
      <c r="L188" s="184" t="str">
        <f>IFERROR(__xludf.DUMMYFUNCTION("ifna(IF(and(D188=""Saída"",J188=""Sangria""),if(sum(QUERY(IMPORTRANGE(""https://docs.google.com/spreadsheets/d/1wBSFbIXYswW2S5SMKo44LPsdTG4P4kfP5VRdAS5E_4o"",""BD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'""&amp;YEAR(C188)&amp;""-""&amp;MONTH(C188)&amp;""-""&amp;DAY(C188)&amp;""'""))&gt;0,""Depositada"",if(sum(QUERY(IMPORTRANGE(""https://docs.google.com/spreadsheets/d/1wBSFbIXYswW2S5SMKo44LPsdTG4P4kfP5VRdAS5E_4o"",""BD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>
        <f>IFERROR(__xludf.DUMMYFUNCTION("ifna(VALUE(REGEXEXTRACT(E188,""[0-9.]+[,]+[0-9]+"")))"),121.2)</f>
        <v>121.2</v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0">
        <v>1643605.0</v>
      </c>
      <c r="C189" s="11">
        <v>45894.764386574076</v>
      </c>
      <c r="D189" s="179" t="s">
        <v>50</v>
      </c>
      <c r="E189" s="180" t="s">
        <v>6731</v>
      </c>
      <c r="F189" s="181"/>
      <c r="G189" s="179" t="s">
        <v>6903</v>
      </c>
      <c r="H189" s="190"/>
      <c r="I189" s="190"/>
      <c r="J189" s="187"/>
      <c r="K189" s="187"/>
      <c r="L189" s="184" t="str">
        <f>IFERROR(__xludf.DUMMYFUNCTION("ifna(IF(and(D189=""Saída"",J189=""Sangria""),if(sum(QUERY(IMPORTRANGE(""https://docs.google.com/spreadsheets/d/1wBSFbIXYswW2S5SMKo44LPsdTG4P4kfP5VRdAS5E_4o"",""BD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'""&amp;YEAR(C189)&amp;""-""&amp;MONTH(C189)&amp;""-""&amp;DAY(C189)&amp;""'""))&gt;0,""Depositada"",if(sum(QUERY(IMPORTRANGE(""https://docs.google.com/spreadsheets/d/1wBSFbIXYswW2S5SMKo44LPsdTG4P4kfP5VRdAS5E_4o"",""BD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>
        <f>IFERROR(__xludf.DUMMYFUNCTION("ifna(VALUE(REGEXEXTRACT(E189,""[0-9.]+[,]+[0-9]+"")))"),100.0)</f>
        <v>100</v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0">
        <v>1643607.0</v>
      </c>
      <c r="C190" s="11">
        <v>45894.76525462963</v>
      </c>
      <c r="D190" s="179" t="s">
        <v>50</v>
      </c>
      <c r="E190" s="180" t="s">
        <v>6654</v>
      </c>
      <c r="F190" s="181"/>
      <c r="G190" s="179" t="s">
        <v>6903</v>
      </c>
      <c r="H190" s="190"/>
      <c r="I190" s="190"/>
      <c r="J190" s="187"/>
      <c r="K190" s="187"/>
      <c r="L190" s="184" t="str">
        <f>IFERROR(__xludf.DUMMYFUNCTION("ifna(IF(and(D190=""Saída"",J190=""Sangria""),if(sum(QUERY(IMPORTRANGE(""https://docs.google.com/spreadsheets/d/1wBSFbIXYswW2S5SMKo44LPsdTG4P4kfP5VRdAS5E_4o"",""BD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'""&amp;YEAR(C190)&amp;""-""&amp;MONTH(C190)&amp;""-""&amp;DAY(C190)&amp;""'""))&gt;0,""Depositada"",if(sum(QUERY(IMPORTRANGE(""https://docs.google.com/spreadsheets/d/1wBSFbIXYswW2S5SMKo44LPsdTG4P4kfP5VRdAS5E_4o"",""BD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>
        <f>IFERROR(__xludf.DUMMYFUNCTION("ifna(VALUE(REGEXEXTRACT(E190,""[0-9.]+[,]+[0-9]+"")))"),60.0)</f>
        <v>60</v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0"/>
      <c r="C191" s="11"/>
      <c r="D191" s="179"/>
      <c r="E191" s="180"/>
      <c r="F191" s="181"/>
      <c r="G191" s="179"/>
      <c r="H191" s="190"/>
      <c r="I191" s="190"/>
      <c r="J191" s="228"/>
      <c r="K191" s="187"/>
      <c r="L191" s="184" t="str">
        <f>IFERROR(__xludf.DUMMYFUNCTION("ifna(IF(and(D191=""Saída"",J191=""Sangria""),if(sum(QUERY(IMPORTRANGE(""https://docs.google.com/spreadsheets/d/1wBSFbIXYswW2S5SMKo44LPsdTG4P4kfP5VRdAS5E_4o"",""BD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'""&amp;YEAR(C191)&amp;""-""&amp;MONTH(C191)&amp;""-""&amp;DAY(C191)&amp;""'""))&gt;0,""Depositada"",if(sum(QUERY(IMPORTRANGE(""https://docs.google.com/spreadsheets/d/1wBSFbIXYswW2S5SMKo44LPsdTG4P4kfP5VRdAS5E_4o"",""BD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 t="str">
        <f>IFERROR(__xludf.DUMMYFUNCTION("ifna(VALUE(REGEXEXTRACT(E191,""[0-9.]+[,]+[0-9]+"")))"),"")</f>
        <v/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0"/>
      <c r="C192" s="11"/>
      <c r="D192" s="179"/>
      <c r="E192" s="180"/>
      <c r="F192" s="188"/>
      <c r="G192" s="179"/>
      <c r="H192" s="190"/>
      <c r="I192" s="190"/>
      <c r="J192" s="187"/>
      <c r="K192" s="187"/>
      <c r="L192" s="184" t="str">
        <f>IFERROR(__xludf.DUMMYFUNCTION("ifna(IF(and(D192=""Saída"",J192=""Sangria""),if(sum(QUERY(IMPORTRANGE(""https://docs.google.com/spreadsheets/d/1wBSFbIXYswW2S5SMKo44LPsdTG4P4kfP5VRdAS5E_4o"",""BD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'""&amp;YEAR(C192)&amp;""-""&amp;MONTH(C192)&amp;""-""&amp;DAY(C192)&amp;""'""))&gt;0,""Depositada"",if(sum(QUERY(IMPORTRANGE(""https://docs.google.com/spreadsheets/d/1wBSFbIXYswW2S5SMKo44LPsdTG4P4kfP5VRdAS5E_4o"",""BD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 t="str">
        <f>IFERROR(__xludf.DUMMYFUNCTION("ifna(VALUE(REGEXEXTRACT(E192,""[0-9.]+[,]+[0-9]+"")))"),"")</f>
        <v/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0"/>
      <c r="C193" s="11"/>
      <c r="D193" s="179"/>
      <c r="E193" s="180"/>
      <c r="F193" s="181"/>
      <c r="G193" s="179"/>
      <c r="H193" s="190"/>
      <c r="I193" s="190"/>
      <c r="J193" s="187"/>
      <c r="K193" s="187"/>
      <c r="L193" s="184" t="str">
        <f>IFERROR(__xludf.DUMMYFUNCTION("ifna(IF(and(D193=""Saída"",J193=""Sangria""),if(sum(QUERY(IMPORTRANGE(""https://docs.google.com/spreadsheets/d/1wBSFbIXYswW2S5SMKo44LPsdTG4P4kfP5VRdAS5E_4o"",""BD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'""&amp;YEAR(C193)&amp;""-""&amp;MONTH(C193)&amp;""-""&amp;DAY(C193)&amp;""'""))&gt;0,""Depositada"",if(sum(QUERY(IMPORTRANGE(""https://docs.google.com/spreadsheets/d/1wBSFbIXYswW2S5SMKo44LPsdTG4P4kfP5VRdAS5E_4o"",""BD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 t="str">
        <f>IFERROR(__xludf.DUMMYFUNCTION("ifna(VALUE(REGEXEXTRACT(E193,""[0-9.]+[,]+[0-9]+"")))"),"")</f>
        <v/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0"/>
      <c r="C194" s="11"/>
      <c r="D194" s="179"/>
      <c r="E194" s="180"/>
      <c r="F194" s="181"/>
      <c r="G194" s="179"/>
      <c r="H194" s="190"/>
      <c r="I194" s="190"/>
      <c r="J194" s="187"/>
      <c r="K194" s="187"/>
      <c r="L194" s="184" t="str">
        <f>IFERROR(__xludf.DUMMYFUNCTION("ifna(IF(and(D194=""Saída"",J194=""Sangria""),if(sum(QUERY(IMPORTRANGE(""https://docs.google.com/spreadsheets/d/1wBSFbIXYswW2S5SMKo44LPsdTG4P4kfP5VRdAS5E_4o"",""BD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'""&amp;YEAR(C194)&amp;""-""&amp;MONTH(C194)&amp;""-""&amp;DAY(C194)&amp;""'""))&gt;0,""Depositada"",if(sum(QUERY(IMPORTRANGE(""https://docs.google.com/spreadsheets/d/1wBSFbIXYswW2S5SMKo44LPsdTG4P4kfP5VRdAS5E_4o"",""BD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 t="str">
        <f>IFERROR(__xludf.DUMMYFUNCTION("ifna(VALUE(REGEXEXTRACT(E194,""[0-9.]+[,]+[0-9]+"")))"),"")</f>
        <v/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0"/>
      <c r="C195" s="11"/>
      <c r="D195" s="179"/>
      <c r="E195" s="180"/>
      <c r="F195" s="188"/>
      <c r="G195" s="179"/>
      <c r="H195" s="190"/>
      <c r="I195" s="190"/>
      <c r="J195" s="187"/>
      <c r="K195" s="187"/>
      <c r="L195" s="184" t="str">
        <f>IFERROR(__xludf.DUMMYFUNCTION("ifna(IF(and(D195=""Saída"",J195=""Sangria""),if(sum(QUERY(IMPORTRANGE(""https://docs.google.com/spreadsheets/d/1wBSFbIXYswW2S5SMKo44LPsdTG4P4kfP5VRdAS5E_4o"",""BD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'""&amp;YEAR(C195)&amp;""-""&amp;MONTH(C195)&amp;""-""&amp;DAY(C195)&amp;""'""))&gt;0,""Depositada"",if(sum(QUERY(IMPORTRANGE(""https://docs.google.com/spreadsheets/d/1wBSFbIXYswW2S5SMKo44LPsdTG4P4kfP5VRdAS5E_4o"",""BD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 t="str">
        <f>IFERROR(__xludf.DUMMYFUNCTION("ifna(VALUE(REGEXEXTRACT(E195,""[0-9.]+[,]+[0-9]+"")))"),"")</f>
        <v/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0"/>
      <c r="C196" s="11"/>
      <c r="D196" s="179"/>
      <c r="E196" s="180"/>
      <c r="F196" s="181"/>
      <c r="G196" s="179"/>
      <c r="H196" s="190"/>
      <c r="I196" s="190"/>
      <c r="K196" s="187"/>
      <c r="L196" s="184" t="str">
        <f>IFERROR(__xludf.DUMMYFUNCTION("ifna(IF(and(D196=""Saída"",J196=""Sangria""),if(sum(QUERY(IMPORTRANGE(""https://docs.google.com/spreadsheets/d/1wBSFbIXYswW2S5SMKo44LPsdTG4P4kfP5VRdAS5E_4o"",""BD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'""&amp;YEAR(C196)&amp;""-""&amp;MONTH(C196)&amp;""-""&amp;DAY(C196)&amp;""'""))&gt;0,""Depositada"",if(sum(QUERY(IMPORTRANGE(""https://docs.google.com/spreadsheets/d/1wBSFbIXYswW2S5SMKo44LPsdTG4P4kfP5VRdAS5E_4o"",""BD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 t="str">
        <f>IFERROR(__xludf.DUMMYFUNCTION("ifna(VALUE(REGEXEXTRACT(E196,""[0-9.]+[,]+[0-9]+"")))"),"")</f>
        <v/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0"/>
      <c r="C197" s="11"/>
      <c r="D197" s="179"/>
      <c r="E197" s="180"/>
      <c r="F197" s="181"/>
      <c r="G197" s="179"/>
      <c r="H197" s="190"/>
      <c r="I197" s="190"/>
      <c r="J197" s="187"/>
      <c r="K197" s="187"/>
      <c r="L197" s="184" t="str">
        <f>IFERROR(__xludf.DUMMYFUNCTION("ifna(IF(and(D197=""Saída"",J197=""Sangria""),if(sum(QUERY(IMPORTRANGE(""https://docs.google.com/spreadsheets/d/1wBSFbIXYswW2S5SMKo44LPsdTG4P4kfP5VRdAS5E_4o"",""BD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'""&amp;YEAR(C197)&amp;""-""&amp;MONTH(C197)&amp;""-""&amp;DAY(C197)&amp;""'""))&gt;0,""Depositada"",if(sum(QUERY(IMPORTRANGE(""https://docs.google.com/spreadsheets/d/1wBSFbIXYswW2S5SMKo44LPsdTG4P4kfP5VRdAS5E_4o"",""BD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 t="str">
        <f>IFERROR(__xludf.DUMMYFUNCTION("ifna(VALUE(REGEXEXTRACT(E197,""[0-9.]+[,]+[0-9]+"")))"),"")</f>
        <v/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0"/>
      <c r="C198" s="11"/>
      <c r="D198" s="179"/>
      <c r="E198" s="180"/>
      <c r="F198" s="181"/>
      <c r="G198" s="179"/>
      <c r="H198" s="190"/>
      <c r="I198" s="190"/>
      <c r="J198" s="187"/>
      <c r="K198" s="187"/>
      <c r="L198" s="184" t="str">
        <f>IFERROR(__xludf.DUMMYFUNCTION("ifna(IF(and(D198=""Saída"",J198=""Sangria""),if(sum(QUERY(IMPORTRANGE(""https://docs.google.com/spreadsheets/d/1wBSFbIXYswW2S5SMKo44LPsdTG4P4kfP5VRdAS5E_4o"",""BD M Sangrias!a:i""),""select Col6 where Col7 = 'Depositada' and Col9 = '""&amp;K198&amp;""' and Col6 ="&amp;" ""&amp;M198&amp;"" and Col4 = date '""&amp;YEAR(C198)&amp;""-""&amp;MONTH(C198)&amp;""-""&amp;DAY(C198)&amp;""'""))&gt;0,""Depositada"",if(sum(QUERY(IMPORTRANGE(""https://docs.google.com/spreadsheets/d/1wBSFbIXYswW2S5SMKo44LPsdTG4P4kfP5VRdAS5E_4o"",""BD M Sangrias!a:i""),""select Col6 whe"&amp;"re Col7 = 'Caixa Atendimento' and Col9 = '""&amp;K198&amp;""' and Col6 = ""&amp;M198&amp;"" and Col4 = date '""&amp;YEAR(C198)&amp;""-""&amp;MONTH(C198)&amp;""-""&amp;DAY(C198)&amp;""'""))&gt;0,""Caixa Atendimento"",""Caixa Sangria"")),""""),""Caixa Sangria"")"),"")</f>
        <v/>
      </c>
      <c r="M198" s="185" t="str">
        <f>IFERROR(__xludf.DUMMYFUNCTION("ifna(VALUE(REGEXEXTRACT(E198,""[0-9.]+[,]+[0-9]+"")))"),"")</f>
        <v/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0"/>
      <c r="C199" s="11"/>
      <c r="D199" s="179"/>
      <c r="E199" s="180"/>
      <c r="F199" s="181"/>
      <c r="G199" s="179"/>
      <c r="H199" s="190"/>
      <c r="I199" s="190"/>
      <c r="J199" s="187"/>
      <c r="K199" s="187"/>
      <c r="L199" s="184" t="str">
        <f>IFERROR(__xludf.DUMMYFUNCTION("ifna(IF(and(D199=""Saída"",J199=""Sangria""),if(sum(QUERY(IMPORTRANGE(""https://docs.google.com/spreadsheets/d/1wBSFbIXYswW2S5SMKo44LPsdTG4P4kfP5VRdAS5E_4o"",""BD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'""&amp;YEAR(C199)&amp;""-""&amp;MONTH(C199)&amp;""-""&amp;DAY(C199)&amp;""'""))&gt;0,""Depositada"",if(sum(QUERY(IMPORTRANGE(""https://docs.google.com/spreadsheets/d/1wBSFbIXYswW2S5SMKo44LPsdTG4P4kfP5VRdAS5E_4o"",""BD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 t="str">
        <f>IFERROR(__xludf.DUMMYFUNCTION("ifna(VALUE(REGEXEXTRACT(E199,""[0-9.]+[,]+[0-9]+"")))"),"")</f>
        <v/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0"/>
      <c r="C200" s="11"/>
      <c r="D200" s="179"/>
      <c r="E200" s="180"/>
      <c r="F200" s="181"/>
      <c r="G200" s="179"/>
      <c r="H200" s="190"/>
      <c r="I200" s="190"/>
      <c r="J200" s="187"/>
      <c r="K200" s="187"/>
      <c r="L200" s="184" t="str">
        <f>IFERROR(__xludf.DUMMYFUNCTION("ifna(IF(and(D200=""Saída"",J200=""Sangria""),if(sum(QUERY(IMPORTRANGE(""https://docs.google.com/spreadsheets/d/1wBSFbIXYswW2S5SMKo44LPsdTG4P4kfP5VRdAS5E_4o"",""BD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'""&amp;YEAR(C200)&amp;""-""&amp;MONTH(C200)&amp;""-""&amp;DAY(C200)&amp;""'""))&gt;0,""Depositada"",if(sum(QUERY(IMPORTRANGE(""https://docs.google.com/spreadsheets/d/1wBSFbIXYswW2S5SMKo44LPsdTG4P4kfP5VRdAS5E_4o"",""BD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 t="str">
        <f>IFERROR(__xludf.DUMMYFUNCTION("ifna(VALUE(REGEXEXTRACT(E200,""[0-9.]+[,]+[0-9]+"")))"),"")</f>
        <v/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0"/>
      <c r="C201" s="11"/>
      <c r="D201" s="179"/>
      <c r="E201" s="180"/>
      <c r="F201" s="181"/>
      <c r="G201" s="179"/>
      <c r="H201" s="190"/>
      <c r="I201" s="190"/>
      <c r="J201" s="187"/>
      <c r="K201" s="187"/>
      <c r="L201" s="184" t="str">
        <f>IFERROR(__xludf.DUMMYFUNCTION("ifna(IF(and(D201=""Saída"",J201=""Sangria""),if(sum(QUERY(IMPORTRANGE(""https://docs.google.com/spreadsheets/d/1wBSFbIXYswW2S5SMKo44LPsdTG4P4kfP5VRdAS5E_4o"",""BD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'""&amp;YEAR(C201)&amp;""-""&amp;MONTH(C201)&amp;""-""&amp;DAY(C201)&amp;""'""))&gt;0,""Depositada"",if(sum(QUERY(IMPORTRANGE(""https://docs.google.com/spreadsheets/d/1wBSFbIXYswW2S5SMKo44LPsdTG4P4kfP5VRdAS5E_4o"",""BD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 t="str">
        <f>IFERROR(__xludf.DUMMYFUNCTION("ifna(VALUE(REGEXEXTRACT(E201,""[0-9.]+[,]+[0-9]+"")))"),"")</f>
        <v/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0"/>
      <c r="C202" s="11"/>
      <c r="D202" s="179"/>
      <c r="E202" s="180"/>
      <c r="F202" s="181"/>
      <c r="G202" s="179"/>
      <c r="H202" s="190"/>
      <c r="I202" s="190"/>
      <c r="J202" s="187"/>
      <c r="K202" s="187"/>
      <c r="L202" s="184" t="str">
        <f>IFERROR(__xludf.DUMMYFUNCTION("ifna(IF(and(D202=""Saída"",J202=""Sangria""),if(sum(QUERY(IMPORTRANGE(""https://docs.google.com/spreadsheets/d/1E4szPcLzsqlw4uyBAoJ61L1ChCgpz4wVP8tHfHW1g_c"",""BD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'""&amp;YEAR(C202)&amp;""-""&amp;MONTH(C202)&amp;""-""&amp;DAY(C202)&amp;""'""))&gt;0,""Depositada"",if(sum(QUERY(IMPORTRANGE(""https://docs.google.com/spreadsheets/d/1EcLIvUgMoBC5as4ikW0wuQsGH5yVZ6cQ1y16qEfgPnk"",""BD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 t="str">
        <f>IFERROR(__xludf.DUMMYFUNCTION("ifna(VALUE(REGEXEXTRACT(E202,""[0-9.]+[,]+[0-9]+"")))"),"")</f>
        <v/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0"/>
      <c r="C203" s="11"/>
      <c r="D203" s="179"/>
      <c r="E203" s="180"/>
      <c r="F203" s="181"/>
      <c r="G203" s="179"/>
      <c r="H203" s="190"/>
      <c r="I203" s="190"/>
      <c r="J203" s="187"/>
      <c r="K203" s="187"/>
      <c r="L203" s="184" t="str">
        <f>IFERROR(__xludf.DUMMYFUNCTION("ifna(IF(and(D203=""Saída"",J203=""Sangria""),if(sum(QUERY(IMPORTRANGE(""https://docs.google.com/spreadsheets/d/1E4szPcLzsqlw4uyBAoJ61L1ChCgpz4wVP8tHfHW1g_c"",""BD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'""&amp;YEAR(C203)&amp;""-""&amp;MONTH(C203)&amp;""-""&amp;DAY(C203)&amp;""'""))&gt;0,""Depositada"",if(sum(QUERY(IMPORTRANGE(""https://docs.google.com/spreadsheets/d/1EcLIvUgMoBC5as4ikW0wuQsGH5yVZ6cQ1y16qEfgPnk"",""BD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 t="str">
        <f>IFERROR(__xludf.DUMMYFUNCTION("ifna(VALUE(REGEXEXTRACT(E203,""[0-9.]+[,]+[0-9]+"")))"),"")</f>
        <v/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0"/>
      <c r="C204" s="11"/>
      <c r="D204" s="179"/>
      <c r="E204" s="180"/>
      <c r="F204" s="181"/>
      <c r="G204" s="179"/>
      <c r="H204" s="190"/>
      <c r="I204" s="190"/>
      <c r="J204" s="187"/>
      <c r="K204" s="187"/>
      <c r="L204" s="184" t="str">
        <f>IFERROR(__xludf.DUMMYFUNCTION("ifna(IF(and(D204=""Saída"",J204=""Sangria""),if(sum(QUERY(IMPORTRANGE(""https://docs.google.com/spreadsheets/d/1E4szPcLzsqlw4uyBAoJ61L1ChCgpz4wVP8tHfHW1g_c"",""BD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'""&amp;YEAR(C204)&amp;""-""&amp;MONTH(C204)&amp;""-""&amp;DAY(C204)&amp;""'""))&gt;0,""Depositada"",if(sum(QUERY(IMPORTRANGE(""https://docs.google.com/spreadsheets/d/1EcLIvUgMoBC5as4ikW0wuQsGH5yVZ6cQ1y16qEfgPnk"",""BD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 t="str">
        <f>IFERROR(__xludf.DUMMYFUNCTION("ifna(VALUE(REGEXEXTRACT(E204,""[0-9.]+[,]+[0-9]+"")))"),"")</f>
        <v/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0"/>
      <c r="C205" s="11"/>
      <c r="D205" s="179"/>
      <c r="E205" s="180"/>
      <c r="F205" s="188"/>
      <c r="G205" s="179"/>
      <c r="H205" s="190"/>
      <c r="I205" s="190"/>
      <c r="J205" s="187"/>
      <c r="K205" s="187"/>
      <c r="L205" s="184" t="str">
        <f>IFERROR(__xludf.DUMMYFUNCTION("ifna(IF(and(D205=""Saída"",J205=""Sangria""),if(sum(QUERY(IMPORTRANGE(""https://docs.google.com/spreadsheets/d/1E4szPcLzsqlw4uyBAoJ61L1ChCgpz4wVP8tHfHW1g_c"",""BD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'""&amp;YEAR(C205)&amp;""-""&amp;MONTH(C205)&amp;""-""&amp;DAY(C205)&amp;""'""))&gt;0,""Depositada"",if(sum(QUERY(IMPORTRANGE(""https://docs.google.com/spreadsheets/d/1EcLIvUgMoBC5as4ikW0wuQsGH5yVZ6cQ1y16qEfgPnk"",""BD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 t="str">
        <f>IFERROR(__xludf.DUMMYFUNCTION("ifna(VALUE(REGEXEXTRACT(E205,""[0-9.]+[,]+[0-9]+"")))"),"")</f>
        <v/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0"/>
      <c r="C206" s="11"/>
      <c r="D206" s="179"/>
      <c r="E206" s="180"/>
      <c r="F206" s="181"/>
      <c r="G206" s="179"/>
      <c r="H206" s="190"/>
      <c r="I206" s="190"/>
      <c r="J206" s="187"/>
      <c r="K206" s="187"/>
      <c r="L206" s="184" t="str">
        <f>IFERROR(__xludf.DUMMYFUNCTION("ifna(IF(and(D206=""Saída"",J206=""Sangria""),if(sum(QUERY(IMPORTRANGE(""https://docs.google.com/spreadsheets/d/1E4szPcLzsqlw4uyBAoJ61L1ChCgpz4wVP8tHfHW1g_c"",""BD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'""&amp;YEAR(C206)&amp;""-""&amp;MONTH(C206)&amp;""-""&amp;DAY(C206)&amp;""'""))&gt;0,""Depositada"",if(sum(QUERY(IMPORTRANGE(""https://docs.google.com/spreadsheets/d/1EcLIvUgMoBC5as4ikW0wuQsGH5yVZ6cQ1y16qEfgPnk"",""BD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 t="str">
        <f>IFERROR(__xludf.DUMMYFUNCTION("ifna(VALUE(REGEXEXTRACT(E206,""[0-9.]+[,]+[0-9]+"")))"),"")</f>
        <v/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0"/>
      <c r="C207" s="11"/>
      <c r="D207" s="179"/>
      <c r="E207" s="180"/>
      <c r="F207" s="181"/>
      <c r="G207" s="179"/>
      <c r="H207" s="190"/>
      <c r="I207" s="190"/>
      <c r="J207" s="187"/>
      <c r="K207" s="187"/>
      <c r="L207" s="184" t="str">
        <f>IFERROR(__xludf.DUMMYFUNCTION("ifna(IF(and(D207=""Saída"",J207=""Sangria""),if(sum(QUERY(IMPORTRANGE(""https://docs.google.com/spreadsheets/d/1E4szPcLzsqlw4uyBAoJ61L1ChCgpz4wVP8tHfHW1g_c"",""BD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'""&amp;YEAR(C207)&amp;""-""&amp;MONTH(C207)&amp;""-""&amp;DAY(C207)&amp;""'""))&gt;0,""Depositada"",if(sum(QUERY(IMPORTRANGE(""https://docs.google.com/spreadsheets/d/1EcLIvUgMoBC5as4ikW0wuQsGH5yVZ6cQ1y16qEfgPnk"",""BD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 t="str">
        <f>IFERROR(__xludf.DUMMYFUNCTION("ifna(VALUE(REGEXEXTRACT(E207,""[0-9.]+[,]+[0-9]+"")))"),"")</f>
        <v/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0"/>
      <c r="C208" s="11"/>
      <c r="D208" s="179"/>
      <c r="E208" s="180"/>
      <c r="F208" s="181"/>
      <c r="G208" s="179"/>
      <c r="H208" s="190"/>
      <c r="I208" s="190"/>
      <c r="J208" s="187"/>
      <c r="K208" s="187"/>
      <c r="L208" s="184"/>
      <c r="M208" s="185" t="str">
        <f>IFERROR(__xludf.DUMMYFUNCTION("ifna(VALUE(REGEXEXTRACT(E208,""[0-9.]+[,]+[0-9]+"")))"),"")</f>
        <v/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0"/>
      <c r="C209" s="11"/>
      <c r="D209" s="179"/>
      <c r="E209" s="180"/>
      <c r="F209" s="181"/>
      <c r="G209" s="179"/>
      <c r="H209" s="190"/>
      <c r="I209" s="190"/>
      <c r="K209" s="187"/>
      <c r="L209" s="184" t="str">
        <f>IFERROR(__xludf.DUMMYFUNCTION("ifna(IF(and(D209=""Saída"",J208=""Sangria""),if(sum(QUERY(IMPORTRANGE(""https://docs.google.com/spreadsheets/d/1E4szPcLzsqlw4uyBAoJ61L1ChCgpz4wVP8tHfHW1g_c"",""BD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'""&amp;YEAR(C209)&amp;""-""&amp;MONTH(C209)&amp;""-""&amp;DAY(C209)&amp;""'""))&gt;0,""Depositada"",if(sum(QUERY(IMPORTRANGE(""https://docs.google.com/spreadsheets/d/1EcLIvUgMoBC5as4ikW0wuQsGH5yVZ6cQ1y16qEfgPnk"",""BD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 t="str">
        <f>IFERROR(__xludf.DUMMYFUNCTION("ifna(VALUE(REGEXEXTRACT(E209,""[0-9.]+[,]+[0-9]+"")))"),"")</f>
        <v/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0"/>
      <c r="C210" s="11"/>
      <c r="D210" s="179"/>
      <c r="E210" s="180"/>
      <c r="F210" s="188"/>
      <c r="G210" s="179"/>
      <c r="H210" s="190"/>
      <c r="I210" s="190"/>
      <c r="J210" s="187"/>
      <c r="K210" s="187"/>
      <c r="L210" s="184" t="str">
        <f>IFERROR(__xludf.DUMMYFUNCTION("ifna(IF(and(D210=""Saída"",J210=""Sangria""),if(sum(QUERY(IMPORTRANGE(""https://docs.google.com/spreadsheets/d/1E4szPcLzsqlw4uyBAoJ61L1ChCgpz4wVP8tHfHW1g_c"",""BD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'""&amp;YEAR(C210)&amp;""-""&amp;MONTH(C210)&amp;""-""&amp;DAY(C210)&amp;""'""))&gt;0,""Depositada"",if(sum(QUERY(IMPORTRANGE(""https://docs.google.com/spreadsheets/d/1EcLIvUgMoBC5as4ikW0wuQsGH5yVZ6cQ1y16qEfgPnk"",""BD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 t="str">
        <f>IFERROR(__xludf.DUMMYFUNCTION("ifna(VALUE(REGEXEXTRACT(E210,""[0-9.]+[,]+[0-9]+"")))"),"")</f>
        <v/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0"/>
      <c r="C211" s="11"/>
      <c r="D211" s="179"/>
      <c r="E211" s="180"/>
      <c r="F211" s="181"/>
      <c r="G211" s="179"/>
      <c r="H211" s="190"/>
      <c r="I211" s="190"/>
      <c r="J211" s="187"/>
      <c r="K211" s="187"/>
      <c r="L211" s="184" t="str">
        <f>IFERROR(__xludf.DUMMYFUNCTION("ifna(IF(and(D211=""Saída"",J211=""Sangria""),if(sum(QUERY(IMPORTRANGE(""https://docs.google.com/spreadsheets/d/1E4szPcLzsqlw4uyBAoJ61L1ChCgpz4wVP8tHfHW1g_c"",""BD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'""&amp;YEAR(C211)&amp;""-""&amp;MONTH(C211)&amp;""-""&amp;DAY(C211)&amp;""'""))&gt;0,""Depositada"",if(sum(QUERY(IMPORTRANGE(""https://docs.google.com/spreadsheets/d/1EcLIvUgMoBC5as4ikW0wuQsGH5yVZ6cQ1y16qEfgPnk"",""BD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 t="str">
        <f>IFERROR(__xludf.DUMMYFUNCTION("ifna(VALUE(REGEXEXTRACT(E211,""[0-9.]+[,]+[0-9]+"")))"),"")</f>
        <v/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0"/>
      <c r="C212" s="11"/>
      <c r="D212" s="179"/>
      <c r="E212" s="180"/>
      <c r="F212" s="188"/>
      <c r="G212" s="179"/>
      <c r="H212" s="190"/>
      <c r="I212" s="190"/>
      <c r="J212" s="187"/>
      <c r="K212" s="187"/>
      <c r="L212" s="184" t="str">
        <f>IFERROR(__xludf.DUMMYFUNCTION("ifna(IF(and(D212=""Saída"",J212=""Sangria""),if(sum(QUERY(IMPORTRANGE(""https://docs.google.com/spreadsheets/d/1E4szPcLzsqlw4uyBAoJ61L1ChCgpz4wVP8tHfHW1g_c"",""BD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'""&amp;YEAR(C212)&amp;""-""&amp;MONTH(C212)&amp;""-""&amp;DAY(C212)&amp;""'""))&gt;0,""Depositada"",if(sum(QUERY(IMPORTRANGE(""https://docs.google.com/spreadsheets/d/1EcLIvUgMoBC5as4ikW0wuQsGH5yVZ6cQ1y16qEfgPnk"",""BD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 t="str">
        <f>IFERROR(__xludf.DUMMYFUNCTION("ifna(VALUE(REGEXEXTRACT(E212,""[0-9.]+[,]+[0-9]+"")))"),"")</f>
        <v/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0"/>
      <c r="C213" s="11"/>
      <c r="D213" s="179"/>
      <c r="E213" s="180"/>
      <c r="F213" s="181"/>
      <c r="G213" s="179"/>
      <c r="H213" s="190"/>
      <c r="I213" s="190"/>
      <c r="J213" s="187"/>
      <c r="K213" s="187"/>
      <c r="L213" s="184" t="str">
        <f>IFERROR(__xludf.DUMMYFUNCTION("ifna(IF(and(D213=""Saída"",J213=""Sangria""),if(sum(QUERY(IMPORTRANGE(""https://docs.google.com/spreadsheets/d/1E4szPcLzsqlw4uyBAoJ61L1ChCgpz4wVP8tHfHW1g_c"",""BD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'""&amp;YEAR(C213)&amp;""-""&amp;MONTH(C213)&amp;""-""&amp;DAY(C213)&amp;""'""))&gt;0,""Depositada"",if(sum(QUERY(IMPORTRANGE(""https://docs.google.com/spreadsheets/d/1EcLIvUgMoBC5as4ikW0wuQsGH5yVZ6cQ1y16qEfgPnk"",""BD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 t="str">
        <f>IFERROR(__xludf.DUMMYFUNCTION("ifna(VALUE(REGEXEXTRACT(E213,""[0-9.]+[,]+[0-9]+"")))"),"")</f>
        <v/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0"/>
      <c r="C214" s="11"/>
      <c r="D214" s="179"/>
      <c r="E214" s="180"/>
      <c r="F214" s="181"/>
      <c r="G214" s="179"/>
      <c r="H214" s="190"/>
      <c r="I214" s="190"/>
      <c r="J214" s="187"/>
      <c r="K214" s="187"/>
      <c r="L214" s="184" t="str">
        <f>IFERROR(__xludf.DUMMYFUNCTION("ifna(IF(and(D214=""Saída"",J214=""Sangria""),if(sum(QUERY(IMPORTRANGE(""https://docs.google.com/spreadsheets/d/1E4szPcLzsqlw4uyBAoJ61L1ChCgpz4wVP8tHfHW1g_c"",""BD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'""&amp;YEAR(C214)&amp;""-""&amp;MONTH(C214)&amp;""-""&amp;DAY(C214)&amp;""'""))&gt;0,""Depositada"",if(sum(QUERY(IMPORTRANGE(""https://docs.google.com/spreadsheets/d/1EcLIvUgMoBC5as4ikW0wuQsGH5yVZ6cQ1y16qEfgPnk"",""BD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 t="str">
        <f>IFERROR(__xludf.DUMMYFUNCTION("ifna(VALUE(REGEXEXTRACT(E214,""[0-9.]+[,]+[0-9]+"")))"),"")</f>
        <v/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0"/>
      <c r="C215" s="11"/>
      <c r="D215" s="179"/>
      <c r="E215" s="180"/>
      <c r="F215" s="181"/>
      <c r="G215" s="179"/>
      <c r="H215" s="190"/>
      <c r="I215" s="190"/>
      <c r="J215" s="187"/>
      <c r="K215" s="187"/>
      <c r="L215" s="184" t="str">
        <f>IFERROR(__xludf.DUMMYFUNCTION("ifna(IF(and(D215=""Saída"",J215=""Sangria""),if(sum(QUERY(IMPORTRANGE(""https://docs.google.com/spreadsheets/d/1E4szPcLzsqlw4uyBAoJ61L1ChCgpz4wVP8tHfHW1g_c"",""BD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'""&amp;YEAR(C215)&amp;""-""&amp;MONTH(C215)&amp;""-""&amp;DAY(C215)&amp;""'""))&gt;0,""Depositada"",if(sum(QUERY(IMPORTRANGE(""https://docs.google.com/spreadsheets/d/1EcLIvUgMoBC5as4ikW0wuQsGH5yVZ6cQ1y16qEfgPnk"",""BD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 t="str">
        <f>IFERROR(__xludf.DUMMYFUNCTION("ifna(VALUE(REGEXEXTRACT(E215,""[0-9.]+[,]+[0-9]+"")))"),"")</f>
        <v/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0"/>
      <c r="C216" s="11"/>
      <c r="D216" s="179"/>
      <c r="E216" s="180"/>
      <c r="F216" s="188"/>
      <c r="G216" s="179"/>
      <c r="H216" s="190"/>
      <c r="I216" s="190"/>
      <c r="J216" s="187"/>
      <c r="K216" s="187"/>
      <c r="L216" s="184" t="str">
        <f>IFERROR(__xludf.DUMMYFUNCTION("ifna(IF(and(D216=""Saída"",J216=""Sangria""),if(sum(QUERY(IMPORTRANGE(""https://docs.google.com/spreadsheets/d/1E4szPcLzsqlw4uyBAoJ61L1ChCgpz4wVP8tHfHW1g_c"",""BD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'""&amp;YEAR(C216)&amp;""-""&amp;MONTH(C216)&amp;""-""&amp;DAY(C216)&amp;""'""))&gt;0,""Depositada"",if(sum(QUERY(IMPORTRANGE(""https://docs.google.com/spreadsheets/d/1EcLIvUgMoBC5as4ikW0wuQsGH5yVZ6cQ1y16qEfgPnk"",""BD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 t="str">
        <f>IFERROR(__xludf.DUMMYFUNCTION("ifna(VALUE(REGEXEXTRACT(E216,""[0-9.]+[,]+[0-9]+"")))"),"")</f>
        <v/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0"/>
      <c r="C217" s="11"/>
      <c r="D217" s="179"/>
      <c r="E217" s="180"/>
      <c r="F217" s="181"/>
      <c r="G217" s="179"/>
      <c r="H217" s="190"/>
      <c r="I217" s="190"/>
      <c r="J217" s="187"/>
      <c r="K217" s="187"/>
      <c r="L217" s="184" t="str">
        <f>IFERROR(__xludf.DUMMYFUNCTION("ifna(IF(and(D217=""Saída"",J217=""Sangria""),if(sum(QUERY(IMPORTRANGE(""https://docs.google.com/spreadsheets/d/1E4szPcLzsqlw4uyBAoJ61L1ChCgpz4wVP8tHfHW1g_c"",""BD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'""&amp;YEAR(C217)&amp;""-""&amp;MONTH(C217)&amp;""-""&amp;DAY(C217)&amp;""'""))&gt;0,""Depositada"",if(sum(QUERY(IMPORTRANGE(""https://docs.google.com/spreadsheets/d/1EcLIvUgMoBC5as4ikW0wuQsGH5yVZ6cQ1y16qEfgPnk"",""BD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 t="str">
        <f>IFERROR(__xludf.DUMMYFUNCTION("ifna(VALUE(REGEXEXTRACT(E217,""[0-9.]+[,]+[0-9]+"")))"),"")</f>
        <v/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0"/>
      <c r="C218" s="11"/>
      <c r="D218" s="179"/>
      <c r="E218" s="180"/>
      <c r="F218" s="181"/>
      <c r="G218" s="179"/>
      <c r="H218" s="190"/>
      <c r="I218" s="190"/>
      <c r="J218" s="187"/>
      <c r="K218" s="187"/>
      <c r="L218" s="184" t="str">
        <f>IFERROR(__xludf.DUMMYFUNCTION("ifna(IF(and(D218=""Saída"",J218=""Sangria""),if(sum(QUERY(IMPORTRANGE(""https://docs.google.com/spreadsheets/d/1E4szPcLzsqlw4uyBAoJ61L1ChCgpz4wVP8tHfHW1g_c"",""BD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'""&amp;YEAR(C218)&amp;""-""&amp;MONTH(C218)&amp;""-""&amp;DAY(C218)&amp;""'""))&gt;0,""Depositada"",if(sum(QUERY(IMPORTRANGE(""https://docs.google.com/spreadsheets/d/1EcLIvUgMoBC5as4ikW0wuQsGH5yVZ6cQ1y16qEfgPnk"",""BD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 t="str">
        <f>IFERROR(__xludf.DUMMYFUNCTION("ifna(VALUE(REGEXEXTRACT(E218,""[0-9.]+[,]+[0-9]+"")))"),"")</f>
        <v/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0"/>
      <c r="C219" s="11"/>
      <c r="D219" s="179"/>
      <c r="E219" s="180"/>
      <c r="F219" s="181"/>
      <c r="G219" s="179"/>
      <c r="H219" s="190"/>
      <c r="I219" s="190"/>
      <c r="J219" s="187"/>
      <c r="K219" s="187"/>
      <c r="L219" s="184" t="str">
        <f>IFERROR(__xludf.DUMMYFUNCTION("ifna(IF(and(D219=""Saída"",J219=""Sangria""),if(sum(QUERY(IMPORTRANGE(""https://docs.google.com/spreadsheets/d/1E4szPcLzsqlw4uyBAoJ61L1ChCgpz4wVP8tHfHW1g_c"",""BD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'""&amp;YEAR(C219)&amp;""-""&amp;MONTH(C219)&amp;""-""&amp;DAY(C219)&amp;""'""))&gt;0,""Depositada"",if(sum(QUERY(IMPORTRANGE(""https://docs.google.com/spreadsheets/d/1EcLIvUgMoBC5as4ikW0wuQsGH5yVZ6cQ1y16qEfgPnk"",""BD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 t="str">
        <f>IFERROR(__xludf.DUMMYFUNCTION("ifna(VALUE(REGEXEXTRACT(E219,""[0-9.]+[,]+[0-9]+"")))"),"")</f>
        <v/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0"/>
      <c r="C220" s="11"/>
      <c r="D220" s="179"/>
      <c r="E220" s="180"/>
      <c r="F220" s="181"/>
      <c r="G220" s="179"/>
      <c r="H220" s="190"/>
      <c r="I220" s="190"/>
      <c r="J220" s="187"/>
      <c r="K220" s="187"/>
      <c r="L220" s="184" t="str">
        <f>IFERROR(__xludf.DUMMYFUNCTION("ifna(IF(and(D220=""Saída"",J220=""Sangria""),if(sum(QUERY(IMPORTRANGE(""https://docs.google.com/spreadsheets/d/1E4szPcLzsqlw4uyBAoJ61L1ChCgpz4wVP8tHfHW1g_c"",""BD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'""&amp;YEAR(C220)&amp;""-""&amp;MONTH(C220)&amp;""-""&amp;DAY(C220)&amp;""'""))&gt;0,""Depositada"",if(sum(QUERY(IMPORTRANGE(""https://docs.google.com/spreadsheets/d/1EcLIvUgMoBC5as4ikW0wuQsGH5yVZ6cQ1y16qEfgPnk"",""BD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 t="str">
        <f>IFERROR(__xludf.DUMMYFUNCTION("ifna(VALUE(REGEXEXTRACT(E220,""[0-9.]+[,]+[0-9]+"")))"),"")</f>
        <v/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0"/>
      <c r="C221" s="11"/>
      <c r="D221" s="179"/>
      <c r="E221" s="180"/>
      <c r="F221" s="181"/>
      <c r="G221" s="179"/>
      <c r="H221" s="190"/>
      <c r="I221" s="190"/>
      <c r="J221" s="187"/>
      <c r="K221" s="187"/>
      <c r="L221" s="184" t="str">
        <f>IFERROR(__xludf.DUMMYFUNCTION("ifna(IF(and(D221=""Saída"",J221=""Sangria""),if(sum(QUERY(IMPORTRANGE(""https://docs.google.com/spreadsheets/d/1E4szPcLzsqlw4uyBAoJ61L1ChCgpz4wVP8tHfHW1g_c"",""BD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'""&amp;YEAR(C221)&amp;""-""&amp;MONTH(C221)&amp;""-""&amp;DAY(C221)&amp;""'""))&gt;0,""Depositada"",if(sum(QUERY(IMPORTRANGE(""https://docs.google.com/spreadsheets/d/1EcLIvUgMoBC5as4ikW0wuQsGH5yVZ6cQ1y16qEfgPnk"",""BD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 t="str">
        <f>IFERROR(__xludf.DUMMYFUNCTION("ifna(VALUE(REGEXEXTRACT(E221,""[0-9.]+[,]+[0-9]+"")))"),"")</f>
        <v/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0"/>
      <c r="C222" s="11"/>
      <c r="D222" s="179"/>
      <c r="E222" s="180"/>
      <c r="F222" s="181"/>
      <c r="G222" s="179"/>
      <c r="H222" s="190"/>
      <c r="I222" s="190"/>
      <c r="J222" s="187"/>
      <c r="K222" s="187"/>
      <c r="L222" s="184" t="str">
        <f>IFERROR(__xludf.DUMMYFUNCTION("ifna(IF(and(D222=""Saída"",J222=""Sangria""),if(sum(QUERY(IMPORTRANGE(""https://docs.google.com/spreadsheets/d/1E4szPcLzsqlw4uyBAoJ61L1ChCgpz4wVP8tHfHW1g_c"",""BD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'""&amp;YEAR(C222)&amp;""-""&amp;MONTH(C222)&amp;""-""&amp;DAY(C222)&amp;""'""))&gt;0,""Depositada"",if(sum(QUERY(IMPORTRANGE(""https://docs.google.com/spreadsheets/d/1EcLIvUgMoBC5as4ikW0wuQsGH5yVZ6cQ1y16qEfgPnk"",""BD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 t="str">
        <f>IFERROR(__xludf.DUMMYFUNCTION("ifna(VALUE(REGEXEXTRACT(E222,""[0-9.]+[,]+[0-9]+"")))"),"")</f>
        <v/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0"/>
      <c r="C223" s="11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IFERROR(__xludf.DUMMYFUNCTION("ifna(IF(and(D223=""Saída"",J223=""Sangria""),if(sum(QUERY(IMPORTRANGE(""https://docs.google.com/spreadsheets/d/1E4szPcLzsqlw4uyBAoJ61L1ChCgpz4wVP8tHfHW1g_c"",""BD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'""&amp;YEAR(C223)&amp;""-""&amp;MONTH(C223)&amp;""-""&amp;DAY(C223)&amp;""'""))&gt;0,""Depositada"",if(sum(QUERY(IMPORTRANGE(""https://docs.google.com/spreadsheets/d/1EcLIvUgMoBC5as4ikW0wuQsGH5yVZ6cQ1y16qEfgPnk"",""BD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0"/>
      <c r="C224" s="11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IFERROR(__xludf.DUMMYFUNCTION("ifna(IF(and(D224=""Saída"",J224=""Sangria""),if(sum(QUERY(IMPORTRANGE(""https://docs.google.com/spreadsheets/d/1E4szPcLzsqlw4uyBAoJ61L1ChCgpz4wVP8tHfHW1g_c"",""BD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'""&amp;YEAR(C224)&amp;""-""&amp;MONTH(C224)&amp;""-""&amp;DAY(C224)&amp;""'""))&gt;0,""Depositada"",if(sum(QUERY(IMPORTRANGE(""https://docs.google.com/spreadsheets/d/1EcLIvUgMoBC5as4ikW0wuQsGH5yVZ6cQ1y16qEfgPnk"",""BD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0"/>
      <c r="C225" s="11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IFERROR(__xludf.DUMMYFUNCTION("ifna(IF(and(D225=""Saída"",J225=""Sangria""),if(sum(QUERY(IMPORTRANGE(""https://docs.google.com/spreadsheets/d/1E4szPcLzsqlw4uyBAoJ61L1ChCgpz4wVP8tHfHW1g_c"",""BD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'""&amp;YEAR(C225)&amp;""-""&amp;MONTH(C225)&amp;""-""&amp;DAY(C225)&amp;""'""))&gt;0,""Depositada"",if(sum(QUERY(IMPORTRANGE(""https://docs.google.com/spreadsheets/d/1EcLIvUgMoBC5as4ikW0wuQsGH5yVZ6cQ1y16qEfgPnk"",""BD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0"/>
      <c r="C226" s="11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IFERROR(__xludf.DUMMYFUNCTION("ifna(IF(and(D226=""Saída"",J226=""Sangria""),if(sum(QUERY(IMPORTRANGE(""https://docs.google.com/spreadsheets/d/1E4szPcLzsqlw4uyBAoJ61L1ChCgpz4wVP8tHfHW1g_c"",""BD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'""&amp;YEAR(C226)&amp;""-""&amp;MONTH(C226)&amp;""-""&amp;DAY(C226)&amp;""'""))&gt;0,""Depositada"",if(sum(QUERY(IMPORTRANGE(""https://docs.google.com/spreadsheets/d/1EcLIvUgMoBC5as4ikW0wuQsGH5yVZ6cQ1y16qEfgPnk"",""BD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0"/>
      <c r="C227" s="11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IFERROR(__xludf.DUMMYFUNCTION("ifna(IF(and(D227=""Saída"",J227=""Sangria""),if(sum(QUERY(IMPORTRANGE(""https://docs.google.com/spreadsheets/d/1E4szPcLzsqlw4uyBAoJ61L1ChCgpz4wVP8tHfHW1g_c"",""BD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'""&amp;YEAR(C227)&amp;""-""&amp;MONTH(C227)&amp;""-""&amp;DAY(C227)&amp;""'""))&gt;0,""Depositada"",if(sum(QUERY(IMPORTRANGE(""https://docs.google.com/spreadsheets/d/1EcLIvUgMoBC5as4ikW0wuQsGH5yVZ6cQ1y16qEfgPnk"",""BD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0"/>
      <c r="C228" s="11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IFERROR(__xludf.DUMMYFUNCTION("ifna(IF(and(D228=""Saída"",J228=""Sangria""),if(sum(QUERY(IMPORTRANGE(""https://docs.google.com/spreadsheets/d/1E4szPcLzsqlw4uyBAoJ61L1ChCgpz4wVP8tHfHW1g_c"",""BD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'""&amp;YEAR(C228)&amp;""-""&amp;MONTH(C228)&amp;""-""&amp;DAY(C228)&amp;""'""))&gt;0,""Depositada"",if(sum(QUERY(IMPORTRANGE(""https://docs.google.com/spreadsheets/d/1EcLIvUgMoBC5as4ikW0wuQsGH5yVZ6cQ1y16qEfgPnk"",""BD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IFERROR(__xludf.DUMMYFUNCTION("ifna(IF(and(D229=""Saída"",J229=""Sangria""),if(sum(QUERY(IMPORTRANGE(""https://docs.google.com/spreadsheets/d/1E4szPcLzsqlw4uyBAoJ61L1ChCgpz4wVP8tHfHW1g_c"",""BD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'""&amp;YEAR(C229)&amp;""-""&amp;MONTH(C229)&amp;""-""&amp;DAY(C229)&amp;""'""))&gt;0,""Depositada"",if(sum(QUERY(IMPORTRANGE(""https://docs.google.com/spreadsheets/d/1EcLIvUgMoBC5as4ikW0wuQsGH5yVZ6cQ1y16qEfgPnk"",""BD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IFERROR(__xludf.DUMMYFUNCTION("ifna(IF(and(D230=""Saída"",J230=""Sangria""),if(sum(QUERY(IMPORTRANGE(""https://docs.google.com/spreadsheets/d/1E4szPcLzsqlw4uyBAoJ61L1ChCgpz4wVP8tHfHW1g_c"",""BD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'""&amp;YEAR(C230)&amp;""-""&amp;MONTH(C230)&amp;""-""&amp;DAY(C230)&amp;""'""))&gt;0,""Depositada"",if(sum(QUERY(IMPORTRANGE(""https://docs.google.com/spreadsheets/d/1EcLIvUgMoBC5as4ikW0wuQsGH5yVZ6cQ1y16qEfgPnk"",""BD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IFERROR(__xludf.DUMMYFUNCTION("ifna(IF(and(D231=""Saída"",J231=""Sangria""),if(sum(QUERY(IMPORTRANGE(""https://docs.google.com/spreadsheets/d/1E4szPcLzsqlw4uyBAoJ61L1ChCgpz4wVP8tHfHW1g_c"",""BD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'""&amp;YEAR(C231)&amp;""-""&amp;MONTH(C231)&amp;""-""&amp;DAY(C231)&amp;""'""))&gt;0,""Depositada"",if(sum(QUERY(IMPORTRANGE(""https://docs.google.com/spreadsheets/d/1EcLIvUgMoBC5as4ikW0wuQsGH5yVZ6cQ1y16qEfgPnk"",""BD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0"/>
      <c r="C232" s="11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IFERROR(__xludf.DUMMYFUNCTION("ifna(IF(and(D232=""Saída"",J232=""Sangria""),if(sum(QUERY(IMPORTRANGE(""https://docs.google.com/spreadsheets/d/1E4szPcLzsqlw4uyBAoJ61L1ChCgpz4wVP8tHfHW1g_c"",""BD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'""&amp;YEAR(C232)&amp;""-""&amp;MONTH(C232)&amp;""-""&amp;DAY(C232)&amp;""'""))&gt;0,""Depositada"",if(sum(QUERY(IMPORTRANGE(""https://docs.google.com/spreadsheets/d/1EcLIvUgMoBC5as4ikW0wuQsGH5yVZ6cQ1y16qEfgPnk"",""BD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IFERROR(__xludf.DUMMYFUNCTION("ifna(IF(and(D233=""Saída"",J233=""Sangria""),if(sum(QUERY(IMPORTRANGE(""https://docs.google.com/spreadsheets/d/1E4szPcLzsqlw4uyBAoJ61L1ChCgpz4wVP8tHfHW1g_c"",""BD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'""&amp;YEAR(C233)&amp;""-""&amp;MONTH(C233)&amp;""-""&amp;DAY(C233)&amp;""'""))&gt;0,""Depositada"",if(sum(QUERY(IMPORTRANGE(""https://docs.google.com/spreadsheets/d/1EcLIvUgMoBC5as4ikW0wuQsGH5yVZ6cQ1y16qEfgPnk"",""BD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0"/>
      <c r="C234" s="11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IFERROR(__xludf.DUMMYFUNCTION("ifna(IF(and(D234=""Saída"",J234=""Sangria""),if(sum(QUERY(IMPORTRANGE(""https://docs.google.com/spreadsheets/d/1E4szPcLzsqlw4uyBAoJ61L1ChCgpz4wVP8tHfHW1g_c"",""BD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'""&amp;YEAR(C234)&amp;""-""&amp;MONTH(C234)&amp;""-""&amp;DAY(C234)&amp;""'""))&gt;0,""Depositada"",if(sum(QUERY(IMPORTRANGE(""https://docs.google.com/spreadsheets/d/1EcLIvUgMoBC5as4ikW0wuQsGH5yVZ6cQ1y16qEfgPnk"",""BD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1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IFERROR(__xludf.DUMMYFUNCTION("ifna(IF(and(D235=""Saída"",J235=""Sangria""),if(sum(QUERY(IMPORTRANGE(""https://docs.google.com/spreadsheets/d/1E4szPcLzsqlw4uyBAoJ61L1ChCgpz4wVP8tHfHW1g_c"",""BD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'""&amp;YEAR(C235)&amp;""-""&amp;MONTH(C235)&amp;""-""&amp;DAY(C235)&amp;""'""))&gt;0,""Depositada"",if(sum(QUERY(IMPORTRANGE(""https://docs.google.com/spreadsheets/d/1EcLIvUgMoBC5as4ikW0wuQsGH5yVZ6cQ1y16qEfgPnk"",""BD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IFERROR(__xludf.DUMMYFUNCTION("ifna(IF(and(D236=""Saída"",J236=""Sangria""),if(sum(QUERY(IMPORTRANGE(""https://docs.google.com/spreadsheets/d/1E4szPcLzsqlw4uyBAoJ61L1ChCgpz4wVP8tHfHW1g_c"",""BD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'""&amp;YEAR(C236)&amp;""-""&amp;MONTH(C236)&amp;""-""&amp;DAY(C236)&amp;""'""))&gt;0,""Depositada"",if(sum(QUERY(IMPORTRANGE(""https://docs.google.com/spreadsheets/d/1EcLIvUgMoBC5as4ikW0wuQsGH5yVZ6cQ1y16qEfgPnk"",""BD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IFERROR(__xludf.DUMMYFUNCTION("ifna(IF(and(D237=""Saída"",J237=""Sangria""),if(sum(QUERY(IMPORTRANGE(""https://docs.google.com/spreadsheets/d/1E4szPcLzsqlw4uyBAoJ61L1ChCgpz4wVP8tHfHW1g_c"",""BD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'""&amp;YEAR(C237)&amp;""-""&amp;MONTH(C237)&amp;""-""&amp;DAY(C237)&amp;""'""))&gt;0,""Depositada"",if(sum(QUERY(IMPORTRANGE(""https://docs.google.com/spreadsheets/d/1EcLIvUgMoBC5as4ikW0wuQsGH5yVZ6cQ1y16qEfgPnk"",""BD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IFERROR(__xludf.DUMMYFUNCTION("ifna(IF(and(D238=""Saída"",J238=""Sangria""),if(sum(QUERY(IMPORTRANGE(""https://docs.google.com/spreadsheets/d/1E4szPcLzsqlw4uyBAoJ61L1ChCgpz4wVP8tHfHW1g_c"",""BD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'""&amp;YEAR(C238)&amp;""-""&amp;MONTH(C238)&amp;""-""&amp;DAY(C238)&amp;""'""))&gt;0,""Depositada"",if(sum(QUERY(IMPORTRANGE(""https://docs.google.com/spreadsheets/d/1EcLIvUgMoBC5as4ikW0wuQsGH5yVZ6cQ1y16qEfgPnk"",""BD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IFERROR(__xludf.DUMMYFUNCTION("ifna(IF(and(D239=""Saída"",J239=""Sangria""),if(sum(QUERY(IMPORTRANGE(""https://docs.google.com/spreadsheets/d/1E4szPcLzsqlw4uyBAoJ61L1ChCgpz4wVP8tHfHW1g_c"",""BD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'""&amp;YEAR(C239)&amp;""-""&amp;MONTH(C239)&amp;""-""&amp;DAY(C239)&amp;""'""))&gt;0,""Depositada"",if(sum(QUERY(IMPORTRANGE(""https://docs.google.com/spreadsheets/d/1EcLIvUgMoBC5as4ikW0wuQsGH5yVZ6cQ1y16qEfgPnk"",""BD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IFERROR(__xludf.DUMMYFUNCTION("ifna(IF(and(D240=""Saída"",J240=""Sangria""),if(sum(QUERY(IMPORTRANGE(""https://docs.google.com/spreadsheets/d/1E4szPcLzsqlw4uyBAoJ61L1ChCgpz4wVP8tHfHW1g_c"",""BD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'""&amp;YEAR(C240)&amp;""-""&amp;MONTH(C240)&amp;""-""&amp;DAY(C240)&amp;""'""))&gt;0,""Depositada"",if(sum(QUERY(IMPORTRANGE(""https://docs.google.com/spreadsheets/d/1EcLIvUgMoBC5as4ikW0wuQsGH5yVZ6cQ1y16qEfgPnk"",""BD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IFERROR(__xludf.DUMMYFUNCTION("ifna(IF(and(D241=""Saída"",J241=""Sangria""),if(sum(QUERY(IMPORTRANGE(""https://docs.google.com/spreadsheets/d/1E4szPcLzsqlw4uyBAoJ61L1ChCgpz4wVP8tHfHW1g_c"",""BD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'""&amp;YEAR(C241)&amp;""-""&amp;MONTH(C241)&amp;""-""&amp;DAY(C241)&amp;""'""))&gt;0,""Depositada"",if(sum(QUERY(IMPORTRANGE(""https://docs.google.com/spreadsheets/d/1EcLIvUgMoBC5as4ikW0wuQsGH5yVZ6cQ1y16qEfgPnk"",""BD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IFERROR(__xludf.DUMMYFUNCTION("ifna(IF(and(D242=""Saída"",J242=""Sangria""),if(sum(QUERY(IMPORTRANGE(""https://docs.google.com/spreadsheets/d/1E4szPcLzsqlw4uyBAoJ61L1ChCgpz4wVP8tHfHW1g_c"",""BD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'""&amp;YEAR(C242)&amp;""-""&amp;MONTH(C242)&amp;""-""&amp;DAY(C242)&amp;""'""))&gt;0,""Depositada"",if(sum(QUERY(IMPORTRANGE(""https://docs.google.com/spreadsheets/d/1EcLIvUgMoBC5as4ikW0wuQsGH5yVZ6cQ1y16qEfgPnk"",""BD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IFERROR(__xludf.DUMMYFUNCTION("ifna(IF(and(D243=""Saída"",J243=""Sangria""),if(sum(QUERY(IMPORTRANGE(""https://docs.google.com/spreadsheets/d/1E4szPcLzsqlw4uyBAoJ61L1ChCgpz4wVP8tHfHW1g_c"",""BD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'""&amp;YEAR(C243)&amp;""-""&amp;MONTH(C243)&amp;""-""&amp;DAY(C243)&amp;""'""))&gt;0,""Depositada"",if(sum(QUERY(IMPORTRANGE(""https://docs.google.com/spreadsheets/d/1EcLIvUgMoBC5as4ikW0wuQsGH5yVZ6cQ1y16qEfgPnk"",""BD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IFERROR(__xludf.DUMMYFUNCTION("ifna(IF(and(D244=""Saída"",J244=""Sangria""),if(sum(QUERY(IMPORTRANGE(""https://docs.google.com/spreadsheets/d/1E4szPcLzsqlw4uyBAoJ61L1ChCgpz4wVP8tHfHW1g_c"",""BD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'""&amp;YEAR(C244)&amp;""-""&amp;MONTH(C244)&amp;""-""&amp;DAY(C244)&amp;""'""))&gt;0,""Depositada"",if(sum(QUERY(IMPORTRANGE(""https://docs.google.com/spreadsheets/d/1EcLIvUgMoBC5as4ikW0wuQsGH5yVZ6cQ1y16qEfgPnk"",""BD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IFERROR(__xludf.DUMMYFUNCTION("ifna(IF(and(D245=""Saída"",J245=""Sangria""),if(sum(QUERY(IMPORTRANGE(""https://docs.google.com/spreadsheets/d/1E4szPcLzsqlw4uyBAoJ61L1ChCgpz4wVP8tHfHW1g_c"",""BD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'""&amp;YEAR(C245)&amp;""-""&amp;MONTH(C245)&amp;""-""&amp;DAY(C245)&amp;""'""))&gt;0,""Depositada"",if(sum(QUERY(IMPORTRANGE(""https://docs.google.com/spreadsheets/d/1EcLIvUgMoBC5as4ikW0wuQsGH5yVZ6cQ1y16qEfgPnk"",""BD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IFERROR(__xludf.DUMMYFUNCTION("ifna(IF(and(D246=""Saída"",J246=""Sangria""),if(sum(QUERY(IMPORTRANGE(""https://docs.google.com/spreadsheets/d/1E4szPcLzsqlw4uyBAoJ61L1ChCgpz4wVP8tHfHW1g_c"",""BD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'""&amp;YEAR(C246)&amp;""-""&amp;MONTH(C246)&amp;""-""&amp;DAY(C246)&amp;""'""))&gt;0,""Depositada"",if(sum(QUERY(IMPORTRANGE(""https://docs.google.com/spreadsheets/d/1EcLIvUgMoBC5as4ikW0wuQsGH5yVZ6cQ1y16qEfgPnk"",""BD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IFERROR(__xludf.DUMMYFUNCTION("ifna(IF(and(D247=""Saída"",J247=""Sangria""),if(sum(QUERY(IMPORTRANGE(""https://docs.google.com/spreadsheets/d/1E4szPcLzsqlw4uyBAoJ61L1ChCgpz4wVP8tHfHW1g_c"",""BD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'""&amp;YEAR(C247)&amp;""-""&amp;MONTH(C247)&amp;""-""&amp;DAY(C247)&amp;""'""))&gt;0,""Depositada"",if(sum(QUERY(IMPORTRANGE(""https://docs.google.com/spreadsheets/d/1EcLIvUgMoBC5as4ikW0wuQsGH5yVZ6cQ1y16qEfgPnk"",""BD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IFERROR(__xludf.DUMMYFUNCTION("ifna(IF(and(D248=""Saída"",J248=""Sangria""),if(sum(QUERY(IMPORTRANGE(""https://docs.google.com/spreadsheets/d/1E4szPcLzsqlw4uyBAoJ61L1ChCgpz4wVP8tHfHW1g_c"",""BD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'""&amp;YEAR(C248)&amp;""-""&amp;MONTH(C248)&amp;""-""&amp;DAY(C248)&amp;""'""))&gt;0,""Depositada"",if(sum(QUERY(IMPORTRANGE(""https://docs.google.com/spreadsheets/d/1EcLIvUgMoBC5as4ikW0wuQsGH5yVZ6cQ1y16qEfgPnk"",""BD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IFERROR(__xludf.DUMMYFUNCTION("ifna(IF(and(D249=""Saída"",J249=""Sangria""),if(sum(QUERY(IMPORTRANGE(""https://docs.google.com/spreadsheets/d/1E4szPcLzsqlw4uyBAoJ61L1ChCgpz4wVP8tHfHW1g_c"",""BD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'""&amp;YEAR(C249)&amp;""-""&amp;MONTH(C249)&amp;""-""&amp;DAY(C249)&amp;""'""))&gt;0,""Depositada"",if(sum(QUERY(IMPORTRANGE(""https://docs.google.com/spreadsheets/d/1EcLIvUgMoBC5as4ikW0wuQsGH5yVZ6cQ1y16qEfgPnk"",""BD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IFERROR(__xludf.DUMMYFUNCTION("ifna(IF(and(D250=""Saída"",J250=""Sangria""),if(sum(QUERY(IMPORTRANGE(""https://docs.google.com/spreadsheets/d/1E4szPcLzsqlw4uyBAoJ61L1ChCgpz4wVP8tHfHW1g_c"",""BD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'""&amp;YEAR(C250)&amp;""-""&amp;MONTH(C250)&amp;""-""&amp;DAY(C250)&amp;""'""))&gt;0,""Depositada"",if(sum(QUERY(IMPORTRANGE(""https://docs.google.com/spreadsheets/d/1EcLIvUgMoBC5as4ikW0wuQsGH5yVZ6cQ1y16qEfgPnk"",""BD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IFERROR(__xludf.DUMMYFUNCTION("ifna(IF(and(D251=""Saída"",J251=""Sangria""),if(sum(QUERY(IMPORTRANGE(""https://docs.google.com/spreadsheets/d/1E4szPcLzsqlw4uyBAoJ61L1ChCgpz4wVP8tHfHW1g_c"",""BD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'""&amp;YEAR(C251)&amp;""-""&amp;MONTH(C251)&amp;""-""&amp;DAY(C251)&amp;""'""))&gt;0,""Depositada"",if(sum(QUERY(IMPORTRANGE(""https://docs.google.com/spreadsheets/d/1EcLIvUgMoBC5as4ikW0wuQsGH5yVZ6cQ1y16qEfgPnk"",""BD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IFERROR(__xludf.DUMMYFUNCTION("ifna(IF(and(D252=""Saída"",J252=""Sangria""),if(sum(QUERY(IMPORTRANGE(""https://docs.google.com/spreadsheets/d/1E4szPcLzsqlw4uyBAoJ61L1ChCgpz4wVP8tHfHW1g_c"",""BD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'""&amp;YEAR(C252)&amp;""-""&amp;MONTH(C252)&amp;""-""&amp;DAY(C252)&amp;""'""))&gt;0,""Depositada"",if(sum(QUERY(IMPORTRANGE(""https://docs.google.com/spreadsheets/d/1EcLIvUgMoBC5as4ikW0wuQsGH5yVZ6cQ1y16qEfgPnk"",""BD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IFERROR(__xludf.DUMMYFUNCTION("ifna(IF(and(D253=""Saída"",J253=""Sangria""),if(sum(QUERY(IMPORTRANGE(""https://docs.google.com/spreadsheets/d/1E4szPcLzsqlw4uyBAoJ61L1ChCgpz4wVP8tHfHW1g_c"",""BD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'""&amp;YEAR(C253)&amp;""-""&amp;MONTH(C253)&amp;""-""&amp;DAY(C253)&amp;""'""))&gt;0,""Depositada"",if(sum(QUERY(IMPORTRANGE(""https://docs.google.com/spreadsheets/d/1EcLIvUgMoBC5as4ikW0wuQsGH5yVZ6cQ1y16qEfgPnk"",""BD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IFERROR(__xludf.DUMMYFUNCTION("ifna(IF(and(D254=""Saída"",J254=""Sangria""),if(sum(QUERY(IMPORTRANGE(""https://docs.google.com/spreadsheets/d/1E4szPcLzsqlw4uyBAoJ61L1ChCgpz4wVP8tHfHW1g_c"",""BD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'""&amp;YEAR(C254)&amp;""-""&amp;MONTH(C254)&amp;""-""&amp;DAY(C254)&amp;""'""))&gt;0,""Depositada"",if(sum(QUERY(IMPORTRANGE(""https://docs.google.com/spreadsheets/d/1EcLIvUgMoBC5as4ikW0wuQsGH5yVZ6cQ1y16qEfgPnk"",""BD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IFERROR(__xludf.DUMMYFUNCTION("ifna(IF(and(D255=""Saída"",J255=""Sangria""),if(sum(QUERY(IMPORTRANGE(""https://docs.google.com/spreadsheets/d/1E4szPcLzsqlw4uyBAoJ61L1ChCgpz4wVP8tHfHW1g_c"",""BD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'""&amp;YEAR(C255)&amp;""-""&amp;MONTH(C255)&amp;""-""&amp;DAY(C255)&amp;""'""))&gt;0,""Depositada"",if(sum(QUERY(IMPORTRANGE(""https://docs.google.com/spreadsheets/d/1EcLIvUgMoBC5as4ikW0wuQsGH5yVZ6cQ1y16qEfgPnk"",""BD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IFERROR(__xludf.DUMMYFUNCTION("ifna(IF(and(D256=""Saída"",J256=""Sangria""),if(sum(QUERY(IMPORTRANGE(""https://docs.google.com/spreadsheets/d/1E4szPcLzsqlw4uyBAoJ61L1ChCgpz4wVP8tHfHW1g_c"",""BD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'""&amp;YEAR(C256)&amp;""-""&amp;MONTH(C256)&amp;""-""&amp;DAY(C256)&amp;""'""))&gt;0,""Depositada"",if(sum(QUERY(IMPORTRANGE(""https://docs.google.com/spreadsheets/d/1EcLIvUgMoBC5as4ikW0wuQsGH5yVZ6cQ1y16qEfgPnk"",""BD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IFERROR(__xludf.DUMMYFUNCTION("ifna(IF(and(D257=""Saída"",J257=""Sangria""),if(sum(QUERY(IMPORTRANGE(""https://docs.google.com/spreadsheets/d/1E4szPcLzsqlw4uyBAoJ61L1ChCgpz4wVP8tHfHW1g_c"",""BD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'""&amp;YEAR(C257)&amp;""-""&amp;MONTH(C257)&amp;""-""&amp;DAY(C257)&amp;""'""))&gt;0,""Depositada"",if(sum(QUERY(IMPORTRANGE(""https://docs.google.com/spreadsheets/d/1EcLIvUgMoBC5as4ikW0wuQsGH5yVZ6cQ1y16qEfgPnk"",""BD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IFERROR(__xludf.DUMMYFUNCTION("ifna(IF(and(D258=""Saída"",J258=""Sangria""),if(sum(QUERY(IMPORTRANGE(""https://docs.google.com/spreadsheets/d/1E4szPcLzsqlw4uyBAoJ61L1ChCgpz4wVP8tHfHW1g_c"",""BD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'""&amp;YEAR(C258)&amp;""-""&amp;MONTH(C258)&amp;""-""&amp;DAY(C258)&amp;""'""))&gt;0,""Depositada"",if(sum(QUERY(IMPORTRANGE(""https://docs.google.com/spreadsheets/d/1EcLIvUgMoBC5as4ikW0wuQsGH5yVZ6cQ1y16qEfgPnk"",""BD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IFERROR(__xludf.DUMMYFUNCTION("ifna(IF(and(D259=""Saída"",J259=""Sangria""),if(sum(QUERY(IMPORTRANGE(""https://docs.google.com/spreadsheets/d/1E4szPcLzsqlw4uyBAoJ61L1ChCgpz4wVP8tHfHW1g_c"",""BD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'""&amp;YEAR(C259)&amp;""-""&amp;MONTH(C259)&amp;""-""&amp;DAY(C259)&amp;""'""))&gt;0,""Depositada"",if(sum(QUERY(IMPORTRANGE(""https://docs.google.com/spreadsheets/d/1EcLIvUgMoBC5as4ikW0wuQsGH5yVZ6cQ1y16qEfgPnk"",""BD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IFERROR(__xludf.DUMMYFUNCTION("ifna(IF(and(D260=""Saída"",J260=""Sangria""),if(sum(QUERY(IMPORTRANGE(""https://docs.google.com/spreadsheets/d/1E4szPcLzsqlw4uyBAoJ61L1ChCgpz4wVP8tHfHW1g_c"",""BD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'""&amp;YEAR(C260)&amp;""-""&amp;MONTH(C260)&amp;""-""&amp;DAY(C260)&amp;""'""))&gt;0,""Depositada"",if(sum(QUERY(IMPORTRANGE(""https://docs.google.com/spreadsheets/d/1EcLIvUgMoBC5as4ikW0wuQsGH5yVZ6cQ1y16qEfgPnk"",""BD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IFERROR(__xludf.DUMMYFUNCTION("ifna(IF(and(D261=""Saída"",J261=""Sangria""),if(sum(QUERY(IMPORTRANGE(""https://docs.google.com/spreadsheets/d/1E4szPcLzsqlw4uyBAoJ61L1ChCgpz4wVP8tHfHW1g_c"",""BD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'""&amp;YEAR(C261)&amp;""-""&amp;MONTH(C261)&amp;""-""&amp;DAY(C261)&amp;""'""))&gt;0,""Depositada"",if(sum(QUERY(IMPORTRANGE(""https://docs.google.com/spreadsheets/d/1EcLIvUgMoBC5as4ikW0wuQsGH5yVZ6cQ1y16qEfgPnk"",""BD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IFERROR(__xludf.DUMMYFUNCTION("ifna(IF(and(D262=""Saída"",J262=""Sangria""),if(sum(QUERY(IMPORTRANGE(""https://docs.google.com/spreadsheets/d/1E4szPcLzsqlw4uyBAoJ61L1ChCgpz4wVP8tHfHW1g_c"",""BD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'""&amp;YEAR(C262)&amp;""-""&amp;MONTH(C262)&amp;""-""&amp;DAY(C262)&amp;""'""))&gt;0,""Depositada"",if(sum(QUERY(IMPORTRANGE(""https://docs.google.com/spreadsheets/d/1EcLIvUgMoBC5as4ikW0wuQsGH5yVZ6cQ1y16qEfgPnk"",""BD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IFERROR(__xludf.DUMMYFUNCTION("ifna(IF(and(D263=""Saída"",J263=""Sangria""),if(sum(QUERY(IMPORTRANGE(""https://docs.google.com/spreadsheets/d/1E4szPcLzsqlw4uyBAoJ61L1ChCgpz4wVP8tHfHW1g_c"",""BD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'""&amp;YEAR(C263)&amp;""-""&amp;MONTH(C263)&amp;""-""&amp;DAY(C263)&amp;""'""))&gt;0,""Depositada"",if(sum(QUERY(IMPORTRANGE(""https://docs.google.com/spreadsheets/d/1EcLIvUgMoBC5as4ikW0wuQsGH5yVZ6cQ1y16qEfgPnk"",""BD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IFERROR(__xludf.DUMMYFUNCTION("ifna(IF(and(D264=""Saída"",J264=""Sangria""),if(sum(QUERY(IMPORTRANGE(""https://docs.google.com/spreadsheets/d/1E4szPcLzsqlw4uyBAoJ61L1ChCgpz4wVP8tHfHW1g_c"",""BD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'""&amp;YEAR(C264)&amp;""-""&amp;MONTH(C264)&amp;""-""&amp;DAY(C264)&amp;""'""))&gt;0,""Depositada"",if(sum(QUERY(IMPORTRANGE(""https://docs.google.com/spreadsheets/d/1EcLIvUgMoBC5as4ikW0wuQsGH5yVZ6cQ1y16qEfgPnk"",""BD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IFERROR(__xludf.DUMMYFUNCTION("ifna(IF(and(D265=""Saída"",J265=""Sangria""),if(sum(QUERY(IMPORTRANGE(""https://docs.google.com/spreadsheets/d/1E4szPcLzsqlw4uyBAoJ61L1ChCgpz4wVP8tHfHW1g_c"",""BD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'""&amp;YEAR(C265)&amp;""-""&amp;MONTH(C265)&amp;""-""&amp;DAY(C265)&amp;""'""))&gt;0,""Depositada"",if(sum(QUERY(IMPORTRANGE(""https://docs.google.com/spreadsheets/d/1EcLIvUgMoBC5as4ikW0wuQsGH5yVZ6cQ1y16qEfgPnk"",""BD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IFERROR(__xludf.DUMMYFUNCTION("ifna(IF(and(D266=""Saída"",J266=""Sangria""),if(sum(QUERY(IMPORTRANGE(""https://docs.google.com/spreadsheets/d/1E4szPcLzsqlw4uyBAoJ61L1ChCgpz4wVP8tHfHW1g_c"",""BD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'""&amp;YEAR(C266)&amp;""-""&amp;MONTH(C266)&amp;""-""&amp;DAY(C266)&amp;""'""))&gt;0,""Depositada"",if(sum(QUERY(IMPORTRANGE(""https://docs.google.com/spreadsheets/d/1EcLIvUgMoBC5as4ikW0wuQsGH5yVZ6cQ1y16qEfgPnk"",""BD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IFERROR(__xludf.DUMMYFUNCTION("ifna(IF(and(D267=""Saída"",J267=""Sangria""),if(sum(QUERY(IMPORTRANGE(""https://docs.google.com/spreadsheets/d/1E4szPcLzsqlw4uyBAoJ61L1ChCgpz4wVP8tHfHW1g_c"",""BD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'""&amp;YEAR(C267)&amp;""-""&amp;MONTH(C267)&amp;""-""&amp;DAY(C267)&amp;""'""))&gt;0,""Depositada"",if(sum(QUERY(IMPORTRANGE(""https://docs.google.com/spreadsheets/d/1EcLIvUgMoBC5as4ikW0wuQsGH5yVZ6cQ1y16qEfgPnk"",""BD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184" t="str">
        <f>IFERROR(__xludf.DUMMYFUNCTION("ifna(IF(and(D268=""Saída"",J268=""Sangria""),if(sum(QUERY(IMPORTRANGE(""https://docs.google.com/spreadsheets/d/1E4szPcLzsqlw4uyBAoJ61L1ChCgpz4wVP8tHfHW1g_c"",""BD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'""&amp;YEAR(C268)&amp;""-""&amp;MONTH(C268)&amp;""-""&amp;DAY(C268)&amp;""'""))&gt;0,""Depositada"",if(sum(QUERY(IMPORTRANGE(""https://docs.google.com/spreadsheets/d/1EcLIvUgMoBC5as4ikW0wuQsGH5yVZ6cQ1y16qEfgPnk"",""BD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IFERROR(__xludf.DUMMYFUNCTION("ifna(IF(and(D269=""Saída"",J269=""Sangria""),if(sum(QUERY(IMPORTRANGE(""https://docs.google.com/spreadsheets/d/1E4szPcLzsqlw4uyBAoJ61L1ChCgpz4wVP8tHfHW1g_c"",""BD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'""&amp;YEAR(C269)&amp;""-""&amp;MONTH(C269)&amp;""-""&amp;DAY(C269)&amp;""'""))&gt;0,""Depositada"",if(sum(QUERY(IMPORTRANGE(""https://docs.google.com/spreadsheets/d/1EcLIvUgMoBC5as4ikW0wuQsGH5yVZ6cQ1y16qEfgPnk"",""BD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IFERROR(__xludf.DUMMYFUNCTION("ifna(IF(and(D270=""Saída"",J270=""Sangria""),if(sum(QUERY(IMPORTRANGE(""https://docs.google.com/spreadsheets/d/1E4szPcLzsqlw4uyBAoJ61L1ChCgpz4wVP8tHfHW1g_c"",""BD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'""&amp;YEAR(C270)&amp;""-""&amp;MONTH(C270)&amp;""-""&amp;DAY(C270)&amp;""'""))&gt;0,""Depositada"",if(sum(QUERY(IMPORTRANGE(""https://docs.google.com/spreadsheets/d/1EcLIvUgMoBC5as4ikW0wuQsGH5yVZ6cQ1y16qEfgPnk"",""BD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IFERROR(__xludf.DUMMYFUNCTION("ifna(IF(and(D271=""Saída"",J271=""Sangria""),if(sum(QUERY(IMPORTRANGE(""https://docs.google.com/spreadsheets/d/1E4szPcLzsqlw4uyBAoJ61L1ChCgpz4wVP8tHfHW1g_c"",""BD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'""&amp;YEAR(C271)&amp;""-""&amp;MONTH(C271)&amp;""-""&amp;DAY(C271)&amp;""'""))&gt;0,""Depositada"",if(sum(QUERY(IMPORTRANGE(""https://docs.google.com/spreadsheets/d/1EcLIvUgMoBC5as4ikW0wuQsGH5yVZ6cQ1y16qEfgPnk"",""BD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IFERROR(__xludf.DUMMYFUNCTION("ifna(IF(and(D272=""Saída"",J272=""Sangria""),if(sum(QUERY(IMPORTRANGE(""https://docs.google.com/spreadsheets/d/1E4szPcLzsqlw4uyBAoJ61L1ChCgpz4wVP8tHfHW1g_c"",""BD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'""&amp;YEAR(C272)&amp;""-""&amp;MONTH(C272)&amp;""-""&amp;DAY(C272)&amp;""'""))&gt;0,""Depositada"",if(sum(QUERY(IMPORTRANGE(""https://docs.google.com/spreadsheets/d/1EcLIvUgMoBC5as4ikW0wuQsGH5yVZ6cQ1y16qEfgPnk"",""BD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IFERROR(__xludf.DUMMYFUNCTION("ifna(IF(and(D273=""Saída"",J273=""Sangria""),if(sum(QUERY(IMPORTRANGE(""https://docs.google.com/spreadsheets/d/1E4szPcLzsqlw4uyBAoJ61L1ChCgpz4wVP8tHfHW1g_c"",""BD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'""&amp;YEAR(C273)&amp;""-""&amp;MONTH(C273)&amp;""-""&amp;DAY(C273)&amp;""'""))&gt;0,""Depositada"",if(sum(QUERY(IMPORTRANGE(""https://docs.google.com/spreadsheets/d/1EcLIvUgMoBC5as4ikW0wuQsGH5yVZ6cQ1y16qEfgPnk"",""BD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IFERROR(__xludf.DUMMYFUNCTION("ifna(IF(and(D274=""Saída"",J274=""Sangria""),if(sum(QUERY(IMPORTRANGE(""https://docs.google.com/spreadsheets/d/1E4szPcLzsqlw4uyBAoJ61L1ChCgpz4wVP8tHfHW1g_c"",""BD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'""&amp;YEAR(C274)&amp;""-""&amp;MONTH(C274)&amp;""-""&amp;DAY(C274)&amp;""'""))&gt;0,""Depositada"",if(sum(QUERY(IMPORTRANGE(""https://docs.google.com/spreadsheets/d/1EcLIvUgMoBC5as4ikW0wuQsGH5yVZ6cQ1y16qEfgPnk"",""BD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IFERROR(__xludf.DUMMYFUNCTION("ifna(IF(and(D275=""Saída"",J275=""Sangria""),if(sum(QUERY(IMPORTRANGE(""https://docs.google.com/spreadsheets/d/1E4szPcLzsqlw4uyBAoJ61L1ChCgpz4wVP8tHfHW1g_c"",""BD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'""&amp;YEAR(C275)&amp;""-""&amp;MONTH(C275)&amp;""-""&amp;DAY(C275)&amp;""'""))&gt;0,""Depositada"",if(sum(QUERY(IMPORTRANGE(""https://docs.google.com/spreadsheets/d/1EcLIvUgMoBC5as4ikW0wuQsGH5yVZ6cQ1y16qEfgPnk"",""BD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IFERROR(__xludf.DUMMYFUNCTION("ifna(IF(and(D276=""Saída"",J276=""Sangria""),if(sum(QUERY(IMPORTRANGE(""https://docs.google.com/spreadsheets/d/1E4szPcLzsqlw4uyBAoJ61L1ChCgpz4wVP8tHfHW1g_c"",""BD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'""&amp;YEAR(C276)&amp;""-""&amp;MONTH(C276)&amp;""-""&amp;DAY(C276)&amp;""'""))&gt;0,""Depositada"",if(sum(QUERY(IMPORTRANGE(""https://docs.google.com/spreadsheets/d/1EcLIvUgMoBC5as4ikW0wuQsGH5yVZ6cQ1y16qEfgPnk"",""BD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IFERROR(__xludf.DUMMYFUNCTION("ifna(IF(and(D277=""Saída"",J277=""Sangria""),if(sum(QUERY(IMPORTRANGE(""https://docs.google.com/spreadsheets/d/1E4szPcLzsqlw4uyBAoJ61L1ChCgpz4wVP8tHfHW1g_c"",""BD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'""&amp;YEAR(C277)&amp;""-""&amp;MONTH(C277)&amp;""-""&amp;DAY(C277)&amp;""'""))&gt;0,""Depositada"",if(sum(QUERY(IMPORTRANGE(""https://docs.google.com/spreadsheets/d/1EcLIvUgMoBC5as4ikW0wuQsGH5yVZ6cQ1y16qEfgPnk"",""BD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IFERROR(__xludf.DUMMYFUNCTION("ifna(IF(and(D278=""Saída"",J278=""Sangria""),if(sum(QUERY(IMPORTRANGE(""https://docs.google.com/spreadsheets/d/1E4szPcLzsqlw4uyBAoJ61L1ChCgpz4wVP8tHfHW1g_c"",""BD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'""&amp;YEAR(C278)&amp;""-""&amp;MONTH(C278)&amp;""-""&amp;DAY(C278)&amp;""'""))&gt;0,""Depositada"",if(sum(QUERY(IMPORTRANGE(""https://docs.google.com/spreadsheets/d/1EcLIvUgMoBC5as4ikW0wuQsGH5yVZ6cQ1y16qEfgPnk"",""BD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IFERROR(__xludf.DUMMYFUNCTION("ifna(IF(and(D279=""Saída"",J279=""Sangria""),if(sum(QUERY(IMPORTRANGE(""https://docs.google.com/spreadsheets/d/1E4szPcLzsqlw4uyBAoJ61L1ChCgpz4wVP8tHfHW1g_c"",""BD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'""&amp;YEAR(C279)&amp;""-""&amp;MONTH(C279)&amp;""-""&amp;DAY(C279)&amp;""'""))&gt;0,""Depositada"",if(sum(QUERY(IMPORTRANGE(""https://docs.google.com/spreadsheets/d/1EcLIvUgMoBC5as4ikW0wuQsGH5yVZ6cQ1y16qEfgPnk"",""BD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IFERROR(__xludf.DUMMYFUNCTION("ifna(IF(and(D280=""Saída"",J280=""Sangria""),if(sum(QUERY(IMPORTRANGE(""https://docs.google.com/spreadsheets/d/1E4szPcLzsqlw4uyBAoJ61L1ChCgpz4wVP8tHfHW1g_c"",""BD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'""&amp;YEAR(C280)&amp;""-""&amp;MONTH(C280)&amp;""-""&amp;DAY(C280)&amp;""'""))&gt;0,""Depositada"",if(sum(QUERY(IMPORTRANGE(""https://docs.google.com/spreadsheets/d/1EcLIvUgMoBC5as4ikW0wuQsGH5yVZ6cQ1y16qEfgPnk"",""BD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IFERROR(__xludf.DUMMYFUNCTION("ifna(IF(and(D281=""Saída"",J281=""Sangria""),if(sum(QUERY(IMPORTRANGE(""https://docs.google.com/spreadsheets/d/1E4szPcLzsqlw4uyBAoJ61L1ChCgpz4wVP8tHfHW1g_c"",""BD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'""&amp;YEAR(C281)&amp;""-""&amp;MONTH(C281)&amp;""-""&amp;DAY(C281)&amp;""'""))&gt;0,""Depositada"",if(sum(QUERY(IMPORTRANGE(""https://docs.google.com/spreadsheets/d/1EcLIvUgMoBC5as4ikW0wuQsGH5yVZ6cQ1y16qEfgPnk"",""BD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IFERROR(__xludf.DUMMYFUNCTION("ifna(IF(and(D282=""Saída"",J282=""Sangria""),if(sum(QUERY(IMPORTRANGE(""https://docs.google.com/spreadsheets/d/1E4szPcLzsqlw4uyBAoJ61L1ChCgpz4wVP8tHfHW1g_c"",""BD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'""&amp;YEAR(C282)&amp;""-""&amp;MONTH(C282)&amp;""-""&amp;DAY(C282)&amp;""'""))&gt;0,""Depositada"",if(sum(QUERY(IMPORTRANGE(""https://docs.google.com/spreadsheets/d/1EcLIvUgMoBC5as4ikW0wuQsGH5yVZ6cQ1y16qEfgPnk"",""BD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IFERROR(__xludf.DUMMYFUNCTION("ifna(IF(and(D283=""Saída"",J283=""Sangria""),if(sum(QUERY(IMPORTRANGE(""https://docs.google.com/spreadsheets/d/1E4szPcLzsqlw4uyBAoJ61L1ChCgpz4wVP8tHfHW1g_c"",""BD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'""&amp;YEAR(C283)&amp;""-""&amp;MONTH(C283)&amp;""-""&amp;DAY(C283)&amp;""'""))&gt;0,""Depositada"",if(sum(QUERY(IMPORTRANGE(""https://docs.google.com/spreadsheets/d/1EcLIvUgMoBC5as4ikW0wuQsGH5yVZ6cQ1y16qEfgPnk"",""BD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IFERROR(__xludf.DUMMYFUNCTION("ifna(IF(and(D284=""Saída"",J284=""Sangria""),if(sum(QUERY(IMPORTRANGE(""https://docs.google.com/spreadsheets/d/1E4szPcLzsqlw4uyBAoJ61L1ChCgpz4wVP8tHfHW1g_c"",""BD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'""&amp;YEAR(C284)&amp;""-""&amp;MONTH(C284)&amp;""-""&amp;DAY(C284)&amp;""'""))&gt;0,""Depositada"",if(sum(QUERY(IMPORTRANGE(""https://docs.google.com/spreadsheets/d/1EcLIvUgMoBC5as4ikW0wuQsGH5yVZ6cQ1y16qEfgPnk"",""BD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IFERROR(__xludf.DUMMYFUNCTION("ifna(IF(and(D285=""Saída"",J285=""Sangria""),if(sum(QUERY(IMPORTRANGE(""https://docs.google.com/spreadsheets/d/1E4szPcLzsqlw4uyBAoJ61L1ChCgpz4wVP8tHfHW1g_c"",""BD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'""&amp;YEAR(C285)&amp;""-""&amp;MONTH(C285)&amp;""-""&amp;DAY(C285)&amp;""'""))&gt;0,""Depositada"",if(sum(QUERY(IMPORTRANGE(""https://docs.google.com/spreadsheets/d/1EcLIvUgMoBC5as4ikW0wuQsGH5yVZ6cQ1y16qEfgPnk"",""BD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IFERROR(__xludf.DUMMYFUNCTION("ifna(IF(and(D286=""Saída"",J286=""Sangria""),if(sum(QUERY(IMPORTRANGE(""https://docs.google.com/spreadsheets/d/1E4szPcLzsqlw4uyBAoJ61L1ChCgpz4wVP8tHfHW1g_c"",""BD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'""&amp;YEAR(C286)&amp;""-""&amp;MONTH(C286)&amp;""-""&amp;DAY(C286)&amp;""'""))&gt;0,""Depositada"",if(sum(QUERY(IMPORTRANGE(""https://docs.google.com/spreadsheets/d/1EcLIvUgMoBC5as4ikW0wuQsGH5yVZ6cQ1y16qEfgPnk"",""BD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184" t="str">
        <f>IFERROR(__xludf.DUMMYFUNCTION("ifna(IF(and(D287=""Saída"",J287=""Sangria""),if(sum(QUERY(IMPORTRANGE(""https://docs.google.com/spreadsheets/d/1E4szPcLzsqlw4uyBAoJ61L1ChCgpz4wVP8tHfHW1g_c"",""BD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'""&amp;YEAR(C287)&amp;""-""&amp;MONTH(C287)&amp;""-""&amp;DAY(C287)&amp;""'""))&gt;0,""Depositada"",if(sum(QUERY(IMPORTRANGE(""https://docs.google.com/spreadsheets/d/1EcLIvUgMoBC5as4ikW0wuQsGH5yVZ6cQ1y16qEfgPnk"",""BD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IFERROR(__xludf.DUMMYFUNCTION("ifna(IF(and(D288=""Saída"",J288=""Sangria""),if(sum(QUERY(IMPORTRANGE(""https://docs.google.com/spreadsheets/d/1E4szPcLzsqlw4uyBAoJ61L1ChCgpz4wVP8tHfHW1g_c"",""BD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'""&amp;YEAR(C288)&amp;""-""&amp;MONTH(C288)&amp;""-""&amp;DAY(C288)&amp;""'""))&gt;0,""Depositada"",if(sum(QUERY(IMPORTRANGE(""https://docs.google.com/spreadsheets/d/1EcLIvUgMoBC5as4ikW0wuQsGH5yVZ6cQ1y16qEfgPnk"",""BD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IFERROR(__xludf.DUMMYFUNCTION("ifna(IF(and(D289=""Saída"",J289=""Sangria""),if(sum(QUERY(IMPORTRANGE(""https://docs.google.com/spreadsheets/d/1E4szPcLzsqlw4uyBAoJ61L1ChCgpz4wVP8tHfHW1g_c"",""BD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'""&amp;YEAR(C289)&amp;""-""&amp;MONTH(C289)&amp;""-""&amp;DAY(C289)&amp;""'""))&gt;0,""Depositada"",if(sum(QUERY(IMPORTRANGE(""https://docs.google.com/spreadsheets/d/1EcLIvUgMoBC5as4ikW0wuQsGH5yVZ6cQ1y16qEfgPnk"",""BD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IFERROR(__xludf.DUMMYFUNCTION("ifna(IF(and(D290=""Saída"",J290=""Sangria""),if(sum(QUERY(IMPORTRANGE(""https://docs.google.com/spreadsheets/d/1E4szPcLzsqlw4uyBAoJ61L1ChCgpz4wVP8tHfHW1g_c"",""BD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'""&amp;YEAR(C290)&amp;""-""&amp;MONTH(C290)&amp;""-""&amp;DAY(C290)&amp;""'""))&gt;0,""Depositada"",if(sum(QUERY(IMPORTRANGE(""https://docs.google.com/spreadsheets/d/1EcLIvUgMoBC5as4ikW0wuQsGH5yVZ6cQ1y16qEfgPnk"",""BD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IFERROR(__xludf.DUMMYFUNCTION("ifna(IF(and(D291=""Saída"",J291=""Sangria""),if(sum(QUERY(IMPORTRANGE(""https://docs.google.com/spreadsheets/d/1E4szPcLzsqlw4uyBAoJ61L1ChCgpz4wVP8tHfHW1g_c"",""BD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'""&amp;YEAR(C291)&amp;""-""&amp;MONTH(C291)&amp;""-""&amp;DAY(C291)&amp;""'""))&gt;0,""Depositada"",if(sum(QUERY(IMPORTRANGE(""https://docs.google.com/spreadsheets/d/1EcLIvUgMoBC5as4ikW0wuQsGH5yVZ6cQ1y16qEfgPnk"",""BD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IFERROR(__xludf.DUMMYFUNCTION("ifna(IF(and(D292=""Saída"",J292=""Sangria""),if(sum(QUERY(IMPORTRANGE(""https://docs.google.com/spreadsheets/d/1E4szPcLzsqlw4uyBAoJ61L1ChCgpz4wVP8tHfHW1g_c"",""BD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'""&amp;YEAR(C292)&amp;""-""&amp;MONTH(C292)&amp;""-""&amp;DAY(C292)&amp;""'""))&gt;0,""Depositada"",if(sum(QUERY(IMPORTRANGE(""https://docs.google.com/spreadsheets/d/1EcLIvUgMoBC5as4ikW0wuQsGH5yVZ6cQ1y16qEfgPnk"",""BD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IFERROR(__xludf.DUMMYFUNCTION("ifna(IF(and(D293=""Saída"",J293=""Sangria""),if(sum(QUERY(IMPORTRANGE(""https://docs.google.com/spreadsheets/d/1E4szPcLzsqlw4uyBAoJ61L1ChCgpz4wVP8tHfHW1g_c"",""BD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'""&amp;YEAR(C293)&amp;""-""&amp;MONTH(C293)&amp;""-""&amp;DAY(C293)&amp;""'""))&gt;0,""Depositada"",if(sum(QUERY(IMPORTRANGE(""https://docs.google.com/spreadsheets/d/1EcLIvUgMoBC5as4ikW0wuQsGH5yVZ6cQ1y16qEfgPnk"",""BD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IFERROR(__xludf.DUMMYFUNCTION("ifna(IF(and(D294=""Saída"",J294=""Sangria""),if(sum(QUERY(IMPORTRANGE(""https://docs.google.com/spreadsheets/d/1E4szPcLzsqlw4uyBAoJ61L1ChCgpz4wVP8tHfHW1g_c"",""BD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'""&amp;YEAR(C294)&amp;""-""&amp;MONTH(C294)&amp;""-""&amp;DAY(C294)&amp;""'""))&gt;0,""Depositada"",if(sum(QUERY(IMPORTRANGE(""https://docs.google.com/spreadsheets/d/1EcLIvUgMoBC5as4ikW0wuQsGH5yVZ6cQ1y16qEfgPnk"",""BD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IFERROR(__xludf.DUMMYFUNCTION("ifna(IF(and(D295=""Saída"",J295=""Sangria""),if(sum(QUERY(IMPORTRANGE(""https://docs.google.com/spreadsheets/d/1E4szPcLzsqlw4uyBAoJ61L1ChCgpz4wVP8tHfHW1g_c"",""BD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'""&amp;YEAR(C295)&amp;""-""&amp;MONTH(C295)&amp;""-""&amp;DAY(C295)&amp;""'""))&gt;0,""Depositada"",if(sum(QUERY(IMPORTRANGE(""https://docs.google.com/spreadsheets/d/1EcLIvUgMoBC5as4ikW0wuQsGH5yVZ6cQ1y16qEfgPnk"",""BD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IFERROR(__xludf.DUMMYFUNCTION("ifna(IF(and(D296=""Saída"",J296=""Sangria""),if(sum(QUERY(IMPORTRANGE(""https://docs.google.com/spreadsheets/d/1E4szPcLzsqlw4uyBAoJ61L1ChCgpz4wVP8tHfHW1g_c"",""BD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'""&amp;YEAR(C296)&amp;""-""&amp;MONTH(C296)&amp;""-""&amp;DAY(C296)&amp;""'""))&gt;0,""Depositada"",if(sum(QUERY(IMPORTRANGE(""https://docs.google.com/spreadsheets/d/1EcLIvUgMoBC5as4ikW0wuQsGH5yVZ6cQ1y16qEfgPnk"",""BD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IFERROR(__xludf.DUMMYFUNCTION("ifna(IF(and(D297=""Saída"",J297=""Sangria""),if(sum(QUERY(IMPORTRANGE(""https://docs.google.com/spreadsheets/d/1E4szPcLzsqlw4uyBAoJ61L1ChCgpz4wVP8tHfHW1g_c"",""BD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'""&amp;YEAR(C297)&amp;""-""&amp;MONTH(C297)&amp;""-""&amp;DAY(C297)&amp;""'""))&gt;0,""Depositada"",if(sum(QUERY(IMPORTRANGE(""https://docs.google.com/spreadsheets/d/1EcLIvUgMoBC5as4ikW0wuQsGH5yVZ6cQ1y16qEfgPnk"",""BD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IFERROR(__xludf.DUMMYFUNCTION("ifna(IF(and(D298=""Saída"",J298=""Sangria""),if(sum(QUERY(IMPORTRANGE(""https://docs.google.com/spreadsheets/d/1E4szPcLzsqlw4uyBAoJ61L1ChCgpz4wVP8tHfHW1g_c"",""BD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'""&amp;YEAR(C298)&amp;""-""&amp;MONTH(C298)&amp;""-""&amp;DAY(C298)&amp;""'""))&gt;0,""Depositada"",if(sum(QUERY(IMPORTRANGE(""https://docs.google.com/spreadsheets/d/1EcLIvUgMoBC5as4ikW0wuQsGH5yVZ6cQ1y16qEfgPnk"",""BD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IFERROR(__xludf.DUMMYFUNCTION("ifna(IF(and(D299=""Saída"",J299=""Sangria""),if(sum(QUERY(IMPORTRANGE(""https://docs.google.com/spreadsheets/d/1E4szPcLzsqlw4uyBAoJ61L1ChCgpz4wVP8tHfHW1g_c"",""BD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'""&amp;YEAR(C299)&amp;""-""&amp;MONTH(C299)&amp;""-""&amp;DAY(C299)&amp;""'""))&gt;0,""Depositada"",if(sum(QUERY(IMPORTRANGE(""https://docs.google.com/spreadsheets/d/1EcLIvUgMoBC5as4ikW0wuQsGH5yVZ6cQ1y16qEfgPnk"",""BD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IFERROR(__xludf.DUMMYFUNCTION("ifna(IF(and(D300=""Saída"",J300=""Sangria""),if(sum(QUERY(IMPORTRANGE(""https://docs.google.com/spreadsheets/d/1E4szPcLzsqlw4uyBAoJ61L1ChCgpz4wVP8tHfHW1g_c"",""BD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'""&amp;YEAR(C300)&amp;""-""&amp;MONTH(C300)&amp;""-""&amp;DAY(C300)&amp;""'""))&gt;0,""Depositada"",if(sum(QUERY(IMPORTRANGE(""https://docs.google.com/spreadsheets/d/1EcLIvUgMoBC5as4ikW0wuQsGH5yVZ6cQ1y16qEfgPnk"",""BD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IFERROR(__xludf.DUMMYFUNCTION("ifna(IF(and(D301=""Saída"",J301=""Sangria""),if(sum(QUERY(IMPORTRANGE(""https://docs.google.com/spreadsheets/d/1E4szPcLzsqlw4uyBAoJ61L1ChCgpz4wVP8tHfHW1g_c"",""BD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'""&amp;YEAR(C301)&amp;""-""&amp;MONTH(C301)&amp;""-""&amp;DAY(C301)&amp;""'""))&gt;0,""Depositada"",if(sum(QUERY(IMPORTRANGE(""https://docs.google.com/spreadsheets/d/1EcLIvUgMoBC5as4ikW0wuQsGH5yVZ6cQ1y16qEfgPnk"",""BD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IFERROR(__xludf.DUMMYFUNCTION("ifna(IF(and(D302=""Saída"",J302=""Sangria""),if(sum(QUERY(IMPORTRANGE(""https://docs.google.com/spreadsheets/d/1E4szPcLzsqlw4uyBAoJ61L1ChCgpz4wVP8tHfHW1g_c"",""BD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'""&amp;YEAR(C302)&amp;""-""&amp;MONTH(C302)&amp;""-""&amp;DAY(C302)&amp;""'""))&gt;0,""Depositada"",if(sum(QUERY(IMPORTRANGE(""https://docs.google.com/spreadsheets/d/1EcLIvUgMoBC5as4ikW0wuQsGH5yVZ6cQ1y16qEfgPnk"",""BD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IFERROR(__xludf.DUMMYFUNCTION("ifna(IF(and(D303=""Saída"",J303=""Sangria""),if(sum(QUERY(IMPORTRANGE(""https://docs.google.com/spreadsheets/d/1E4szPcLzsqlw4uyBAoJ61L1ChCgpz4wVP8tHfHW1g_c"",""BD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'""&amp;YEAR(C303)&amp;""-""&amp;MONTH(C303)&amp;""-""&amp;DAY(C303)&amp;""'""))&gt;0,""Depositada"",if(sum(QUERY(IMPORTRANGE(""https://docs.google.com/spreadsheets/d/1EcLIvUgMoBC5as4ikW0wuQsGH5yVZ6cQ1y16qEfgPnk"",""BD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184" t="str">
        <f>IFERROR(__xludf.DUMMYFUNCTION("ifna(IF(and(D304=""Saída"",J304=""Sangria""),if(sum(QUERY(IMPORTRANGE(""https://docs.google.com/spreadsheets/d/1E4szPcLzsqlw4uyBAoJ61L1ChCgpz4wVP8tHfHW1g_c"",""BD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'""&amp;YEAR(C304)&amp;""-""&amp;MONTH(C304)&amp;""-""&amp;DAY(C304)&amp;""'""))&gt;0,""Depositada"",if(sum(QUERY(IMPORTRANGE(""https://docs.google.com/spreadsheets/d/1EcLIvUgMoBC5as4ikW0wuQsGH5yVZ6cQ1y16qEfgPnk"",""BD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184" t="str">
        <f>IFERROR(__xludf.DUMMYFUNCTION("ifna(IF(and(D305=""Saída"",J305=""Sangria""),if(sum(QUERY(IMPORTRANGE(""https://docs.google.com/spreadsheets/d/1E4szPcLzsqlw4uyBAoJ61L1ChCgpz4wVP8tHfHW1g_c"",""BD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'""&amp;YEAR(C305)&amp;""-""&amp;MONTH(C305)&amp;""-""&amp;DAY(C305)&amp;""'""))&gt;0,""Depositada"",if(sum(QUERY(IMPORTRANGE(""https://docs.google.com/spreadsheets/d/1EcLIvUgMoBC5as4ikW0wuQsGH5yVZ6cQ1y16qEfgPnk"",""BD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IFERROR(__xludf.DUMMYFUNCTION("ifna(IF(and(D306=""Saída"",J306=""Sangria""),if(sum(QUERY(IMPORTRANGE(""https://docs.google.com/spreadsheets/d/1E4szPcLzsqlw4uyBAoJ61L1ChCgpz4wVP8tHfHW1g_c"",""BD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'""&amp;YEAR(C306)&amp;""-""&amp;MONTH(C306)&amp;""-""&amp;DAY(C306)&amp;""'""))&gt;0,""Depositada"",if(sum(QUERY(IMPORTRANGE(""https://docs.google.com/spreadsheets/d/1EcLIvUgMoBC5as4ikW0wuQsGH5yVZ6cQ1y16qEfgPnk"",""BD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IFERROR(__xludf.DUMMYFUNCTION("ifna(IF(and(D307=""Saída"",J307=""Sangria""),if(sum(QUERY(IMPORTRANGE(""https://docs.google.com/spreadsheets/d/1E4szPcLzsqlw4uyBAoJ61L1ChCgpz4wVP8tHfHW1g_c"",""BD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'""&amp;YEAR(C307)&amp;""-""&amp;MONTH(C307)&amp;""-""&amp;DAY(C307)&amp;""'""))&gt;0,""Depositada"",if(sum(QUERY(IMPORTRANGE(""https://docs.google.com/spreadsheets/d/1EcLIvUgMoBC5as4ikW0wuQsGH5yVZ6cQ1y16qEfgPnk"",""BD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IFERROR(__xludf.DUMMYFUNCTION("ifna(IF(and(D308=""Saída"",J308=""Sangria""),if(sum(QUERY(IMPORTRANGE(""https://docs.google.com/spreadsheets/d/1E4szPcLzsqlw4uyBAoJ61L1ChCgpz4wVP8tHfHW1g_c"",""BD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'""&amp;YEAR(C308)&amp;""-""&amp;MONTH(C308)&amp;""-""&amp;DAY(C308)&amp;""'""))&gt;0,""Depositada"",if(sum(QUERY(IMPORTRANGE(""https://docs.google.com/spreadsheets/d/1EcLIvUgMoBC5as4ikW0wuQsGH5yVZ6cQ1y16qEfgPnk"",""BD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184" t="str">
        <f>IFERROR(__xludf.DUMMYFUNCTION("ifna(IF(and(D309=""Saída"",J309=""Sangria""),if(sum(QUERY(IMPORTRANGE(""https://docs.google.com/spreadsheets/d/1E4szPcLzsqlw4uyBAoJ61L1ChCgpz4wVP8tHfHW1g_c"",""BD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'""&amp;YEAR(C309)&amp;""-""&amp;MONTH(C309)&amp;""-""&amp;DAY(C309)&amp;""'""))&gt;0,""Depositada"",if(sum(QUERY(IMPORTRANGE(""https://docs.google.com/spreadsheets/d/1EcLIvUgMoBC5as4ikW0wuQsGH5yVZ6cQ1y16qEfgPnk"",""BD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IFERROR(__xludf.DUMMYFUNCTION("ifna(IF(and(D310=""Saída"",J310=""Sangria""),if(sum(QUERY(IMPORTRANGE(""https://docs.google.com/spreadsheets/d/1E4szPcLzsqlw4uyBAoJ61L1ChCgpz4wVP8tHfHW1g_c"",""BD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'""&amp;YEAR(C310)&amp;""-""&amp;MONTH(C310)&amp;""-""&amp;DAY(C310)&amp;""'""))&gt;0,""Depositada"",if(sum(QUERY(IMPORTRANGE(""https://docs.google.com/spreadsheets/d/1EcLIvUgMoBC5as4ikW0wuQsGH5yVZ6cQ1y16qEfgPnk"",""BD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IFERROR(__xludf.DUMMYFUNCTION("ifna(IF(and(D311=""Saída"",J311=""Sangria""),if(sum(QUERY(IMPORTRANGE(""https://docs.google.com/spreadsheets/d/1E4szPcLzsqlw4uyBAoJ61L1ChCgpz4wVP8tHfHW1g_c"",""BD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'""&amp;YEAR(C311)&amp;""-""&amp;MONTH(C311)&amp;""-""&amp;DAY(C311)&amp;""'""))&gt;0,""Depositada"",if(sum(QUERY(IMPORTRANGE(""https://docs.google.com/spreadsheets/d/1EcLIvUgMoBC5as4ikW0wuQsGH5yVZ6cQ1y16qEfgPnk"",""BD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IFERROR(__xludf.DUMMYFUNCTION("ifna(IF(and(D312=""Saída"",J312=""Sangria""),if(sum(QUERY(IMPORTRANGE(""https://docs.google.com/spreadsheets/d/1E4szPcLzsqlw4uyBAoJ61L1ChCgpz4wVP8tHfHW1g_c"",""BD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'""&amp;YEAR(C312)&amp;""-""&amp;MONTH(C312)&amp;""-""&amp;DAY(C312)&amp;""'""))&gt;0,""Depositada"",if(sum(QUERY(IMPORTRANGE(""https://docs.google.com/spreadsheets/d/1EcLIvUgMoBC5as4ikW0wuQsGH5yVZ6cQ1y16qEfgPnk"",""BD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IFERROR(__xludf.DUMMYFUNCTION("ifna(IF(and(D313=""Saída"",J313=""Sangria""),if(sum(QUERY(IMPORTRANGE(""https://docs.google.com/spreadsheets/d/1E4szPcLzsqlw4uyBAoJ61L1ChCgpz4wVP8tHfHW1g_c"",""BD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'""&amp;YEAR(C313)&amp;""-""&amp;MONTH(C313)&amp;""-""&amp;DAY(C313)&amp;""'""))&gt;0,""Depositada"",if(sum(QUERY(IMPORTRANGE(""https://docs.google.com/spreadsheets/d/1EcLIvUgMoBC5as4ikW0wuQsGH5yVZ6cQ1y16qEfgPnk"",""BD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IFERROR(__xludf.DUMMYFUNCTION("ifna(IF(and(D314=""Saída"",J314=""Sangria""),if(sum(QUERY(IMPORTRANGE(""https://docs.google.com/spreadsheets/d/1E4szPcLzsqlw4uyBAoJ61L1ChCgpz4wVP8tHfHW1g_c"",""BD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'""&amp;YEAR(C314)&amp;""-""&amp;MONTH(C314)&amp;""-""&amp;DAY(C314)&amp;""'""))&gt;0,""Depositada"",if(sum(QUERY(IMPORTRANGE(""https://docs.google.com/spreadsheets/d/1EcLIvUgMoBC5as4ikW0wuQsGH5yVZ6cQ1y16qEfgPnk"",""BD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IFERROR(__xludf.DUMMYFUNCTION("ifna(IF(and(D315=""Saída"",J315=""Sangria""),if(sum(QUERY(IMPORTRANGE(""https://docs.google.com/spreadsheets/d/1E4szPcLzsqlw4uyBAoJ61L1ChCgpz4wVP8tHfHW1g_c"",""BD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'""&amp;YEAR(C315)&amp;""-""&amp;MONTH(C315)&amp;""-""&amp;DAY(C315)&amp;""'""))&gt;0,""Depositada"",if(sum(QUERY(IMPORTRANGE(""https://docs.google.com/spreadsheets/d/1EcLIvUgMoBC5as4ikW0wuQsGH5yVZ6cQ1y16qEfgPnk"",""BD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IFERROR(__xludf.DUMMYFUNCTION("ifna(IF(and(D316=""Saída"",J316=""Sangria""),if(sum(QUERY(IMPORTRANGE(""https://docs.google.com/spreadsheets/d/1E4szPcLzsqlw4uyBAoJ61L1ChCgpz4wVP8tHfHW1g_c"",""BD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'""&amp;YEAR(C316)&amp;""-""&amp;MONTH(C316)&amp;""-""&amp;DAY(C316)&amp;""'""))&gt;0,""Depositada"",if(sum(QUERY(IMPORTRANGE(""https://docs.google.com/spreadsheets/d/1EcLIvUgMoBC5as4ikW0wuQsGH5yVZ6cQ1y16qEfgPnk"",""BD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IFERROR(__xludf.DUMMYFUNCTION("ifna(IF(and(D317=""Saída"",J317=""Sangria""),if(sum(QUERY(IMPORTRANGE(""https://docs.google.com/spreadsheets/d/1E4szPcLzsqlw4uyBAoJ61L1ChCgpz4wVP8tHfHW1g_c"",""BD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'""&amp;YEAR(C317)&amp;""-""&amp;MONTH(C317)&amp;""-""&amp;DAY(C317)&amp;""'""))&gt;0,""Depositada"",if(sum(QUERY(IMPORTRANGE(""https://docs.google.com/spreadsheets/d/1EcLIvUgMoBC5as4ikW0wuQsGH5yVZ6cQ1y16qEfgPnk"",""BD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IFERROR(__xludf.DUMMYFUNCTION("ifna(IF(and(D318=""Saída"",J318=""Sangria""),if(sum(QUERY(IMPORTRANGE(""https://docs.google.com/spreadsheets/d/1E4szPcLzsqlw4uyBAoJ61L1ChCgpz4wVP8tHfHW1g_c"",""BD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'""&amp;YEAR(C318)&amp;""-""&amp;MONTH(C318)&amp;""-""&amp;DAY(C318)&amp;""'""))&gt;0,""Depositada"",if(sum(QUERY(IMPORTRANGE(""https://docs.google.com/spreadsheets/d/1EcLIvUgMoBC5as4ikW0wuQsGH5yVZ6cQ1y16qEfgPnk"",""BD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IFERROR(__xludf.DUMMYFUNCTION("ifna(IF(and(D319=""Saída"",J319=""Sangria""),if(sum(QUERY(IMPORTRANGE(""https://docs.google.com/spreadsheets/d/1E4szPcLzsqlw4uyBAoJ61L1ChCgpz4wVP8tHfHW1g_c"",""BD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'""&amp;YEAR(C319)&amp;""-""&amp;MONTH(C319)&amp;""-""&amp;DAY(C319)&amp;""'""))&gt;0,""Depositada"",if(sum(QUERY(IMPORTRANGE(""https://docs.google.com/spreadsheets/d/1EcLIvUgMoBC5as4ikW0wuQsGH5yVZ6cQ1y16qEfgPnk"",""BD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IFERROR(__xludf.DUMMYFUNCTION("ifna(IF(and(D320=""Saída"",J320=""Sangria""),if(sum(QUERY(IMPORTRANGE(""https://docs.google.com/spreadsheets/d/1E4szPcLzsqlw4uyBAoJ61L1ChCgpz4wVP8tHfHW1g_c"",""BD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'""&amp;YEAR(C320)&amp;""-""&amp;MONTH(C320)&amp;""-""&amp;DAY(C320)&amp;""'""))&gt;0,""Depositada"",if(sum(QUERY(IMPORTRANGE(""https://docs.google.com/spreadsheets/d/1EcLIvUgMoBC5as4ikW0wuQsGH5yVZ6cQ1y16qEfgPnk"",""BD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IFERROR(__xludf.DUMMYFUNCTION("ifna(IF(and(D321=""Saída"",J321=""Sangria""),if(sum(QUERY(IMPORTRANGE(""https://docs.google.com/spreadsheets/d/1E4szPcLzsqlw4uyBAoJ61L1ChCgpz4wVP8tHfHW1g_c"",""BD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'""&amp;YEAR(C321)&amp;""-""&amp;MONTH(C321)&amp;""-""&amp;DAY(C321)&amp;""'""))&gt;0,""Depositada"",if(sum(QUERY(IMPORTRANGE(""https://docs.google.com/spreadsheets/d/1EcLIvUgMoBC5as4ikW0wuQsGH5yVZ6cQ1y16qEfgPnk"",""BD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IFERROR(__xludf.DUMMYFUNCTION("ifna(IF(and(D322=""Saída"",J322=""Sangria""),if(sum(QUERY(IMPORTRANGE(""https://docs.google.com/spreadsheets/d/1E4szPcLzsqlw4uyBAoJ61L1ChCgpz4wVP8tHfHW1g_c"",""BD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'""&amp;YEAR(C322)&amp;""-""&amp;MONTH(C322)&amp;""-""&amp;DAY(C322)&amp;""'""))&gt;0,""Depositada"",if(sum(QUERY(IMPORTRANGE(""https://docs.google.com/spreadsheets/d/1EcLIvUgMoBC5as4ikW0wuQsGH5yVZ6cQ1y16qEfgPnk"",""BD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IFERROR(__xludf.DUMMYFUNCTION("ifna(IF(and(D323=""Saída"",J323=""Sangria""),if(sum(QUERY(IMPORTRANGE(""https://docs.google.com/spreadsheets/d/1E4szPcLzsqlw4uyBAoJ61L1ChCgpz4wVP8tHfHW1g_c"",""BD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'""&amp;YEAR(C323)&amp;""-""&amp;MONTH(C323)&amp;""-""&amp;DAY(C323)&amp;""'""))&gt;0,""Depositada"",if(sum(QUERY(IMPORTRANGE(""https://docs.google.com/spreadsheets/d/1EcLIvUgMoBC5as4ikW0wuQsGH5yVZ6cQ1y16qEfgPnk"",""BD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IFERROR(__xludf.DUMMYFUNCTION("ifna(IF(and(D324=""Saída"",J324=""Sangria""),if(sum(QUERY(IMPORTRANGE(""https://docs.google.com/spreadsheets/d/1E4szPcLzsqlw4uyBAoJ61L1ChCgpz4wVP8tHfHW1g_c"",""BD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'""&amp;YEAR(C324)&amp;""-""&amp;MONTH(C324)&amp;""-""&amp;DAY(C324)&amp;""'""))&gt;0,""Depositada"",if(sum(QUERY(IMPORTRANGE(""https://docs.google.com/spreadsheets/d/1EcLIvUgMoBC5as4ikW0wuQsGH5yVZ6cQ1y16qEfgPnk"",""BD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IFERROR(__xludf.DUMMYFUNCTION("ifna(IF(and(D325=""Saída"",J325=""Sangria""),if(sum(QUERY(IMPORTRANGE(""https://docs.google.com/spreadsheets/d/1E4szPcLzsqlw4uyBAoJ61L1ChCgpz4wVP8tHfHW1g_c"",""BD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'""&amp;YEAR(C325)&amp;""-""&amp;MONTH(C325)&amp;""-""&amp;DAY(C325)&amp;""'""))&gt;0,""Depositada"",if(sum(QUERY(IMPORTRANGE(""https://docs.google.com/spreadsheets/d/1EcLIvUgMoBC5as4ikW0wuQsGH5yVZ6cQ1y16qEfgPnk"",""BD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IFERROR(__xludf.DUMMYFUNCTION("ifna(IF(and(D326=""Saída"",J326=""Sangria""),if(sum(QUERY(IMPORTRANGE(""https://docs.google.com/spreadsheets/d/1E4szPcLzsqlw4uyBAoJ61L1ChCgpz4wVP8tHfHW1g_c"",""BD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'""&amp;YEAR(C326)&amp;""-""&amp;MONTH(C326)&amp;""-""&amp;DAY(C326)&amp;""'""))&gt;0,""Depositada"",if(sum(QUERY(IMPORTRANGE(""https://docs.google.com/spreadsheets/d/1EcLIvUgMoBC5as4ikW0wuQsGH5yVZ6cQ1y16qEfgPnk"",""BD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IFERROR(__xludf.DUMMYFUNCTION("ifna(IF(and(D327=""Saída"",J327=""Sangria""),if(sum(QUERY(IMPORTRANGE(""https://docs.google.com/spreadsheets/d/1E4szPcLzsqlw4uyBAoJ61L1ChCgpz4wVP8tHfHW1g_c"",""BD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'""&amp;YEAR(C327)&amp;""-""&amp;MONTH(C327)&amp;""-""&amp;DAY(C327)&amp;""'""))&gt;0,""Depositada"",if(sum(QUERY(IMPORTRANGE(""https://docs.google.com/spreadsheets/d/1EcLIvUgMoBC5as4ikW0wuQsGH5yVZ6cQ1y16qEfgPnk"",""BD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IFERROR(__xludf.DUMMYFUNCTION("ifna(IF(and(D328=""Saída"",J328=""Sangria""),if(sum(QUERY(IMPORTRANGE(""https://docs.google.com/spreadsheets/d/1E4szPcLzsqlw4uyBAoJ61L1ChCgpz4wVP8tHfHW1g_c"",""BD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'""&amp;YEAR(C328)&amp;""-""&amp;MONTH(C328)&amp;""-""&amp;DAY(C328)&amp;""'""))&gt;0,""Depositada"",if(sum(QUERY(IMPORTRANGE(""https://docs.google.com/spreadsheets/d/1EcLIvUgMoBC5as4ikW0wuQsGH5yVZ6cQ1y16qEfgPnk"",""BD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IFERROR(__xludf.DUMMYFUNCTION("ifna(IF(and(D329=""Saída"",J329=""Sangria""),if(sum(QUERY(IMPORTRANGE(""https://docs.google.com/spreadsheets/d/1E4szPcLzsqlw4uyBAoJ61L1ChCgpz4wVP8tHfHW1g_c"",""BD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'""&amp;YEAR(C329)&amp;""-""&amp;MONTH(C329)&amp;""-""&amp;DAY(C329)&amp;""'""))&gt;0,""Depositada"",if(sum(QUERY(IMPORTRANGE(""https://docs.google.com/spreadsheets/d/1EcLIvUgMoBC5as4ikW0wuQsGH5yVZ6cQ1y16qEfgPnk"",""BD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IFERROR(__xludf.DUMMYFUNCTION("ifna(IF(and(D330=""Saída"",J330=""Sangria""),if(sum(QUERY(IMPORTRANGE(""https://docs.google.com/spreadsheets/d/1E4szPcLzsqlw4uyBAoJ61L1ChCgpz4wVP8tHfHW1g_c"",""BD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'""&amp;YEAR(C330)&amp;""-""&amp;MONTH(C330)&amp;""-""&amp;DAY(C330)&amp;""'""))&gt;0,""Depositada"",if(sum(QUERY(IMPORTRANGE(""https://docs.google.com/spreadsheets/d/1EcLIvUgMoBC5as4ikW0wuQsGH5yVZ6cQ1y16qEfgPnk"",""BD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IFERROR(__xludf.DUMMYFUNCTION("ifna(IF(and(D331=""Saída"",J331=""Sangria""),if(sum(QUERY(IMPORTRANGE(""https://docs.google.com/spreadsheets/d/1E4szPcLzsqlw4uyBAoJ61L1ChCgpz4wVP8tHfHW1g_c"",""BD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'""&amp;YEAR(C331)&amp;""-""&amp;MONTH(C331)&amp;""-""&amp;DAY(C331)&amp;""'""))&gt;0,""Depositada"",if(sum(QUERY(IMPORTRANGE(""https://docs.google.com/spreadsheets/d/1EcLIvUgMoBC5as4ikW0wuQsGH5yVZ6cQ1y16qEfgPnk"",""BD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IFERROR(__xludf.DUMMYFUNCTION("ifna(IF(and(D332=""Saída"",J332=""Sangria""),if(sum(QUERY(IMPORTRANGE(""https://docs.google.com/spreadsheets/d/1E4szPcLzsqlw4uyBAoJ61L1ChCgpz4wVP8tHfHW1g_c"",""BD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'""&amp;YEAR(C332)&amp;""-""&amp;MONTH(C332)&amp;""-""&amp;DAY(C332)&amp;""'""))&gt;0,""Depositada"",if(sum(QUERY(IMPORTRANGE(""https://docs.google.com/spreadsheets/d/1EcLIvUgMoBC5as4ikW0wuQsGH5yVZ6cQ1y16qEfgPnk"",""BD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IFERROR(__xludf.DUMMYFUNCTION("ifna(IF(and(D333=""Saída"",J333=""Sangria""),if(sum(QUERY(IMPORTRANGE(""https://docs.google.com/spreadsheets/d/1E4szPcLzsqlw4uyBAoJ61L1ChCgpz4wVP8tHfHW1g_c"",""BD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'""&amp;YEAR(C333)&amp;""-""&amp;MONTH(C333)&amp;""-""&amp;DAY(C333)&amp;""'""))&gt;0,""Depositada"",if(sum(QUERY(IMPORTRANGE(""https://docs.google.com/spreadsheets/d/1EcLIvUgMoBC5as4ikW0wuQsGH5yVZ6cQ1y16qEfgPnk"",""BD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IFERROR(__xludf.DUMMYFUNCTION("ifna(IF(and(D334=""Saída"",J334=""Sangria""),if(sum(QUERY(IMPORTRANGE(""https://docs.google.com/spreadsheets/d/1E4szPcLzsqlw4uyBAoJ61L1ChCgpz4wVP8tHfHW1g_c"",""BD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'""&amp;YEAR(C334)&amp;""-""&amp;MONTH(C334)&amp;""-""&amp;DAY(C334)&amp;""'""))&gt;0,""Depositada"",if(sum(QUERY(IMPORTRANGE(""https://docs.google.com/spreadsheets/d/1EcLIvUgMoBC5as4ikW0wuQsGH5yVZ6cQ1y16qEfgPnk"",""BD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IFERROR(__xludf.DUMMYFUNCTION("ifna(IF(and(D335=""Saída"",J335=""Sangria""),if(sum(QUERY(IMPORTRANGE(""https://docs.google.com/spreadsheets/d/1E4szPcLzsqlw4uyBAoJ61L1ChCgpz4wVP8tHfHW1g_c"",""BD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'""&amp;YEAR(C335)&amp;""-""&amp;MONTH(C335)&amp;""-""&amp;DAY(C335)&amp;""'""))&gt;0,""Depositada"",if(sum(QUERY(IMPORTRANGE(""https://docs.google.com/spreadsheets/d/1EcLIvUgMoBC5as4ikW0wuQsGH5yVZ6cQ1y16qEfgPnk"",""BD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IFERROR(__xludf.DUMMYFUNCTION("ifna(IF(and(D336=""Saída"",J336=""Sangria""),if(sum(QUERY(IMPORTRANGE(""https://docs.google.com/spreadsheets/d/1E4szPcLzsqlw4uyBAoJ61L1ChCgpz4wVP8tHfHW1g_c"",""BD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'""&amp;YEAR(C336)&amp;""-""&amp;MONTH(C336)&amp;""-""&amp;DAY(C336)&amp;""'""))&gt;0,""Depositada"",if(sum(QUERY(IMPORTRANGE(""https://docs.google.com/spreadsheets/d/1EcLIvUgMoBC5as4ikW0wuQsGH5yVZ6cQ1y16qEfgPnk"",""BD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IFERROR(__xludf.DUMMYFUNCTION("ifna(IF(and(D337=""Saída"",J337=""Sangria""),if(sum(QUERY(IMPORTRANGE(""https://docs.google.com/spreadsheets/d/1E4szPcLzsqlw4uyBAoJ61L1ChCgpz4wVP8tHfHW1g_c"",""BD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'""&amp;YEAR(C337)&amp;""-""&amp;MONTH(C337)&amp;""-""&amp;DAY(C337)&amp;""'""))&gt;0,""Depositada"",if(sum(QUERY(IMPORTRANGE(""https://docs.google.com/spreadsheets/d/1EcLIvUgMoBC5as4ikW0wuQsGH5yVZ6cQ1y16qEfgPnk"",""BD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IFERROR(__xludf.DUMMYFUNCTION("ifna(IF(and(D338=""Saída"",J338=""Sangria""),if(sum(QUERY(IMPORTRANGE(""https://docs.google.com/spreadsheets/d/1E4szPcLzsqlw4uyBAoJ61L1ChCgpz4wVP8tHfHW1g_c"",""BD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'""&amp;YEAR(C338)&amp;""-""&amp;MONTH(C338)&amp;""-""&amp;DAY(C338)&amp;""'""))&gt;0,""Depositada"",if(sum(QUERY(IMPORTRANGE(""https://docs.google.com/spreadsheets/d/1EcLIvUgMoBC5as4ikW0wuQsGH5yVZ6cQ1y16qEfgPnk"",""BD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IFERROR(__xludf.DUMMYFUNCTION("ifna(IF(and(D339=""Saída"",J339=""Sangria""),if(sum(QUERY(IMPORTRANGE(""https://docs.google.com/spreadsheets/d/1E4szPcLzsqlw4uyBAoJ61L1ChCgpz4wVP8tHfHW1g_c"",""BD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'""&amp;YEAR(C339)&amp;""-""&amp;MONTH(C339)&amp;""-""&amp;DAY(C339)&amp;""'""))&gt;0,""Depositada"",if(sum(QUERY(IMPORTRANGE(""https://docs.google.com/spreadsheets/d/1EcLIvUgMoBC5as4ikW0wuQsGH5yVZ6cQ1y16qEfgPnk"",""BD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IFERROR(__xludf.DUMMYFUNCTION("ifna(IF(and(D340=""Saída"",J340=""Sangria""),if(sum(QUERY(IMPORTRANGE(""https://docs.google.com/spreadsheets/d/1E4szPcLzsqlw4uyBAoJ61L1ChCgpz4wVP8tHfHW1g_c"",""BD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'""&amp;YEAR(C340)&amp;""-""&amp;MONTH(C340)&amp;""-""&amp;DAY(C340)&amp;""'""))&gt;0,""Depositada"",if(sum(QUERY(IMPORTRANGE(""https://docs.google.com/spreadsheets/d/1EcLIvUgMoBC5as4ikW0wuQsGH5yVZ6cQ1y16qEfgPnk"",""BD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IFERROR(__xludf.DUMMYFUNCTION("ifna(IF(and(D341=""Saída"",J341=""Sangria""),if(sum(QUERY(IMPORTRANGE(""https://docs.google.com/spreadsheets/d/1E4szPcLzsqlw4uyBAoJ61L1ChCgpz4wVP8tHfHW1g_c"",""BD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'""&amp;YEAR(C341)&amp;""-""&amp;MONTH(C341)&amp;""-""&amp;DAY(C341)&amp;""'""))&gt;0,""Depositada"",if(sum(QUERY(IMPORTRANGE(""https://docs.google.com/spreadsheets/d/1EcLIvUgMoBC5as4ikW0wuQsGH5yVZ6cQ1y16qEfgPnk"",""BD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IFERROR(__xludf.DUMMYFUNCTION("ifna(IF(and(D342=""Saída"",J342=""Sangria""),if(sum(QUERY(IMPORTRANGE(""https://docs.google.com/spreadsheets/d/1E4szPcLzsqlw4uyBAoJ61L1ChCgpz4wVP8tHfHW1g_c"",""BD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'""&amp;YEAR(C342)&amp;""-""&amp;MONTH(C342)&amp;""-""&amp;DAY(C342)&amp;""'""))&gt;0,""Depositada"",if(sum(QUERY(IMPORTRANGE(""https://docs.google.com/spreadsheets/d/1EcLIvUgMoBC5as4ikW0wuQsGH5yVZ6cQ1y16qEfgPnk"",""BD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IFERROR(__xludf.DUMMYFUNCTION("ifna(IF(and(D343=""Saída"",J343=""Sangria""),if(sum(QUERY(IMPORTRANGE(""https://docs.google.com/spreadsheets/d/1E4szPcLzsqlw4uyBAoJ61L1ChCgpz4wVP8tHfHW1g_c"",""BD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'""&amp;YEAR(C343)&amp;""-""&amp;MONTH(C343)&amp;""-""&amp;DAY(C343)&amp;""'""))&gt;0,""Depositada"",if(sum(QUERY(IMPORTRANGE(""https://docs.google.com/spreadsheets/d/1EcLIvUgMoBC5as4ikW0wuQsGH5yVZ6cQ1y16qEfgPnk"",""BD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IFERROR(__xludf.DUMMYFUNCTION("ifna(IF(and(D344=""Saída"",J344=""Sangria""),if(sum(QUERY(IMPORTRANGE(""https://docs.google.com/spreadsheets/d/1E4szPcLzsqlw4uyBAoJ61L1ChCgpz4wVP8tHfHW1g_c"",""BD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'""&amp;YEAR(C344)&amp;""-""&amp;MONTH(C344)&amp;""-""&amp;DAY(C344)&amp;""'""))&gt;0,""Depositada"",if(sum(QUERY(IMPORTRANGE(""https://docs.google.com/spreadsheets/d/1EcLIvUgMoBC5as4ikW0wuQsGH5yVZ6cQ1y16qEfgPnk"",""BD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IFERROR(__xludf.DUMMYFUNCTION("ifna(IF(and(D345=""Saída"",J345=""Sangria""),if(sum(QUERY(IMPORTRANGE(""https://docs.google.com/spreadsheets/d/1E4szPcLzsqlw4uyBAoJ61L1ChCgpz4wVP8tHfHW1g_c"",""BD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'""&amp;YEAR(C345)&amp;""-""&amp;MONTH(C345)&amp;""-""&amp;DAY(C345)&amp;""'""))&gt;0,""Depositada"",if(sum(QUERY(IMPORTRANGE(""https://docs.google.com/spreadsheets/d/1EcLIvUgMoBC5as4ikW0wuQsGH5yVZ6cQ1y16qEfgPnk"",""BD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IFERROR(__xludf.DUMMYFUNCTION("ifna(IF(and(D346=""Saída"",J346=""Sangria""),if(sum(QUERY(IMPORTRANGE(""https://docs.google.com/spreadsheets/d/1E4szPcLzsqlw4uyBAoJ61L1ChCgpz4wVP8tHfHW1g_c"",""BD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'""&amp;YEAR(C346)&amp;""-""&amp;MONTH(C346)&amp;""-""&amp;DAY(C346)&amp;""'""))&gt;0,""Depositada"",if(sum(QUERY(IMPORTRANGE(""https://docs.google.com/spreadsheets/d/1EcLIvUgMoBC5as4ikW0wuQsGH5yVZ6cQ1y16qEfgPnk"",""BD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IFERROR(__xludf.DUMMYFUNCTION("ifna(IF(and(D347=""Saída"",J347=""Sangria""),if(sum(QUERY(IMPORTRANGE(""https://docs.google.com/spreadsheets/d/1E4szPcLzsqlw4uyBAoJ61L1ChCgpz4wVP8tHfHW1g_c"",""BD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'""&amp;YEAR(C347)&amp;""-""&amp;MONTH(C347)&amp;""-""&amp;DAY(C347)&amp;""'""))&gt;0,""Depositada"",if(sum(QUERY(IMPORTRANGE(""https://docs.google.com/spreadsheets/d/1EcLIvUgMoBC5as4ikW0wuQsGH5yVZ6cQ1y16qEfgPnk"",""BD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IFERROR(__xludf.DUMMYFUNCTION("ifna(IF(and(D348=""Saída"",J348=""Sangria""),if(sum(QUERY(IMPORTRANGE(""https://docs.google.com/spreadsheets/d/1E4szPcLzsqlw4uyBAoJ61L1ChCgpz4wVP8tHfHW1g_c"",""BD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'""&amp;YEAR(C348)&amp;""-""&amp;MONTH(C348)&amp;""-""&amp;DAY(C348)&amp;""'""))&gt;0,""Depositada"",if(sum(QUERY(IMPORTRANGE(""https://docs.google.com/spreadsheets/d/1EcLIvUgMoBC5as4ikW0wuQsGH5yVZ6cQ1y16qEfgPnk"",""BD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IFERROR(__xludf.DUMMYFUNCTION("ifna(IF(and(D349=""Saída"",J349=""Sangria""),if(sum(QUERY(IMPORTRANGE(""https://docs.google.com/spreadsheets/d/1E4szPcLzsqlw4uyBAoJ61L1ChCgpz4wVP8tHfHW1g_c"",""BD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'""&amp;YEAR(C349)&amp;""-""&amp;MONTH(C349)&amp;""-""&amp;DAY(C349)&amp;""'""))&gt;0,""Depositada"",if(sum(QUERY(IMPORTRANGE(""https://docs.google.com/spreadsheets/d/1EcLIvUgMoBC5as4ikW0wuQsGH5yVZ6cQ1y16qEfgPnk"",""BD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IFERROR(__xludf.DUMMYFUNCTION("ifna(IF(and(D350=""Saída"",J350=""Sangria""),if(sum(QUERY(IMPORTRANGE(""https://docs.google.com/spreadsheets/d/1E4szPcLzsqlw4uyBAoJ61L1ChCgpz4wVP8tHfHW1g_c"",""BD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'""&amp;YEAR(C350)&amp;""-""&amp;MONTH(C350)&amp;""-""&amp;DAY(C350)&amp;""'""))&gt;0,""Depositada"",if(sum(QUERY(IMPORTRANGE(""https://docs.google.com/spreadsheets/d/1EcLIvUgMoBC5as4ikW0wuQsGH5yVZ6cQ1y16qEfgPnk"",""BD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IFERROR(__xludf.DUMMYFUNCTION("ifna(IF(and(D351=""Saída"",J351=""Sangria""),if(sum(QUERY(IMPORTRANGE(""https://docs.google.com/spreadsheets/d/1E4szPcLzsqlw4uyBAoJ61L1ChCgpz4wVP8tHfHW1g_c"",""BD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'""&amp;YEAR(C351)&amp;""-""&amp;MONTH(C351)&amp;""-""&amp;DAY(C351)&amp;""'""))&gt;0,""Depositada"",if(sum(QUERY(IMPORTRANGE(""https://docs.google.com/spreadsheets/d/1EcLIvUgMoBC5as4ikW0wuQsGH5yVZ6cQ1y16qEfgPnk"",""BD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IFERROR(__xludf.DUMMYFUNCTION("ifna(IF(and(D352=""Saída"",J352=""Sangria""),if(sum(QUERY(IMPORTRANGE(""https://docs.google.com/spreadsheets/d/1E4szPcLzsqlw4uyBAoJ61L1ChCgpz4wVP8tHfHW1g_c"",""BD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'""&amp;YEAR(C352)&amp;""-""&amp;MONTH(C352)&amp;""-""&amp;DAY(C352)&amp;""'""))&gt;0,""Depositada"",if(sum(QUERY(IMPORTRANGE(""https://docs.google.com/spreadsheets/d/1EcLIvUgMoBC5as4ikW0wuQsGH5yVZ6cQ1y16qEfgPnk"",""BD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IFERROR(__xludf.DUMMYFUNCTION("ifna(IF(and(D353=""Saída"",J353=""Sangria""),if(sum(QUERY(IMPORTRANGE(""https://docs.google.com/spreadsheets/d/1E4szPcLzsqlw4uyBAoJ61L1ChCgpz4wVP8tHfHW1g_c"",""BD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'""&amp;YEAR(C353)&amp;""-""&amp;MONTH(C353)&amp;""-""&amp;DAY(C353)&amp;""'""))&gt;0,""Depositada"",if(sum(QUERY(IMPORTRANGE(""https://docs.google.com/spreadsheets/d/1EcLIvUgMoBC5as4ikW0wuQsGH5yVZ6cQ1y16qEfgPnk"",""BD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IFERROR(__xludf.DUMMYFUNCTION("ifna(IF(and(D354=""Saída"",J354=""Sangria""),if(sum(QUERY(IMPORTRANGE(""https://docs.google.com/spreadsheets/d/1E4szPcLzsqlw4uyBAoJ61L1ChCgpz4wVP8tHfHW1g_c"",""BD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'""&amp;YEAR(C354)&amp;""-""&amp;MONTH(C354)&amp;""-""&amp;DAY(C354)&amp;""'""))&gt;0,""Depositada"",if(sum(QUERY(IMPORTRANGE(""https://docs.google.com/spreadsheets/d/1EcLIvUgMoBC5as4ikW0wuQsGH5yVZ6cQ1y16qEfgPnk"",""BD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IFERROR(__xludf.DUMMYFUNCTION("ifna(IF(and(D355=""Saída"",J355=""Sangria""),if(sum(QUERY(IMPORTRANGE(""https://docs.google.com/spreadsheets/d/1E4szPcLzsqlw4uyBAoJ61L1ChCgpz4wVP8tHfHW1g_c"",""BD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'""&amp;YEAR(C355)&amp;""-""&amp;MONTH(C355)&amp;""-""&amp;DAY(C355)&amp;""'""))&gt;0,""Depositada"",if(sum(QUERY(IMPORTRANGE(""https://docs.google.com/spreadsheets/d/1EcLIvUgMoBC5as4ikW0wuQsGH5yVZ6cQ1y16qEfgPnk"",""BD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IFERROR(__xludf.DUMMYFUNCTION("ifna(IF(and(D356=""Saída"",J356=""Sangria""),if(sum(QUERY(IMPORTRANGE(""https://docs.google.com/spreadsheets/d/1E4szPcLzsqlw4uyBAoJ61L1ChCgpz4wVP8tHfHW1g_c"",""BD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'""&amp;YEAR(C356)&amp;""-""&amp;MONTH(C356)&amp;""-""&amp;DAY(C356)&amp;""'""))&gt;0,""Depositada"",if(sum(QUERY(IMPORTRANGE(""https://docs.google.com/spreadsheets/d/1EcLIvUgMoBC5as4ikW0wuQsGH5yVZ6cQ1y16qEfgPnk"",""BD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IFERROR(__xludf.DUMMYFUNCTION("ifna(IF(and(D357=""Saída"",J357=""Sangria""),if(sum(QUERY(IMPORTRANGE(""https://docs.google.com/spreadsheets/d/1E4szPcLzsqlw4uyBAoJ61L1ChCgpz4wVP8tHfHW1g_c"",""BD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'""&amp;YEAR(C357)&amp;""-""&amp;MONTH(C357)&amp;""-""&amp;DAY(C357)&amp;""'""))&gt;0,""Depositada"",if(sum(QUERY(IMPORTRANGE(""https://docs.google.com/spreadsheets/d/1EcLIvUgMoBC5as4ikW0wuQsGH5yVZ6cQ1y16qEfgPnk"",""BD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IFERROR(__xludf.DUMMYFUNCTION("ifna(IF(and(D358=""Saída"",J358=""Sangria""),if(sum(QUERY(IMPORTRANGE(""https://docs.google.com/spreadsheets/d/1E4szPcLzsqlw4uyBAoJ61L1ChCgpz4wVP8tHfHW1g_c"",""BD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'""&amp;YEAR(C358)&amp;""-""&amp;MONTH(C358)&amp;""-""&amp;DAY(C358)&amp;""'""))&gt;0,""Depositada"",if(sum(QUERY(IMPORTRANGE(""https://docs.google.com/spreadsheets/d/1EcLIvUgMoBC5as4ikW0wuQsGH5yVZ6cQ1y16qEfgPnk"",""BD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IFERROR(__xludf.DUMMYFUNCTION("ifna(IF(and(D359=""Saída"",J359=""Sangria""),if(sum(QUERY(IMPORTRANGE(""https://docs.google.com/spreadsheets/d/1E4szPcLzsqlw4uyBAoJ61L1ChCgpz4wVP8tHfHW1g_c"",""BD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'""&amp;YEAR(C359)&amp;""-""&amp;MONTH(C359)&amp;""-""&amp;DAY(C359)&amp;""'""))&gt;0,""Depositada"",if(sum(QUERY(IMPORTRANGE(""https://docs.google.com/spreadsheets/d/1EcLIvUgMoBC5as4ikW0wuQsGH5yVZ6cQ1y16qEfgPnk"",""BD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IFERROR(__xludf.DUMMYFUNCTION("ifna(IF(and(D360=""Saída"",J360=""Sangria""),if(sum(QUERY(IMPORTRANGE(""https://docs.google.com/spreadsheets/d/1E4szPcLzsqlw4uyBAoJ61L1ChCgpz4wVP8tHfHW1g_c"",""BD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'""&amp;YEAR(C360)&amp;""-""&amp;MONTH(C360)&amp;""-""&amp;DAY(C360)&amp;""'""))&gt;0,""Depositada"",if(sum(QUERY(IMPORTRANGE(""https://docs.google.com/spreadsheets/d/1EcLIvUgMoBC5as4ikW0wuQsGH5yVZ6cQ1y16qEfgPnk"",""BD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IFERROR(__xludf.DUMMYFUNCTION("ifna(IF(and(D361=""Saída"",J361=""Sangria""),if(sum(QUERY(IMPORTRANGE(""https://docs.google.com/spreadsheets/d/1E4szPcLzsqlw4uyBAoJ61L1ChCgpz4wVP8tHfHW1g_c"",""BD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'""&amp;YEAR(C361)&amp;""-""&amp;MONTH(C361)&amp;""-""&amp;DAY(C361)&amp;""'""))&gt;0,""Depositada"",if(sum(QUERY(IMPORTRANGE(""https://docs.google.com/spreadsheets/d/1EcLIvUgMoBC5as4ikW0wuQsGH5yVZ6cQ1y16qEfgPnk"",""BD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IFERROR(__xludf.DUMMYFUNCTION("ifna(IF(and(D362=""Saída"",J362=""Sangria""),if(sum(QUERY(IMPORTRANGE(""https://docs.google.com/spreadsheets/d/1E4szPcLzsqlw4uyBAoJ61L1ChCgpz4wVP8tHfHW1g_c"",""BD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'""&amp;YEAR(C362)&amp;""-""&amp;MONTH(C362)&amp;""-""&amp;DAY(C362)&amp;""'""))&gt;0,""Depositada"",if(sum(QUERY(IMPORTRANGE(""https://docs.google.com/spreadsheets/d/1EcLIvUgMoBC5as4ikW0wuQsGH5yVZ6cQ1y16qEfgPnk"",""BD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IFERROR(__xludf.DUMMYFUNCTION("ifna(IF(and(D363=""Saída"",J363=""Sangria""),if(sum(QUERY(IMPORTRANGE(""https://docs.google.com/spreadsheets/d/1E4szPcLzsqlw4uyBAoJ61L1ChCgpz4wVP8tHfHW1g_c"",""BD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'""&amp;YEAR(C363)&amp;""-""&amp;MONTH(C363)&amp;""-""&amp;DAY(C363)&amp;""'""))&gt;0,""Depositada"",if(sum(QUERY(IMPORTRANGE(""https://docs.google.com/spreadsheets/d/1EcLIvUgMoBC5as4ikW0wuQsGH5yVZ6cQ1y16qEfgPnk"",""BD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IFERROR(__xludf.DUMMYFUNCTION("ifna(IF(and(D364=""Saída"",J364=""Sangria""),if(sum(QUERY(IMPORTRANGE(""https://docs.google.com/spreadsheets/d/1E4szPcLzsqlw4uyBAoJ61L1ChCgpz4wVP8tHfHW1g_c"",""BD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'""&amp;YEAR(C364)&amp;""-""&amp;MONTH(C364)&amp;""-""&amp;DAY(C364)&amp;""'""))&gt;0,""Depositada"",if(sum(QUERY(IMPORTRANGE(""https://docs.google.com/spreadsheets/d/1EcLIvUgMoBC5as4ikW0wuQsGH5yVZ6cQ1y16qEfgPnk"",""BD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IFERROR(__xludf.DUMMYFUNCTION("ifna(IF(and(D365=""Saída"",J365=""Sangria""),if(sum(QUERY(IMPORTRANGE(""https://docs.google.com/spreadsheets/d/1E4szPcLzsqlw4uyBAoJ61L1ChCgpz4wVP8tHfHW1g_c"",""BD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'""&amp;YEAR(C365)&amp;""-""&amp;MONTH(C365)&amp;""-""&amp;DAY(C365)&amp;""'""))&gt;0,""Depositada"",if(sum(QUERY(IMPORTRANGE(""https://docs.google.com/spreadsheets/d/1EcLIvUgMoBC5as4ikW0wuQsGH5yVZ6cQ1y16qEfgPnk"",""BD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IFERROR(__xludf.DUMMYFUNCTION("ifna(IF(and(D366=""Saída"",J366=""Sangria""),if(sum(QUERY(IMPORTRANGE(""https://docs.google.com/spreadsheets/d/1E4szPcLzsqlw4uyBAoJ61L1ChCgpz4wVP8tHfHW1g_c"",""BD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'""&amp;YEAR(C366)&amp;""-""&amp;MONTH(C366)&amp;""-""&amp;DAY(C366)&amp;""'""))&gt;0,""Depositada"",if(sum(QUERY(IMPORTRANGE(""https://docs.google.com/spreadsheets/d/1EcLIvUgMoBC5as4ikW0wuQsGH5yVZ6cQ1y16qEfgPnk"",""BD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IFERROR(__xludf.DUMMYFUNCTION("ifna(IF(and(D367=""Saída"",J367=""Sangria""),if(sum(QUERY(IMPORTRANGE(""https://docs.google.com/spreadsheets/d/1E4szPcLzsqlw4uyBAoJ61L1ChCgpz4wVP8tHfHW1g_c"",""BD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'""&amp;YEAR(C367)&amp;""-""&amp;MONTH(C367)&amp;""-""&amp;DAY(C367)&amp;""'""))&gt;0,""Depositada"",if(sum(QUERY(IMPORTRANGE(""https://docs.google.com/spreadsheets/d/1EcLIvUgMoBC5as4ikW0wuQsGH5yVZ6cQ1y16qEfgPnk"",""BD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IFERROR(__xludf.DUMMYFUNCTION("ifna(IF(and(D368=""Saída"",J368=""Sangria""),if(sum(QUERY(IMPORTRANGE(""https://docs.google.com/spreadsheets/d/1E4szPcLzsqlw4uyBAoJ61L1ChCgpz4wVP8tHfHW1g_c"",""BD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'""&amp;YEAR(C368)&amp;""-""&amp;MONTH(C368)&amp;""-""&amp;DAY(C368)&amp;""'""))&gt;0,""Depositada"",if(sum(QUERY(IMPORTRANGE(""https://docs.google.com/spreadsheets/d/1EcLIvUgMoBC5as4ikW0wuQsGH5yVZ6cQ1y16qEfgPnk"",""BD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IFERROR(__xludf.DUMMYFUNCTION("ifna(IF(and(D369=""Saída"",J369=""Sangria""),if(sum(QUERY(IMPORTRANGE(""https://docs.google.com/spreadsheets/d/1E4szPcLzsqlw4uyBAoJ61L1ChCgpz4wVP8tHfHW1g_c"",""BD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'""&amp;YEAR(C369)&amp;""-""&amp;MONTH(C369)&amp;""-""&amp;DAY(C369)&amp;""'""))&gt;0,""Depositada"",if(sum(QUERY(IMPORTRANGE(""https://docs.google.com/spreadsheets/d/1EcLIvUgMoBC5as4ikW0wuQsGH5yVZ6cQ1y16qEfgPnk"",""BD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IFERROR(__xludf.DUMMYFUNCTION("ifna(IF(and(D370=""Saída"",J370=""Sangria""),if(sum(QUERY(IMPORTRANGE(""https://docs.google.com/spreadsheets/d/1E4szPcLzsqlw4uyBAoJ61L1ChCgpz4wVP8tHfHW1g_c"",""BD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'""&amp;YEAR(C370)&amp;""-""&amp;MONTH(C370)&amp;""-""&amp;DAY(C370)&amp;""'""))&gt;0,""Depositada"",if(sum(QUERY(IMPORTRANGE(""https://docs.google.com/spreadsheets/d/1EcLIvUgMoBC5as4ikW0wuQsGH5yVZ6cQ1y16qEfgPnk"",""BD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IFERROR(__xludf.DUMMYFUNCTION("ifna(IF(and(D371=""Saída"",J371=""Sangria""),if(sum(QUERY(IMPORTRANGE(""https://docs.google.com/spreadsheets/d/1E4szPcLzsqlw4uyBAoJ61L1ChCgpz4wVP8tHfHW1g_c"",""BD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'""&amp;YEAR(C371)&amp;""-""&amp;MONTH(C371)&amp;""-""&amp;DAY(C371)&amp;""'""))&gt;0,""Depositada"",if(sum(QUERY(IMPORTRANGE(""https://docs.google.com/spreadsheets/d/1EcLIvUgMoBC5as4ikW0wuQsGH5yVZ6cQ1y16qEfgPnk"",""BD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IFERROR(__xludf.DUMMYFUNCTION("ifna(IF(and(D372=""Saída"",J372=""Sangria""),if(sum(QUERY(IMPORTRANGE(""https://docs.google.com/spreadsheets/d/1E4szPcLzsqlw4uyBAoJ61L1ChCgpz4wVP8tHfHW1g_c"",""BD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'""&amp;YEAR(C372)&amp;""-""&amp;MONTH(C372)&amp;""-""&amp;DAY(C372)&amp;""'""))&gt;0,""Depositada"",if(sum(QUERY(IMPORTRANGE(""https://docs.google.com/spreadsheets/d/1EcLIvUgMoBC5as4ikW0wuQsGH5yVZ6cQ1y16qEfgPnk"",""BD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IFERROR(__xludf.DUMMYFUNCTION("ifna(IF(and(D373=""Saída"",J373=""Sangria""),if(sum(QUERY(IMPORTRANGE(""https://docs.google.com/spreadsheets/d/1E4szPcLzsqlw4uyBAoJ61L1ChCgpz4wVP8tHfHW1g_c"",""BD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'""&amp;YEAR(C373)&amp;""-""&amp;MONTH(C373)&amp;""-""&amp;DAY(C373)&amp;""'""))&gt;0,""Depositada"",if(sum(QUERY(IMPORTRANGE(""https://docs.google.com/spreadsheets/d/1EcLIvUgMoBC5as4ikW0wuQsGH5yVZ6cQ1y16qEfgPnk"",""BD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IFERROR(__xludf.DUMMYFUNCTION("ifna(IF(and(D374=""Saída"",J374=""Sangria""),if(sum(QUERY(IMPORTRANGE(""https://docs.google.com/spreadsheets/d/1E4szPcLzsqlw4uyBAoJ61L1ChCgpz4wVP8tHfHW1g_c"",""BD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'""&amp;YEAR(C374)&amp;""-""&amp;MONTH(C374)&amp;""-""&amp;DAY(C374)&amp;""'""))&gt;0,""Depositada"",if(sum(QUERY(IMPORTRANGE(""https://docs.google.com/spreadsheets/d/1EcLIvUgMoBC5as4ikW0wuQsGH5yVZ6cQ1y16qEfgPnk"",""BD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IFERROR(__xludf.DUMMYFUNCTION("ifna(IF(and(D375=""Saída"",J375=""Sangria""),if(sum(QUERY(IMPORTRANGE(""https://docs.google.com/spreadsheets/d/1E4szPcLzsqlw4uyBAoJ61L1ChCgpz4wVP8tHfHW1g_c"",""BD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'""&amp;YEAR(C375)&amp;""-""&amp;MONTH(C375)&amp;""-""&amp;DAY(C375)&amp;""'""))&gt;0,""Depositada"",if(sum(QUERY(IMPORTRANGE(""https://docs.google.com/spreadsheets/d/1EcLIvUgMoBC5as4ikW0wuQsGH5yVZ6cQ1y16qEfgPnk"",""BD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IFERROR(__xludf.DUMMYFUNCTION("ifna(IF(and(D376=""Saída"",J376=""Sangria""),if(sum(QUERY(IMPORTRANGE(""https://docs.google.com/spreadsheets/d/1E4szPcLzsqlw4uyBAoJ61L1ChCgpz4wVP8tHfHW1g_c"",""BD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'""&amp;YEAR(C376)&amp;""-""&amp;MONTH(C376)&amp;""-""&amp;DAY(C376)&amp;""'""))&gt;0,""Depositada"",if(sum(QUERY(IMPORTRANGE(""https://docs.google.com/spreadsheets/d/1EcLIvUgMoBC5as4ikW0wuQsGH5yVZ6cQ1y16qEfgPnk"",""BD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184" t="str">
        <f>IFERROR(__xludf.DUMMYFUNCTION("ifna(IF(and(D377=""Saída"",J377=""Sangria""),if(sum(QUERY(IMPORTRANGE(""https://docs.google.com/spreadsheets/d/1E4szPcLzsqlw4uyBAoJ61L1ChCgpz4wVP8tHfHW1g_c"",""BD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'""&amp;YEAR(C377)&amp;""-""&amp;MONTH(C377)&amp;""-""&amp;DAY(C377)&amp;""'""))&gt;0,""Depositada"",if(sum(QUERY(IMPORTRANGE(""https://docs.google.com/spreadsheets/d/1EcLIvUgMoBC5as4ikW0wuQsGH5yVZ6cQ1y16qEfgPnk"",""BD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IFERROR(__xludf.DUMMYFUNCTION("ifna(IF(and(D378=""Saída"",J378=""Sangria""),if(sum(QUERY(IMPORTRANGE(""https://docs.google.com/spreadsheets/d/1E4szPcLzsqlw4uyBAoJ61L1ChCgpz4wVP8tHfHW1g_c"",""BD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'""&amp;YEAR(C378)&amp;""-""&amp;MONTH(C378)&amp;""-""&amp;DAY(C378)&amp;""'""))&gt;0,""Depositada"",if(sum(QUERY(IMPORTRANGE(""https://docs.google.com/spreadsheets/d/1EcLIvUgMoBC5as4ikW0wuQsGH5yVZ6cQ1y16qEfgPnk"",""BD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IFERROR(__xludf.DUMMYFUNCTION("ifna(IF(and(D379=""Saída"",J379=""Sangria""),if(sum(QUERY(IMPORTRANGE(""https://docs.google.com/spreadsheets/d/1E4szPcLzsqlw4uyBAoJ61L1ChCgpz4wVP8tHfHW1g_c"",""BD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'""&amp;YEAR(C379)&amp;""-""&amp;MONTH(C379)&amp;""-""&amp;DAY(C379)&amp;""'""))&gt;0,""Depositada"",if(sum(QUERY(IMPORTRANGE(""https://docs.google.com/spreadsheets/d/1EcLIvUgMoBC5as4ikW0wuQsGH5yVZ6cQ1y16qEfgPnk"",""BD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IFERROR(__xludf.DUMMYFUNCTION("ifna(IF(and(D380=""Saída"",J380=""Sangria""),if(sum(QUERY(IMPORTRANGE(""https://docs.google.com/spreadsheets/d/1E4szPcLzsqlw4uyBAoJ61L1ChCgpz4wVP8tHfHW1g_c"",""BD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'""&amp;YEAR(C380)&amp;""-""&amp;MONTH(C380)&amp;""-""&amp;DAY(C380)&amp;""'""))&gt;0,""Depositada"",if(sum(QUERY(IMPORTRANGE(""https://docs.google.com/spreadsheets/d/1EcLIvUgMoBC5as4ikW0wuQsGH5yVZ6cQ1y16qEfgPnk"",""BD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IFERROR(__xludf.DUMMYFUNCTION("ifna(IF(and(D381=""Saída"",J381=""Sangria""),if(sum(QUERY(IMPORTRANGE(""https://docs.google.com/spreadsheets/d/1E4szPcLzsqlw4uyBAoJ61L1ChCgpz4wVP8tHfHW1g_c"",""BD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'""&amp;YEAR(C381)&amp;""-""&amp;MONTH(C381)&amp;""-""&amp;DAY(C381)&amp;""'""))&gt;0,""Depositada"",if(sum(QUERY(IMPORTRANGE(""https://docs.google.com/spreadsheets/d/1EcLIvUgMoBC5as4ikW0wuQsGH5yVZ6cQ1y16qEfgPnk"",""BD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IFERROR(__xludf.DUMMYFUNCTION("ifna(IF(and(D382=""Saída"",J382=""Sangria""),if(sum(QUERY(IMPORTRANGE(""https://docs.google.com/spreadsheets/d/1E4szPcLzsqlw4uyBAoJ61L1ChCgpz4wVP8tHfHW1g_c"",""BD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'""&amp;YEAR(C382)&amp;""-""&amp;MONTH(C382)&amp;""-""&amp;DAY(C382)&amp;""'""))&gt;0,""Depositada"",if(sum(QUERY(IMPORTRANGE(""https://docs.google.com/spreadsheets/d/1EcLIvUgMoBC5as4ikW0wuQsGH5yVZ6cQ1y16qEfgPnk"",""BD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IFERROR(__xludf.DUMMYFUNCTION("ifna(IF(and(D383=""Saída"",J383=""Sangria""),if(sum(QUERY(IMPORTRANGE(""https://docs.google.com/spreadsheets/d/1E4szPcLzsqlw4uyBAoJ61L1ChCgpz4wVP8tHfHW1g_c"",""BD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'""&amp;YEAR(C383)&amp;""-""&amp;MONTH(C383)&amp;""-""&amp;DAY(C383)&amp;""'""))&gt;0,""Depositada"",if(sum(QUERY(IMPORTRANGE(""https://docs.google.com/spreadsheets/d/1EcLIvUgMoBC5as4ikW0wuQsGH5yVZ6cQ1y16qEfgPnk"",""BD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IFERROR(__xludf.DUMMYFUNCTION("ifna(IF(and(D384=""Saída"",J384=""Sangria""),if(sum(QUERY(IMPORTRANGE(""https://docs.google.com/spreadsheets/d/1E4szPcLzsqlw4uyBAoJ61L1ChCgpz4wVP8tHfHW1g_c"",""BD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'""&amp;YEAR(C384)&amp;""-""&amp;MONTH(C384)&amp;""-""&amp;DAY(C384)&amp;""'""))&gt;0,""Depositada"",if(sum(QUERY(IMPORTRANGE(""https://docs.google.com/spreadsheets/d/1EcLIvUgMoBC5as4ikW0wuQsGH5yVZ6cQ1y16qEfgPnk"",""BD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IFERROR(__xludf.DUMMYFUNCTION("ifna(IF(and(D385=""Saída"",J385=""Sangria""),if(sum(QUERY(IMPORTRANGE(""https://docs.google.com/spreadsheets/d/1E4szPcLzsqlw4uyBAoJ61L1ChCgpz4wVP8tHfHW1g_c"",""BD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'""&amp;YEAR(C385)&amp;""-""&amp;MONTH(C385)&amp;""-""&amp;DAY(C385)&amp;""'""))&gt;0,""Depositada"",if(sum(QUERY(IMPORTRANGE(""https://docs.google.com/spreadsheets/d/1EcLIvUgMoBC5as4ikW0wuQsGH5yVZ6cQ1y16qEfgPnk"",""BD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IFERROR(__xludf.DUMMYFUNCTION("ifna(IF(and(D386=""Saída"",J386=""Sangria""),if(sum(QUERY(IMPORTRANGE(""https://docs.google.com/spreadsheets/d/1E4szPcLzsqlw4uyBAoJ61L1ChCgpz4wVP8tHfHW1g_c"",""BD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'""&amp;YEAR(C386)&amp;""-""&amp;MONTH(C386)&amp;""-""&amp;DAY(C386)&amp;""'""))&gt;0,""Depositada"",if(sum(QUERY(IMPORTRANGE(""https://docs.google.com/spreadsheets/d/1EcLIvUgMoBC5as4ikW0wuQsGH5yVZ6cQ1y16qEfgPnk"",""BD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IFERROR(__xludf.DUMMYFUNCTION("ifna(IF(and(D387=""Saída"",J387=""Sangria""),if(sum(QUERY(IMPORTRANGE(""https://docs.google.com/spreadsheets/d/1E4szPcLzsqlw4uyBAoJ61L1ChCgpz4wVP8tHfHW1g_c"",""BD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'""&amp;YEAR(C387)&amp;""-""&amp;MONTH(C387)&amp;""-""&amp;DAY(C387)&amp;""'""))&gt;0,""Depositada"",if(sum(QUERY(IMPORTRANGE(""https://docs.google.com/spreadsheets/d/1EcLIvUgMoBC5as4ikW0wuQsGH5yVZ6cQ1y16qEfgPnk"",""BD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IFERROR(__xludf.DUMMYFUNCTION("ifna(IF(and(D388=""Saída"",J388=""Sangria""),if(sum(QUERY(IMPORTRANGE(""https://docs.google.com/spreadsheets/d/1E4szPcLzsqlw4uyBAoJ61L1ChCgpz4wVP8tHfHW1g_c"",""BD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'""&amp;YEAR(C388)&amp;""-""&amp;MONTH(C388)&amp;""-""&amp;DAY(C388)&amp;""'""))&gt;0,""Depositada"",if(sum(QUERY(IMPORTRANGE(""https://docs.google.com/spreadsheets/d/1EcLIvUgMoBC5as4ikW0wuQsGH5yVZ6cQ1y16qEfgPnk"",""BD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184" t="str">
        <f>IFERROR(__xludf.DUMMYFUNCTION("ifna(IF(and(D389=""Saída"",J389=""Sangria""),if(sum(QUERY(IMPORTRANGE(""https://docs.google.com/spreadsheets/d/1E4szPcLzsqlw4uyBAoJ61L1ChCgpz4wVP8tHfHW1g_c"",""BD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'""&amp;YEAR(C389)&amp;""-""&amp;MONTH(C389)&amp;""-""&amp;DAY(C389)&amp;""'""))&gt;0,""Depositada"",if(sum(QUERY(IMPORTRANGE(""https://docs.google.com/spreadsheets/d/1EcLIvUgMoBC5as4ikW0wuQsGH5yVZ6cQ1y16qEfgPnk"",""BD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IFERROR(__xludf.DUMMYFUNCTION("ifna(IF(and(D390=""Saída"",J390=""Sangria""),if(sum(QUERY(IMPORTRANGE(""https://docs.google.com/spreadsheets/d/1E4szPcLzsqlw4uyBAoJ61L1ChCgpz4wVP8tHfHW1g_c"",""BD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'""&amp;YEAR(C390)&amp;""-""&amp;MONTH(C390)&amp;""-""&amp;DAY(C390)&amp;""'""))&gt;0,""Depositada"",if(sum(QUERY(IMPORTRANGE(""https://docs.google.com/spreadsheets/d/1EcLIvUgMoBC5as4ikW0wuQsGH5yVZ6cQ1y16qEfgPnk"",""BD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IFERROR(__xludf.DUMMYFUNCTION("ifna(IF(and(D391=""Saída"",J391=""Sangria""),if(sum(QUERY(IMPORTRANGE(""https://docs.google.com/spreadsheets/d/1E4szPcLzsqlw4uyBAoJ61L1ChCgpz4wVP8tHfHW1g_c"",""BD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'""&amp;YEAR(C391)&amp;""-""&amp;MONTH(C391)&amp;""-""&amp;DAY(C391)&amp;""'""))&gt;0,""Depositada"",if(sum(QUERY(IMPORTRANGE(""https://docs.google.com/spreadsheets/d/1EcLIvUgMoBC5as4ikW0wuQsGH5yVZ6cQ1y16qEfgPnk"",""BD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IFERROR(__xludf.DUMMYFUNCTION("ifna(IF(and(D392=""Saída"",J392=""Sangria""),if(sum(QUERY(IMPORTRANGE(""https://docs.google.com/spreadsheets/d/1E4szPcLzsqlw4uyBAoJ61L1ChCgpz4wVP8tHfHW1g_c"",""BD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'""&amp;YEAR(C392)&amp;""-""&amp;MONTH(C392)&amp;""-""&amp;DAY(C392)&amp;""'""))&gt;0,""Depositada"",if(sum(QUERY(IMPORTRANGE(""https://docs.google.com/spreadsheets/d/1EcLIvUgMoBC5as4ikW0wuQsGH5yVZ6cQ1y16qEfgPnk"",""BD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IFERROR(__xludf.DUMMYFUNCTION("ifna(IF(and(D393=""Saída"",J393=""Sangria""),if(sum(QUERY(IMPORTRANGE(""https://docs.google.com/spreadsheets/d/1E4szPcLzsqlw4uyBAoJ61L1ChCgpz4wVP8tHfHW1g_c"",""BD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'""&amp;YEAR(C393)&amp;""-""&amp;MONTH(C393)&amp;""-""&amp;DAY(C393)&amp;""'""))&gt;0,""Depositada"",if(sum(QUERY(IMPORTRANGE(""https://docs.google.com/spreadsheets/d/1EcLIvUgMoBC5as4ikW0wuQsGH5yVZ6cQ1y16qEfgPnk"",""BD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103:S104"/>
    <mergeCell ref="R105:S105"/>
    <mergeCell ref="K18:L18"/>
    <mergeCell ref="K19:L19"/>
    <mergeCell ref="S19:V19"/>
    <mergeCell ref="N48:Q48"/>
    <mergeCell ref="S48:V48"/>
    <mergeCell ref="N78:Q78"/>
    <mergeCell ref="S78:V78"/>
  </mergeCells>
  <conditionalFormatting sqref="E29:E30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79:V79">
    <cfRule type="cellIs" dxfId="6" priority="10" operator="greaterThanOrEqual">
      <formula>500</formula>
    </cfRule>
  </conditionalFormatting>
  <conditionalFormatting sqref="L4:V4 L11 D20 R20:V20 N49:V49 N79:V7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504">
      <formula1>'AGOSTO 2025'!$B$4:$B$16</formula1>
    </dataValidation>
    <dataValidation type="list" allowBlank="1" showErrorMessage="1" sqref="J29:J77 J79:J97 J99:J130 J132 J134:J176 J178:J179 J181:J190 J192:J195 J197:J208 J210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9.75"/>
    <col customWidth="1" min="7" max="7" width="47.8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2">
        <v>4.0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9" t="s">
        <v>2888</v>
      </c>
      <c r="O2" s="27"/>
      <c r="P2" s="27"/>
      <c r="Q2" s="27"/>
      <c r="R2" s="27"/>
      <c r="S2" s="27"/>
      <c r="T2" s="27"/>
      <c r="U2" s="27"/>
      <c r="V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Rayana</v>
      </c>
      <c r="F3" s="31"/>
      <c r="G3" s="33" t="str">
        <f>B6</f>
        <v/>
      </c>
      <c r="H3" s="31"/>
      <c r="I3" s="33" t="str">
        <f>B7</f>
        <v>Carolina</v>
      </c>
      <c r="J3" s="31"/>
      <c r="K3" s="33" t="str">
        <f>B8</f>
        <v>Sabrine</v>
      </c>
      <c r="L3" s="34"/>
      <c r="M3" s="35"/>
      <c r="N3" s="36" t="str">
        <f>B4</f>
        <v>Marcos</v>
      </c>
      <c r="O3" s="27"/>
      <c r="P3" s="27"/>
      <c r="Q3" s="28"/>
      <c r="R3" s="37"/>
      <c r="S3" s="38" t="str">
        <f>B5</f>
        <v>Rayana</v>
      </c>
      <c r="T3" s="27"/>
      <c r="U3" s="27"/>
      <c r="V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SUMIFS(M29:M504,J29:J504,C4,K29:K504,C3)+SUMIF(P96:P138,A4,Q96:Q138)+D9</f>
        <v>0</v>
      </c>
      <c r="E4" s="43" t="s">
        <v>1112</v>
      </c>
      <c r="F4" s="42">
        <f>SUMIFS(M29:M504,J29:J504,E4,K29:K504,E3)+SUMIF(P96:P138,A5,Q96:Q138)+F9</f>
        <v>500</v>
      </c>
      <c r="G4" s="43" t="s">
        <v>1112</v>
      </c>
      <c r="H4" s="42">
        <f>SUMIFS(M29:M504,J29:J504,C4,K29:K504,G3)+SUMIF(P96:P138,A6,Q96:Q138)+H9</f>
        <v>0</v>
      </c>
      <c r="I4" s="43" t="s">
        <v>1112</v>
      </c>
      <c r="J4" s="42">
        <f>SUMIFS(M29:M504,J29:J504,C4,K29:K504,I3)+SUMIF(P96:P138,A7,Q96:Q138)+J9</f>
        <v>100</v>
      </c>
      <c r="K4" s="43" t="s">
        <v>1112</v>
      </c>
      <c r="L4" s="44">
        <f>SUMIFS(M29:M504,J29:J504,C4,K29:K504,K3)+SUMIF(P96:P138,A8,Q96:Q138)+L9</f>
        <v>0</v>
      </c>
      <c r="M4" s="25"/>
      <c r="N4" s="45" t="str">
        <f>IFERROR(__xludf.DUMMYFUNCTION("query(C28:L504,""select Col1,Col3,Col8,Col9 where (Col8 = 'Adiantamento' or Col8 = 'Consumo') and Col9 = '""&amp;B4&amp;""'"",1)"),"Data")</f>
        <v>Data</v>
      </c>
      <c r="O4" s="46" t="str">
        <f>IFERROR(__xludf.DUMMYFUNCTION("""COMPUTED_VALUE"""),"Valor ")</f>
        <v>Valor </v>
      </c>
      <c r="P4" s="46" t="str">
        <f>IFERROR(__xludf.DUMMYFUNCTION("""COMPUTED_VALUE"""),"Tipo")</f>
        <v>Tipo</v>
      </c>
      <c r="Q4" s="47" t="str">
        <f>IFERROR(__xludf.DUMMYFUNCTION("""COMPUTED_VALUE"""),"Funcionário")</f>
        <v>Funcionário</v>
      </c>
      <c r="R4" s="48"/>
      <c r="S4" s="49" t="str">
        <f>IFERROR(__xludf.DUMMYFUNCTION("query(C28:L504,""select Col1,Col3,Col8,Col9 where (Col8 = 'Adiantamento' or Col8 = 'Consumo') and Col9 = '""&amp;B5&amp;""'"",1)"),"Data")</f>
        <v>Data</v>
      </c>
      <c r="T4" s="49" t="str">
        <f>IFERROR(__xludf.DUMMYFUNCTION("""COMPUTED_VALUE"""),"Valor ")</f>
        <v>Valor </v>
      </c>
      <c r="U4" s="49" t="str">
        <f>IFERROR(__xludf.DUMMYFUNCTION("""COMPUTED_VALUE"""),"Tipo")</f>
        <v>Tipo</v>
      </c>
      <c r="V4" s="50" t="str">
        <f>IFERROR(__xludf.DUMMYFUNCTION("""COMPUTED_VALUE"""),"Funcionário")</f>
        <v>Funcionário</v>
      </c>
    </row>
    <row r="5" ht="15.0" customHeight="1">
      <c r="A5" s="39" t="s">
        <v>1183</v>
      </c>
      <c r="B5" s="40" t="s">
        <v>3040</v>
      </c>
      <c r="C5" s="41" t="s">
        <v>3044</v>
      </c>
      <c r="D5" s="42">
        <f>SUMIFS(M29:M504,J29:J504,C5,K29:K504,C3)</f>
        <v>0</v>
      </c>
      <c r="E5" s="43" t="s">
        <v>3044</v>
      </c>
      <c r="F5" s="42">
        <f>SUMIFS(M29:M504,J29:J504,C5,K29:K504,E3)</f>
        <v>386.75</v>
      </c>
      <c r="G5" s="43" t="s">
        <v>3044</v>
      </c>
      <c r="H5" s="42">
        <f>SUMIFS(M29:M504,J29:J504,C5,K29:K504,G3)</f>
        <v>0</v>
      </c>
      <c r="I5" s="43" t="s">
        <v>3044</v>
      </c>
      <c r="J5" s="42">
        <f>SUMIFS(M29:M504,J29:J504,C5,K29:K504,I3)</f>
        <v>211.76</v>
      </c>
      <c r="K5" s="43" t="s">
        <v>3044</v>
      </c>
      <c r="L5" s="44">
        <f>SUMIFS(M29:M504,J29:J504,C5,K29:K504,K3)</f>
        <v>355.97</v>
      </c>
      <c r="M5" s="25"/>
      <c r="N5" s="51"/>
      <c r="O5" s="52"/>
      <c r="P5" s="52"/>
      <c r="Q5" s="53"/>
      <c r="R5" s="54"/>
      <c r="S5" s="55">
        <f>IFERROR(__xludf.DUMMYFUNCTION("""COMPUTED_VALUE"""),45898.78658564815)</f>
        <v>45898.78659</v>
      </c>
      <c r="T5" s="52" t="str">
        <f>IFERROR(__xludf.DUMMYFUNCTION("""COMPUTED_VALUE"""),"R$ 47,41")</f>
        <v>R$ 47,41</v>
      </c>
      <c r="U5" s="52" t="str">
        <f>IFERROR(__xludf.DUMMYFUNCTION("""COMPUTED_VALUE"""),"Consumo")</f>
        <v>Consumo</v>
      </c>
      <c r="V5" s="53" t="str">
        <f>IFERROR(__xludf.DUMMYFUNCTION("""COMPUTED_VALUE"""),"Rayana")</f>
        <v>Rayana</v>
      </c>
    </row>
    <row r="6" ht="16.5" customHeight="1">
      <c r="A6" s="56"/>
      <c r="B6" s="40"/>
      <c r="C6" s="41" t="s">
        <v>3082</v>
      </c>
      <c r="D6" s="42">
        <f>D5*0.8</f>
        <v>0</v>
      </c>
      <c r="E6" s="43" t="s">
        <v>3082</v>
      </c>
      <c r="F6" s="42">
        <f>F5*0.8</f>
        <v>309.4</v>
      </c>
      <c r="G6" s="43" t="s">
        <v>3082</v>
      </c>
      <c r="H6" s="42">
        <f>H5*0.8</f>
        <v>0</v>
      </c>
      <c r="I6" s="43" t="s">
        <v>3082</v>
      </c>
      <c r="J6" s="42">
        <f>J5*0.8</f>
        <v>169.408</v>
      </c>
      <c r="K6" s="57" t="s">
        <v>3082</v>
      </c>
      <c r="L6" s="44">
        <f>L5*0.8</f>
        <v>284.776</v>
      </c>
      <c r="M6" s="25"/>
      <c r="N6" s="51"/>
      <c r="O6" s="52"/>
      <c r="P6" s="52"/>
      <c r="Q6" s="53"/>
      <c r="R6" s="54"/>
      <c r="S6" s="55">
        <f>IFERROR(__xludf.DUMMYFUNCTION("""COMPUTED_VALUE"""),45899.896898148145)</f>
        <v>45899.8969</v>
      </c>
      <c r="T6" s="52" t="str">
        <f>IFERROR(__xludf.DUMMYFUNCTION("""COMPUTED_VALUE"""),"R$ 35,02")</f>
        <v>R$ 35,02</v>
      </c>
      <c r="U6" s="52" t="str">
        <f>IFERROR(__xludf.DUMMYFUNCTION("""COMPUTED_VALUE"""),"Consumo")</f>
        <v>Consumo</v>
      </c>
      <c r="V6" s="53" t="str">
        <f>IFERROR(__xludf.DUMMYFUNCTION("""COMPUTED_VALUE"""),"Rayana")</f>
        <v>Rayana</v>
      </c>
    </row>
    <row r="7" ht="14.25" customHeight="1">
      <c r="A7" s="39" t="s">
        <v>62</v>
      </c>
      <c r="B7" s="40" t="s">
        <v>3137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51"/>
      <c r="O7" s="52"/>
      <c r="P7" s="52"/>
      <c r="Q7" s="53"/>
      <c r="R7" s="54"/>
      <c r="S7" s="55">
        <f>IFERROR(__xludf.DUMMYFUNCTION("""COMPUTED_VALUE"""),45899.90849537037)</f>
        <v>45899.9085</v>
      </c>
      <c r="T7" s="52" t="str">
        <f>IFERROR(__xludf.DUMMYFUNCTION("""COMPUTED_VALUE"""),"R$ 11,50")</f>
        <v>R$ 11,50</v>
      </c>
      <c r="U7" s="52" t="str">
        <f>IFERROR(__xludf.DUMMYFUNCTION("""COMPUTED_VALUE"""),"Consumo")</f>
        <v>Consumo</v>
      </c>
      <c r="V7" s="53" t="str">
        <f>IFERROR(__xludf.DUMMYFUNCTION("""COMPUTED_VALUE"""),"Rayana")</f>
        <v>Rayana</v>
      </c>
    </row>
    <row r="8" ht="14.25" customHeight="1">
      <c r="A8" s="12" t="s">
        <v>78</v>
      </c>
      <c r="B8" s="40" t="s">
        <v>3168</v>
      </c>
      <c r="C8" s="63" t="s">
        <v>3170</v>
      </c>
      <c r="D8" s="64"/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51"/>
      <c r="O8" s="52"/>
      <c r="P8" s="52"/>
      <c r="Q8" s="53"/>
      <c r="R8" s="54"/>
      <c r="S8" s="55">
        <f>IFERROR(__xludf.DUMMYFUNCTION("""COMPUTED_VALUE"""),45903.78476851852)</f>
        <v>45903.78477</v>
      </c>
      <c r="T8" s="52" t="str">
        <f>IFERROR(__xludf.DUMMYFUNCTION("""COMPUTED_VALUE"""),"R$ 58,29")</f>
        <v>R$ 58,29</v>
      </c>
      <c r="U8" s="52" t="str">
        <f>IFERROR(__xludf.DUMMYFUNCTION("""COMPUTED_VALUE"""),"Consumo")</f>
        <v>Consumo</v>
      </c>
      <c r="V8" s="53" t="str">
        <f>IFERROR(__xludf.DUMMYFUNCTION("""COMPUTED_VALUE"""),"Rayana")</f>
        <v>Rayana</v>
      </c>
    </row>
    <row r="9">
      <c r="A9" s="39" t="s">
        <v>1900</v>
      </c>
      <c r="B9" s="40" t="s">
        <v>6340</v>
      </c>
      <c r="C9" s="70" t="s">
        <v>41</v>
      </c>
      <c r="D9" s="71"/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51"/>
      <c r="O9" s="52"/>
      <c r="P9" s="52"/>
      <c r="Q9" s="53"/>
      <c r="R9" s="54"/>
      <c r="S9" s="55">
        <f>IFERROR(__xludf.DUMMYFUNCTION("""COMPUTED_VALUE"""),45904.60748842593)</f>
        <v>45904.60749</v>
      </c>
      <c r="T9" s="52" t="str">
        <f>IFERROR(__xludf.DUMMYFUNCTION("""COMPUTED_VALUE"""),"R$ 15,00")</f>
        <v>R$ 15,00</v>
      </c>
      <c r="U9" s="52" t="str">
        <f>IFERROR(__xludf.DUMMYFUNCTION("""COMPUTED_VALUE"""),"Consumo")</f>
        <v>Consumo</v>
      </c>
      <c r="V9" s="53" t="str">
        <f>IFERROR(__xludf.DUMMYFUNCTION("""COMPUTED_VALUE"""),"Rayana")</f>
        <v>Rayana</v>
      </c>
    </row>
    <row r="10" ht="21.75" customHeight="1">
      <c r="A10" s="39"/>
      <c r="B10" s="40"/>
      <c r="C10" s="75" t="str">
        <f>B9</f>
        <v>Janaina</v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51"/>
      <c r="O10" s="79"/>
      <c r="P10" s="79"/>
      <c r="Q10" s="80"/>
      <c r="R10" s="81"/>
      <c r="S10" s="55">
        <f>IFERROR(__xludf.DUMMYFUNCTION("""COMPUTED_VALUE"""),45907.86696759259)</f>
        <v>45907.86697</v>
      </c>
      <c r="T10" s="79" t="str">
        <f>IFERROR(__xludf.DUMMYFUNCTION("""COMPUTED_VALUE"""),"R$ 51,09")</f>
        <v>R$ 51,09</v>
      </c>
      <c r="U10" s="79" t="str">
        <f>IFERROR(__xludf.DUMMYFUNCTION("""COMPUTED_VALUE"""),"Consumo")</f>
        <v>Consumo</v>
      </c>
      <c r="V10" s="80" t="str">
        <f>IFERROR(__xludf.DUMMYFUNCTION("""COMPUTED_VALUE"""),"Rayana")</f>
        <v>Rayana</v>
      </c>
    </row>
    <row r="11">
      <c r="A11" s="82"/>
      <c r="B11" s="83"/>
      <c r="C11" s="84" t="s">
        <v>1112</v>
      </c>
      <c r="D11" s="85">
        <f>SUMIFS(M29:M511,J29:J511,C11,K29:K511,C10)+SUMIF(P96:P138,A9,Q96:Q138)+D16</f>
        <v>0</v>
      </c>
      <c r="E11" s="86" t="s">
        <v>1112</v>
      </c>
      <c r="F11" s="85">
        <f>SUMIFS(M29:M511,J29:J511,E11,K29:K511,E10)+SUMIF(P96:P138,A10,Q96:Q138)+F16</f>
        <v>0</v>
      </c>
      <c r="G11" s="86" t="s">
        <v>1112</v>
      </c>
      <c r="H11" s="85">
        <f>SUMIFS(M29:M511,J29:J511,C11,K29:K511,G10)+SUMIF(P96:P138,A11,Q96:Q138)+H16</f>
        <v>0</v>
      </c>
      <c r="I11" s="86" t="s">
        <v>1112</v>
      </c>
      <c r="J11" s="85">
        <f>SUMIFS(M29:M511,J29:J511,C11,K29:K511,I10)+SUMIF(P96:P138,A11,Q96:Q138)+J16</f>
        <v>0</v>
      </c>
      <c r="K11" s="86" t="s">
        <v>1112</v>
      </c>
      <c r="L11" s="87">
        <f>SUMIFS(M29:M511,J29:J511,C11,K29:K511,K10)+SUMIF(P96:P138,A13,Q96:Q138)+L16</f>
        <v>0</v>
      </c>
      <c r="M11" s="24"/>
      <c r="N11" s="88"/>
      <c r="O11" s="89"/>
      <c r="P11" s="89"/>
      <c r="Q11" s="90"/>
      <c r="R11" s="91"/>
      <c r="S11" s="236">
        <f>IFERROR(__xludf.DUMMYFUNCTION("""COMPUTED_VALUE"""),45911.57609953704)</f>
        <v>45911.5761</v>
      </c>
      <c r="T11" s="89" t="str">
        <f>IFERROR(__xludf.DUMMYFUNCTION("""COMPUTED_VALUE"""),"R$ 11,12")</f>
        <v>R$ 11,12</v>
      </c>
      <c r="U11" s="89" t="str">
        <f>IFERROR(__xludf.DUMMYFUNCTION("""COMPUTED_VALUE"""),"Consumo")</f>
        <v>Consumo</v>
      </c>
      <c r="V11" s="90" t="str">
        <f>IFERROR(__xludf.DUMMYFUNCTION("""COMPUTED_VALUE"""),"Rayana")</f>
        <v>Rayana</v>
      </c>
    </row>
    <row r="12">
      <c r="A12" s="82"/>
      <c r="B12" s="83"/>
      <c r="C12" s="84" t="s">
        <v>3044</v>
      </c>
      <c r="D12" s="85">
        <f>SUMIFS(M36:M511,J36:J511,C12,K36:K511,C10)</f>
        <v>0</v>
      </c>
      <c r="E12" s="86" t="s">
        <v>3044</v>
      </c>
      <c r="F12" s="85">
        <f>SUMIFS(M29:M511,J29:J511,C12,K29:K511,E10)</f>
        <v>0</v>
      </c>
      <c r="G12" s="86" t="s">
        <v>3044</v>
      </c>
      <c r="H12" s="85">
        <f>SUMIFS(M36:M511,J36:J511,C12,K36:K511,G10)</f>
        <v>0</v>
      </c>
      <c r="I12" s="86" t="s">
        <v>3044</v>
      </c>
      <c r="J12" s="85">
        <f>SUMIFS(M29:M511,J29:J511,C12,K29:K511,I10)</f>
        <v>0</v>
      </c>
      <c r="K12" s="86" t="s">
        <v>3044</v>
      </c>
      <c r="L12" s="87">
        <f>SUMIFS(M29:M511,J29:J511,C12,K29:K511,K10)</f>
        <v>0</v>
      </c>
      <c r="M12" s="24"/>
      <c r="N12" s="88"/>
      <c r="O12" s="89"/>
      <c r="P12" s="89"/>
      <c r="Q12" s="90"/>
      <c r="R12" s="91"/>
      <c r="S12" s="236">
        <f>IFERROR(__xludf.DUMMYFUNCTION("""COMPUTED_VALUE"""),45912.80126157407)</f>
        <v>45912.80126</v>
      </c>
      <c r="T12" s="89" t="str">
        <f>IFERROR(__xludf.DUMMYFUNCTION("""COMPUTED_VALUE"""),"R$ 26,20")</f>
        <v>R$ 26,20</v>
      </c>
      <c r="U12" s="89" t="str">
        <f>IFERROR(__xludf.DUMMYFUNCTION("""COMPUTED_VALUE"""),"Consumo")</f>
        <v>Consumo</v>
      </c>
      <c r="V12" s="90" t="str">
        <f>IFERROR(__xludf.DUMMYFUNCTION("""COMPUTED_VALUE"""),"Rayana")</f>
        <v>Rayana</v>
      </c>
    </row>
    <row r="13">
      <c r="A13" s="82"/>
      <c r="B13" s="93"/>
      <c r="C13" s="84" t="s">
        <v>3082</v>
      </c>
      <c r="D13" s="85">
        <f>D12*0.8</f>
        <v>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88"/>
      <c r="O13" s="89"/>
      <c r="P13" s="89"/>
      <c r="Q13" s="90"/>
      <c r="R13" s="91"/>
      <c r="S13" s="236">
        <f>IFERROR(__xludf.DUMMYFUNCTION("""COMPUTED_VALUE"""),45914.89712962963)</f>
        <v>45914.89713</v>
      </c>
      <c r="T13" s="89" t="str">
        <f>IFERROR(__xludf.DUMMYFUNCTION("""COMPUTED_VALUE"""),"R$ 84,40")</f>
        <v>R$ 84,40</v>
      </c>
      <c r="U13" s="89" t="str">
        <f>IFERROR(__xludf.DUMMYFUNCTION("""COMPUTED_VALUE"""),"Consumo")</f>
        <v>Consumo</v>
      </c>
      <c r="V13" s="90" t="str">
        <f>IFERROR(__xludf.DUMMYFUNCTION("""COMPUTED_VALUE"""),"Rayana")</f>
        <v>Rayana</v>
      </c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88"/>
      <c r="O14" s="89"/>
      <c r="P14" s="89"/>
      <c r="Q14" s="90"/>
      <c r="R14" s="91"/>
      <c r="S14" s="236">
        <f>IFERROR(__xludf.DUMMYFUNCTION("""COMPUTED_VALUE"""),45916.776550925926)</f>
        <v>45916.77655</v>
      </c>
      <c r="T14" s="89" t="str">
        <f>IFERROR(__xludf.DUMMYFUNCTION("""COMPUTED_VALUE"""),"R$ 8,00")</f>
        <v>R$ 8,00</v>
      </c>
      <c r="U14" s="89" t="str">
        <f>IFERROR(__xludf.DUMMYFUNCTION("""COMPUTED_VALUE"""),"Consumo")</f>
        <v>Consumo</v>
      </c>
      <c r="V14" s="90" t="str">
        <f>IFERROR(__xludf.DUMMYFUNCTION("""COMPUTED_VALUE"""),"Rayana")</f>
        <v>Rayana</v>
      </c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88"/>
      <c r="O15" s="89"/>
      <c r="P15" s="89"/>
      <c r="Q15" s="90"/>
      <c r="R15" s="91"/>
      <c r="S15" s="236">
        <f>IFERROR(__xludf.DUMMYFUNCTION("""COMPUTED_VALUE"""),45911.88554398148)</f>
        <v>45911.88554</v>
      </c>
      <c r="T15" s="89" t="str">
        <f>IFERROR(__xludf.DUMMYFUNCTION("""COMPUTED_VALUE"""),"R$ 38,72")</f>
        <v>R$ 38,72</v>
      </c>
      <c r="U15" s="89" t="str">
        <f>IFERROR(__xludf.DUMMYFUNCTION("""COMPUTED_VALUE"""),"Consumo")</f>
        <v>Consumo</v>
      </c>
      <c r="V15" s="90" t="str">
        <f>IFERROR(__xludf.DUMMYFUNCTION("""COMPUTED_VALUE"""),"Rayana")</f>
        <v>Rayana</v>
      </c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3"/>
      <c r="B19" s="23"/>
      <c r="C19" s="112"/>
      <c r="D19" s="113"/>
      <c r="E19" s="112"/>
      <c r="F19" s="114"/>
      <c r="G19" s="115" t="s">
        <v>3452</v>
      </c>
      <c r="H19" s="116">
        <f>((H20+H21)-H22)-H25</f>
        <v>15849.99</v>
      </c>
      <c r="I19" s="117" t="s">
        <v>3466</v>
      </c>
      <c r="J19" s="118" t="s">
        <v>3467</v>
      </c>
      <c r="K19" s="119" t="s">
        <v>3472</v>
      </c>
      <c r="L19" s="113"/>
      <c r="M19" s="24"/>
      <c r="N19" s="120"/>
      <c r="O19" s="121"/>
      <c r="P19" s="121"/>
      <c r="Q19" s="121"/>
      <c r="R19" s="122"/>
      <c r="S19" s="123" t="str">
        <f>B6</f>
        <v/>
      </c>
      <c r="T19" s="106"/>
      <c r="U19" s="106"/>
      <c r="V19" s="124"/>
    </row>
    <row r="20">
      <c r="A20" s="125"/>
      <c r="B20" s="125"/>
      <c r="C20" s="126" t="s">
        <v>1112</v>
      </c>
      <c r="D20" s="127">
        <f>SUMIFS(M29:M504,J29:J504,C20,K29:K504,C19)+SUMIF(P102:P138,A9,Q102:Q138)+D25</f>
        <v>0</v>
      </c>
      <c r="E20" s="126" t="s">
        <v>1112</v>
      </c>
      <c r="F20" s="128">
        <f>SUMIFS(M29:M504,J29:J504,C20,K29:K504,E19)+SUMIF(P102:P138,A10,Q102:Q138)+F25</f>
        <v>0</v>
      </c>
      <c r="G20" s="129" t="s">
        <v>3505</v>
      </c>
      <c r="H20" s="130">
        <v>0.0</v>
      </c>
      <c r="I20" s="131">
        <f>SUMIF(J29:J504,I19,M29:M504)</f>
        <v>1655.76</v>
      </c>
      <c r="J20" s="132">
        <f>SUMIF(J29:J504,J19,M29:M504)</f>
        <v>200.01</v>
      </c>
      <c r="K20" s="133" t="s">
        <v>3520</v>
      </c>
      <c r="L20" s="134"/>
      <c r="M20" s="24"/>
      <c r="N20" s="135"/>
      <c r="O20" s="136"/>
      <c r="P20" s="136"/>
      <c r="Q20" s="136"/>
      <c r="R20" s="48"/>
      <c r="S20" s="49" t="str">
        <f>IFERROR(__xludf.DUMMYFUNCTION("query(C28:L504,""select Col1,Col3,Col8,Col9 where (Col8 = 'Adiantamento' or Col8 = 'Consumo') and Col9 = '""&amp;B6&amp;""'"",1)"),"Data")</f>
        <v>Data</v>
      </c>
      <c r="T20" s="49" t="str">
        <f>IFERROR(__xludf.DUMMYFUNCTION("""COMPUTED_VALUE"""),"Valor ")</f>
        <v>Valor </v>
      </c>
      <c r="U20" s="49" t="str">
        <f>IFERROR(__xludf.DUMMYFUNCTION("""COMPUTED_VALUE"""),"Tipo")</f>
        <v>Tipo</v>
      </c>
      <c r="V20" s="50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3044</v>
      </c>
      <c r="D21" s="127">
        <f>SUMIFS(M29:M504,J29:J504,C21,K29:K504,C19)</f>
        <v>0</v>
      </c>
      <c r="E21" s="126" t="s">
        <v>3044</v>
      </c>
      <c r="F21" s="128">
        <f>SUMIFS(M29:M504,J29:J504,E21,K29:K504,E19)</f>
        <v>0</v>
      </c>
      <c r="G21" s="86" t="s">
        <v>3560</v>
      </c>
      <c r="H21" s="127">
        <f>SUMIFS(M29:M504,D29:D504,"Saída",J29:J504,"Sangria")</f>
        <v>18450</v>
      </c>
      <c r="I21" s="138"/>
      <c r="J21" s="139"/>
      <c r="K21" s="133" t="s">
        <v>3570</v>
      </c>
      <c r="L21" s="134"/>
      <c r="M21" s="24"/>
      <c r="N21" s="108"/>
      <c r="O21" s="52"/>
      <c r="P21" s="52"/>
      <c r="Q21" s="53"/>
      <c r="R21" s="54"/>
      <c r="S21" s="55">
        <f>IFERROR(__xludf.DUMMYFUNCTION("""COMPUTED_VALUE"""),45917.70135416667)</f>
        <v>45917.70135</v>
      </c>
      <c r="T21" s="52" t="str">
        <f>IFERROR(__xludf.DUMMYFUNCTION("""COMPUTED_VALUE"""),"R$ 10,00")</f>
        <v>R$ 10,00</v>
      </c>
      <c r="U21" s="52" t="str">
        <f>IFERROR(__xludf.DUMMYFUNCTION("""COMPUTED_VALUE"""),"Consumo")</f>
        <v>Consumo</v>
      </c>
      <c r="V21" s="53"/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SUMIFS(M29:M504,D29:D504,"Entrada",J29:J504,"Sangria")</f>
        <v>2600.01</v>
      </c>
      <c r="I22" s="144" t="s">
        <v>3602</v>
      </c>
      <c r="J22" s="145"/>
      <c r="K22" s="133" t="s">
        <v>3606</v>
      </c>
      <c r="L22" s="134"/>
      <c r="M22" s="24"/>
      <c r="N22" s="51"/>
      <c r="O22" s="52"/>
      <c r="P22" s="52"/>
      <c r="Q22" s="53"/>
      <c r="R22" s="54"/>
      <c r="S22" s="55">
        <f>IFERROR(__xludf.DUMMYFUNCTION("""COMPUTED_VALUE"""),45917.71625)</f>
        <v>45917.71625</v>
      </c>
      <c r="T22" s="52" t="str">
        <f>IFERROR(__xludf.DUMMYFUNCTION("""COMPUTED_VALUE"""),"R$ 5,00")</f>
        <v>R$ 5,00</v>
      </c>
      <c r="U22" s="52" t="str">
        <f>IFERROR(__xludf.DUMMYFUNCTION("""COMPUTED_VALUE"""),"Consumo")</f>
        <v>Consumo</v>
      </c>
      <c r="V22" s="53"/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SUMIF(J29:J504,I22,M29:M504)</f>
        <v>0</v>
      </c>
      <c r="J23" s="152"/>
      <c r="K23" s="133" t="s">
        <v>3630</v>
      </c>
      <c r="L23" s="134"/>
      <c r="M23" s="24"/>
      <c r="N23" s="51"/>
      <c r="O23" s="52"/>
      <c r="P23" s="52"/>
      <c r="Q23" s="53"/>
      <c r="R23" s="54"/>
      <c r="S23" s="55">
        <f>IFERROR(__xludf.DUMMYFUNCTION("""COMPUTED_VALUE"""),45917.79229166667)</f>
        <v>45917.79229</v>
      </c>
      <c r="T23" s="52" t="str">
        <f>IFERROR(__xludf.DUMMYFUNCTION("""COMPUTED_VALUE"""),"R$ 10,00")</f>
        <v>R$ 10,00</v>
      </c>
      <c r="U23" s="52" t="str">
        <f>IFERROR(__xludf.DUMMYFUNCTION("""COMPUTED_VALUE"""),"Consumo")</f>
        <v>Consumo</v>
      </c>
      <c r="V23" s="53"/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SUMIF(L29:L504,G24,M29:M504)</f>
        <v>0</v>
      </c>
      <c r="I24" s="157" t="s">
        <v>3653</v>
      </c>
      <c r="J24" s="150"/>
      <c r="K24" s="133" t="s">
        <v>3656</v>
      </c>
      <c r="L24" s="134"/>
      <c r="M24" s="24"/>
      <c r="N24" s="51"/>
      <c r="O24" s="52"/>
      <c r="P24" s="52"/>
      <c r="Q24" s="53"/>
      <c r="R24" s="54"/>
      <c r="S24" s="52"/>
      <c r="T24" s="52"/>
      <c r="U24" s="52"/>
      <c r="V24" s="53"/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5"/>
      <c r="N25" s="51"/>
      <c r="O25" s="52"/>
      <c r="P25" s="52"/>
      <c r="Q25" s="53"/>
      <c r="R25" s="54"/>
      <c r="S25" s="52"/>
      <c r="T25" s="52"/>
      <c r="U25" s="52"/>
      <c r="V25" s="53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1"/>
      <c r="O26" s="79"/>
      <c r="P26" s="79"/>
      <c r="Q26" s="80"/>
      <c r="R26" s="81"/>
      <c r="S26" s="79"/>
      <c r="T26" s="79"/>
      <c r="U26" s="79"/>
      <c r="V26" s="80"/>
    </row>
    <row r="27">
      <c r="A27" s="168"/>
      <c r="B27" s="169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89"/>
      <c r="T27" s="89"/>
      <c r="U27" s="89"/>
      <c r="V27" s="90"/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177" t="s">
        <v>3724</v>
      </c>
      <c r="M28" s="167"/>
      <c r="N28" s="88"/>
      <c r="O28" s="89"/>
      <c r="P28" s="89"/>
      <c r="Q28" s="90"/>
      <c r="R28" s="91"/>
      <c r="S28" s="89"/>
      <c r="T28" s="89"/>
      <c r="U28" s="89"/>
      <c r="V28" s="90"/>
    </row>
    <row r="29" ht="14.25" customHeight="1">
      <c r="A29" s="178"/>
      <c r="B29" s="10">
        <v>1644658.0</v>
      </c>
      <c r="C29" s="11">
        <v>45895.67005787037</v>
      </c>
      <c r="D29" s="179" t="s">
        <v>50</v>
      </c>
      <c r="E29" s="180" t="s">
        <v>708</v>
      </c>
      <c r="F29" s="181"/>
      <c r="G29" s="179" t="s">
        <v>6446</v>
      </c>
      <c r="H29" s="182"/>
      <c r="I29" s="182"/>
      <c r="J29" s="183" t="s">
        <v>3044</v>
      </c>
      <c r="K29" s="183" t="s">
        <v>3137</v>
      </c>
      <c r="L29" s="184" t="str">
        <f>IFERROR(__xludf.DUMMYFUNCTION("ifna(IF(and(D29=""Saída"",J29=""Sangria""),if(sum(QUERY(IMPORTRANGE(""https://docs.google.com/spreadsheets/d/1wBSFbIXYswW2S5SMKo44LPsdTG4P4kfP5VRdAS5E_4o"",""BD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'""&amp;YEAR(C29)&amp;""-""&amp;MONTH(C29)&amp;""-""&amp;DAY(C29)&amp;""'""))&gt;0,""Depositada"",if(sum(QUERY(IMPORTRANGE(""https://docs.google.com/spreadsheets/d/1wBSFbIXYswW2S5SMKo44LPsdTG4P4kfP5VRdAS5E_4o"",""BD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Sangria"")"),"")</f>
        <v/>
      </c>
      <c r="M29" s="185">
        <f>IFERROR(__xludf.DUMMYFUNCTION("ifna(VALUE(REGEXEXTRACT(E29,""[0-9.]+[,]+[0-9]+"")))"),8.0)</f>
        <v>8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27.0" customHeight="1">
      <c r="A30" s="178"/>
      <c r="B30" s="10">
        <v>1644945.0</v>
      </c>
      <c r="C30" s="11">
        <v>45895.78569444444</v>
      </c>
      <c r="D30" s="179" t="s">
        <v>50</v>
      </c>
      <c r="E30" s="180" t="s">
        <v>6451</v>
      </c>
      <c r="F30" s="181"/>
      <c r="G30" s="179" t="s">
        <v>6452</v>
      </c>
      <c r="H30" s="186"/>
      <c r="I30" s="186"/>
      <c r="J30" s="187" t="s">
        <v>3903</v>
      </c>
      <c r="K30" s="187"/>
      <c r="L30" s="184" t="str">
        <f>IFERROR(__xludf.DUMMYFUNCTION("ifna(IF(and(D30=""Saída"",J30=""Sangria""),if(sum(QUERY(IMPORTRANGE(""https://docs.google.com/spreadsheets/d/1wBSFbIXYswW2S5SMKo44LPsdTG4P4kfP5VRdAS5E_4o"",""BD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'""&amp;YEAR(C30)&amp;""-""&amp;MONTH(C30)&amp;""-""&amp;DAY(C30)&amp;""'""))&gt;0,""Depositada"",if(sum(QUERY(IMPORTRANGE(""https://docs.google.com/spreadsheets/d/1wBSFbIXYswW2S5SMKo44LPsdTG4P4kfP5VRdAS5E_4o"",""BD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IFERROR(__xludf.DUMMYFUNCTION("ifna(VALUE(REGEXEXTRACT(E30,""[0-9.]+[,]+[0-9]+"")))"),131.63)</f>
        <v>131.63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0">
        <v>1644946.0</v>
      </c>
      <c r="C31" s="11">
        <v>45895.78601851852</v>
      </c>
      <c r="D31" s="179" t="s">
        <v>50</v>
      </c>
      <c r="E31" s="180" t="s">
        <v>6457</v>
      </c>
      <c r="F31" s="181"/>
      <c r="G31" s="179" t="s">
        <v>6458</v>
      </c>
      <c r="H31" s="186"/>
      <c r="I31" s="186"/>
      <c r="J31" s="187" t="s">
        <v>3903</v>
      </c>
      <c r="K31" s="187"/>
      <c r="L31" s="184" t="str">
        <f>IFERROR(__xludf.DUMMYFUNCTION("ifna(IF(and(D31=""Saída"",J31=""Sangria""),if(sum(QUERY(IMPORTRANGE(""https://docs.google.com/spreadsheets/d/1wBSFbIXYswW2S5SMKo44LPsdTG4P4kfP5VRdAS5E_4o"",""BD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'""&amp;YEAR(C31)&amp;""-""&amp;MONTH(C31)&amp;""-""&amp;DAY(C31)&amp;""'""))&gt;0,""Depositada"",if(sum(QUERY(IMPORTRANGE(""https://docs.google.com/spreadsheets/d/1wBSFbIXYswW2S5SMKo44LPsdTG4P4kfP5VRdAS5E_4o"",""BD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Sangria"")"),"")</f>
        <v/>
      </c>
      <c r="M31" s="185">
        <f>IFERROR(__xludf.DUMMYFUNCTION("ifna(VALUE(REGEXEXTRACT(E31,""[0-9.]+[,]+[0-9]+"")))"),19.13)</f>
        <v>19.13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0">
        <v>1645818.0</v>
      </c>
      <c r="C32" s="11">
        <v>45896.63861111111</v>
      </c>
      <c r="D32" s="179" t="s">
        <v>50</v>
      </c>
      <c r="E32" s="180" t="s">
        <v>6461</v>
      </c>
      <c r="F32" s="181"/>
      <c r="G32" s="179" t="s">
        <v>6463</v>
      </c>
      <c r="H32" s="186"/>
      <c r="I32" s="186"/>
      <c r="J32" s="187" t="s">
        <v>3903</v>
      </c>
      <c r="K32" s="187"/>
      <c r="L32" s="184" t="str">
        <f>IFERROR(__xludf.DUMMYFUNCTION("ifna(IF(and(D32=""Saída"",J32=""Sangria""),if(sum(QUERY(IMPORTRANGE(""https://docs.google.com/spreadsheets/d/1wBSFbIXYswW2S5SMKo44LPsdTG4P4kfP5VRdAS5E_4o"",""BD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'""&amp;YEAR(C32)&amp;""-""&amp;MONTH(C32)&amp;""-""&amp;DAY(C32)&amp;""'""))&gt;0,""Depositada"",if(sum(QUERY(IMPORTRANGE(""https://docs.google.com/spreadsheets/d/1wBSFbIXYswW2S5SMKo44LPsdTG4P4kfP5VRdAS5E_4o"",""BD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IFERROR(__xludf.DUMMYFUNCTION("ifna(VALUE(REGEXEXTRACT(E32,""[0-9.]+[,]+[0-9]+"")))"),11.0)</f>
        <v>11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0">
        <v>1645819.0</v>
      </c>
      <c r="C33" s="11">
        <v>45896.638969907406</v>
      </c>
      <c r="D33" s="179" t="s">
        <v>50</v>
      </c>
      <c r="E33" s="180" t="s">
        <v>6467</v>
      </c>
      <c r="F33" s="181"/>
      <c r="G33" s="179" t="s">
        <v>6468</v>
      </c>
      <c r="H33" s="186"/>
      <c r="I33" s="186"/>
      <c r="J33" s="187" t="s">
        <v>3903</v>
      </c>
      <c r="K33" s="187"/>
      <c r="L33" s="184" t="str">
        <f>IFERROR(__xludf.DUMMYFUNCTION("ifna(IF(and(D33=""Saída"",J33=""Sangria""),if(sum(QUERY(IMPORTRANGE(""https://docs.google.com/spreadsheets/d/1wBSFbIXYswW2S5SMKo44LPsdTG4P4kfP5VRdAS5E_4o"",""BD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'""&amp;YEAR(C33)&amp;""-""&amp;MONTH(C33)&amp;""-""&amp;DAY(C33)&amp;""'""))&gt;0,""Depositada"",if(sum(QUERY(IMPORTRANGE(""https://docs.google.com/spreadsheets/d/1wBSFbIXYswW2S5SMKo44LPsdTG4P4kfP5VRdAS5E_4o"",""BD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Sangria"")"),"")</f>
        <v/>
      </c>
      <c r="M33" s="185">
        <f>IFERROR(__xludf.DUMMYFUNCTION("ifna(VALUE(REGEXEXTRACT(E33,""[0-9.]+[,]+[0-9]+"")))"),18.0)</f>
        <v>18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0">
        <v>1645905.0</v>
      </c>
      <c r="C34" s="11">
        <v>45896.66976851852</v>
      </c>
      <c r="D34" s="179" t="s">
        <v>50</v>
      </c>
      <c r="E34" s="180" t="s">
        <v>205</v>
      </c>
      <c r="F34" s="181"/>
      <c r="G34" s="179" t="s">
        <v>6446</v>
      </c>
      <c r="H34" s="186"/>
      <c r="I34" s="186"/>
      <c r="J34" s="187" t="s">
        <v>3044</v>
      </c>
      <c r="K34" s="187" t="s">
        <v>3137</v>
      </c>
      <c r="L34" s="184" t="str">
        <f>IFERROR(__xludf.DUMMYFUNCTION("ifna(IF(and(D34=""Saída"",J34=""Sangria""),if(sum(QUERY(IMPORTRANGE(""https://docs.google.com/spreadsheets/d/1wBSFbIXYswW2S5SMKo44LPsdTG4P4kfP5VRdAS5E_4o"",""BD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'""&amp;YEAR(C34)&amp;""-""&amp;MONTH(C34)&amp;""-""&amp;DAY(C34)&amp;""'""))&gt;0,""Depositada"",if(sum(QUERY(IMPORTRANGE(""https://docs.google.com/spreadsheets/d/1wBSFbIXYswW2S5SMKo44LPsdTG4P4kfP5VRdAS5E_4o"",""BD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IFERROR(__xludf.DUMMYFUNCTION("ifna(VALUE(REGEXEXTRACT(E34,""[0-9.]+[,]+[0-9]+"")))"),10.0)</f>
        <v>10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0">
        <v>1646986.0</v>
      </c>
      <c r="C35" s="11">
        <v>45897.53371527778</v>
      </c>
      <c r="D35" s="179" t="s">
        <v>50</v>
      </c>
      <c r="E35" s="180" t="s">
        <v>157</v>
      </c>
      <c r="F35" s="188"/>
      <c r="G35" s="179" t="s">
        <v>4960</v>
      </c>
      <c r="H35" s="186"/>
      <c r="I35" s="186"/>
      <c r="J35" s="187" t="s">
        <v>3044</v>
      </c>
      <c r="K35" s="187" t="s">
        <v>3168</v>
      </c>
      <c r="L35" s="184" t="str">
        <f>IFERROR(__xludf.DUMMYFUNCTION("ifna(IF(and(D35=""Saída"",J35=""Sangria""),if(sum(QUERY(IMPORTRANGE(""https://docs.google.com/spreadsheets/d/1wBSFbIXYswW2S5SMKo44LPsdTG4P4kfP5VRdAS5E_4o"",""BD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'""&amp;YEAR(C35)&amp;""-""&amp;MONTH(C35)&amp;""-""&amp;DAY(C35)&amp;""'""))&gt;0,""Depositada"",if(sum(QUERY(IMPORTRANGE(""https://docs.google.com/spreadsheets/d/1wBSFbIXYswW2S5SMKo44LPsdTG4P4kfP5VRdAS5E_4o"",""BD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IFERROR(__xludf.DUMMYFUNCTION("ifna(VALUE(REGEXEXTRACT(E35,""[0-9.]+[,]+[0-9]+"")))"),5.0)</f>
        <v>5</v>
      </c>
      <c r="N35" s="108"/>
      <c r="R35" s="110"/>
    </row>
    <row r="36" ht="14.25" customHeight="1">
      <c r="A36" s="178"/>
      <c r="B36" s="10">
        <v>1647125.0</v>
      </c>
      <c r="C36" s="11">
        <v>45897.60592592593</v>
      </c>
      <c r="D36" s="179" t="s">
        <v>50</v>
      </c>
      <c r="E36" s="180" t="s">
        <v>6479</v>
      </c>
      <c r="F36" s="181"/>
      <c r="G36" s="179" t="s">
        <v>6480</v>
      </c>
      <c r="H36" s="186"/>
      <c r="I36" s="186"/>
      <c r="J36" s="187" t="s">
        <v>3466</v>
      </c>
      <c r="K36" s="187"/>
      <c r="L36" s="184" t="str">
        <f>IFERROR(__xludf.DUMMYFUNCTION("ifna(IF(and(D36=""Saída"",J36=""Sangria""),if(sum(QUERY(IMPORTRANGE(""https://docs.google.com/spreadsheets/d/1wBSFbIXYswW2S5SMKo44LPsdTG4P4kfP5VRdAS5E_4o"",""BD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'""&amp;YEAR(C36)&amp;""-""&amp;MONTH(C36)&amp;""-""&amp;DAY(C36)&amp;""'""))&gt;0,""Depositada"",if(sum(QUERY(IMPORTRANGE(""https://docs.google.com/spreadsheets/d/1wBSFbIXYswW2S5SMKo44LPsdTG4P4kfP5VRdAS5E_4o"",""BD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Sangria"")"),"")</f>
        <v/>
      </c>
      <c r="M36" s="185">
        <f>IFERROR(__xludf.DUMMYFUNCTION("ifna(VALUE(REGEXEXTRACT(E36,""[0-9.]+[,]+[0-9]+"")))"),300.0)</f>
        <v>300</v>
      </c>
      <c r="N36" s="108"/>
      <c r="R36" s="110"/>
    </row>
    <row r="37" ht="14.25" customHeight="1">
      <c r="A37" s="178"/>
      <c r="B37" s="10">
        <v>1647127.0</v>
      </c>
      <c r="C37" s="11">
        <v>45897.60649305556</v>
      </c>
      <c r="D37" s="179" t="s">
        <v>227</v>
      </c>
      <c r="E37" s="180" t="s">
        <v>494</v>
      </c>
      <c r="F37" s="181"/>
      <c r="G37" s="179" t="s">
        <v>6483</v>
      </c>
      <c r="H37" s="186"/>
      <c r="I37" s="186"/>
      <c r="J37" s="187" t="s">
        <v>3874</v>
      </c>
      <c r="K37" s="187"/>
      <c r="L37" s="184" t="str">
        <f>IFERROR(__xludf.DUMMYFUNCTION("ifna(IF(and(D37=""Saída"",J37=""Sangria""),if(sum(QUERY(IMPORTRANGE(""https://docs.google.com/spreadsheets/d/1wBSFbIXYswW2S5SMKo44LPsdTG4P4kfP5VRdAS5E_4o"",""BD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'""&amp;YEAR(C37)&amp;""-""&amp;MONTH(C37)&amp;""-""&amp;DAY(C37)&amp;""'""))&gt;0,""Depositada"",if(sum(QUERY(IMPORTRANGE(""https://docs.google.com/spreadsheets/d/1wBSFbIXYswW2S5SMKo44LPsdTG4P4kfP5VRdAS5E_4o"",""BD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IFERROR(__xludf.DUMMYFUNCTION("ifna(VALUE(REGEXEXTRACT(E37,""[0-9.]+[,]+[0-9]+"")))"),0.01)</f>
        <v>0.01</v>
      </c>
      <c r="N37" s="108"/>
      <c r="R37" s="110"/>
    </row>
    <row r="38" ht="14.25" customHeight="1">
      <c r="A38" s="178"/>
      <c r="B38" s="10">
        <v>1647488.0</v>
      </c>
      <c r="C38" s="11">
        <v>45897.720497685186</v>
      </c>
      <c r="D38" s="179" t="s">
        <v>50</v>
      </c>
      <c r="E38" s="180" t="s">
        <v>157</v>
      </c>
      <c r="F38" s="181"/>
      <c r="G38" s="179" t="s">
        <v>6446</v>
      </c>
      <c r="H38" s="186"/>
      <c r="I38" s="186"/>
      <c r="J38" s="187" t="s">
        <v>3044</v>
      </c>
      <c r="K38" s="187" t="s">
        <v>3137</v>
      </c>
      <c r="L38" s="184" t="str">
        <f>IFERROR(__xludf.DUMMYFUNCTION("ifna(IF(and(D38=""Saída"",J38=""Sangria""),if(sum(QUERY(IMPORTRANGE(""https://docs.google.com/spreadsheets/d/1wBSFbIXYswW2S5SMKo44LPsdTG4P4kfP5VRdAS5E_4o"",""BD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'""&amp;YEAR(C38)&amp;""-""&amp;MONTH(C38)&amp;""-""&amp;DAY(C38)&amp;""'""))&gt;0,""Depositada"",if(sum(QUERY(IMPORTRANGE(""https://docs.google.com/spreadsheets/d/1wBSFbIXYswW2S5SMKo44LPsdTG4P4kfP5VRdAS5E_4o"",""BD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Sangria"")"),"")</f>
        <v/>
      </c>
      <c r="M38" s="185">
        <f>IFERROR(__xludf.DUMMYFUNCTION("ifna(VALUE(REGEXEXTRACT(E38,""[0-9.]+[,]+[0-9]+"")))"),5.0)</f>
        <v>5</v>
      </c>
      <c r="N38" s="108"/>
      <c r="R38" s="110"/>
    </row>
    <row r="39" ht="21.75" customHeight="1">
      <c r="A39" s="178"/>
      <c r="B39" s="10">
        <v>1647636.0</v>
      </c>
      <c r="C39" s="11">
        <v>45897.770891203705</v>
      </c>
      <c r="D39" s="179" t="s">
        <v>50</v>
      </c>
      <c r="E39" s="180" t="s">
        <v>6488</v>
      </c>
      <c r="F39" s="181"/>
      <c r="G39" s="179" t="s">
        <v>4960</v>
      </c>
      <c r="H39" s="186"/>
      <c r="I39" s="186"/>
      <c r="J39" s="187" t="s">
        <v>3044</v>
      </c>
      <c r="K39" s="187" t="s">
        <v>3168</v>
      </c>
      <c r="L39" s="184" t="str">
        <f>IFERROR(__xludf.DUMMYFUNCTION("ifna(IF(and(D39=""Saída"",J39=""Sangria""),if(sum(QUERY(IMPORTRANGE(""https://docs.google.com/spreadsheets/d/1wBSFbIXYswW2S5SMKo44LPsdTG4P4kfP5VRdAS5E_4o"",""BD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'""&amp;YEAR(C39)&amp;""-""&amp;MONTH(C39)&amp;""-""&amp;DAY(C39)&amp;""'""))&gt;0,""Depositada"",if(sum(QUERY(IMPORTRANGE(""https://docs.google.com/spreadsheets/d/1wBSFbIXYswW2S5SMKo44LPsdTG4P4kfP5VRdAS5E_4o"",""BD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IFERROR(__xludf.DUMMYFUNCTION("ifna(VALUE(REGEXEXTRACT(E39,""[0-9.]+[,]+[0-9]+"")))"),49.71)</f>
        <v>49.71</v>
      </c>
      <c r="N39" s="108"/>
      <c r="R39" s="110"/>
    </row>
    <row r="40" ht="14.25" customHeight="1">
      <c r="A40" s="178"/>
      <c r="B40" s="10">
        <v>1648432.0</v>
      </c>
      <c r="C40" s="11">
        <v>45898.53197916667</v>
      </c>
      <c r="D40" s="179" t="s">
        <v>50</v>
      </c>
      <c r="E40" s="180" t="s">
        <v>157</v>
      </c>
      <c r="F40" s="181"/>
      <c r="G40" s="179" t="s">
        <v>4639</v>
      </c>
      <c r="H40" s="186"/>
      <c r="I40" s="186"/>
      <c r="J40" s="187" t="s">
        <v>3044</v>
      </c>
      <c r="K40" s="187" t="s">
        <v>3137</v>
      </c>
      <c r="L40" s="184" t="str">
        <f>IFERROR(__xludf.DUMMYFUNCTION("ifna(IF(and(D40=""Saída"",J40=""Sangria""),if(sum(QUERY(IMPORTRANGE(""https://docs.google.com/spreadsheets/d/1wBSFbIXYswW2S5SMKo44LPsdTG4P4kfP5VRdAS5E_4o"",""BD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'""&amp;YEAR(C40)&amp;""-""&amp;MONTH(C40)&amp;""-""&amp;DAY(C40)&amp;""'""))&gt;0,""Depositada"",if(sum(QUERY(IMPORTRANGE(""https://docs.google.com/spreadsheets/d/1wBSFbIXYswW2S5SMKo44LPsdTG4P4kfP5VRdAS5E_4o"",""BD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Sangria"")"),"")</f>
        <v/>
      </c>
      <c r="M40" s="185">
        <f>IFERROR(__xludf.DUMMYFUNCTION("ifna(VALUE(REGEXEXTRACT(E40,""[0-9.]+[,]+[0-9]+"")))"),5.0)</f>
        <v>5</v>
      </c>
      <c r="N40" s="108"/>
      <c r="R40" s="110"/>
    </row>
    <row r="41" ht="27.0" customHeight="1">
      <c r="A41" s="178"/>
      <c r="B41" s="10">
        <v>1648850.0</v>
      </c>
      <c r="C41" s="11">
        <v>45898.67443287037</v>
      </c>
      <c r="D41" s="179" t="s">
        <v>50</v>
      </c>
      <c r="E41" s="180" t="s">
        <v>6496</v>
      </c>
      <c r="F41" s="181"/>
      <c r="G41" s="179" t="s">
        <v>6497</v>
      </c>
      <c r="H41" s="186"/>
      <c r="I41" s="186"/>
      <c r="J41" s="187" t="s">
        <v>3467</v>
      </c>
      <c r="K41" s="187"/>
      <c r="L41" s="184" t="str">
        <f>IFERROR(__xludf.DUMMYFUNCTION("ifna(IF(and(D41=""Saída"",J41=""Sangria""),if(sum(QUERY(IMPORTRANGE(""https://docs.google.com/spreadsheets/d/1wBSFbIXYswW2S5SMKo44LPsdTG4P4kfP5VRdAS5E_4o"",""BD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'""&amp;YEAR(C41)&amp;""-""&amp;MONTH(C41)&amp;""-""&amp;DAY(C41)&amp;""'""))&gt;0,""Depositada"",if(sum(QUERY(IMPORTRANGE(""https://docs.google.com/spreadsheets/d/1wBSFbIXYswW2S5SMKo44LPsdTG4P4kfP5VRdAS5E_4o"",""BD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Sangria"")"),"")</f>
        <v/>
      </c>
      <c r="M41" s="185">
        <f>IFERROR(__xludf.DUMMYFUNCTION("ifna(VALUE(REGEXEXTRACT(E41,""[0-9.]+[,]+[0-9]+"")))"),46.26)</f>
        <v>46.26</v>
      </c>
      <c r="N41" s="108"/>
      <c r="R41" s="110"/>
    </row>
    <row r="42" ht="14.25" customHeight="1">
      <c r="A42" s="178"/>
      <c r="B42" s="10">
        <v>1649176.0</v>
      </c>
      <c r="C42" s="11">
        <v>45898.7412962963</v>
      </c>
      <c r="D42" s="179" t="s">
        <v>50</v>
      </c>
      <c r="E42" s="180" t="s">
        <v>157</v>
      </c>
      <c r="F42" s="181"/>
      <c r="G42" s="179" t="s">
        <v>4639</v>
      </c>
      <c r="H42" s="186"/>
      <c r="I42" s="186"/>
      <c r="J42" s="187" t="s">
        <v>3044</v>
      </c>
      <c r="K42" s="187" t="s">
        <v>3137</v>
      </c>
      <c r="L42" s="184" t="str">
        <f>IFERROR(__xludf.DUMMYFUNCTION("ifna(IF(and(D42=""Saída"",J42=""Sangria""),if(sum(QUERY(IMPORTRANGE(""https://docs.google.com/spreadsheets/d/1wBSFbIXYswW2S5SMKo44LPsdTG4P4kfP5VRdAS5E_4o"",""BD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'""&amp;YEAR(C42)&amp;""-""&amp;MONTH(C42)&amp;""-""&amp;DAY(C42)&amp;""'""))&gt;0,""Depositada"",if(sum(QUERY(IMPORTRANGE(""https://docs.google.com/spreadsheets/d/1wBSFbIXYswW2S5SMKo44LPsdTG4P4kfP5VRdAS5E_4o"",""BD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Sangria"")"),"")</f>
        <v/>
      </c>
      <c r="M42" s="185">
        <f>IFERROR(__xludf.DUMMYFUNCTION("ifna(VALUE(REGEXEXTRACT(E42,""[0-9.]+[,]+[0-9]+"")))"),5.0)</f>
        <v>5</v>
      </c>
      <c r="N42" s="108"/>
      <c r="R42" s="110"/>
    </row>
    <row r="43" ht="14.25" customHeight="1">
      <c r="A43" s="178"/>
      <c r="B43" s="10">
        <v>1649335.0</v>
      </c>
      <c r="C43" s="11">
        <v>45898.77887731481</v>
      </c>
      <c r="D43" s="179" t="s">
        <v>50</v>
      </c>
      <c r="E43" s="180" t="s">
        <v>6500</v>
      </c>
      <c r="F43" s="181"/>
      <c r="G43" s="179" t="s">
        <v>6501</v>
      </c>
      <c r="H43" s="189"/>
      <c r="I43" s="189"/>
      <c r="J43" s="187" t="s">
        <v>3903</v>
      </c>
      <c r="K43" s="187"/>
      <c r="L43" s="184" t="str">
        <f>IFERROR(__xludf.DUMMYFUNCTION("ifna(IF(and(D43=""Saída"",J43=""Sangria""),if(sum(QUERY(IMPORTRANGE(""https://docs.google.com/spreadsheets/d/1wBSFbIXYswW2S5SMKo44LPsdTG4P4kfP5VRdAS5E_4o"",""BD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'""&amp;YEAR(C43)&amp;""-""&amp;MONTH(C43)&amp;""-""&amp;DAY(C43)&amp;""'""))&gt;0,""Depositada"",if(sum(QUERY(IMPORTRANGE(""https://docs.google.com/spreadsheets/d/1wBSFbIXYswW2S5SMKo44LPsdTG4P4kfP5VRdAS5E_4o"",""BD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Sangria"")"),"")</f>
        <v/>
      </c>
      <c r="M43" s="185">
        <f>IFERROR(__xludf.DUMMYFUNCTION("ifna(VALUE(REGEXEXTRACT(E43,""[0-9.]+[,]+[0-9]+"")))"),546.05)</f>
        <v>546.05</v>
      </c>
      <c r="N43" s="108"/>
      <c r="R43" s="110"/>
    </row>
    <row r="44" ht="14.25" customHeight="1">
      <c r="A44" s="178"/>
      <c r="B44" s="10">
        <v>1649337.0</v>
      </c>
      <c r="C44" s="11">
        <v>45898.77945601852</v>
      </c>
      <c r="D44" s="179" t="s">
        <v>50</v>
      </c>
      <c r="E44" s="180" t="s">
        <v>6505</v>
      </c>
      <c r="F44" s="181"/>
      <c r="G44" s="179" t="s">
        <v>6506</v>
      </c>
      <c r="H44" s="189"/>
      <c r="I44" s="189"/>
      <c r="J44" s="187" t="s">
        <v>3903</v>
      </c>
      <c r="K44" s="187"/>
      <c r="L44" s="184" t="str">
        <f>IFERROR(__xludf.DUMMYFUNCTION("ifna(IF(and(D44=""Saída"",J44=""Sangria""),if(sum(QUERY(IMPORTRANGE(""https://docs.google.com/spreadsheets/d/1wBSFbIXYswW2S5SMKo44LPsdTG4P4kfP5VRdAS5E_4o"",""BD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'""&amp;YEAR(C44)&amp;""-""&amp;MONTH(C44)&amp;""-""&amp;DAY(C44)&amp;""'""))&gt;0,""Depositada"",if(sum(QUERY(IMPORTRANGE(""https://docs.google.com/spreadsheets/d/1wBSFbIXYswW2S5SMKo44LPsdTG4P4kfP5VRdAS5E_4o"",""BD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Sangria"")"),"")</f>
        <v/>
      </c>
      <c r="M44" s="185">
        <f>IFERROR(__xludf.DUMMYFUNCTION("ifna(VALUE(REGEXEXTRACT(E44,""[0-9.]+[,]+[0-9]+"")))"),386.0)</f>
        <v>386</v>
      </c>
      <c r="N44" s="108"/>
      <c r="R44" s="110"/>
    </row>
    <row r="45" ht="14.25" customHeight="1">
      <c r="A45" s="178"/>
      <c r="B45" s="10">
        <v>1649346.0</v>
      </c>
      <c r="C45" s="11">
        <v>45898.7830787037</v>
      </c>
      <c r="D45" s="179" t="s">
        <v>50</v>
      </c>
      <c r="E45" s="180" t="s">
        <v>494</v>
      </c>
      <c r="F45" s="188"/>
      <c r="G45" s="179" t="s">
        <v>6510</v>
      </c>
      <c r="H45" s="190"/>
      <c r="I45" s="190"/>
      <c r="J45" s="187" t="s">
        <v>3903</v>
      </c>
      <c r="K45" s="187"/>
      <c r="L45" s="184" t="str">
        <f>IFERROR(__xludf.DUMMYFUNCTION("ifna(IF(and(D45=""Saída"",J45=""Sangria""),if(sum(QUERY(IMPORTRANGE(""https://docs.google.com/spreadsheets/d/1wBSFbIXYswW2S5SMKo44LPsdTG4P4kfP5VRdAS5E_4o"",""BD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'""&amp;YEAR(C45)&amp;""-""&amp;MONTH(C45)&amp;""-""&amp;DAY(C45)&amp;""'""))&gt;0,""Depositada"",if(sum(QUERY(IMPORTRANGE(""https://docs.google.com/spreadsheets/d/1wBSFbIXYswW2S5SMKo44LPsdTG4P4kfP5VRdAS5E_4o"",""BD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Sangria"")"),"")</f>
        <v/>
      </c>
      <c r="M45" s="185">
        <f>IFERROR(__xludf.DUMMYFUNCTION("ifna(VALUE(REGEXEXTRACT(E45,""[0-9.]+[,]+[0-9]+"")))"),0.01)</f>
        <v>0.01</v>
      </c>
      <c r="N45" s="108"/>
      <c r="R45" s="110"/>
    </row>
    <row r="46" ht="18.75" customHeight="1">
      <c r="A46" s="178"/>
      <c r="B46" s="10">
        <v>1649360.0</v>
      </c>
      <c r="C46" s="11">
        <v>45898.78658564815</v>
      </c>
      <c r="D46" s="179" t="s">
        <v>50</v>
      </c>
      <c r="E46" s="180" t="s">
        <v>6512</v>
      </c>
      <c r="F46" s="181"/>
      <c r="G46" s="179" t="s">
        <v>6513</v>
      </c>
      <c r="H46" s="190"/>
      <c r="I46" s="190"/>
      <c r="J46" s="187" t="s">
        <v>3044</v>
      </c>
      <c r="K46" s="187" t="s">
        <v>3040</v>
      </c>
      <c r="L46" s="184" t="str">
        <f>IFERROR(__xludf.DUMMYFUNCTION("ifna(IF(and(D46=""Saída"",J46=""Sangria""),if(sum(QUERY(IMPORTRANGE(""https://docs.google.com/spreadsheets/d/1wBSFbIXYswW2S5SMKo44LPsdTG4P4kfP5VRdAS5E_4o"",""BD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'""&amp;YEAR(C46)&amp;""-""&amp;MONTH(C46)&amp;""-""&amp;DAY(C46)&amp;""'""))&gt;0,""Depositada"",if(sum(QUERY(IMPORTRANGE(""https://docs.google.com/spreadsheets/d/1wBSFbIXYswW2S5SMKo44LPsdTG4P4kfP5VRdAS5E_4o"",""BD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Sangria"")"),"")</f>
        <v/>
      </c>
      <c r="M46" s="185">
        <f>IFERROR(__xludf.DUMMYFUNCTION("ifna(VALUE(REGEXEXTRACT(E46,""[0-9.]+[,]+[0-9]+"")))"),47.41)</f>
        <v>47.41</v>
      </c>
      <c r="N46" s="108"/>
      <c r="R46" s="110"/>
    </row>
    <row r="47" ht="14.25" customHeight="1">
      <c r="A47" s="178"/>
      <c r="B47" s="10">
        <v>1649365.0</v>
      </c>
      <c r="C47" s="11">
        <v>45898.7869212963</v>
      </c>
      <c r="D47" s="179" t="s">
        <v>50</v>
      </c>
      <c r="E47" s="180" t="s">
        <v>6516</v>
      </c>
      <c r="F47" s="181"/>
      <c r="G47" s="179" t="s">
        <v>6446</v>
      </c>
      <c r="H47" s="190"/>
      <c r="I47" s="190"/>
      <c r="J47" s="187" t="s">
        <v>3044</v>
      </c>
      <c r="K47" s="187" t="s">
        <v>3137</v>
      </c>
      <c r="L47" s="184" t="str">
        <f>IFERROR(__xludf.DUMMYFUNCTION("ifna(IF(and(D47=""Saída"",J47=""Sangria""),if(sum(QUERY(IMPORTRANGE(""https://docs.google.com/spreadsheets/d/1wBSFbIXYswW2S5SMKo44LPsdTG4P4kfP5VRdAS5E_4o"",""BD M Sangrias!a:i""),""select Col6 where Col7 = 'Depositada' and Col9 = '""&amp;K47&amp;""' and Col6 = """&amp;"&amp;M47&amp;"" and Col4 = date '""&amp;YEAR(C47)&amp;""-""&amp;MONTH(C47)&amp;""-""&amp;DAY(C47)&amp;""'""))&gt;0,""Depositada"",if(sum(QUERY(IMPORTRANGE(""https://docs.google.com/spreadsheets/d/1wBSFbIXYswW2S5SMKo44LPsdTG4P4kfP5VRdAS5E_4o"",""BD M Sangrias!a:i""),""select Col6 where Col7"&amp;" = 'Caixa Atendimento' and Col9 = '""&amp;K47&amp;""' and Col6 = ""&amp;M47&amp;"" and Col4 = date '""&amp;YEAR(C47)&amp;""-""&amp;MONTH(C47)&amp;""-""&amp;DAY(C47)&amp;""'""))&gt;0,""Caixa Atendimento"",""Caixa Sangria"")),""""),""Caixa Sangria"")"),"")</f>
        <v/>
      </c>
      <c r="M47" s="185">
        <f>IFERROR(__xludf.DUMMYFUNCTION("ifna(VALUE(REGEXEXTRACT(E47,""[0-9.]+[,]+[0-9]+"")))"),65.56)</f>
        <v>65.56</v>
      </c>
      <c r="R47" s="110"/>
    </row>
    <row r="48">
      <c r="A48" s="178"/>
      <c r="B48" s="10">
        <v>1649428.0</v>
      </c>
      <c r="C48" s="11">
        <v>45898.80652777778</v>
      </c>
      <c r="D48" s="179" t="s">
        <v>50</v>
      </c>
      <c r="E48" s="180" t="s">
        <v>6519</v>
      </c>
      <c r="F48" s="181"/>
      <c r="G48" s="179" t="s">
        <v>4983</v>
      </c>
      <c r="H48" s="190"/>
      <c r="I48" s="190"/>
      <c r="J48" s="187" t="s">
        <v>3044</v>
      </c>
      <c r="K48" s="187" t="s">
        <v>3077</v>
      </c>
      <c r="L48" s="184" t="str">
        <f>IFERROR(__xludf.DUMMYFUNCTION("ifna(IF(and(D48=""Saída"",J48=""Sangria""),if(sum(QUERY(IMPORTRANGE(""https://docs.google.com/spreadsheets/d/1wBSFbIXYswW2S5SMKo44LPsdTG4P4kfP5VRdAS5E_4o"",""BD M Sangrias!a:i""),""select Col6 where Col7 = 'Depositada' and Col9 = '""&amp;K48&amp;""' and Col6 = """&amp;"&amp;M48&amp;"" and Col4 = date '""&amp;YEAR(C48)&amp;""-""&amp;MONTH(C48)&amp;""-""&amp;DAY(C48)&amp;""'""))&gt;0,""Depositada"",if(sum(QUERY(IMPORTRANGE(""https://docs.google.com/spreadsheets/d/1wBSFbIXYswW2S5SMKo44LPsdTG4P4kfP5VRdAS5E_4o"",""BD M Sangrias!a:i""),""select Col6 where Col7"&amp;" = 'Caixa Atendimento' and Col9 = '""&amp;K48&amp;""'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IFERROR(__xludf.DUMMYFUNCTION("ifna(VALUE(REGEXEXTRACT(E48,""[0-9.]+[,]+[0-9]+"")))"),29.39)</f>
        <v>29.39</v>
      </c>
      <c r="N48" s="191" t="str">
        <f>B7</f>
        <v>Carolina</v>
      </c>
      <c r="O48" s="106"/>
      <c r="P48" s="106"/>
      <c r="Q48" s="106"/>
      <c r="R48" s="110"/>
      <c r="S48" s="123" t="str">
        <f>B8</f>
        <v>Sabrine</v>
      </c>
      <c r="T48" s="106"/>
      <c r="U48" s="106"/>
      <c r="V48" s="124"/>
    </row>
    <row r="49" ht="21.0" customHeight="1">
      <c r="A49" s="178"/>
      <c r="B49" s="10">
        <v>1649525.0</v>
      </c>
      <c r="C49" s="11">
        <v>45898.848912037036</v>
      </c>
      <c r="D49" s="179" t="s">
        <v>50</v>
      </c>
      <c r="E49" s="180" t="s">
        <v>6404</v>
      </c>
      <c r="F49" s="181"/>
      <c r="G49" s="179" t="s">
        <v>4960</v>
      </c>
      <c r="H49" s="190"/>
      <c r="I49" s="190"/>
      <c r="J49" s="187" t="s">
        <v>3044</v>
      </c>
      <c r="K49" s="187" t="s">
        <v>3168</v>
      </c>
      <c r="L49" s="184" t="str">
        <f>IFERROR(__xludf.DUMMYFUNCTION("ifna(IF(and(D49=""Saída"",J49=""Sangria""),if(sum(QUERY(IMPORTRANGE(""https://docs.google.com/spreadsheets/d/1wBSFbIXYswW2S5SMKo44LPsdTG4P4kfP5VRdAS5E_4o"",""BD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'""&amp;YEAR(C49)&amp;""-""&amp;MONTH(C49)&amp;""-""&amp;DAY(C49)&amp;""'""))&gt;0,""Depositada"",if(sum(QUERY(IMPORTRANGE(""https://docs.google.com/spreadsheets/d/1wBSFbIXYswW2S5SMKo44LPsdTG4P4kfP5VRdAS5E_4o"",""BD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IFERROR(__xludf.DUMMYFUNCTION("ifna(VALUE(REGEXEXTRACT(E49,""[0-9.]+[,]+[0-9]+"")))"),22.11)</f>
        <v>22.11</v>
      </c>
      <c r="N49" s="45" t="str">
        <f>IFERROR(__xludf.DUMMYFUNCTION("query(C28:L504,""select Col1,Col3,Col8,Col9 where (Col8 = 'Adiantamento' or Col8 = 'Consumo') and Col9 = '""&amp;B7&amp;""'"",1)"),"Data")</f>
        <v>Data</v>
      </c>
      <c r="O49" s="46" t="str">
        <f>IFERROR(__xludf.DUMMYFUNCTION("""COMPUTED_VALUE"""),"Valor ")</f>
        <v>Valor </v>
      </c>
      <c r="P49" s="46" t="str">
        <f>IFERROR(__xludf.DUMMYFUNCTION("""COMPUTED_VALUE"""),"Tipo")</f>
        <v>Tipo</v>
      </c>
      <c r="Q49" s="46" t="str">
        <f>IFERROR(__xludf.DUMMYFUNCTION("""COMPUTED_VALUE"""),"Funcionário")</f>
        <v>Funcionário</v>
      </c>
      <c r="R49" s="48"/>
      <c r="S49" s="49" t="str">
        <f>IFERROR(__xludf.DUMMYFUNCTION("query(C28:L504,""select Col1,Col3,Col8,Col9 where (Col8 = 'Adiantamento' or Col8 = 'Consumo') and Col9 = '""&amp;B8&amp;""'"",1)"),"#REF!")</f>
        <v>#REF!</v>
      </c>
      <c r="T49" s="49"/>
      <c r="U49" s="49"/>
      <c r="V49" s="50"/>
    </row>
    <row r="50" ht="14.25" customHeight="1">
      <c r="A50" s="178"/>
      <c r="B50" s="10">
        <v>1649661.0</v>
      </c>
      <c r="C50" s="11">
        <v>45898.88993055555</v>
      </c>
      <c r="D50" s="179" t="s">
        <v>50</v>
      </c>
      <c r="E50" s="180" t="s">
        <v>157</v>
      </c>
      <c r="F50" s="181"/>
      <c r="G50" s="179" t="s">
        <v>4983</v>
      </c>
      <c r="H50" s="190"/>
      <c r="I50" s="190"/>
      <c r="J50" s="187" t="s">
        <v>3044</v>
      </c>
      <c r="K50" s="187" t="s">
        <v>3077</v>
      </c>
      <c r="L50" s="184" t="str">
        <f>IFERROR(__xludf.DUMMYFUNCTION("ifna(IF(and(D50=""Saída"",J50=""Sangria""),if(sum(QUERY(IMPORTRANGE(""https://docs.google.com/spreadsheets/d/1wBSFbIXYswW2S5SMKo44LPsdTG4P4kfP5VRdAS5E_4o"",""BD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'""&amp;YEAR(C50)&amp;""-""&amp;MONTH(C50)&amp;""-""&amp;DAY(C50)&amp;""'""))&gt;0,""Depositada"",if(sum(QUERY(IMPORTRANGE(""https://docs.google.com/spreadsheets/d/1wBSFbIXYswW2S5SMKo44LPsdTG4P4kfP5VRdAS5E_4o"",""BD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Sangria"")"),"")</f>
        <v/>
      </c>
      <c r="M50" s="185">
        <f>IFERROR(__xludf.DUMMYFUNCTION("ifna(VALUE(REGEXEXTRACT(E50,""[0-9.]+[,]+[0-9]+"")))"),5.0)</f>
        <v>5</v>
      </c>
      <c r="N50" s="51">
        <f>IFERROR(__xludf.DUMMYFUNCTION("""COMPUTED_VALUE"""),45895.670057870375)</f>
        <v>45895.67006</v>
      </c>
      <c r="O50" s="52" t="str">
        <f>IFERROR(__xludf.DUMMYFUNCTION("""COMPUTED_VALUE"""),"R$ 8,00")</f>
        <v>R$ 8,00</v>
      </c>
      <c r="P50" s="52" t="str">
        <f>IFERROR(__xludf.DUMMYFUNCTION("""COMPUTED_VALUE"""),"Consumo")</f>
        <v>Consumo</v>
      </c>
      <c r="Q50" s="52" t="str">
        <f>IFERROR(__xludf.DUMMYFUNCTION("""COMPUTED_VALUE"""),"Carolina")</f>
        <v>Carolina</v>
      </c>
      <c r="R50" s="54"/>
      <c r="S50" s="52"/>
      <c r="T50" s="52"/>
      <c r="U50" s="52"/>
      <c r="V50" s="53"/>
    </row>
    <row r="51" ht="24.75" customHeight="1">
      <c r="A51" s="178"/>
      <c r="B51" s="10">
        <v>1649663.0</v>
      </c>
      <c r="C51" s="11">
        <v>45898.890868055554</v>
      </c>
      <c r="D51" s="179" t="s">
        <v>50</v>
      </c>
      <c r="E51" s="180" t="s">
        <v>6479</v>
      </c>
      <c r="F51" s="181"/>
      <c r="G51" s="179" t="s">
        <v>6539</v>
      </c>
      <c r="H51" s="190"/>
      <c r="I51" s="190"/>
      <c r="J51" s="187" t="s">
        <v>3746</v>
      </c>
      <c r="K51" s="187" t="s">
        <v>3168</v>
      </c>
      <c r="L51" s="184" t="str">
        <f>IFERROR(__xludf.DUMMYFUNCTION("ifna(IF(and(D51=""Saída"",J51=""Sangria""),if(sum(QUERY(IMPORTRANGE(""https://docs.google.com/spreadsheets/d/1wBSFbIXYswW2S5SMKo44LPsdTG4P4kfP5VRdAS5E_4o"",""BD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'""&amp;YEAR(C51)&amp;""-""&amp;MONTH(C51)&amp;""-""&amp;DAY(C51)&amp;""'""))&gt;0,""Depositada"",if(sum(QUERY(IMPORTRANGE(""https://docs.google.com/spreadsheets/d/1wBSFbIXYswW2S5SMKo44LPsdTG4P4kfP5VRdAS5E_4o"",""BD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Sangria"")"),"#REF!")</f>
        <v>#REF!</v>
      </c>
      <c r="M51" s="185">
        <f>IFERROR(__xludf.DUMMYFUNCTION("ifna(VALUE(REGEXEXTRACT(E51,""[0-9.]+[,]+[0-9]+"")))"),300.0)</f>
        <v>300</v>
      </c>
      <c r="N51" s="51">
        <f>IFERROR(__xludf.DUMMYFUNCTION("""COMPUTED_VALUE"""),45896.66976851852)</f>
        <v>45896.66977</v>
      </c>
      <c r="O51" s="52" t="str">
        <f>IFERROR(__xludf.DUMMYFUNCTION("""COMPUTED_VALUE"""),"R$ 10,00")</f>
        <v>R$ 10,00</v>
      </c>
      <c r="P51" s="52" t="str">
        <f>IFERROR(__xludf.DUMMYFUNCTION("""COMPUTED_VALUE"""),"Consumo")</f>
        <v>Consumo</v>
      </c>
      <c r="Q51" s="52" t="str">
        <f>IFERROR(__xludf.DUMMYFUNCTION("""COMPUTED_VALUE"""),"Carolina")</f>
        <v>Carolina</v>
      </c>
      <c r="R51" s="54"/>
      <c r="S51" s="52"/>
      <c r="T51" s="52"/>
      <c r="U51" s="52"/>
      <c r="V51" s="53"/>
    </row>
    <row r="52" ht="14.25" customHeight="1">
      <c r="A52" s="178"/>
      <c r="B52" s="10">
        <v>1651262.0</v>
      </c>
      <c r="C52" s="11">
        <v>45899.78613425926</v>
      </c>
      <c r="D52" s="179" t="s">
        <v>50</v>
      </c>
      <c r="E52" s="180" t="s">
        <v>6542</v>
      </c>
      <c r="F52" s="181"/>
      <c r="G52" s="179" t="s">
        <v>6543</v>
      </c>
      <c r="H52" s="190"/>
      <c r="I52" s="190"/>
      <c r="J52" s="187" t="s">
        <v>3467</v>
      </c>
      <c r="K52" s="187"/>
      <c r="L52" s="184" t="str">
        <f>IFERROR(__xludf.DUMMYFUNCTION("ifna(IF(and(D52=""Saída"",J52=""Sangria""),if(sum(QUERY(IMPORTRANGE(""https://docs.google.com/spreadsheets/d/1wBSFbIXYswW2S5SMKo44LPsdTG4P4kfP5VRdAS5E_4o"",""BD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'""&amp;YEAR(C52)&amp;""-""&amp;MONTH(C52)&amp;""-""&amp;DAY(C52)&amp;""'""))&gt;0,""Depositada"",if(sum(QUERY(IMPORTRANGE(""https://docs.google.com/spreadsheets/d/1wBSFbIXYswW2S5SMKo44LPsdTG4P4kfP5VRdAS5E_4o"",""BD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IFERROR(__xludf.DUMMYFUNCTION("ifna(VALUE(REGEXEXTRACT(E52,""[0-9.]+[,]+[0-9]+"")))"),34.38)</f>
        <v>34.38</v>
      </c>
      <c r="N52" s="51">
        <f>IFERROR(__xludf.DUMMYFUNCTION("""COMPUTED_VALUE"""),45897.720497685186)</f>
        <v>45897.7205</v>
      </c>
      <c r="O52" s="52" t="str">
        <f>IFERROR(__xludf.DUMMYFUNCTION("""COMPUTED_VALUE"""),"R$ 5,00")</f>
        <v>R$ 5,00</v>
      </c>
      <c r="P52" s="52" t="str">
        <f>IFERROR(__xludf.DUMMYFUNCTION("""COMPUTED_VALUE"""),"Consumo")</f>
        <v>Consumo</v>
      </c>
      <c r="Q52" s="52" t="str">
        <f>IFERROR(__xludf.DUMMYFUNCTION("""COMPUTED_VALUE"""),"Carolina")</f>
        <v>Carolina</v>
      </c>
      <c r="R52" s="54"/>
      <c r="S52" s="52"/>
      <c r="T52" s="52"/>
      <c r="U52" s="52"/>
      <c r="V52" s="53"/>
    </row>
    <row r="53" ht="14.25" customHeight="1">
      <c r="A53" s="178"/>
      <c r="B53" s="10">
        <v>1651265.0</v>
      </c>
      <c r="C53" s="11">
        <v>45899.787569444445</v>
      </c>
      <c r="D53" s="179" t="s">
        <v>227</v>
      </c>
      <c r="E53" s="180" t="s">
        <v>6545</v>
      </c>
      <c r="F53" s="181"/>
      <c r="G53" s="179" t="s">
        <v>6547</v>
      </c>
      <c r="H53" s="190"/>
      <c r="I53" s="190"/>
      <c r="J53" s="187" t="s">
        <v>3467</v>
      </c>
      <c r="K53" s="187"/>
      <c r="L53" s="184" t="str">
        <f>IFERROR(__xludf.DUMMYFUNCTION("ifna(IF(and(D53=""Saída"",J53=""Sangria""),if(sum(QUERY(IMPORTRANGE(""https://docs.google.com/spreadsheets/d/1wBSFbIXYswW2S5SMKo44LPsdTG4P4kfP5VRdAS5E_4o"",""BD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'""&amp;YEAR(C53)&amp;""-""&amp;MONTH(C53)&amp;""-""&amp;DAY(C53)&amp;""'""))&gt;0,""Depositada"",if(sum(QUERY(IMPORTRANGE(""https://docs.google.com/spreadsheets/d/1wBSFbIXYswW2S5SMKo44LPsdTG4P4kfP5VRdAS5E_4o"",""BD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Sangria"")"),"")</f>
        <v/>
      </c>
      <c r="M53" s="185">
        <f>IFERROR(__xludf.DUMMYFUNCTION("ifna(VALUE(REGEXEXTRACT(E53,""[0-9.]+[,]+[0-9]+"")))"),20.0)</f>
        <v>20</v>
      </c>
      <c r="N53" s="51">
        <f>IFERROR(__xludf.DUMMYFUNCTION("""COMPUTED_VALUE"""),45898.53197916667)</f>
        <v>45898.53198</v>
      </c>
      <c r="O53" s="52" t="str">
        <f>IFERROR(__xludf.DUMMYFUNCTION("""COMPUTED_VALUE"""),"R$ 5,00")</f>
        <v>R$ 5,00</v>
      </c>
      <c r="P53" s="52" t="str">
        <f>IFERROR(__xludf.DUMMYFUNCTION("""COMPUTED_VALUE"""),"Consumo")</f>
        <v>Consumo</v>
      </c>
      <c r="Q53" s="52" t="str">
        <f>IFERROR(__xludf.DUMMYFUNCTION("""COMPUTED_VALUE"""),"Carolina")</f>
        <v>Carolina</v>
      </c>
      <c r="R53" s="54"/>
      <c r="S53" s="52"/>
      <c r="T53" s="52"/>
      <c r="U53" s="52"/>
      <c r="V53" s="53"/>
    </row>
    <row r="54" ht="14.25" customHeight="1">
      <c r="A54" s="178"/>
      <c r="B54" s="10">
        <v>1651321.0</v>
      </c>
      <c r="C54" s="11">
        <v>45899.79614583333</v>
      </c>
      <c r="D54" s="179" t="s">
        <v>50</v>
      </c>
      <c r="E54" s="180" t="s">
        <v>4276</v>
      </c>
      <c r="F54" s="188"/>
      <c r="G54" s="179" t="s">
        <v>6554</v>
      </c>
      <c r="H54" s="190"/>
      <c r="I54" s="190"/>
      <c r="J54" s="187" t="s">
        <v>3746</v>
      </c>
      <c r="K54" s="187" t="s">
        <v>3040</v>
      </c>
      <c r="L54" s="184" t="str">
        <f>IFERROR(__xludf.DUMMYFUNCTION("ifna(IF(and(D54=""Saída"",J54=""Sangria""),if(sum(QUERY(IMPORTRANGE(""https://docs.google.com/spreadsheets/d/1wBSFbIXYswW2S5SMKo44LPsdTG4P4kfP5VRdAS5E_4o"",""BD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'""&amp;YEAR(C54)&amp;""-""&amp;MONTH(C54)&amp;""-""&amp;DAY(C54)&amp;""'""))&gt;0,""Depositada"",if(sum(QUERY(IMPORTRANGE(""https://docs.google.com/spreadsheets/d/1wBSFbIXYswW2S5SMKo44LPsdTG4P4kfP5VRdAS5E_4o"",""BD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Sangria"")"),"#REF!")</f>
        <v>#REF!</v>
      </c>
      <c r="M54" s="185">
        <f>IFERROR(__xludf.DUMMYFUNCTION("ifna(VALUE(REGEXEXTRACT(E54,""[0-9.]+[,]+[0-9]+"")))"),1500.0)</f>
        <v>1500</v>
      </c>
      <c r="N54" s="51">
        <f>IFERROR(__xludf.DUMMYFUNCTION("""COMPUTED_VALUE"""),45898.7412962963)</f>
        <v>45898.7413</v>
      </c>
      <c r="O54" s="52" t="str">
        <f>IFERROR(__xludf.DUMMYFUNCTION("""COMPUTED_VALUE"""),"R$ 5,00")</f>
        <v>R$ 5,00</v>
      </c>
      <c r="P54" s="52" t="str">
        <f>IFERROR(__xludf.DUMMYFUNCTION("""COMPUTED_VALUE"""),"Consumo")</f>
        <v>Consumo</v>
      </c>
      <c r="Q54" s="52" t="str">
        <f>IFERROR(__xludf.DUMMYFUNCTION("""COMPUTED_VALUE"""),"Carolina")</f>
        <v>Carolina</v>
      </c>
      <c r="R54" s="54"/>
      <c r="S54" s="52"/>
      <c r="T54" s="52"/>
      <c r="U54" s="52"/>
      <c r="V54" s="53"/>
    </row>
    <row r="55" ht="14.25" customHeight="1">
      <c r="A55" s="178"/>
      <c r="B55" s="10">
        <v>1651436.0</v>
      </c>
      <c r="C55" s="11">
        <v>45899.82377314815</v>
      </c>
      <c r="D55" s="179" t="s">
        <v>50</v>
      </c>
      <c r="E55" s="180" t="s">
        <v>6536</v>
      </c>
      <c r="F55" s="181"/>
      <c r="G55" s="179" t="s">
        <v>6559</v>
      </c>
      <c r="H55" s="190"/>
      <c r="I55" s="190"/>
      <c r="J55" s="187" t="s">
        <v>3825</v>
      </c>
      <c r="K55" s="187"/>
      <c r="L55" s="184" t="str">
        <f>IFERROR(__xludf.DUMMYFUNCTION("ifna(IF(and(D55=""Saída"",J55=""Sangria""),if(sum(QUERY(IMPORTRANGE(""https://docs.google.com/spreadsheets/d/1wBSFbIXYswW2S5SMKo44LPsdTG4P4kfP5VRdAS5E_4o"",""BD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'""&amp;YEAR(C55)&amp;""-""&amp;MONTH(C55)&amp;""-""&amp;DAY(C55)&amp;""'""))&gt;0,""Depositada"",if(sum(QUERY(IMPORTRANGE(""https://docs.google.com/spreadsheets/d/1wBSFbIXYswW2S5SMKo44LPsdTG4P4kfP5VRdAS5E_4o"",""BD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Sangria"")"),"")</f>
        <v/>
      </c>
      <c r="M55" s="185">
        <f>IFERROR(__xludf.DUMMYFUNCTION("ifna(VALUE(REGEXEXTRACT(E55,""[0-9.]+[,]+[0-9]+"")))"),72.0)</f>
        <v>72</v>
      </c>
      <c r="N55" s="51">
        <f>IFERROR(__xludf.DUMMYFUNCTION("""COMPUTED_VALUE"""),45898.7869212963)</f>
        <v>45898.78692</v>
      </c>
      <c r="O55" s="79" t="str">
        <f>IFERROR(__xludf.DUMMYFUNCTION("""COMPUTED_VALUE"""),"R$ 65,56")</f>
        <v>R$ 65,56</v>
      </c>
      <c r="P55" s="79" t="str">
        <f>IFERROR(__xludf.DUMMYFUNCTION("""COMPUTED_VALUE"""),"Consumo")</f>
        <v>Consumo</v>
      </c>
      <c r="Q55" s="79" t="str">
        <f>IFERROR(__xludf.DUMMYFUNCTION("""COMPUTED_VALUE"""),"Carolina")</f>
        <v>Carolina</v>
      </c>
      <c r="R55" s="81"/>
      <c r="S55" s="79"/>
      <c r="T55" s="79"/>
      <c r="U55" s="79"/>
      <c r="V55" s="80"/>
    </row>
    <row r="56" ht="14.25" customHeight="1">
      <c r="A56" s="178"/>
      <c r="B56" s="10">
        <v>1651818.0</v>
      </c>
      <c r="C56" s="11">
        <v>45899.896898148145</v>
      </c>
      <c r="D56" s="179" t="s">
        <v>50</v>
      </c>
      <c r="E56" s="180" t="s">
        <v>6567</v>
      </c>
      <c r="F56" s="181"/>
      <c r="G56" s="179" t="s">
        <v>6513</v>
      </c>
      <c r="H56" s="190"/>
      <c r="I56" s="190"/>
      <c r="J56" s="187" t="s">
        <v>3044</v>
      </c>
      <c r="K56" s="187" t="s">
        <v>3040</v>
      </c>
      <c r="L56" s="184" t="str">
        <f>IFERROR(__xludf.DUMMYFUNCTION("ifna(IF(and(D56=""Saída"",J56=""Sangria""),if(sum(QUERY(IMPORTRANGE(""https://docs.google.com/spreadsheets/d/1wBSFbIXYswW2S5SMKo44LPsdTG4P4kfP5VRdAS5E_4o"",""BD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'""&amp;YEAR(C56)&amp;""-""&amp;MONTH(C56)&amp;""-""&amp;DAY(C56)&amp;""'""))&gt;0,""Depositada"",if(sum(QUERY(IMPORTRANGE(""https://docs.google.com/spreadsheets/d/1wBSFbIXYswW2S5SMKo44LPsdTG4P4kfP5VRdAS5E_4o"",""BD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Sangria"")"),"")</f>
        <v/>
      </c>
      <c r="M56" s="185">
        <f>IFERROR(__xludf.DUMMYFUNCTION("ifna(VALUE(REGEXEXTRACT(E56,""[0-9.]+[,]+[0-9]+"")))"),35.02)</f>
        <v>35.02</v>
      </c>
      <c r="N56" s="247">
        <f>IFERROR(__xludf.DUMMYFUNCTION("""COMPUTED_VALUE"""),45902.77502314815)</f>
        <v>45902.77502</v>
      </c>
      <c r="O56" s="89" t="str">
        <f>IFERROR(__xludf.DUMMYFUNCTION("""COMPUTED_VALUE"""),"R$ 28,75")</f>
        <v>R$ 28,75</v>
      </c>
      <c r="P56" s="89" t="str">
        <f>IFERROR(__xludf.DUMMYFUNCTION("""COMPUTED_VALUE"""),"Consumo")</f>
        <v>Consumo</v>
      </c>
      <c r="Q56" s="89" t="str">
        <f>IFERROR(__xludf.DUMMYFUNCTION("""COMPUTED_VALUE"""),"Carolina")</f>
        <v>Carolina</v>
      </c>
      <c r="R56" s="91"/>
      <c r="S56" s="89"/>
      <c r="T56" s="89"/>
      <c r="U56" s="89"/>
      <c r="V56" s="90"/>
    </row>
    <row r="57" ht="17.25" customHeight="1">
      <c r="A57" s="178"/>
      <c r="B57" s="10">
        <v>1651900.0</v>
      </c>
      <c r="C57" s="11">
        <v>45899.90849537037</v>
      </c>
      <c r="D57" s="179" t="s">
        <v>50</v>
      </c>
      <c r="E57" s="180" t="s">
        <v>6551</v>
      </c>
      <c r="F57" s="181"/>
      <c r="G57" s="179" t="s">
        <v>6513</v>
      </c>
      <c r="H57" s="190"/>
      <c r="I57" s="190"/>
      <c r="J57" s="187" t="s">
        <v>3044</v>
      </c>
      <c r="K57" s="187" t="s">
        <v>3040</v>
      </c>
      <c r="L57" s="184" t="str">
        <f>IFERROR(__xludf.DUMMYFUNCTION("ifna(IF(and(D57=""Saída"",J57=""Sangria""),if(sum(QUERY(IMPORTRANGE(""https://docs.google.com/spreadsheets/d/1wBSFbIXYswW2S5SMKo44LPsdTG4P4kfP5VRdAS5E_4o"",""BD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'""&amp;YEAR(C57)&amp;""-""&amp;MONTH(C57)&amp;""-""&amp;DAY(C57)&amp;""'""))&gt;0,""Depositada"",if(sum(QUERY(IMPORTRANGE(""https://docs.google.com/spreadsheets/d/1wBSFbIXYswW2S5SMKo44LPsdTG4P4kfP5VRdAS5E_4o"",""BD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Sangria"")"),"")</f>
        <v/>
      </c>
      <c r="M57" s="185">
        <f>IFERROR(__xludf.DUMMYFUNCTION("ifna(VALUE(REGEXEXTRACT(E57,""[0-9.]+[,]+[0-9]+"")))"),11.5)</f>
        <v>11.5</v>
      </c>
      <c r="N57" s="247">
        <f>IFERROR(__xludf.DUMMYFUNCTION("""COMPUTED_VALUE"""),45903.774097222224)</f>
        <v>45903.7741</v>
      </c>
      <c r="O57" s="89" t="str">
        <f>IFERROR(__xludf.DUMMYFUNCTION("""COMPUTED_VALUE"""),"R$ 37,84")</f>
        <v>R$ 37,84</v>
      </c>
      <c r="P57" s="89" t="str">
        <f>IFERROR(__xludf.DUMMYFUNCTION("""COMPUTED_VALUE"""),"Consumo")</f>
        <v>Consumo</v>
      </c>
      <c r="Q57" s="89" t="str">
        <f>IFERROR(__xludf.DUMMYFUNCTION("""COMPUTED_VALUE"""),"Carolina")</f>
        <v>Carolina</v>
      </c>
      <c r="R57" s="91"/>
      <c r="S57" s="89"/>
      <c r="T57" s="89"/>
      <c r="U57" s="89"/>
      <c r="V57" s="90"/>
    </row>
    <row r="58" ht="14.25" customHeight="1">
      <c r="A58" s="178"/>
      <c r="B58" s="10">
        <v>1651903.0</v>
      </c>
      <c r="C58" s="11">
        <v>45899.909004629626</v>
      </c>
      <c r="D58" s="179" t="s">
        <v>50</v>
      </c>
      <c r="E58" s="180" t="s">
        <v>1352</v>
      </c>
      <c r="F58" s="181"/>
      <c r="G58" s="179" t="s">
        <v>6578</v>
      </c>
      <c r="H58" s="190"/>
      <c r="I58" s="190"/>
      <c r="J58" s="187" t="s">
        <v>3825</v>
      </c>
      <c r="K58" s="187"/>
      <c r="L58" s="184" t="str">
        <f>IFERROR(__xludf.DUMMYFUNCTION("ifna(IF(and(D58=""Saída"",J58=""Sangria""),if(sum(QUERY(IMPORTRANGE(""https://docs.google.com/spreadsheets/d/1wBSFbIXYswW2S5SMKo44LPsdTG4P4kfP5VRdAS5E_4o"",""BD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'""&amp;YEAR(C58)&amp;""-""&amp;MONTH(C58)&amp;""-""&amp;DAY(C58)&amp;""'""))&gt;0,""Depositada"",if(sum(QUERY(IMPORTRANGE(""https://docs.google.com/spreadsheets/d/1wBSFbIXYswW2S5SMKo44LPsdTG4P4kfP5VRdAS5E_4o"",""BD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IFERROR(__xludf.DUMMYFUNCTION("ifna(VALUE(REGEXEXTRACT(E58,""[0-9.]+[,]+[0-9]+"")))"),112.0)</f>
        <v>112</v>
      </c>
      <c r="N58" s="247">
        <f>IFERROR(__xludf.DUMMYFUNCTION("""COMPUTED_VALUE"""),45913.566932870366)</f>
        <v>45913.56693</v>
      </c>
      <c r="O58" s="89" t="str">
        <f>IFERROR(__xludf.DUMMYFUNCTION("""COMPUTED_VALUE"""),"R$ 5,00")</f>
        <v>R$ 5,00</v>
      </c>
      <c r="P58" s="89" t="str">
        <f>IFERROR(__xludf.DUMMYFUNCTION("""COMPUTED_VALUE"""),"Consumo")</f>
        <v>Consumo</v>
      </c>
      <c r="Q58" s="89" t="str">
        <f>IFERROR(__xludf.DUMMYFUNCTION("""COMPUTED_VALUE"""),"Carolina")</f>
        <v>Carolina</v>
      </c>
      <c r="R58" s="91"/>
      <c r="S58" s="89"/>
      <c r="T58" s="89"/>
      <c r="U58" s="89"/>
      <c r="V58" s="90"/>
    </row>
    <row r="59" ht="14.25" customHeight="1">
      <c r="A59" s="178"/>
      <c r="B59" s="10">
        <v>1651906.0</v>
      </c>
      <c r="C59" s="11">
        <v>45899.90929398148</v>
      </c>
      <c r="D59" s="10" t="s">
        <v>50</v>
      </c>
      <c r="E59" s="10" t="s">
        <v>1352</v>
      </c>
      <c r="F59" s="13"/>
      <c r="G59" s="10" t="s">
        <v>6579</v>
      </c>
      <c r="H59" s="190"/>
      <c r="I59" s="190"/>
      <c r="J59" s="187" t="s">
        <v>3825</v>
      </c>
      <c r="K59" s="187"/>
      <c r="L59" s="184" t="str">
        <f>IFERROR(__xludf.DUMMYFUNCTION("ifna(IF(and(D59=""Saída"",J59=""Sangria""),if(sum(QUERY(IMPORTRANGE(""https://docs.google.com/spreadsheets/d/1wBSFbIXYswW2S5SMKo44LPsdTG4P4kfP5VRdAS5E_4o"",""BD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'""&amp;YEAR(C59)&amp;""-""&amp;MONTH(C59)&amp;""-""&amp;DAY(C59)&amp;""'""))&gt;0,""Depositada"",if(sum(QUERY(IMPORTRANGE(""https://docs.google.com/spreadsheets/d/1wBSFbIXYswW2S5SMKo44LPsdTG4P4kfP5VRdAS5E_4o"",""BD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>
        <f>IFERROR(__xludf.DUMMYFUNCTION("ifna(VALUE(REGEXEXTRACT(E59,""[0-9.]+[,]+[0-9]+"")))"),112.0)</f>
        <v>112</v>
      </c>
      <c r="N59" s="247">
        <f>IFERROR(__xludf.DUMMYFUNCTION("""COMPUTED_VALUE"""),45913.917233796295)</f>
        <v>45913.91723</v>
      </c>
      <c r="O59" s="89" t="str">
        <f>IFERROR(__xludf.DUMMYFUNCTION("""COMPUTED_VALUE"""),"R$ 16,61")</f>
        <v>R$ 16,61</v>
      </c>
      <c r="P59" s="89" t="str">
        <f>IFERROR(__xludf.DUMMYFUNCTION("""COMPUTED_VALUE"""),"Consumo")</f>
        <v>Consumo</v>
      </c>
      <c r="Q59" s="89" t="str">
        <f>IFERROR(__xludf.DUMMYFUNCTION("""COMPUTED_VALUE"""),"Carolina")</f>
        <v>Carolina</v>
      </c>
      <c r="R59" s="91"/>
      <c r="S59" s="89"/>
      <c r="T59" s="89"/>
      <c r="U59" s="89"/>
      <c r="V59" s="90"/>
    </row>
    <row r="60" ht="14.25" customHeight="1">
      <c r="A60" s="178"/>
      <c r="B60" s="10">
        <v>1652038.0</v>
      </c>
      <c r="C60" s="11">
        <v>45899.92413194444</v>
      </c>
      <c r="D60" s="179" t="s">
        <v>227</v>
      </c>
      <c r="E60" s="180" t="s">
        <v>494</v>
      </c>
      <c r="F60" s="181"/>
      <c r="G60" s="179" t="s">
        <v>6581</v>
      </c>
      <c r="H60" s="190"/>
      <c r="I60" s="190"/>
      <c r="J60" s="187" t="s">
        <v>3467</v>
      </c>
      <c r="K60" s="187"/>
      <c r="L60" s="184" t="str">
        <f>IFERROR(__xludf.DUMMYFUNCTION("ifna(IF(and(D60=""Saída"",J60=""Sangria""),if(sum(QUERY(IMPORTRANGE(""https://docs.google.com/spreadsheets/d/1wBSFbIXYswW2S5SMKo44LPsdTG4P4kfP5VRdAS5E_4o"",""BD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'""&amp;YEAR(C60)&amp;""-""&amp;MONTH(C60)&amp;""-""&amp;DAY(C60)&amp;""'""))&gt;0,""Depositada"",if(sum(QUERY(IMPORTRANGE(""https://docs.google.com/spreadsheets/d/1wBSFbIXYswW2S5SMKo44LPsdTG4P4kfP5VRdAS5E_4o"",""BD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Sangria"")"),"")</f>
        <v/>
      </c>
      <c r="M60" s="185">
        <f>IFERROR(__xludf.DUMMYFUNCTION("ifna(VALUE(REGEXEXTRACT(E60,""[0-9.]+[,]+[0-9]+"")))"),0.01)</f>
        <v>0.01</v>
      </c>
      <c r="N60" s="250">
        <f>IFERROR(__xludf.DUMMYFUNCTION("""COMPUTED_VALUE"""),45916.54436342593)</f>
        <v>45916.54436</v>
      </c>
      <c r="O60" s="193" t="str">
        <f>IFERROR(__xludf.DUMMYFUNCTION("""COMPUTED_VALUE"""),"R$ 5,00")</f>
        <v>R$ 5,00</v>
      </c>
      <c r="P60" s="194" t="str">
        <f>IFERROR(__xludf.DUMMYFUNCTION("""COMPUTED_VALUE"""),"Consumo")</f>
        <v>Consumo</v>
      </c>
      <c r="Q60" s="195" t="str">
        <f>IFERROR(__xludf.DUMMYFUNCTION("""COMPUTED_VALUE"""),"Carolina")</f>
        <v>Carolina</v>
      </c>
      <c r="R60" s="91"/>
      <c r="S60" s="89"/>
      <c r="T60" s="89"/>
      <c r="U60" s="89"/>
      <c r="V60" s="90"/>
    </row>
    <row r="61" ht="39.0" customHeight="1">
      <c r="A61" s="178"/>
      <c r="B61" s="10">
        <v>1652043.0</v>
      </c>
      <c r="C61" s="11">
        <v>45899.92445601852</v>
      </c>
      <c r="D61" s="179" t="s">
        <v>50</v>
      </c>
      <c r="E61" s="180" t="s">
        <v>6545</v>
      </c>
      <c r="F61" s="181"/>
      <c r="G61" s="179" t="s">
        <v>6585</v>
      </c>
      <c r="H61" s="190"/>
      <c r="I61" s="190"/>
      <c r="J61" s="187" t="s">
        <v>3467</v>
      </c>
      <c r="K61" s="187"/>
      <c r="L61" s="184" t="str">
        <f>IFERROR(__xludf.DUMMYFUNCTION("ifna(IF(and(D61=""Saída"",J61=""Sangria""),if(sum(QUERY(IMPORTRANGE(""https://docs.google.com/spreadsheets/d/1wBSFbIXYswW2S5SMKo44LPsdTG4P4kfP5VRdAS5E_4o"",""BD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'""&amp;YEAR(C61)&amp;""-""&amp;MONTH(C61)&amp;""-""&amp;DAY(C61)&amp;""'""))&gt;0,""Depositada"",if(sum(QUERY(IMPORTRANGE(""https://docs.google.com/spreadsheets/d/1wBSFbIXYswW2S5SMKo44LPsdTG4P4kfP5VRdAS5E_4o"",""BD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IFERROR(__xludf.DUMMYFUNCTION("ifna(VALUE(REGEXEXTRACT(E61,""[0-9.]+[,]+[0-9]+"")))"),20.0)</f>
        <v>20</v>
      </c>
      <c r="N61" s="247">
        <f>IFERROR(__xludf.DUMMYFUNCTION("""COMPUTED_VALUE"""),45918.78302083333)</f>
        <v>45918.78302</v>
      </c>
      <c r="O61" s="89" t="str">
        <f>IFERROR(__xludf.DUMMYFUNCTION("""COMPUTED_VALUE"""),"R$ 5,00")</f>
        <v>R$ 5,00</v>
      </c>
      <c r="P61" s="89" t="str">
        <f>IFERROR(__xludf.DUMMYFUNCTION("""COMPUTED_VALUE"""),"Consumo")</f>
        <v>Consumo</v>
      </c>
      <c r="Q61" s="89" t="str">
        <f>IFERROR(__xludf.DUMMYFUNCTION("""COMPUTED_VALUE"""),"Carolina")</f>
        <v>Carolina</v>
      </c>
      <c r="R61" s="91"/>
      <c r="S61" s="89"/>
      <c r="T61" s="89"/>
      <c r="U61" s="89"/>
      <c r="V61" s="90"/>
    </row>
    <row r="62" ht="14.25" customHeight="1">
      <c r="A62" s="178"/>
      <c r="B62" s="10">
        <v>1653211.0</v>
      </c>
      <c r="C62" s="11">
        <v>45900.703252314815</v>
      </c>
      <c r="D62" s="179" t="s">
        <v>50</v>
      </c>
      <c r="E62" s="180" t="s">
        <v>157</v>
      </c>
      <c r="F62" s="181"/>
      <c r="G62" s="179" t="s">
        <v>4960</v>
      </c>
      <c r="H62" s="190"/>
      <c r="I62" s="190"/>
      <c r="J62" s="187" t="s">
        <v>3044</v>
      </c>
      <c r="K62" s="187" t="s">
        <v>3168</v>
      </c>
      <c r="L62" s="184" t="str">
        <f>IFERROR(__xludf.DUMMYFUNCTION("ifna(IF(and(D62=""Saída"",J62=""Sangria""),if(sum(QUERY(IMPORTRANGE(""https://docs.google.com/spreadsheets/d/1wBSFbIXYswW2S5SMKo44LPsdTG4P4kfP5VRdAS5E_4o"",""BD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'""&amp;YEAR(C62)&amp;""-""&amp;MONTH(C62)&amp;""-""&amp;DAY(C62)&amp;""'""))&gt;0,""Depositada"",if(sum(QUERY(IMPORTRANGE(""https://docs.google.com/spreadsheets/d/1wBSFbIXYswW2S5SMKo44LPsdTG4P4kfP5VRdAS5E_4o"",""BD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Sangria"")"),"")</f>
        <v/>
      </c>
      <c r="M62" s="185">
        <f>IFERROR(__xludf.DUMMYFUNCTION("ifna(VALUE(REGEXEXTRACT(E62,""[0-9.]+[,]+[0-9]+"")))"),5.0)</f>
        <v>5</v>
      </c>
      <c r="N62" s="247">
        <f>IFERROR(__xludf.DUMMYFUNCTION("""COMPUTED_VALUE"""),45919.72373842592)</f>
        <v>45919.72374</v>
      </c>
      <c r="O62" s="89" t="str">
        <f>IFERROR(__xludf.DUMMYFUNCTION("""COMPUTED_VALUE"""),"R$ 15,00")</f>
        <v>R$ 15,00</v>
      </c>
      <c r="P62" s="89" t="str">
        <f>IFERROR(__xludf.DUMMYFUNCTION("""COMPUTED_VALUE"""),"Consumo")</f>
        <v>Consumo</v>
      </c>
      <c r="Q62" s="89" t="str">
        <f>IFERROR(__xludf.DUMMYFUNCTION("""COMPUTED_VALUE"""),"Carolina")</f>
        <v>Carolina</v>
      </c>
      <c r="R62" s="91"/>
      <c r="S62" s="89"/>
      <c r="T62" s="89"/>
      <c r="U62" s="89"/>
      <c r="V62" s="90"/>
    </row>
    <row r="63" ht="14.25" customHeight="1">
      <c r="A63" s="178"/>
      <c r="B63" s="10">
        <v>1654160.0</v>
      </c>
      <c r="C63" s="11">
        <v>45900.847037037034</v>
      </c>
      <c r="D63" s="179" t="s">
        <v>50</v>
      </c>
      <c r="E63" s="180" t="s">
        <v>3944</v>
      </c>
      <c r="F63" s="181"/>
      <c r="G63" s="179" t="s">
        <v>6589</v>
      </c>
      <c r="H63" s="190"/>
      <c r="I63" s="190"/>
      <c r="J63" s="187" t="s">
        <v>3825</v>
      </c>
      <c r="K63" s="187"/>
      <c r="L63" s="184" t="str">
        <f>IFERROR(__xludf.DUMMYFUNCTION("ifna(IF(and(D63=""Saída"",J63=""Sangria""),if(sum(QUERY(IMPORTRANGE(""https://docs.google.com/spreadsheets/d/1wBSFbIXYswW2S5SMKo44LPsdTG4P4kfP5VRdAS5E_4o"",""BD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'""&amp;YEAR(C63)&amp;""-""&amp;MONTH(C63)&amp;""-""&amp;DAY(C63)&amp;""'""))&gt;0,""Depositada"",if(sum(QUERY(IMPORTRANGE(""https://docs.google.com/spreadsheets/d/1wBSFbIXYswW2S5SMKo44LPsdTG4P4kfP5VRdAS5E_4o"",""BD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Sangria"")"),"")</f>
        <v/>
      </c>
      <c r="M63" s="185">
        <f>IFERROR(__xludf.DUMMYFUNCTION("ifna(VALUE(REGEXEXTRACT(E63,""[0-9.]+[,]+[0-9]+"")))"),85.0)</f>
        <v>85</v>
      </c>
      <c r="N63" s="108"/>
      <c r="O63" s="109"/>
      <c r="P63" s="109"/>
      <c r="Q63" s="109"/>
      <c r="R63" s="110"/>
      <c r="S63" s="109"/>
      <c r="T63" s="109"/>
      <c r="U63" s="109"/>
      <c r="V63" s="111"/>
    </row>
    <row r="64" ht="14.25" customHeight="1">
      <c r="A64" s="178"/>
      <c r="B64" s="10">
        <v>1654440.0</v>
      </c>
      <c r="C64" s="11">
        <v>45900.890601851854</v>
      </c>
      <c r="D64" s="179" t="s">
        <v>50</v>
      </c>
      <c r="E64" s="180" t="s">
        <v>6592</v>
      </c>
      <c r="F64" s="181"/>
      <c r="G64" s="179" t="s">
        <v>6593</v>
      </c>
      <c r="H64" s="190"/>
      <c r="I64" s="190"/>
      <c r="J64" s="187" t="s">
        <v>3044</v>
      </c>
      <c r="K64" s="187" t="s">
        <v>3168</v>
      </c>
      <c r="L64" s="184" t="str">
        <f>IFERROR(__xludf.DUMMYFUNCTION("ifna(IF(and(D64=""Saída"",J64=""Sangria""),if(sum(QUERY(IMPORTRANGE(""https://docs.google.com/spreadsheets/d/1wBSFbIXYswW2S5SMKo44LPsdTG4P4kfP5VRdAS5E_4o"",""BD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'""&amp;YEAR(C64)&amp;""-""&amp;MONTH(C64)&amp;""-""&amp;DAY(C64)&amp;""'""))&gt;0,""Depositada"",if(sum(QUERY(IMPORTRANGE(""https://docs.google.com/spreadsheets/d/1wBSFbIXYswW2S5SMKo44LPsdTG4P4kfP5VRdAS5E_4o"",""BD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IFERROR(__xludf.DUMMYFUNCTION("ifna(VALUE(REGEXEXTRACT(E64,""[0-9.]+[,]+[0-9]+"")))"),39.93)</f>
        <v>39.93</v>
      </c>
      <c r="R64" s="24"/>
      <c r="S64" s="239"/>
      <c r="T64" s="239"/>
      <c r="U64" s="239"/>
      <c r="V64" s="239"/>
    </row>
    <row r="65" ht="14.25" customHeight="1">
      <c r="A65" s="178"/>
      <c r="B65" s="10">
        <v>1654441.0</v>
      </c>
      <c r="C65" s="11">
        <v>45900.89061342592</v>
      </c>
      <c r="D65" s="179" t="s">
        <v>50</v>
      </c>
      <c r="E65" s="180" t="s">
        <v>6514</v>
      </c>
      <c r="F65" s="188"/>
      <c r="G65" s="179" t="s">
        <v>6600</v>
      </c>
      <c r="H65" s="190"/>
      <c r="I65" s="190"/>
      <c r="J65" s="187" t="s">
        <v>3825</v>
      </c>
      <c r="K65" s="187"/>
      <c r="L65" s="184" t="str">
        <f>IFERROR(__xludf.DUMMYFUNCTION("ifna(IF(and(D65=""Saída"",J65=""Sangria""),if(sum(QUERY(IMPORTRANGE(""https://docs.google.com/spreadsheets/d/1wBSFbIXYswW2S5SMKo44LPsdTG4P4kfP5VRdAS5E_4o"",""BD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'""&amp;YEAR(C65)&amp;""-""&amp;MONTH(C65)&amp;""-""&amp;DAY(C65)&amp;""'""))&gt;0,""Depositada"",if(sum(QUERY(IMPORTRANGE(""https://docs.google.com/spreadsheets/d/1wBSFbIXYswW2S5SMKo44LPsdTG4P4kfP5VRdAS5E_4o"",""BD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Sangria"")"),"")</f>
        <v/>
      </c>
      <c r="M65" s="185">
        <f>IFERROR(__xludf.DUMMYFUNCTION("ifna(VALUE(REGEXEXTRACT(E65,""[0-9.]+[,]+[0-9]+"")))"),110.0)</f>
        <v>110</v>
      </c>
      <c r="R65" s="24"/>
      <c r="S65" s="239"/>
      <c r="T65" s="239"/>
      <c r="U65" s="239"/>
      <c r="V65" s="239"/>
    </row>
    <row r="66" ht="14.25" customHeight="1">
      <c r="A66" s="178"/>
      <c r="B66" s="10">
        <v>1654448.0</v>
      </c>
      <c r="C66" s="11">
        <v>45900.89136574074</v>
      </c>
      <c r="D66" s="179" t="s">
        <v>50</v>
      </c>
      <c r="E66" s="180" t="s">
        <v>494</v>
      </c>
      <c r="F66" s="181"/>
      <c r="G66" s="179" t="s">
        <v>6607</v>
      </c>
      <c r="H66" s="190"/>
      <c r="I66" s="190"/>
      <c r="J66" s="187" t="s">
        <v>3044</v>
      </c>
      <c r="K66" s="187" t="s">
        <v>3168</v>
      </c>
      <c r="L66" s="184" t="str">
        <f>IFERROR(__xludf.DUMMYFUNCTION("ifna(IF(and(D66=""Saída"",J66=""Sangria""),if(sum(QUERY(IMPORTRANGE(""https://docs.google.com/spreadsheets/d/1wBSFbIXYswW2S5SMKo44LPsdTG4P4kfP5VRdAS5E_4o"",""BD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'""&amp;YEAR(C66)&amp;""-""&amp;MONTH(C66)&amp;""-""&amp;DAY(C66)&amp;""'""))&gt;0,""Depositada"",if(sum(QUERY(IMPORTRANGE(""https://docs.google.com/spreadsheets/d/1wBSFbIXYswW2S5SMKo44LPsdTG4P4kfP5VRdAS5E_4o"",""BD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IFERROR(__xludf.DUMMYFUNCTION("ifna(VALUE(REGEXEXTRACT(E66,""[0-9.]+[,]+[0-9]+"")))"),0.01)</f>
        <v>0.01</v>
      </c>
      <c r="R66" s="24"/>
      <c r="S66" s="239"/>
      <c r="T66" s="239"/>
      <c r="U66" s="239"/>
      <c r="V66" s="239"/>
    </row>
    <row r="67" ht="14.25" customHeight="1">
      <c r="A67" s="178"/>
      <c r="B67" s="10">
        <v>1654455.0</v>
      </c>
      <c r="C67" s="11">
        <v>45900.89173611111</v>
      </c>
      <c r="D67" s="179" t="s">
        <v>50</v>
      </c>
      <c r="E67" s="180" t="s">
        <v>1352</v>
      </c>
      <c r="F67" s="181"/>
      <c r="G67" s="179" t="s">
        <v>6610</v>
      </c>
      <c r="H67" s="190"/>
      <c r="I67" s="190"/>
      <c r="J67" s="187" t="s">
        <v>3825</v>
      </c>
      <c r="K67" s="187"/>
      <c r="L67" s="184" t="str">
        <f>IFERROR(__xludf.DUMMYFUNCTION("ifna(IF(and(D67=""Saída"",J67=""Sangria""),if(sum(QUERY(IMPORTRANGE(""https://docs.google.com/spreadsheets/d/1wBSFbIXYswW2S5SMKo44LPsdTG4P4kfP5VRdAS5E_4o"",""BD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'""&amp;YEAR(C67)&amp;""-""&amp;MONTH(C67)&amp;""-""&amp;DAY(C67)&amp;""'""))&gt;0,""Depositada"",if(sum(QUERY(IMPORTRANGE(""https://docs.google.com/spreadsheets/d/1wBSFbIXYswW2S5SMKo44LPsdTG4P4kfP5VRdAS5E_4o"",""BD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IFERROR(__xludf.DUMMYFUNCTION("ifna(VALUE(REGEXEXTRACT(E67,""[0-9.]+[,]+[0-9]+"")))"),112.0)</f>
        <v>112</v>
      </c>
      <c r="R67" s="24"/>
      <c r="S67" s="239"/>
      <c r="T67" s="239"/>
      <c r="U67" s="239"/>
      <c r="V67" s="239"/>
    </row>
    <row r="68">
      <c r="A68" s="178"/>
      <c r="B68" s="10">
        <v>1654481.0</v>
      </c>
      <c r="C68" s="11">
        <v>45900.89581018518</v>
      </c>
      <c r="D68" s="179" t="s">
        <v>50</v>
      </c>
      <c r="E68" s="180" t="s">
        <v>6612</v>
      </c>
      <c r="F68" s="181"/>
      <c r="G68" s="179" t="s">
        <v>6613</v>
      </c>
      <c r="H68" s="190"/>
      <c r="I68" s="190"/>
      <c r="J68" s="187" t="s">
        <v>3746</v>
      </c>
      <c r="K68" s="187" t="s">
        <v>3168</v>
      </c>
      <c r="L68" s="184" t="str">
        <f>IFERROR(__xludf.DUMMYFUNCTION("ifna(IF(and(D68=""Saída"",J68=""Sangria""),if(sum(QUERY(IMPORTRANGE(""https://docs.google.com/spreadsheets/d/1wBSFbIXYswW2S5SMKo44LPsdTG4P4kfP5VRdAS5E_4o"",""BD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'""&amp;YEAR(C68)&amp;""-""&amp;MONTH(C68)&amp;""-""&amp;DAY(C68)&amp;""'""))&gt;0,""Depositada"",if(sum(QUERY(IMPORTRANGE(""https://docs.google.com/spreadsheets/d/1wBSFbIXYswW2S5SMKo44LPsdTG4P4kfP5VRdAS5E_4o"",""BD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Sangria"")"),"#REF!")</f>
        <v>#REF!</v>
      </c>
      <c r="M68" s="185">
        <f>IFERROR(__xludf.DUMMYFUNCTION("ifna(VALUE(REGEXEXTRACT(E68,""[0-9.]+[,]+[0-9]+"")))"),2000.0)</f>
        <v>2000</v>
      </c>
      <c r="N68" s="191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0">
        <v>1654482.0</v>
      </c>
      <c r="C69" s="11">
        <v>45900.896006944444</v>
      </c>
      <c r="D69" s="179" t="s">
        <v>50</v>
      </c>
      <c r="E69" s="180" t="s">
        <v>1279</v>
      </c>
      <c r="F69" s="181"/>
      <c r="G69" s="179" t="s">
        <v>6613</v>
      </c>
      <c r="H69" s="190"/>
      <c r="I69" s="190"/>
      <c r="J69" s="187" t="s">
        <v>3746</v>
      </c>
      <c r="K69" s="187" t="s">
        <v>3168</v>
      </c>
      <c r="L69" s="184" t="str">
        <f>IFERROR(__xludf.DUMMYFUNCTION("ifna(IF(and(D69=""Saída"",J69=""Sangria""),if(sum(QUERY(IMPORTRANGE(""https://docs.google.com/spreadsheets/d/1wBSFbIXYswW2S5SMKo44LPsdTG4P4kfP5VRdAS5E_4o"",""BD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'""&amp;YEAR(C69)&amp;""-""&amp;MONTH(C69)&amp;""-""&amp;DAY(C69)&amp;""'""))&gt;0,""Depositada"",if(sum(QUERY(IMPORTRANGE(""https://docs.google.com/spreadsheets/d/1wBSFbIXYswW2S5SMKo44LPsdTG4P4kfP5VRdAS5E_4o"",""BD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Sangria"")"),"#REF!")</f>
        <v>#REF!</v>
      </c>
      <c r="M69" s="185">
        <f>IFERROR(__xludf.DUMMYFUNCTION("ifna(VALUE(REGEXEXTRACT(E69,""[0-9.]+[,]+[0-9]+"")))"),600.0)</f>
        <v>600</v>
      </c>
      <c r="N69" s="45" t="str">
        <f>IFERROR(__xludf.DUMMYFUNCTION("query(C28:L504,""select Col1,Col3,Col8,Col9 where (Col8 = 'Adiantamento' or Col8 = 'Consumo') and Col9 = '""&amp;A9&amp;""'"",1)"),"Data")</f>
        <v>Data</v>
      </c>
      <c r="O69" s="46" t="str">
        <f>IFERROR(__xludf.DUMMYFUNCTION("""COMPUTED_VALUE"""),"Valor ")</f>
        <v>Valor </v>
      </c>
      <c r="P69" s="46" t="str">
        <f>IFERROR(__xludf.DUMMYFUNCTION("""COMPUTED_VALUE"""),"Tipo")</f>
        <v>Tipo</v>
      </c>
      <c r="Q69" s="46" t="str">
        <f>IFERROR(__xludf.DUMMYFUNCTION("""COMPUTED_VALUE"""),"Funcionário")</f>
        <v>Funcionário</v>
      </c>
      <c r="R69" s="48"/>
      <c r="S69" s="49" t="str">
        <f>IFERROR(__xludf.DUMMYFUNCTION("query(C28:L504,""select Col1,Col3,Col8,Col9 where (Col8 = 'Adiantamento' or Col8 = 'Consumo') and Col9 = '""&amp;A10&amp;""'"",1)"),"Data")</f>
        <v>Data</v>
      </c>
      <c r="T69" s="49" t="str">
        <f>IFERROR(__xludf.DUMMYFUNCTION("""COMPUTED_VALUE"""),"Valor ")</f>
        <v>Valor </v>
      </c>
      <c r="U69" s="49" t="str">
        <f>IFERROR(__xludf.DUMMYFUNCTION("""COMPUTED_VALUE"""),"Tipo")</f>
        <v>Tipo</v>
      </c>
      <c r="V69" s="50" t="str">
        <f>IFERROR(__xludf.DUMMYFUNCTION("""COMPUTED_VALUE"""),"Funcionário")</f>
        <v>Funcionário</v>
      </c>
    </row>
    <row r="70" ht="24.75" customHeight="1">
      <c r="A70" s="178"/>
      <c r="B70" s="10">
        <v>1655467.0</v>
      </c>
      <c r="C70" s="11">
        <v>45901.539189814815</v>
      </c>
      <c r="D70" s="179" t="s">
        <v>227</v>
      </c>
      <c r="E70" s="180" t="s">
        <v>6612</v>
      </c>
      <c r="F70" s="181"/>
      <c r="G70" s="179" t="s">
        <v>6637</v>
      </c>
      <c r="H70" s="190"/>
      <c r="I70" s="190"/>
      <c r="J70" s="187" t="s">
        <v>3746</v>
      </c>
      <c r="K70" s="187"/>
      <c r="L70" s="184" t="str">
        <f>IFERROR(__xludf.DUMMYFUNCTION("ifna(IF(and(D70=""Saída"",J70=""Sangria""),if(sum(QUERY(IMPORTRANGE(""https://docs.google.com/spreadsheets/d/1wBSFbIXYswW2S5SMKo44LPsdTG4P4kfP5VRdAS5E_4o"",""BD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'""&amp;YEAR(C70)&amp;""-""&amp;MONTH(C70)&amp;""-""&amp;DAY(C70)&amp;""'""))&gt;0,""Depositada"",if(sum(QUERY(IMPORTRANGE(""https://docs.google.com/spreadsheets/d/1wBSFbIXYswW2S5SMKo44LPsdTG4P4kfP5VRdAS5E_4o"",""BD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Sangria"")"),"")</f>
        <v/>
      </c>
      <c r="M70" s="185">
        <f>IFERROR(__xludf.DUMMYFUNCTION("ifna(VALUE(REGEXEXTRACT(E70,""[0-9.]+[,]+[0-9]+"")))"),2000.0)</f>
        <v>2000</v>
      </c>
      <c r="N70" s="51"/>
      <c r="O70" s="52"/>
      <c r="P70" s="52"/>
      <c r="Q70" s="52"/>
      <c r="R70" s="54"/>
      <c r="S70" s="55">
        <f>IFERROR(__xludf.DUMMYFUNCTION("""COMPUTED_VALUE"""),45917.70135416667)</f>
        <v>45917.70135</v>
      </c>
      <c r="T70" s="52" t="str">
        <f>IFERROR(__xludf.DUMMYFUNCTION("""COMPUTED_VALUE"""),"R$ 10,00")</f>
        <v>R$ 10,00</v>
      </c>
      <c r="U70" s="52" t="str">
        <f>IFERROR(__xludf.DUMMYFUNCTION("""COMPUTED_VALUE"""),"Consumo")</f>
        <v>Consumo</v>
      </c>
      <c r="V70" s="53"/>
    </row>
    <row r="71" ht="14.25" customHeight="1">
      <c r="A71" s="178"/>
      <c r="B71" s="10">
        <v>1655470.0</v>
      </c>
      <c r="C71" s="11">
        <v>45901.54027777778</v>
      </c>
      <c r="D71" s="179" t="s">
        <v>50</v>
      </c>
      <c r="E71" s="180" t="s">
        <v>1228</v>
      </c>
      <c r="F71" s="181"/>
      <c r="G71" s="179" t="s">
        <v>6640</v>
      </c>
      <c r="H71" s="190"/>
      <c r="I71" s="190"/>
      <c r="J71" s="187" t="s">
        <v>3903</v>
      </c>
      <c r="K71" s="187"/>
      <c r="L71" s="184" t="str">
        <f>IFERROR(__xludf.DUMMYFUNCTION("ifna(IF(and(D71=""Saída"",J71=""Sangria""),if(sum(QUERY(IMPORTRANGE(""https://docs.google.com/spreadsheets/d/1wBSFbIXYswW2S5SMKo44LPsdTG4P4kfP5VRdAS5E_4o"",""BD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'""&amp;YEAR(C71)&amp;""-""&amp;MONTH(C71)&amp;""-""&amp;DAY(C71)&amp;""'""))&gt;0,""Depositada"",if(sum(QUERY(IMPORTRANGE(""https://docs.google.com/spreadsheets/d/1wBSFbIXYswW2S5SMKo44LPsdTG4P4kfP5VRdAS5E_4o"",""BD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IFERROR(__xludf.DUMMYFUNCTION("ifna(VALUE(REGEXEXTRACT(E71,""[0-9.]+[,]+[0-9]+"")))"),450.0)</f>
        <v>450</v>
      </c>
      <c r="N71" s="51"/>
      <c r="O71" s="52"/>
      <c r="P71" s="52"/>
      <c r="Q71" s="52"/>
      <c r="R71" s="54"/>
      <c r="S71" s="55">
        <f>IFERROR(__xludf.DUMMYFUNCTION("""COMPUTED_VALUE"""),45917.71625)</f>
        <v>45917.71625</v>
      </c>
      <c r="T71" s="52" t="str">
        <f>IFERROR(__xludf.DUMMYFUNCTION("""COMPUTED_VALUE"""),"R$ 5,00")</f>
        <v>R$ 5,00</v>
      </c>
      <c r="U71" s="52" t="str">
        <f>IFERROR(__xludf.DUMMYFUNCTION("""COMPUTED_VALUE"""),"Consumo")</f>
        <v>Consumo</v>
      </c>
      <c r="V71" s="53"/>
    </row>
    <row r="72" ht="14.25" customHeight="1">
      <c r="A72" s="178"/>
      <c r="B72" s="10">
        <v>1655605.0</v>
      </c>
      <c r="C72" s="11">
        <v>45901.60946759259</v>
      </c>
      <c r="D72" s="179" t="s">
        <v>50</v>
      </c>
      <c r="E72" s="180" t="s">
        <v>1107</v>
      </c>
      <c r="F72" s="181"/>
      <c r="G72" s="179" t="s">
        <v>6641</v>
      </c>
      <c r="H72" s="190"/>
      <c r="I72" s="190"/>
      <c r="J72" s="187" t="s">
        <v>3746</v>
      </c>
      <c r="K72" s="187" t="s">
        <v>3168</v>
      </c>
      <c r="L72" s="184" t="str">
        <f>IFERROR(__xludf.DUMMYFUNCTION("ifna(IF(and(D72=""Saída"",J72=""Sangria""),if(sum(QUERY(IMPORTRANGE(""https://docs.google.com/spreadsheets/d/1wBSFbIXYswW2S5SMKo44LPsdTG4P4kfP5VRdAS5E_4o"",""BD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'""&amp;YEAR(C72)&amp;""-""&amp;MONTH(C72)&amp;""-""&amp;DAY(C72)&amp;""'""))&gt;0,""Depositada"",if(sum(QUERY(IMPORTRANGE(""https://docs.google.com/spreadsheets/d/1wBSFbIXYswW2S5SMKo44LPsdTG4P4kfP5VRdAS5E_4o"",""BD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Sangria"")"),"#REF!")</f>
        <v>#REF!</v>
      </c>
      <c r="M72" s="185">
        <f>IFERROR(__xludf.DUMMYFUNCTION("ifna(VALUE(REGEXEXTRACT(E72,""[0-9.]+[,]+[0-9]+"")))"),1100.0)</f>
        <v>1100</v>
      </c>
      <c r="N72" s="51"/>
      <c r="O72" s="52"/>
      <c r="P72" s="52"/>
      <c r="Q72" s="52"/>
      <c r="R72" s="54"/>
      <c r="S72" s="55">
        <f>IFERROR(__xludf.DUMMYFUNCTION("""COMPUTED_VALUE"""),45917.79229166667)</f>
        <v>45917.79229</v>
      </c>
      <c r="T72" s="52" t="str">
        <f>IFERROR(__xludf.DUMMYFUNCTION("""COMPUTED_VALUE"""),"R$ 10,00")</f>
        <v>R$ 10,00</v>
      </c>
      <c r="U72" s="52" t="str">
        <f>IFERROR(__xludf.DUMMYFUNCTION("""COMPUTED_VALUE"""),"Consumo")</f>
        <v>Consumo</v>
      </c>
      <c r="V72" s="53"/>
    </row>
    <row r="73" ht="27.75" customHeight="1">
      <c r="A73" s="178"/>
      <c r="B73" s="10">
        <v>1656142.0</v>
      </c>
      <c r="C73" s="11">
        <v>45901.75038194445</v>
      </c>
      <c r="D73" s="179" t="s">
        <v>50</v>
      </c>
      <c r="E73" s="180" t="s">
        <v>6643</v>
      </c>
      <c r="F73" s="181"/>
      <c r="G73" s="179" t="s">
        <v>6644</v>
      </c>
      <c r="H73" s="190"/>
      <c r="I73" s="190"/>
      <c r="J73" s="187" t="s">
        <v>3903</v>
      </c>
      <c r="K73" s="187"/>
      <c r="L73" s="184" t="str">
        <f>IFERROR(__xludf.DUMMYFUNCTION("ifna(IF(and(D73=""Saída"",J73=""Sangria""),if(sum(QUERY(IMPORTRANGE(""https://docs.google.com/spreadsheets/d/1wBSFbIXYswW2S5SMKo44LPsdTG4P4kfP5VRdAS5E_4o"",""BD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'""&amp;YEAR(C73)&amp;""-""&amp;MONTH(C73)&amp;""-""&amp;DAY(C73)&amp;""'""))&gt;0,""Depositada"",if(sum(QUERY(IMPORTRANGE(""https://docs.google.com/spreadsheets/d/1wBSFbIXYswW2S5SMKo44LPsdTG4P4kfP5VRdAS5E_4o"",""BD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IFERROR(__xludf.DUMMYFUNCTION("ifna(VALUE(REGEXEXTRACT(E73,""[0-9.]+[,]+[0-9]+"")))"),272.22)</f>
        <v>272.22</v>
      </c>
      <c r="N73" s="51"/>
      <c r="O73" s="52"/>
      <c r="P73" s="52"/>
      <c r="Q73" s="52"/>
      <c r="R73" s="54"/>
      <c r="S73" s="52"/>
      <c r="T73" s="52"/>
      <c r="U73" s="52"/>
      <c r="V73" s="53"/>
    </row>
    <row r="74" ht="14.25" customHeight="1">
      <c r="A74" s="178"/>
      <c r="B74" s="10">
        <v>1656290.0</v>
      </c>
      <c r="C74" s="11">
        <v>45901.7925</v>
      </c>
      <c r="D74" s="179" t="s">
        <v>50</v>
      </c>
      <c r="E74" s="180" t="s">
        <v>6647</v>
      </c>
      <c r="F74" s="181"/>
      <c r="G74" s="179" t="s">
        <v>4983</v>
      </c>
      <c r="H74" s="190"/>
      <c r="I74" s="190"/>
      <c r="J74" s="187" t="s">
        <v>3044</v>
      </c>
      <c r="K74" s="187" t="s">
        <v>3077</v>
      </c>
      <c r="L74" s="184" t="str">
        <f>IFERROR(__xludf.DUMMYFUNCTION("ifna(IF(and(D74=""Saída"",J74=""Sangria""),if(sum(QUERY(IMPORTRANGE(""https://docs.google.com/spreadsheets/d/1wBSFbIXYswW2S5SMKo44LPsdTG4P4kfP5VRdAS5E_4o"",""BD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'""&amp;YEAR(C74)&amp;""-""&amp;MONTH(C74)&amp;""-""&amp;DAY(C74)&amp;""'""))&gt;0,""Depositada"",if(sum(QUERY(IMPORTRANGE(""https://docs.google.com/spreadsheets/d/1wBSFbIXYswW2S5SMKo44LPsdTG4P4kfP5VRdAS5E_4o"",""BD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Sangria"")"),"")</f>
        <v/>
      </c>
      <c r="M74" s="185">
        <f>IFERROR(__xludf.DUMMYFUNCTION("ifna(VALUE(REGEXEXTRACT(E74,""[0-9.]+[,]+[0-9]+"")))"),22.75)</f>
        <v>22.75</v>
      </c>
      <c r="N74" s="51"/>
      <c r="O74" s="52"/>
      <c r="P74" s="52"/>
      <c r="Q74" s="52"/>
      <c r="R74" s="54"/>
      <c r="S74" s="52"/>
      <c r="T74" s="52"/>
      <c r="U74" s="52"/>
      <c r="V74" s="53"/>
    </row>
    <row r="75" ht="14.25" customHeight="1">
      <c r="A75" s="178"/>
      <c r="B75" s="10">
        <v>1656378.0</v>
      </c>
      <c r="C75" s="11">
        <v>45901.826516203706</v>
      </c>
      <c r="D75" s="179" t="s">
        <v>50</v>
      </c>
      <c r="E75" s="180" t="s">
        <v>6650</v>
      </c>
      <c r="F75" s="188"/>
      <c r="G75" s="179" t="s">
        <v>4690</v>
      </c>
      <c r="H75" s="190"/>
      <c r="I75" s="190"/>
      <c r="J75" s="187" t="s">
        <v>3044</v>
      </c>
      <c r="K75" s="187" t="s">
        <v>3168</v>
      </c>
      <c r="L75" s="184" t="str">
        <f>IFERROR(__xludf.DUMMYFUNCTION("ifna(IF(and(D75=""Saída"",J75=""Sangria""),if(sum(QUERY(IMPORTRANGE(""https://docs.google.com/spreadsheets/d/1wBSFbIXYswW2S5SMKo44LPsdTG4P4kfP5VRdAS5E_4o"",""BD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'""&amp;YEAR(C75)&amp;""-""&amp;MONTH(C75)&amp;""-""&amp;DAY(C75)&amp;""'""))&gt;0,""Depositada"",if(sum(QUERY(IMPORTRANGE(""https://docs.google.com/spreadsheets/d/1wBSFbIXYswW2S5SMKo44LPsdTG4P4kfP5VRdAS5E_4o"",""BD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IFERROR(__xludf.DUMMYFUNCTION("ifna(VALUE(REGEXEXTRACT(E75,""[0-9.]+[,]+[0-9]+"")))"),36.55)</f>
        <v>36.55</v>
      </c>
      <c r="N75" s="51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0">
        <v>1656512.0</v>
      </c>
      <c r="C76" s="11">
        <v>45901.87540509259</v>
      </c>
      <c r="D76" s="179" t="s">
        <v>50</v>
      </c>
      <c r="E76" s="180" t="s">
        <v>6652</v>
      </c>
      <c r="F76" s="181"/>
      <c r="G76" s="179" t="s">
        <v>6653</v>
      </c>
      <c r="H76" s="190"/>
      <c r="I76" s="190"/>
      <c r="J76" s="187" t="s">
        <v>3746</v>
      </c>
      <c r="K76" s="187" t="s">
        <v>3168</v>
      </c>
      <c r="L76" s="184" t="str">
        <f>IFERROR(__xludf.DUMMYFUNCTION("ifna(IF(and(D76=""Saída"",J76=""Sangria""),if(sum(QUERY(IMPORTRANGE(""https://docs.google.com/spreadsheets/d/1wBSFbIXYswW2S5SMKo44LPsdTG4P4kfP5VRdAS5E_4o"",""BD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'""&amp;YEAR(C76)&amp;""-""&amp;MONTH(C76)&amp;""-""&amp;DAY(C76)&amp;""'""))&gt;0,""Depositada"",if(sum(QUERY(IMPORTRANGE(""https://docs.google.com/spreadsheets/d/1wBSFbIXYswW2S5SMKo44LPsdTG4P4kfP5VRdAS5E_4o"",""BD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Sangria"")"),"#REF!")</f>
        <v>#REF!</v>
      </c>
      <c r="M76" s="185">
        <f>IFERROR(__xludf.DUMMYFUNCTION("ifna(VALUE(REGEXEXTRACT(E76,""[0-9.]+[,]+[0-9]+"")))"),650.0)</f>
        <v>650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0">
        <v>1657606.0</v>
      </c>
      <c r="C77" s="11">
        <v>45902.71231481482</v>
      </c>
      <c r="D77" s="179" t="s">
        <v>50</v>
      </c>
      <c r="E77" s="180" t="s">
        <v>3983</v>
      </c>
      <c r="F77" s="181"/>
      <c r="G77" s="179" t="s">
        <v>6656</v>
      </c>
      <c r="H77" s="190"/>
      <c r="I77" s="190"/>
      <c r="J77" s="187" t="s">
        <v>3466</v>
      </c>
      <c r="K77" s="187"/>
      <c r="L77" s="184" t="str">
        <f>IFERROR(__xludf.DUMMYFUNCTION("ifna(IF(and(D77=""Saída"",J77=""Sangria""),if(sum(QUERY(IMPORTRANGE(""https://docs.google.com/spreadsheets/d/1wBSFbIXYswW2S5SMKo44LPsdTG4P4kfP5VRdAS5E_4o"",""BD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'""&amp;YEAR(C77)&amp;""-""&amp;MONTH(C77)&amp;""-""&amp;DAY(C77)&amp;""'""))&gt;0,""Depositada"",if(sum(QUERY(IMPORTRANGE(""https://docs.google.com/spreadsheets/d/1wBSFbIXYswW2S5SMKo44LPsdTG4P4kfP5VRdAS5E_4o"",""BD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IFERROR(__xludf.DUMMYFUNCTION("ifna(VALUE(REGEXEXTRACT(E77,""[0-9.]+[,]+[0-9]+"")))"),150.0)</f>
        <v>150</v>
      </c>
      <c r="N77" s="192"/>
      <c r="O77" s="193"/>
      <c r="P77" s="194"/>
      <c r="Q77" s="195"/>
      <c r="R77" s="91"/>
      <c r="S77" s="89"/>
      <c r="T77" s="89"/>
      <c r="U77" s="89"/>
      <c r="V77" s="90"/>
    </row>
    <row r="78" ht="33.0" customHeight="1">
      <c r="A78" s="178"/>
      <c r="B78" s="10">
        <v>1657612.0</v>
      </c>
      <c r="C78" s="11">
        <v>45902.712847222225</v>
      </c>
      <c r="D78" s="179" t="s">
        <v>227</v>
      </c>
      <c r="E78" s="180" t="s">
        <v>494</v>
      </c>
      <c r="F78" s="181"/>
      <c r="G78" s="179" t="s">
        <v>6659</v>
      </c>
      <c r="H78" s="190"/>
      <c r="I78" s="190"/>
      <c r="J78" s="196"/>
      <c r="K78" s="187"/>
      <c r="L78" s="184" t="str">
        <f>IFERROR(__xludf.DUMMYFUNCTION("ifna(IF(and(D78=""Saída"",J78=""Sangria""),if(sum(QUERY(IMPORTRANGE(""https://docs.google.com/spreadsheets/d/1wBSFbIXYswW2S5SMKo44LPsdTG4P4kfP5VRdAS5E_4o"",""BD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'""&amp;YEAR(C78)&amp;""-""&amp;MONTH(C78)&amp;""-""&amp;DAY(C78)&amp;""'""))&gt;0,""Depositada"",if(sum(QUERY(IMPORTRANGE(""https://docs.google.com/spreadsheets/d/1wBSFbIXYswW2S5SMKo44LPsdTG4P4kfP5VRdAS5E_4o"",""BD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IFERROR(__xludf.DUMMYFUNCTION("ifna(VALUE(REGEXEXTRACT(E78,""[0-9.]+[,]+[0-9]+"")))"),0.01)</f>
        <v>0.01</v>
      </c>
      <c r="N78" s="192"/>
      <c r="O78" s="193"/>
      <c r="P78" s="194"/>
      <c r="Q78" s="195"/>
      <c r="R78" s="91"/>
      <c r="S78" s="89"/>
      <c r="T78" s="89"/>
      <c r="U78" s="89"/>
      <c r="V78" s="90"/>
    </row>
    <row r="79" ht="14.25" customHeight="1">
      <c r="A79" s="178"/>
      <c r="B79" s="10">
        <v>1657738.0</v>
      </c>
      <c r="C79" s="11">
        <v>45902.75042824074</v>
      </c>
      <c r="D79" s="179" t="s">
        <v>50</v>
      </c>
      <c r="E79" s="180" t="s">
        <v>6660</v>
      </c>
      <c r="F79" s="188"/>
      <c r="G79" s="179" t="s">
        <v>6661</v>
      </c>
      <c r="H79" s="190"/>
      <c r="I79" s="190"/>
      <c r="J79" s="187" t="s">
        <v>3903</v>
      </c>
      <c r="K79" s="187"/>
      <c r="L79" s="184" t="str">
        <f>IFERROR(__xludf.DUMMYFUNCTION("ifna(IF(and(D79=""Saída"",J79=""Sangria""),if(sum(QUERY(IMPORTRANGE(""https://docs.google.com/spreadsheets/d/1wBSFbIXYswW2S5SMKo44LPsdTG4P4kfP5VRdAS5E_4o"",""BD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'""&amp;YEAR(C79)&amp;""-""&amp;MONTH(C79)&amp;""-""&amp;DAY(C79)&amp;""'""))&gt;0,""Depositada"",if(sum(QUERY(IMPORTRANGE(""https://docs.google.com/spreadsheets/d/1wBSFbIXYswW2S5SMKo44LPsdTG4P4kfP5VRdAS5E_4o"",""BD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IFERROR(__xludf.DUMMYFUNCTION("ifna(VALUE(REGEXEXTRACT(E79,""[0-9.]+[,]+[0-9]+"")))"),95.0)</f>
        <v>95</v>
      </c>
      <c r="N79" s="192"/>
      <c r="O79" s="193"/>
      <c r="P79" s="194"/>
      <c r="Q79" s="195"/>
      <c r="R79" s="91"/>
      <c r="S79" s="89"/>
      <c r="T79" s="89"/>
      <c r="U79" s="89"/>
      <c r="V79" s="90"/>
    </row>
    <row r="80" ht="14.25" customHeight="1">
      <c r="A80" s="178"/>
      <c r="B80" s="10">
        <v>1657831.0</v>
      </c>
      <c r="C80" s="11">
        <v>45902.77502314815</v>
      </c>
      <c r="D80" s="179" t="s">
        <v>50</v>
      </c>
      <c r="E80" s="180" t="s">
        <v>6663</v>
      </c>
      <c r="F80" s="181"/>
      <c r="G80" s="179" t="s">
        <v>6446</v>
      </c>
      <c r="H80" s="190"/>
      <c r="I80" s="190"/>
      <c r="J80" s="187" t="s">
        <v>3044</v>
      </c>
      <c r="K80" s="187" t="s">
        <v>3137</v>
      </c>
      <c r="L80" s="184" t="str">
        <f>IFERROR(__xludf.DUMMYFUNCTION("ifna(IF(and(D80=""Saída"",J80=""Sangria""),if(sum(QUERY(IMPORTRANGE(""https://docs.google.com/spreadsheets/d/1wBSFbIXYswW2S5SMKo44LPsdTG4P4kfP5VRdAS5E_4o"",""BD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'""&amp;YEAR(C80)&amp;""-""&amp;MONTH(C80)&amp;""-""&amp;DAY(C80)&amp;""'""))&gt;0,""Depositada"",if(sum(QUERY(IMPORTRANGE(""https://docs.google.com/spreadsheets/d/1wBSFbIXYswW2S5SMKo44LPsdTG4P4kfP5VRdAS5E_4o"",""BD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Sangria"")"),"")</f>
        <v/>
      </c>
      <c r="M80" s="185">
        <f>IFERROR(__xludf.DUMMYFUNCTION("ifna(VALUE(REGEXEXTRACT(E80,""[0-9.]+[,]+[0-9]+"")))"),28.75)</f>
        <v>28.75</v>
      </c>
      <c r="N80" s="192"/>
      <c r="O80" s="193"/>
      <c r="P80" s="194"/>
      <c r="Q80" s="195"/>
      <c r="R80" s="91"/>
      <c r="S80" s="89"/>
      <c r="T80" s="89"/>
      <c r="U80" s="89"/>
      <c r="V80" s="90"/>
    </row>
    <row r="81" ht="14.25" customHeight="1">
      <c r="A81" s="178"/>
      <c r="B81" s="10">
        <v>1657918.0</v>
      </c>
      <c r="C81" s="11">
        <v>45902.80373842592</v>
      </c>
      <c r="D81" s="179" t="s">
        <v>50</v>
      </c>
      <c r="E81" s="180" t="s">
        <v>246</v>
      </c>
      <c r="F81" s="181"/>
      <c r="G81" s="179" t="s">
        <v>4960</v>
      </c>
      <c r="H81" s="190"/>
      <c r="I81" s="190"/>
      <c r="J81" s="187" t="s">
        <v>3044</v>
      </c>
      <c r="K81" s="187" t="s">
        <v>3168</v>
      </c>
      <c r="L81" s="184" t="str">
        <f>IFERROR(__xludf.DUMMYFUNCTION("ifna(IF(and(D81=""Saída"",J81=""Sangria""),if(sum(QUERY(IMPORTRANGE(""https://docs.google.com/spreadsheets/d/1wBSFbIXYswW2S5SMKo44LPsdTG4P4kfP5VRdAS5E_4o"",""BD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'""&amp;YEAR(C81)&amp;""-""&amp;MONTH(C81)&amp;""-""&amp;DAY(C81)&amp;""'""))&gt;0,""Depositada"",if(sum(QUERY(IMPORTRANGE(""https://docs.google.com/spreadsheets/d/1wBSFbIXYswW2S5SMKo44LPsdTG4P4kfP5VRdAS5E_4o"",""BD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Sangria"")"),"")</f>
        <v/>
      </c>
      <c r="M81" s="185">
        <f>IFERROR(__xludf.DUMMYFUNCTION("ifna(VALUE(REGEXEXTRACT(E81,""[0-9.]+[,]+[0-9]+"")))"),4.0)</f>
        <v>4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0">
        <v>1658151.0</v>
      </c>
      <c r="C82" s="11">
        <v>45902.897685185184</v>
      </c>
      <c r="D82" s="179" t="s">
        <v>50</v>
      </c>
      <c r="E82" s="180" t="s">
        <v>6430</v>
      </c>
      <c r="F82" s="181"/>
      <c r="G82" s="179" t="s">
        <v>4690</v>
      </c>
      <c r="H82" s="190"/>
      <c r="I82" s="190"/>
      <c r="J82" s="187" t="s">
        <v>3044</v>
      </c>
      <c r="K82" s="187" t="s">
        <v>3168</v>
      </c>
      <c r="L82" s="184" t="str">
        <f>IFERROR(__xludf.DUMMYFUNCTION("ifna(IF(and(D82=""Saída"",J82=""Sangria""),if(sum(QUERY(IMPORTRANGE(""https://docs.google.com/spreadsheets/d/1wBSFbIXYswW2S5SMKo44LPsdTG4P4kfP5VRdAS5E_4o"",""BD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'""&amp;YEAR(C82)&amp;""-""&amp;MONTH(C82)&amp;""-""&amp;DAY(C82)&amp;""'""))&gt;0,""Depositada"",if(sum(QUERY(IMPORTRANGE(""https://docs.google.com/spreadsheets/d/1wBSFbIXYswW2S5SMKo44LPsdTG4P4kfP5VRdAS5E_4o"",""BD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Sangria"")"),"")</f>
        <v/>
      </c>
      <c r="M82" s="185">
        <f>IFERROR(__xludf.DUMMYFUNCTION("ifna(VALUE(REGEXEXTRACT(E82,""[0-9.]+[,]+[0-9]+"")))"),47.16)</f>
        <v>47.16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0">
        <v>1658156.0</v>
      </c>
      <c r="C83" s="11">
        <v>45902.898564814815</v>
      </c>
      <c r="D83" s="179" t="s">
        <v>50</v>
      </c>
      <c r="E83" s="180" t="s">
        <v>205</v>
      </c>
      <c r="F83" s="181"/>
      <c r="G83" s="179" t="s">
        <v>4704</v>
      </c>
      <c r="H83" s="190"/>
      <c r="I83" s="190"/>
      <c r="J83" s="187" t="s">
        <v>3044</v>
      </c>
      <c r="K83" s="187" t="s">
        <v>3077</v>
      </c>
      <c r="L83" s="184" t="str">
        <f>IFERROR(__xludf.DUMMYFUNCTION("ifna(IF(and(D83=""Saída"",J83=""Sangria""),if(sum(QUERY(IMPORTRANGE(""https://docs.google.com/spreadsheets/d/1wBSFbIXYswW2S5SMKo44LPsdTG4P4kfP5VRdAS5E_4o"",""BD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'""&amp;YEAR(C83)&amp;""-""&amp;MONTH(C83)&amp;""-""&amp;DAY(C83)&amp;""'""))&gt;0,""Depositada"",if(sum(QUERY(IMPORTRANGE(""https://docs.google.com/spreadsheets/d/1wBSFbIXYswW2S5SMKo44LPsdTG4P4kfP5VRdAS5E_4o"",""BD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Sangria"")"),"")</f>
        <v/>
      </c>
      <c r="M83" s="185">
        <f>IFERROR(__xludf.DUMMYFUNCTION("ifna(VALUE(REGEXEXTRACT(E83,""[0-9.]+[,]+[0-9]+"")))"),10.0)</f>
        <v>10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0">
        <v>1659513.0</v>
      </c>
      <c r="C84" s="11">
        <v>45903.774097222224</v>
      </c>
      <c r="D84" s="179" t="s">
        <v>50</v>
      </c>
      <c r="E84" s="180" t="s">
        <v>6670</v>
      </c>
      <c r="F84" s="181"/>
      <c r="G84" s="179" t="s">
        <v>6446</v>
      </c>
      <c r="H84" s="190"/>
      <c r="I84" s="190"/>
      <c r="J84" s="187" t="s">
        <v>3044</v>
      </c>
      <c r="K84" s="187" t="s">
        <v>3137</v>
      </c>
      <c r="L84" s="184" t="str">
        <f>IFERROR(__xludf.DUMMYFUNCTION("ifna(IF(and(D84=""Saída"",J84=""Sangria""),if(sum(QUERY(IMPORTRANGE(""https://docs.google.com/spreadsheets/d/1wBSFbIXYswW2S5SMKo44LPsdTG4P4kfP5VRdAS5E_4o"",""BD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'""&amp;YEAR(C84)&amp;""-""&amp;MONTH(C84)&amp;""-""&amp;DAY(C84)&amp;""'""))&gt;0,""Depositada"",if(sum(QUERY(IMPORTRANGE(""https://docs.google.com/spreadsheets/d/1wBSFbIXYswW2S5SMKo44LPsdTG4P4kfP5VRdAS5E_4o"",""BD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IFERROR(__xludf.DUMMYFUNCTION("ifna(VALUE(REGEXEXTRACT(E84,""[0-9.]+[,]+[0-9]+"")))"),37.84)</f>
        <v>37.84</v>
      </c>
      <c r="N84" s="197"/>
      <c r="O84" s="198"/>
      <c r="P84" s="198"/>
      <c r="Q84" s="198"/>
      <c r="R84" s="91"/>
      <c r="S84" s="198"/>
      <c r="T84" s="198"/>
      <c r="U84" s="198"/>
      <c r="V84" s="199"/>
    </row>
    <row r="85" ht="14.25" customHeight="1">
      <c r="A85" s="178"/>
      <c r="B85" s="10">
        <v>1659517.0</v>
      </c>
      <c r="C85" s="11">
        <v>45903.77486111111</v>
      </c>
      <c r="D85" s="179" t="s">
        <v>50</v>
      </c>
      <c r="E85" s="180" t="s">
        <v>1217</v>
      </c>
      <c r="F85" s="181"/>
      <c r="G85" s="179" t="s">
        <v>6671</v>
      </c>
      <c r="H85" s="190"/>
      <c r="I85" s="190"/>
      <c r="J85" s="187" t="s">
        <v>3466</v>
      </c>
      <c r="K85" s="187"/>
      <c r="L85" s="184" t="str">
        <f>IFERROR(__xludf.DUMMYFUNCTION("ifna(IF(and(D85=""Saída"",J85=""Sangria""),if(sum(QUERY(IMPORTRANGE(""https://docs.google.com/spreadsheets/d/1wBSFbIXYswW2S5SMKo44LPsdTG4P4kfP5VRdAS5E_4o"",""BD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'""&amp;YEAR(C85)&amp;""-""&amp;MONTH(C85)&amp;""-""&amp;DAY(C85)&amp;""'""))&gt;0,""Depositada"",if(sum(QUERY(IMPORTRANGE(""https://docs.google.com/spreadsheets/d/1wBSFbIXYswW2S5SMKo44LPsdTG4P4kfP5VRdAS5E_4o"",""BD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IFERROR(__xludf.DUMMYFUNCTION("ifna(VALUE(REGEXEXTRACT(E85,""[0-9.]+[,]+[0-9]+"")))"),170.0)</f>
        <v>170</v>
      </c>
      <c r="N85" s="197"/>
      <c r="O85" s="198"/>
      <c r="P85" s="198"/>
      <c r="Q85" s="198"/>
      <c r="R85" s="91"/>
      <c r="S85" s="198"/>
      <c r="T85" s="198"/>
      <c r="U85" s="198"/>
      <c r="V85" s="199"/>
    </row>
    <row r="86" ht="14.25" customHeight="1">
      <c r="A86" s="178"/>
      <c r="B86" s="10">
        <v>1659519.0</v>
      </c>
      <c r="C86" s="11">
        <v>45903.77532407407</v>
      </c>
      <c r="D86" s="179" t="s">
        <v>227</v>
      </c>
      <c r="E86" s="180" t="s">
        <v>494</v>
      </c>
      <c r="F86" s="181"/>
      <c r="G86" s="179" t="s">
        <v>6674</v>
      </c>
      <c r="H86" s="190"/>
      <c r="I86" s="190"/>
      <c r="J86" s="187" t="s">
        <v>3874</v>
      </c>
      <c r="K86" s="187"/>
      <c r="L86" s="184" t="str">
        <f>IFERROR(__xludf.DUMMYFUNCTION("ifna(IF(and(D86=""Saída"",J86=""Sangria""),if(sum(QUERY(IMPORTRANGE(""https://docs.google.com/spreadsheets/d/1wBSFbIXYswW2S5SMKo44LPsdTG4P4kfP5VRdAS5E_4o"",""BD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'""&amp;YEAR(C86)&amp;""-""&amp;MONTH(C86)&amp;""-""&amp;DAY(C86)&amp;""'""))&gt;0,""Depositada"",if(sum(QUERY(IMPORTRANGE(""https://docs.google.com/spreadsheets/d/1wBSFbIXYswW2S5SMKo44LPsdTG4P4kfP5VRdAS5E_4o"",""BD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IFERROR(__xludf.DUMMYFUNCTION("ifna(VALUE(REGEXEXTRACT(E86,""[0-9.]+[,]+[0-9]+"")))"),0.01)</f>
        <v>0.01</v>
      </c>
      <c r="N86" s="197"/>
      <c r="O86" s="198"/>
      <c r="P86" s="198"/>
      <c r="Q86" s="198"/>
      <c r="R86" s="91"/>
      <c r="S86" s="198"/>
      <c r="T86" s="198"/>
      <c r="U86" s="198"/>
      <c r="V86" s="199"/>
    </row>
    <row r="87" ht="14.25" customHeight="1">
      <c r="A87" s="178"/>
      <c r="B87" s="10">
        <v>1659553.0</v>
      </c>
      <c r="C87" s="11">
        <v>45903.78476851852</v>
      </c>
      <c r="D87" s="179" t="s">
        <v>50</v>
      </c>
      <c r="E87" s="180" t="s">
        <v>6675</v>
      </c>
      <c r="F87" s="181"/>
      <c r="G87" s="179" t="s">
        <v>6513</v>
      </c>
      <c r="H87" s="190"/>
      <c r="I87" s="190"/>
      <c r="J87" s="187" t="s">
        <v>3044</v>
      </c>
      <c r="K87" s="187" t="s">
        <v>3040</v>
      </c>
      <c r="L87" s="184" t="str">
        <f>IFERROR(__xludf.DUMMYFUNCTION("ifna(IF(and(D87=""Saída"",J87=""Sangria""),if(sum(QUERY(IMPORTRANGE(""https://docs.google.com/spreadsheets/d/1wBSFbIXYswW2S5SMKo44LPsdTG4P4kfP5VRdAS5E_4o"",""BD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'""&amp;YEAR(C87)&amp;""-""&amp;MONTH(C87)&amp;""-""&amp;DAY(C87)&amp;""'""))&gt;0,""Depositada"",if(sum(QUERY(IMPORTRANGE(""https://docs.google.com/spreadsheets/d/1wBSFbIXYswW2S5SMKo44LPsdTG4P4kfP5VRdAS5E_4o"",""BD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Sangria"")"),"")</f>
        <v/>
      </c>
      <c r="M87" s="185">
        <f>IFERROR(__xludf.DUMMYFUNCTION("ifna(VALUE(REGEXEXTRACT(E87,""[0-9.]+[,]+[0-9]+"")))"),58.29)</f>
        <v>58.29</v>
      </c>
      <c r="N87" s="197"/>
      <c r="O87" s="198"/>
      <c r="P87" s="198"/>
      <c r="Q87" s="198"/>
      <c r="R87" s="91"/>
      <c r="S87" s="198"/>
      <c r="T87" s="198"/>
      <c r="U87" s="198"/>
      <c r="V87" s="199"/>
    </row>
    <row r="88" ht="14.25" customHeight="1">
      <c r="A88" s="178"/>
      <c r="B88" s="10">
        <v>1659937.0</v>
      </c>
      <c r="C88" s="11">
        <v>45903.90997685185</v>
      </c>
      <c r="D88" s="179" t="s">
        <v>50</v>
      </c>
      <c r="E88" s="180" t="s">
        <v>1279</v>
      </c>
      <c r="F88" s="181"/>
      <c r="G88" s="179" t="s">
        <v>6677</v>
      </c>
      <c r="H88" s="190"/>
      <c r="I88" s="190"/>
      <c r="J88" s="187" t="s">
        <v>3746</v>
      </c>
      <c r="K88" s="187" t="s">
        <v>3168</v>
      </c>
      <c r="L88" s="184" t="str">
        <f>IFERROR(__xludf.DUMMYFUNCTION("ifna(IF(and(D88=""Saída"",J88=""Sangria""),if(sum(QUERY(IMPORTRANGE(""https://docs.google.com/spreadsheets/d/1wBSFbIXYswW2S5SMKo44LPsdTG4P4kfP5VRdAS5E_4o"",""BD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'""&amp;YEAR(C88)&amp;""-""&amp;MONTH(C88)&amp;""-""&amp;DAY(C88)&amp;""'""))&gt;0,""Depositada"",if(sum(QUERY(IMPORTRANGE(""https://docs.google.com/spreadsheets/d/1wBSFbIXYswW2S5SMKo44LPsdTG4P4kfP5VRdAS5E_4o"",""BD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Sangria"")"),"#REF!")</f>
        <v>#REF!</v>
      </c>
      <c r="M88" s="185">
        <f>IFERROR(__xludf.DUMMYFUNCTION("ifna(VALUE(REGEXEXTRACT(E88,""[0-9.]+[,]+[0-9]+"")))"),600.0)</f>
        <v>600</v>
      </c>
      <c r="N88" s="200"/>
      <c r="O88" s="201"/>
      <c r="P88" s="201"/>
      <c r="Q88" s="201"/>
      <c r="R88" s="202"/>
      <c r="S88" s="201"/>
      <c r="T88" s="201"/>
      <c r="U88" s="201"/>
      <c r="V88" s="203"/>
    </row>
    <row r="89" ht="14.25" customHeight="1">
      <c r="A89" s="178"/>
      <c r="B89" s="10">
        <v>1660411.0</v>
      </c>
      <c r="C89" s="11">
        <v>45904.52877314815</v>
      </c>
      <c r="D89" s="179" t="s">
        <v>227</v>
      </c>
      <c r="E89" s="180" t="s">
        <v>1279</v>
      </c>
      <c r="F89" s="181"/>
      <c r="G89" s="179" t="s">
        <v>6680</v>
      </c>
      <c r="H89" s="190"/>
      <c r="I89" s="190"/>
      <c r="J89" s="187" t="s">
        <v>3746</v>
      </c>
      <c r="K89" s="187" t="s">
        <v>3168</v>
      </c>
      <c r="L89" s="184" t="str">
        <f>IFERROR(__xludf.DUMMYFUNCTION("ifna(IF(and(D89=""Saída"",J89=""Sangria""),if(sum(QUERY(IMPORTRANGE(""https://docs.google.com/spreadsheets/d/1wBSFbIXYswW2S5SMKo44LPsdTG4P4kfP5VRdAS5E_4o"",""BD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'""&amp;YEAR(C89)&amp;""-""&amp;MONTH(C89)&amp;""-""&amp;DAY(C89)&amp;""'""))&gt;0,""Depositada"",if(sum(QUERY(IMPORTRANGE(""https://docs.google.com/spreadsheets/d/1wBSFbIXYswW2S5SMKo44LPsdTG4P4kfP5VRdAS5E_4o"",""BD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Sangria"")"),"")</f>
        <v/>
      </c>
      <c r="M89" s="185">
        <f>IFERROR(__xludf.DUMMYFUNCTION("ifna(VALUE(REGEXEXTRACT(E89,""[0-9.]+[,]+[0-9]+"")))"),600.0)</f>
        <v>600</v>
      </c>
      <c r="N89" s="24"/>
      <c r="O89" s="24"/>
      <c r="P89" s="24"/>
      <c r="Q89" s="24"/>
      <c r="R89" s="24"/>
      <c r="S89" s="24"/>
      <c r="T89" s="24"/>
      <c r="U89" s="24"/>
      <c r="V89" s="24"/>
    </row>
    <row r="90" ht="14.25" customHeight="1">
      <c r="A90" s="178"/>
      <c r="B90" s="10">
        <v>1660412.0</v>
      </c>
      <c r="C90" s="11">
        <v>45904.52899305556</v>
      </c>
      <c r="D90" s="179" t="s">
        <v>50</v>
      </c>
      <c r="E90" s="180" t="s">
        <v>6682</v>
      </c>
      <c r="F90" s="181"/>
      <c r="G90" s="179" t="s">
        <v>6640</v>
      </c>
      <c r="H90" s="190"/>
      <c r="I90" s="190"/>
      <c r="J90" s="187" t="s">
        <v>3903</v>
      </c>
      <c r="K90" s="187"/>
      <c r="L90" s="184" t="str">
        <f>IFERROR(__xludf.DUMMYFUNCTION("ifna(IF(and(D90=""Saída"",J90=""Sangria""),if(sum(QUERY(IMPORTRANGE(""https://docs.google.com/spreadsheets/d/1wBSFbIXYswW2S5SMKo44LPsdTG4P4kfP5VRdAS5E_4o"",""BD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'""&amp;YEAR(C90)&amp;""-""&amp;MONTH(C90)&amp;""-""&amp;DAY(C90)&amp;""'""))&gt;0,""Depositada"",if(sum(QUERY(IMPORTRANGE(""https://docs.google.com/spreadsheets/d/1wBSFbIXYswW2S5SMKo44LPsdTG4P4kfP5VRdAS5E_4o"",""BD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IFERROR(__xludf.DUMMYFUNCTION("ifna(VALUE(REGEXEXTRACT(E90,""[0-9.]+[,]+[0-9]+"")))"),280.0)</f>
        <v>280</v>
      </c>
      <c r="N90" s="24"/>
      <c r="O90" s="24"/>
      <c r="P90" s="24"/>
      <c r="Q90" s="24"/>
      <c r="R90" s="24"/>
      <c r="S90" s="24"/>
      <c r="T90" s="24"/>
      <c r="U90" s="24"/>
      <c r="V90" s="24"/>
    </row>
    <row r="91" ht="14.25" customHeight="1">
      <c r="A91" s="178"/>
      <c r="B91" s="10">
        <v>1660482.0</v>
      </c>
      <c r="C91" s="11">
        <v>45904.57109953704</v>
      </c>
      <c r="D91" s="179" t="s">
        <v>50</v>
      </c>
      <c r="E91" s="180" t="s">
        <v>157</v>
      </c>
      <c r="F91" s="181"/>
      <c r="G91" s="179" t="s">
        <v>4983</v>
      </c>
      <c r="H91" s="190"/>
      <c r="I91" s="190"/>
      <c r="J91" s="187" t="s">
        <v>3044</v>
      </c>
      <c r="K91" s="187" t="s">
        <v>3077</v>
      </c>
      <c r="L91" s="184" t="str">
        <f>IFERROR(__xludf.DUMMYFUNCTION("ifna(IF(and(D91=""Saída"",J91=""Sangria""),if(sum(QUERY(IMPORTRANGE(""https://docs.google.com/spreadsheets/d/1wBSFbIXYswW2S5SMKo44LPsdTG4P4kfP5VRdAS5E_4o"",""BD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'""&amp;YEAR(C91)&amp;""-""&amp;MONTH(C91)&amp;""-""&amp;DAY(C91)&amp;""'""))&gt;0,""Depositada"",if(sum(QUERY(IMPORTRANGE(""https://docs.google.com/spreadsheets/d/1wBSFbIXYswW2S5SMKo44LPsdTG4P4kfP5VRdAS5E_4o"",""BD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Sangria"")"),"")</f>
        <v/>
      </c>
      <c r="M91" s="185">
        <f>IFERROR(__xludf.DUMMYFUNCTION("ifna(VALUE(REGEXEXTRACT(E91,""[0-9.]+[,]+[0-9]+"")))"),5.0)</f>
        <v>5</v>
      </c>
      <c r="N91" s="24"/>
      <c r="O91" s="24"/>
      <c r="P91" s="24"/>
      <c r="Q91" s="24"/>
      <c r="R91" s="24"/>
      <c r="S91" s="24"/>
      <c r="T91" s="24"/>
      <c r="U91" s="24"/>
      <c r="V91" s="24"/>
    </row>
    <row r="92" ht="14.25" customHeight="1">
      <c r="A92" s="178"/>
      <c r="B92" s="10">
        <v>1660582.0</v>
      </c>
      <c r="C92" s="11">
        <v>45904.60748842593</v>
      </c>
      <c r="D92" s="179" t="s">
        <v>50</v>
      </c>
      <c r="E92" s="180" t="s">
        <v>427</v>
      </c>
      <c r="F92" s="181"/>
      <c r="G92" s="179" t="s">
        <v>6513</v>
      </c>
      <c r="H92" s="190"/>
      <c r="I92" s="190"/>
      <c r="J92" s="187" t="s">
        <v>3044</v>
      </c>
      <c r="K92" s="187" t="s">
        <v>3040</v>
      </c>
      <c r="L92" s="184" t="str">
        <f>IFERROR(__xludf.DUMMYFUNCTION("ifna(IF(and(D92=""Saída"",J92=""Sangria""),if(sum(QUERY(IMPORTRANGE(""https://docs.google.com/spreadsheets/d/1wBSFbIXYswW2S5SMKo44LPsdTG4P4kfP5VRdAS5E_4o"",""BD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'""&amp;YEAR(C92)&amp;""-""&amp;MONTH(C92)&amp;""-""&amp;DAY(C92)&amp;""'""))&gt;0,""Depositada"",if(sum(QUERY(IMPORTRANGE(""https://docs.google.com/spreadsheets/d/1wBSFbIXYswW2S5SMKo44LPsdTG4P4kfP5VRdAS5E_4o"",""BD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Sangria"")"),"")</f>
        <v/>
      </c>
      <c r="M92" s="185">
        <f>IFERROR(__xludf.DUMMYFUNCTION("ifna(VALUE(REGEXEXTRACT(E92,""[0-9.]+[,]+[0-9]+"")))"),15.0)</f>
        <v>15</v>
      </c>
      <c r="N92" s="24"/>
      <c r="O92" s="24"/>
      <c r="P92" s="24"/>
      <c r="Q92" s="24"/>
      <c r="R92" s="24"/>
      <c r="S92" s="24"/>
      <c r="T92" s="185"/>
      <c r="U92" s="185"/>
      <c r="V92" s="185"/>
    </row>
    <row r="93" ht="14.25" customHeight="1">
      <c r="A93" s="178"/>
      <c r="B93" s="10">
        <v>1660840.0</v>
      </c>
      <c r="C93" s="11">
        <v>45904.69668981482</v>
      </c>
      <c r="D93" s="179" t="s">
        <v>50</v>
      </c>
      <c r="E93" s="180" t="s">
        <v>6684</v>
      </c>
      <c r="F93" s="181"/>
      <c r="G93" s="179" t="s">
        <v>6685</v>
      </c>
      <c r="H93" s="190"/>
      <c r="I93" s="190"/>
      <c r="J93" s="187" t="s">
        <v>3903</v>
      </c>
      <c r="K93" s="187"/>
      <c r="L93" s="184" t="str">
        <f>IFERROR(__xludf.DUMMYFUNCTION("ifna(IF(and(D93=""Saída"",J93=""Sangria""),if(sum(QUERY(IMPORTRANGE(""https://docs.google.com/spreadsheets/d/1wBSFbIXYswW2S5SMKo44LPsdTG4P4kfP5VRdAS5E_4o"",""BD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'""&amp;YEAR(C93)&amp;""-""&amp;MONTH(C93)&amp;""-""&amp;DAY(C93)&amp;""'""))&gt;0,""Depositada"",if(sum(QUERY(IMPORTRANGE(""https://docs.google.com/spreadsheets/d/1wBSFbIXYswW2S5SMKo44LPsdTG4P4kfP5VRdAS5E_4o"",""BD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IFERROR(__xludf.DUMMYFUNCTION("ifna(VALUE(REGEXEXTRACT(E93,""[0-9.]+[,]+[0-9]+"")))"),8.67)</f>
        <v>8.67</v>
      </c>
      <c r="N93" s="204" t="s">
        <v>5033</v>
      </c>
      <c r="O93" s="205"/>
      <c r="P93" s="205"/>
      <c r="Q93" s="205"/>
      <c r="R93" s="205"/>
      <c r="S93" s="59"/>
      <c r="T93" s="185"/>
      <c r="U93" s="185"/>
      <c r="V93" s="185"/>
    </row>
    <row r="94" ht="14.25" customHeight="1">
      <c r="A94" s="178"/>
      <c r="B94" s="10">
        <v>1661199.0</v>
      </c>
      <c r="C94" s="11">
        <v>45904.79767361111</v>
      </c>
      <c r="D94" s="179" t="s">
        <v>50</v>
      </c>
      <c r="E94" s="180" t="s">
        <v>6687</v>
      </c>
      <c r="F94" s="181"/>
      <c r="G94" s="179" t="s">
        <v>4983</v>
      </c>
      <c r="H94" s="190"/>
      <c r="I94" s="190"/>
      <c r="J94" s="187" t="s">
        <v>3044</v>
      </c>
      <c r="K94" s="187" t="s">
        <v>3077</v>
      </c>
      <c r="L94" s="184" t="str">
        <f>IFERROR(__xludf.DUMMYFUNCTION("ifna(IF(and(D94=""Saída"",J94=""Sangria""),if(sum(QUERY(IMPORTRANGE(""https://docs.google.com/spreadsheets/d/1wBSFbIXYswW2S5SMKo44LPsdTG4P4kfP5VRdAS5E_4o"",""BD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'""&amp;YEAR(C94)&amp;""-""&amp;MONTH(C94)&amp;""-""&amp;DAY(C94)&amp;""'""))&gt;0,""Depositada"",if(sum(QUERY(IMPORTRANGE(""https://docs.google.com/spreadsheets/d/1wBSFbIXYswW2S5SMKo44LPsdTG4P4kfP5VRdAS5E_4o"",""BD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Sangria"")"),"")</f>
        <v/>
      </c>
      <c r="M94" s="185">
        <f>IFERROR(__xludf.DUMMYFUNCTION("ifna(VALUE(REGEXEXTRACT(E94,""[0-9.]+[,]+[0-9]+"")))"),16.36)</f>
        <v>16.36</v>
      </c>
      <c r="N94" s="206"/>
      <c r="S94" s="207"/>
      <c r="T94" s="185"/>
      <c r="U94" s="185"/>
      <c r="V94" s="185"/>
    </row>
    <row r="95" ht="14.25" customHeight="1">
      <c r="A95" s="178"/>
      <c r="B95" s="10">
        <v>1661283.0</v>
      </c>
      <c r="C95" s="11">
        <v>45904.82613425926</v>
      </c>
      <c r="D95" s="179" t="s">
        <v>50</v>
      </c>
      <c r="E95" s="180" t="s">
        <v>6690</v>
      </c>
      <c r="F95" s="188"/>
      <c r="G95" s="179" t="s">
        <v>4960</v>
      </c>
      <c r="H95" s="190"/>
      <c r="I95" s="190"/>
      <c r="J95" s="187" t="s">
        <v>3044</v>
      </c>
      <c r="K95" s="187" t="s">
        <v>3168</v>
      </c>
      <c r="L95" s="184" t="str">
        <f>IFERROR(__xludf.DUMMYFUNCTION("ifna(IF(and(D95=""Saída"",J95=""Sangria""),if(sum(QUERY(IMPORTRANGE(""https://docs.google.com/spreadsheets/d/1wBSFbIXYswW2S5SMKo44LPsdTG4P4kfP5VRdAS5E_4o"",""BD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'""&amp;YEAR(C95)&amp;""-""&amp;MONTH(C95)&amp;""-""&amp;DAY(C95)&amp;""'""))&gt;0,""Depositada"",if(sum(QUERY(IMPORTRANGE(""https://docs.google.com/spreadsheets/d/1wBSFbIXYswW2S5SMKo44LPsdTG4P4kfP5VRdAS5E_4o"",""BD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>
        <f>IFERROR(__xludf.DUMMYFUNCTION("ifna(VALUE(REGEXEXTRACT(E95,""[0-9.]+[,]+[0-9]+"")))"),12.14)</f>
        <v>12.14</v>
      </c>
      <c r="N95" s="208" t="s">
        <v>4</v>
      </c>
      <c r="O95" s="209" t="s">
        <v>1</v>
      </c>
      <c r="P95" s="209" t="s">
        <v>5084</v>
      </c>
      <c r="Q95" s="209" t="s">
        <v>41</v>
      </c>
      <c r="R95" s="210" t="s">
        <v>17</v>
      </c>
      <c r="S95" s="207"/>
      <c r="T95" s="185"/>
      <c r="U95" s="185"/>
      <c r="V95" s="185"/>
    </row>
    <row r="96" ht="14.25" customHeight="1">
      <c r="A96" s="178"/>
      <c r="B96" s="10">
        <v>1661591.0</v>
      </c>
      <c r="C96" s="11">
        <v>45904.91001157407</v>
      </c>
      <c r="D96" s="179" t="s">
        <v>50</v>
      </c>
      <c r="E96" s="180" t="s">
        <v>6693</v>
      </c>
      <c r="F96" s="181"/>
      <c r="G96" s="179" t="s">
        <v>6694</v>
      </c>
      <c r="H96" s="190"/>
      <c r="I96" s="190"/>
      <c r="J96" s="187" t="s">
        <v>3746</v>
      </c>
      <c r="K96" s="187" t="s">
        <v>3168</v>
      </c>
      <c r="L96" s="184" t="str">
        <f>IFERROR(__xludf.DUMMYFUNCTION("ifna(IF(and(D96=""Saída"",J96=""Sangria""),if(sum(QUERY(IMPORTRANGE(""https://docs.google.com/spreadsheets/d/1wBSFbIXYswW2S5SMKo44LPsdTG4P4kfP5VRdAS5E_4o"",""BD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'""&amp;YEAR(C96)&amp;""-""&amp;MONTH(C96)&amp;""-""&amp;DAY(C96)&amp;""'""))&gt;0,""Depositada"",if(sum(QUERY(IMPORTRANGE(""https://docs.google.com/spreadsheets/d/1wBSFbIXYswW2S5SMKo44LPsdTG4P4kfP5VRdAS5E_4o"",""BD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Sangria"")"),"#REF!")</f>
        <v>#REF!</v>
      </c>
      <c r="M96" s="185">
        <f>IFERROR(__xludf.DUMMYFUNCTION("ifna(VALUE(REGEXEXTRACT(E96,""[0-9.]+[,]+[0-9]+"")))"),550.0)</f>
        <v>550</v>
      </c>
      <c r="N96" s="211" t="s">
        <v>1123</v>
      </c>
      <c r="O96" s="193">
        <v>45896.0</v>
      </c>
      <c r="P96" s="39" t="s">
        <v>62</v>
      </c>
      <c r="Q96" s="195">
        <v>100.0</v>
      </c>
      <c r="R96" s="212"/>
      <c r="S96" s="213" t="str">
        <f t="shared" ref="S96:S116" si="1">IFERROR(VLOOKUP(P96, $A$4:$B$11, 2, FALSE), "")</f>
        <v>Carolina</v>
      </c>
      <c r="T96" s="185"/>
      <c r="U96" s="185"/>
      <c r="V96" s="185"/>
    </row>
    <row r="97" ht="14.25" customHeight="1">
      <c r="A97" s="178"/>
      <c r="B97" s="10">
        <v>1662609.0</v>
      </c>
      <c r="C97" s="11">
        <v>45905.68571759259</v>
      </c>
      <c r="D97" s="179" t="s">
        <v>50</v>
      </c>
      <c r="E97" s="180" t="s">
        <v>6698</v>
      </c>
      <c r="F97" s="181"/>
      <c r="G97" s="179" t="s">
        <v>4983</v>
      </c>
      <c r="H97" s="190"/>
      <c r="I97" s="190"/>
      <c r="J97" s="187" t="s">
        <v>3044</v>
      </c>
      <c r="K97" s="187" t="s">
        <v>3077</v>
      </c>
      <c r="L97" s="184" t="str">
        <f>IFERROR(__xludf.DUMMYFUNCTION("ifna(IF(and(D97=""Saída"",J97=""Sangria""),if(sum(QUERY(IMPORTRANGE(""https://docs.google.com/spreadsheets/d/1wBSFbIXYswW2S5SMKo44LPsdTG4P4kfP5VRdAS5E_4o"",""BD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'""&amp;YEAR(C97)&amp;""-""&amp;MONTH(C97)&amp;""-""&amp;DAY(C97)&amp;""'""))&gt;0,""Depositada"",if(sum(QUERY(IMPORTRANGE(""https://docs.google.com/spreadsheets/d/1wBSFbIXYswW2S5SMKo44LPsdTG4P4kfP5VRdAS5E_4o"",""BD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Sangria"")"),"")</f>
        <v/>
      </c>
      <c r="M97" s="185">
        <f>IFERROR(__xludf.DUMMYFUNCTION("ifna(VALUE(REGEXEXTRACT(E97,""[0-9.]+[,]+[0-9]+"")))"),27.22)</f>
        <v>27.22</v>
      </c>
      <c r="N97" s="211" t="s">
        <v>1324</v>
      </c>
      <c r="O97" s="193">
        <v>45911.0</v>
      </c>
      <c r="P97" s="194" t="s">
        <v>1183</v>
      </c>
      <c r="Q97" s="195">
        <v>500.0</v>
      </c>
      <c r="R97" s="214"/>
      <c r="S97" s="213" t="str">
        <f t="shared" si="1"/>
        <v>Rayana</v>
      </c>
      <c r="T97" s="185"/>
      <c r="U97" s="185"/>
      <c r="V97" s="185"/>
    </row>
    <row r="98" ht="14.25" customHeight="1">
      <c r="A98" s="178"/>
      <c r="B98" s="10">
        <v>1663080.0</v>
      </c>
      <c r="C98" s="11">
        <v>45905.8028125</v>
      </c>
      <c r="D98" s="179" t="s">
        <v>50</v>
      </c>
      <c r="E98" s="180" t="s">
        <v>157</v>
      </c>
      <c r="F98" s="181"/>
      <c r="G98" s="179" t="s">
        <v>4983</v>
      </c>
      <c r="H98" s="190"/>
      <c r="I98" s="190"/>
      <c r="J98" s="196"/>
      <c r="K98" s="187" t="s">
        <v>3077</v>
      </c>
      <c r="L98" s="184" t="str">
        <f>IFERROR(__xludf.DUMMYFUNCTION("ifna(IF(and(D98=""Saída"",J98=""Sangria""),if(sum(QUERY(IMPORTRANGE(""https://docs.google.com/spreadsheets/d/1wBSFbIXYswW2S5SMKo44LPsdTG4P4kfP5VRdAS5E_4o"",""BD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'""&amp;YEAR(C98)&amp;""-""&amp;MONTH(C98)&amp;""-""&amp;DAY(C98)&amp;""'""))&gt;0,""Depositada"",if(sum(QUERY(IMPORTRANGE(""https://docs.google.com/spreadsheets/d/1wBSFbIXYswW2S5SMKo44LPsdTG4P4kfP5VRdAS5E_4o"",""BD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Sangria"")"),"")</f>
        <v/>
      </c>
      <c r="M98" s="185">
        <f>IFERROR(__xludf.DUMMYFUNCTION("ifna(VALUE(REGEXEXTRACT(E98,""[0-9.]+[,]+[0-9]+"")))"),5.0)</f>
        <v>5</v>
      </c>
      <c r="N98" s="211"/>
      <c r="O98" s="193"/>
      <c r="P98" s="194"/>
      <c r="Q98" s="195"/>
      <c r="R98" s="215"/>
      <c r="S98" s="213" t="str">
        <f t="shared" si="1"/>
        <v/>
      </c>
      <c r="T98" s="185"/>
      <c r="U98" s="185"/>
      <c r="V98" s="185"/>
    </row>
    <row r="99" ht="14.25" customHeight="1">
      <c r="A99" s="178"/>
      <c r="B99" s="10">
        <v>1663552.0</v>
      </c>
      <c r="C99" s="11">
        <v>45905.91438657408</v>
      </c>
      <c r="D99" s="179" t="s">
        <v>50</v>
      </c>
      <c r="E99" s="180" t="s">
        <v>719</v>
      </c>
      <c r="F99" s="181"/>
      <c r="G99" s="179" t="s">
        <v>6702</v>
      </c>
      <c r="H99" s="190"/>
      <c r="I99" s="190"/>
      <c r="J99" s="187" t="s">
        <v>3746</v>
      </c>
      <c r="K99" s="187" t="s">
        <v>3168</v>
      </c>
      <c r="L99" s="184" t="str">
        <f>IFERROR(__xludf.DUMMYFUNCTION("ifna(IF(and(D99=""Saída"",J99=""Sangria""),if(sum(QUERY(IMPORTRANGE(""https://docs.google.com/spreadsheets/d/1wBSFbIXYswW2S5SMKo44LPsdTG4P4kfP5VRdAS5E_4o"",""BD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'""&amp;YEAR(C99)&amp;""-""&amp;MONTH(C99)&amp;""-""&amp;DAY(C99)&amp;""'""))&gt;0,""Depositada"",if(sum(QUERY(IMPORTRANGE(""https://docs.google.com/spreadsheets/d/1wBSFbIXYswW2S5SMKo44LPsdTG4P4kfP5VRdAS5E_4o"",""BD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Sangria"")"),"#REF!")</f>
        <v>#REF!</v>
      </c>
      <c r="M99" s="185">
        <f>IFERROR(__xludf.DUMMYFUNCTION("ifna(VALUE(REGEXEXTRACT(E99,""[0-9.]+[,]+[0-9]+"")))"),500.0)</f>
        <v>500</v>
      </c>
      <c r="N99" s="211"/>
      <c r="O99" s="193"/>
      <c r="P99" s="194"/>
      <c r="Q99" s="195"/>
      <c r="R99" s="216"/>
      <c r="S99" s="213" t="str">
        <f t="shared" si="1"/>
        <v/>
      </c>
      <c r="T99" s="185"/>
      <c r="U99" s="185"/>
      <c r="V99" s="185"/>
    </row>
    <row r="100" ht="14.25" customHeight="1">
      <c r="A100" s="178"/>
      <c r="B100" s="10">
        <v>1664381.0</v>
      </c>
      <c r="C100" s="11">
        <v>45906.604791666665</v>
      </c>
      <c r="D100" s="179" t="s">
        <v>50</v>
      </c>
      <c r="E100" s="180" t="s">
        <v>6705</v>
      </c>
      <c r="F100" s="181"/>
      <c r="G100" s="179" t="s">
        <v>6706</v>
      </c>
      <c r="H100" s="190"/>
      <c r="I100" s="190"/>
      <c r="J100" s="187" t="s">
        <v>3903</v>
      </c>
      <c r="K100" s="187"/>
      <c r="L100" s="184" t="str">
        <f>IFERROR(__xludf.DUMMYFUNCTION("ifna(IF(and(D100=""Saída"",J100=""Sangria""),if(sum(QUERY(IMPORTRANGE(""https://docs.google.com/spreadsheets/d/1wBSFbIXYswW2S5SMKo44LPsdTG4P4kfP5VRdAS5E_4o"",""BD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'""&amp;YEAR(C100)&amp;""-""&amp;MONTH(C100)&amp;""-""&amp;DAY(C100)&amp;""'""))&gt;0,""Depositada"",if(sum(QUERY(IMPORTRANGE(""https://docs.google.com/spreadsheets/d/1wBSFbIXYswW2S5SMKo44LPsdTG4P4kfP5VRdAS5E_4o"",""BD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IFERROR(__xludf.DUMMYFUNCTION("ifna(VALUE(REGEXEXTRACT(E100,""[0-9.]+[,]+[0-9]+"")))"),6.45)</f>
        <v>6.45</v>
      </c>
      <c r="N100" s="211"/>
      <c r="O100" s="193"/>
      <c r="P100" s="194"/>
      <c r="Q100" s="195"/>
      <c r="R100" s="215"/>
      <c r="S100" s="213" t="str">
        <f t="shared" si="1"/>
        <v/>
      </c>
      <c r="T100" s="185"/>
      <c r="U100" s="185"/>
      <c r="V100" s="185"/>
    </row>
    <row r="101" ht="14.25" customHeight="1">
      <c r="A101" s="178"/>
      <c r="B101" s="10">
        <v>1665708.0</v>
      </c>
      <c r="C101" s="11">
        <v>45906.93113425926</v>
      </c>
      <c r="D101" s="179" t="s">
        <v>50</v>
      </c>
      <c r="E101" s="180" t="s">
        <v>6652</v>
      </c>
      <c r="F101" s="181"/>
      <c r="G101" s="179" t="s">
        <v>6708</v>
      </c>
      <c r="H101" s="190"/>
      <c r="I101" s="190"/>
      <c r="J101" s="187" t="s">
        <v>3746</v>
      </c>
      <c r="K101" s="187" t="s">
        <v>3168</v>
      </c>
      <c r="L101" s="184" t="str">
        <f>IFERROR(__xludf.DUMMYFUNCTION("ifna(IF(and(D101=""Saída"",J101=""Sangria""),if(sum(QUERY(IMPORTRANGE(""https://docs.google.com/spreadsheets/d/1wBSFbIXYswW2S5SMKo44LPsdTG4P4kfP5VRdAS5E_4o"",""BD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'""&amp;YEAR(C101)&amp;""-""&amp;MONTH(C101)&amp;""-""&amp;DAY(C101)&amp;""'""))&gt;0,""Depositada"",if(sum(QUERY(IMPORTRANGE(""https://docs.google.com/spreadsheets/d/1wBSFbIXYswW2S5SMKo44LPsdTG4P4kfP5VRdAS5E_4o"",""BD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Sangria"")"),"#REF!")</f>
        <v>#REF!</v>
      </c>
      <c r="M101" s="185">
        <f>IFERROR(__xludf.DUMMYFUNCTION("ifna(VALUE(REGEXEXTRACT(E101,""[0-9.]+[,]+[0-9]+"")))"),650.0)</f>
        <v>650</v>
      </c>
      <c r="N101" s="217"/>
      <c r="O101" s="218"/>
      <c r="P101" s="219"/>
      <c r="Q101" s="220"/>
      <c r="R101" s="216"/>
      <c r="S101" s="213" t="str">
        <f t="shared" si="1"/>
        <v/>
      </c>
      <c r="T101" s="185"/>
      <c r="U101" s="185"/>
      <c r="V101" s="185"/>
    </row>
    <row r="102" ht="17.25" customHeight="1">
      <c r="A102" s="178"/>
      <c r="B102" s="10">
        <v>1665724.0</v>
      </c>
      <c r="C102" s="11">
        <v>45906.93289351852</v>
      </c>
      <c r="D102" s="179" t="s">
        <v>50</v>
      </c>
      <c r="E102" s="180" t="s">
        <v>4449</v>
      </c>
      <c r="F102" s="181"/>
      <c r="G102" s="179" t="s">
        <v>6710</v>
      </c>
      <c r="H102" s="190"/>
      <c r="I102" s="190"/>
      <c r="J102" s="187" t="s">
        <v>3825</v>
      </c>
      <c r="K102" s="187"/>
      <c r="L102" s="184" t="str">
        <f>IFERROR(__xludf.DUMMYFUNCTION("ifna(IF(and(D102=""Saída"",J102=""Sangria""),if(sum(QUERY(IMPORTRANGE(""https://docs.google.com/spreadsheets/d/1wBSFbIXYswW2S5SMKo44LPsdTG4P4kfP5VRdAS5E_4o"",""BD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'""&amp;YEAR(C102)&amp;""-""&amp;MONTH(C102)&amp;""-""&amp;DAY(C102)&amp;""'""))&gt;0,""Depositada"",if(sum(QUERY(IMPORTRANGE(""https://docs.google.com/spreadsheets/d/1wBSFbIXYswW2S5SMKo44LPsdTG4P4kfP5VRdAS5E_4o"",""BD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Sangria"")"),"")</f>
        <v/>
      </c>
      <c r="M102" s="185">
        <f>IFERROR(__xludf.DUMMYFUNCTION("ifna(VALUE(REGEXEXTRACT(E102,""[0-9.]+[,]+[0-9]+"")))"),124.0)</f>
        <v>124</v>
      </c>
      <c r="N102" s="221"/>
      <c r="O102" s="222"/>
      <c r="P102" s="215"/>
      <c r="Q102" s="223" t="str">
        <f t="shared" ref="Q102:Q138" si="2">IFERROR(VLOOKUP(P102, $B$4:$C$18, 2, FALSE), "")</f>
        <v/>
      </c>
      <c r="R102" s="215" t="str">
        <f t="shared" ref="R102:R138" si="3">IFERROR(VLOOKUP(P102, $A$4:$B$18, 2, FALSE), "")</f>
        <v/>
      </c>
      <c r="S102" s="213" t="str">
        <f t="shared" si="1"/>
        <v/>
      </c>
      <c r="T102" s="185"/>
      <c r="U102" s="185"/>
      <c r="V102" s="185"/>
    </row>
    <row r="103" ht="14.25" customHeight="1">
      <c r="A103" s="178"/>
      <c r="B103" s="10">
        <v>1667381.0</v>
      </c>
      <c r="C103" s="11">
        <v>45907.80295138889</v>
      </c>
      <c r="D103" s="179" t="s">
        <v>50</v>
      </c>
      <c r="E103" s="180" t="s">
        <v>3944</v>
      </c>
      <c r="F103" s="181"/>
      <c r="G103" s="179" t="s">
        <v>6712</v>
      </c>
      <c r="H103" s="190"/>
      <c r="I103" s="190"/>
      <c r="J103" s="187" t="s">
        <v>3825</v>
      </c>
      <c r="K103" s="187"/>
      <c r="L103" s="184" t="str">
        <f>IFERROR(__xludf.DUMMYFUNCTION("ifna(IF(and(D103=""Saída"",J103=""Sangria""),if(sum(QUERY(IMPORTRANGE(""https://docs.google.com/spreadsheets/d/1wBSFbIXYswW2S5SMKo44LPsdTG4P4kfP5VRdAS5E_4o"",""BD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'""&amp;YEAR(C103)&amp;""-""&amp;MONTH(C103)&amp;""-""&amp;DAY(C103)&amp;""'""))&gt;0,""Depositada"",if(sum(QUERY(IMPORTRANGE(""https://docs.google.com/spreadsheets/d/1wBSFbIXYswW2S5SMKo44LPsdTG4P4kfP5VRdAS5E_4o"",""BD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Sangria"")"),"")</f>
        <v/>
      </c>
      <c r="M103" s="185">
        <f>IFERROR(__xludf.DUMMYFUNCTION("ifna(VALUE(REGEXEXTRACT(E103,""[0-9.]+[,]+[0-9]+"")))"),85.0)</f>
        <v>85</v>
      </c>
      <c r="N103" s="224"/>
      <c r="O103" s="225"/>
      <c r="P103" s="216"/>
      <c r="Q103" s="226" t="str">
        <f t="shared" si="2"/>
        <v/>
      </c>
      <c r="R103" s="216" t="str">
        <f t="shared" si="3"/>
        <v/>
      </c>
      <c r="S103" s="213" t="str">
        <f t="shared" si="1"/>
        <v/>
      </c>
      <c r="T103" s="185"/>
      <c r="U103" s="185"/>
      <c r="V103" s="185"/>
    </row>
    <row r="104" ht="14.25" customHeight="1">
      <c r="A104" s="178"/>
      <c r="B104" s="10">
        <v>1667747.0</v>
      </c>
      <c r="C104" s="11">
        <v>45907.86696759259</v>
      </c>
      <c r="D104" s="179" t="s">
        <v>50</v>
      </c>
      <c r="E104" s="180" t="s">
        <v>6714</v>
      </c>
      <c r="F104" s="181"/>
      <c r="G104" s="179" t="s">
        <v>6696</v>
      </c>
      <c r="H104" s="190"/>
      <c r="I104" s="190"/>
      <c r="J104" s="187" t="s">
        <v>3044</v>
      </c>
      <c r="K104" s="187" t="s">
        <v>3040</v>
      </c>
      <c r="L104" s="184" t="str">
        <f>IFERROR(__xludf.DUMMYFUNCTION("ifna(IF(and(D104=""Saída"",J104=""Sangria""),if(sum(QUERY(IMPORTRANGE(""https://docs.google.com/spreadsheets/d/1wBSFbIXYswW2S5SMKo44LPsdTG4P4kfP5VRdAS5E_4o"",""BD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'""&amp;YEAR(C104)&amp;""-""&amp;MONTH(C104)&amp;""-""&amp;DAY(C104)&amp;""'""))&gt;0,""Depositada"",if(sum(QUERY(IMPORTRANGE(""https://docs.google.com/spreadsheets/d/1wBSFbIXYswW2S5SMKo44LPsdTG4P4kfP5VRdAS5E_4o"",""BD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Sangria"")"),"")</f>
        <v/>
      </c>
      <c r="M104" s="185">
        <f>IFERROR(__xludf.DUMMYFUNCTION("ifna(VALUE(REGEXEXTRACT(E104,""[0-9.]+[,]+[0-9]+"")))"),51.09)</f>
        <v>51.09</v>
      </c>
      <c r="N104" s="221"/>
      <c r="O104" s="222"/>
      <c r="P104" s="215"/>
      <c r="Q104" s="223" t="str">
        <f t="shared" si="2"/>
        <v/>
      </c>
      <c r="R104" s="215" t="str">
        <f t="shared" si="3"/>
        <v/>
      </c>
      <c r="S104" s="213" t="str">
        <f t="shared" si="1"/>
        <v/>
      </c>
      <c r="T104" s="185"/>
      <c r="U104" s="185"/>
      <c r="V104" s="185"/>
    </row>
    <row r="105" ht="14.25" customHeight="1">
      <c r="A105" s="178"/>
      <c r="B105" s="10">
        <v>1668110.0</v>
      </c>
      <c r="C105" s="11">
        <v>45907.91842592593</v>
      </c>
      <c r="D105" s="179" t="s">
        <v>50</v>
      </c>
      <c r="E105" s="180" t="s">
        <v>6717</v>
      </c>
      <c r="F105" s="188"/>
      <c r="G105" s="179" t="s">
        <v>4960</v>
      </c>
      <c r="H105" s="190"/>
      <c r="I105" s="190"/>
      <c r="J105" s="187" t="s">
        <v>3044</v>
      </c>
      <c r="K105" s="187" t="s">
        <v>3168</v>
      </c>
      <c r="L105" s="184" t="str">
        <f>IFERROR(__xludf.DUMMYFUNCTION("ifna(IF(and(D105=""Saída"",J105=""Sangria""),if(sum(QUERY(IMPORTRANGE(""https://docs.google.com/spreadsheets/d/1wBSFbIXYswW2S5SMKo44LPsdTG4P4kfP5VRdAS5E_4o"",""BD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'""&amp;YEAR(C105)&amp;""-""&amp;MONTH(C105)&amp;""-""&amp;DAY(C105)&amp;""'""))&gt;0,""Depositada"",if(sum(QUERY(IMPORTRANGE(""https://docs.google.com/spreadsheets/d/1wBSFbIXYswW2S5SMKo44LPsdTG4P4kfP5VRdAS5E_4o"",""BD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Sangria"")"),"")</f>
        <v/>
      </c>
      <c r="M105" s="185">
        <f>IFERROR(__xludf.DUMMYFUNCTION("ifna(VALUE(REGEXEXTRACT(E105,""[0-9.]+[,]+[0-9]+"")))"),24.03)</f>
        <v>24.03</v>
      </c>
      <c r="N105" s="224"/>
      <c r="O105" s="225"/>
      <c r="P105" s="216"/>
      <c r="Q105" s="226" t="str">
        <f t="shared" si="2"/>
        <v/>
      </c>
      <c r="R105" s="216" t="str">
        <f t="shared" si="3"/>
        <v/>
      </c>
      <c r="S105" s="213" t="str">
        <f t="shared" si="1"/>
        <v/>
      </c>
      <c r="T105" s="185"/>
      <c r="U105" s="185"/>
      <c r="V105" s="185"/>
    </row>
    <row r="106" ht="14.25" customHeight="1">
      <c r="A106" s="178"/>
      <c r="B106" s="10"/>
      <c r="C106" s="11"/>
      <c r="D106" s="179"/>
      <c r="E106" s="180"/>
      <c r="F106" s="181"/>
      <c r="G106" s="179"/>
      <c r="H106" s="190"/>
      <c r="I106" s="190"/>
      <c r="J106" s="196"/>
      <c r="K106" s="187"/>
      <c r="L106" s="184" t="str">
        <f>IFERROR(__xludf.DUMMYFUNCTION("ifna(IF(and(D106=""Saída"",J106=""Sangria""),if(sum(QUERY(IMPORTRANGE(""https://docs.google.com/spreadsheets/d/1wBSFbIXYswW2S5SMKo44LPsdTG4P4kfP5VRdAS5E_4o"",""BD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'""&amp;YEAR(C106)&amp;""-""&amp;MONTH(C106)&amp;""-""&amp;DAY(C106)&amp;""'""))&gt;0,""Depositada"",if(sum(QUERY(IMPORTRANGE(""https://docs.google.com/spreadsheets/d/1wBSFbIXYswW2S5SMKo44LPsdTG4P4kfP5VRdAS5E_4o"",""BD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Sangria"")"),"")</f>
        <v/>
      </c>
      <c r="M106" s="185" t="str">
        <f>IFERROR(__xludf.DUMMYFUNCTION("ifna(VALUE(REGEXEXTRACT(E106,""[0-9.]+[,]+[0-9]+"")))"),"")</f>
        <v/>
      </c>
      <c r="N106" s="221"/>
      <c r="O106" s="222"/>
      <c r="P106" s="215"/>
      <c r="Q106" s="223" t="str">
        <f t="shared" si="2"/>
        <v/>
      </c>
      <c r="R106" s="215" t="str">
        <f t="shared" si="3"/>
        <v/>
      </c>
      <c r="S106" s="213" t="str">
        <f t="shared" si="1"/>
        <v/>
      </c>
      <c r="T106" s="185"/>
      <c r="U106" s="185"/>
      <c r="V106" s="185"/>
    </row>
    <row r="107" ht="18.75" customHeight="1">
      <c r="A107" s="178"/>
      <c r="B107" s="10">
        <v>1668884.0</v>
      </c>
      <c r="C107" s="11">
        <v>45908.53787037037</v>
      </c>
      <c r="D107" s="179" t="s">
        <v>227</v>
      </c>
      <c r="E107" s="180" t="s">
        <v>494</v>
      </c>
      <c r="F107" s="181"/>
      <c r="G107" s="179" t="s">
        <v>6721</v>
      </c>
      <c r="H107" s="190"/>
      <c r="I107" s="190"/>
      <c r="J107" s="187" t="s">
        <v>3746</v>
      </c>
      <c r="K107" s="187" t="s">
        <v>3040</v>
      </c>
      <c r="L107" s="184" t="str">
        <f>IFERROR(__xludf.DUMMYFUNCTION("ifna(IF(and(D107=""Saída"",J107=""Sangria""),if(sum(QUERY(IMPORTRANGE(""https://docs.google.com/spreadsheets/d/1wBSFbIXYswW2S5SMKo44LPsdTG4P4kfP5VRdAS5E_4o"",""BD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'""&amp;YEAR(C107)&amp;""-""&amp;MONTH(C107)&amp;""-""&amp;DAY(C107)&amp;""'""))&gt;0,""Depositada"",if(sum(QUERY(IMPORTRANGE(""https://docs.google.com/spreadsheets/d/1wBSFbIXYswW2S5SMKo44LPsdTG4P4kfP5VRdAS5E_4o"",""BD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Sangria"")"),"")</f>
        <v/>
      </c>
      <c r="M107" s="185">
        <f>IFERROR(__xludf.DUMMYFUNCTION("ifna(VALUE(REGEXEXTRACT(E107,""[0-9.]+[,]+[0-9]+"")))"),0.01)</f>
        <v>0.01</v>
      </c>
      <c r="N107" s="224"/>
      <c r="O107" s="216"/>
      <c r="P107" s="216"/>
      <c r="Q107" s="226" t="str">
        <f t="shared" si="2"/>
        <v/>
      </c>
      <c r="R107" s="216" t="str">
        <f t="shared" si="3"/>
        <v/>
      </c>
      <c r="S107" s="213" t="str">
        <f t="shared" si="1"/>
        <v/>
      </c>
      <c r="T107" s="185"/>
      <c r="U107" s="185"/>
      <c r="V107" s="185"/>
    </row>
    <row r="108" ht="14.25" customHeight="1">
      <c r="A108" s="178"/>
      <c r="B108" s="10">
        <v>1668885.0</v>
      </c>
      <c r="C108" s="11">
        <v>45908.53806712963</v>
      </c>
      <c r="D108" s="179" t="s">
        <v>50</v>
      </c>
      <c r="E108" s="180" t="s">
        <v>6682</v>
      </c>
      <c r="F108" s="181"/>
      <c r="G108" s="179" t="s">
        <v>6720</v>
      </c>
      <c r="H108" s="190"/>
      <c r="I108" s="190"/>
      <c r="J108" s="187" t="s">
        <v>3903</v>
      </c>
      <c r="K108" s="187"/>
      <c r="L108" s="184" t="str">
        <f>IFERROR(__xludf.DUMMYFUNCTION("ifna(IF(and(D108=""Saída"",J108=""Sangria""),if(sum(QUERY(IMPORTRANGE(""https://docs.google.com/spreadsheets/d/1wBSFbIXYswW2S5SMKo44LPsdTG4P4kfP5VRdAS5E_4o"",""BD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'""&amp;YEAR(C108)&amp;""-""&amp;MONTH(C108)&amp;""-""&amp;DAY(C108)&amp;""'""))&gt;0,""Depositada"",if(sum(QUERY(IMPORTRANGE(""https://docs.google.com/spreadsheets/d/1wBSFbIXYswW2S5SMKo44LPsdTG4P4kfP5VRdAS5E_4o"",""BD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Sangria"")"),"")</f>
        <v/>
      </c>
      <c r="M108" s="185">
        <f>IFERROR(__xludf.DUMMYFUNCTION("ifna(VALUE(REGEXEXTRACT(E108,""[0-9.]+[,]+[0-9]+"")))"),280.0)</f>
        <v>280</v>
      </c>
      <c r="N108" s="221"/>
      <c r="O108" s="215"/>
      <c r="P108" s="215"/>
      <c r="Q108" s="223" t="str">
        <f t="shared" si="2"/>
        <v/>
      </c>
      <c r="R108" s="215" t="str">
        <f t="shared" si="3"/>
        <v/>
      </c>
      <c r="S108" s="213" t="str">
        <f t="shared" si="1"/>
        <v/>
      </c>
      <c r="T108" s="185"/>
      <c r="U108" s="185"/>
      <c r="V108" s="185"/>
    </row>
    <row r="109" ht="15.75" customHeight="1">
      <c r="A109" s="178"/>
      <c r="B109" s="10">
        <v>1669231.0</v>
      </c>
      <c r="C109" s="11">
        <v>45908.67291666667</v>
      </c>
      <c r="D109" s="179" t="s">
        <v>50</v>
      </c>
      <c r="E109" s="180" t="s">
        <v>6726</v>
      </c>
      <c r="F109" s="181"/>
      <c r="G109" s="179" t="s">
        <v>6727</v>
      </c>
      <c r="H109" s="190"/>
      <c r="I109" s="190"/>
      <c r="J109" s="187" t="s">
        <v>3466</v>
      </c>
      <c r="K109" s="187"/>
      <c r="L109" s="184" t="str">
        <f>IFERROR(__xludf.DUMMYFUNCTION("ifna(IF(and(D109=""Saída"",J109=""Sangria""),if(sum(QUERY(IMPORTRANGE(""https://docs.google.com/spreadsheets/d/1wBSFbIXYswW2S5SMKo44LPsdTG4P4kfP5VRdAS5E_4o"",""BD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'""&amp;YEAR(C109)&amp;""-""&amp;MONTH(C109)&amp;""-""&amp;DAY(C109)&amp;""'""))&gt;0,""Depositada"",if(sum(QUERY(IMPORTRANGE(""https://docs.google.com/spreadsheets/d/1wBSFbIXYswW2S5SMKo44LPsdTG4P4kfP5VRdAS5E_4o"",""BD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>
        <f>IFERROR(__xludf.DUMMYFUNCTION("ifna(VALUE(REGEXEXTRACT(E109,""[0-9.]+[,]+[0-9]+"")))"),641.0)</f>
        <v>641</v>
      </c>
      <c r="N109" s="224"/>
      <c r="O109" s="216"/>
      <c r="P109" s="216"/>
      <c r="Q109" s="226" t="str">
        <f t="shared" si="2"/>
        <v/>
      </c>
      <c r="R109" s="216" t="str">
        <f t="shared" si="3"/>
        <v/>
      </c>
      <c r="S109" s="213" t="str">
        <f t="shared" si="1"/>
        <v/>
      </c>
      <c r="T109" s="185"/>
      <c r="U109" s="185"/>
      <c r="V109" s="185"/>
    </row>
    <row r="110" ht="14.25" customHeight="1">
      <c r="A110" s="178"/>
      <c r="B110" s="10">
        <v>1669233.0</v>
      </c>
      <c r="C110" s="11">
        <v>45908.673726851855</v>
      </c>
      <c r="D110" s="179" t="s">
        <v>227</v>
      </c>
      <c r="E110" s="180" t="s">
        <v>494</v>
      </c>
      <c r="F110" s="181"/>
      <c r="G110" s="179" t="s">
        <v>6730</v>
      </c>
      <c r="H110" s="190"/>
      <c r="I110" s="190"/>
      <c r="J110" s="187" t="s">
        <v>3874</v>
      </c>
      <c r="K110" s="187"/>
      <c r="L110" s="184" t="str">
        <f>IFERROR(__xludf.DUMMYFUNCTION("ifna(IF(and(D110=""Saída"",J110=""Sangria""),if(sum(QUERY(IMPORTRANGE(""https://docs.google.com/spreadsheets/d/1wBSFbIXYswW2S5SMKo44LPsdTG4P4kfP5VRdAS5E_4o"",""BD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'""&amp;YEAR(C110)&amp;""-""&amp;MONTH(C110)&amp;""-""&amp;DAY(C110)&amp;""'""))&gt;0,""Depositada"",if(sum(QUERY(IMPORTRANGE(""https://docs.google.com/spreadsheets/d/1wBSFbIXYswW2S5SMKo44LPsdTG4P4kfP5VRdAS5E_4o"",""BD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Sangria"")"),"")</f>
        <v/>
      </c>
      <c r="M110" s="185">
        <f>IFERROR(__xludf.DUMMYFUNCTION("ifna(VALUE(REGEXEXTRACT(E110,""[0-9.]+[,]+[0-9]+"")))"),0.01)</f>
        <v>0.01</v>
      </c>
      <c r="N110" s="221"/>
      <c r="O110" s="215"/>
      <c r="P110" s="215"/>
      <c r="Q110" s="223" t="str">
        <f t="shared" si="2"/>
        <v/>
      </c>
      <c r="R110" s="215" t="str">
        <f t="shared" si="3"/>
        <v/>
      </c>
      <c r="S110" s="213" t="str">
        <f t="shared" si="1"/>
        <v/>
      </c>
      <c r="T110" s="185"/>
      <c r="U110" s="185"/>
      <c r="V110" s="185"/>
    </row>
    <row r="111" ht="17.25" customHeight="1">
      <c r="A111" s="178"/>
      <c r="B111" s="10">
        <v>1669792.0</v>
      </c>
      <c r="C111" s="11">
        <v>45908.83090277778</v>
      </c>
      <c r="D111" s="179" t="s">
        <v>227</v>
      </c>
      <c r="E111" s="180" t="s">
        <v>6652</v>
      </c>
      <c r="F111" s="181"/>
      <c r="G111" s="179" t="s">
        <v>6733</v>
      </c>
      <c r="H111" s="190"/>
      <c r="I111" s="190"/>
      <c r="J111" s="187" t="s">
        <v>3874</v>
      </c>
      <c r="K111" s="187"/>
      <c r="L111" s="184" t="str">
        <f>IFERROR(__xludf.DUMMYFUNCTION("ifna(IF(and(D111=""Saída"",J111=""Sangria""),if(sum(QUERY(IMPORTRANGE(""https://docs.google.com/spreadsheets/d/1wBSFbIXYswW2S5SMKo44LPsdTG4P4kfP5VRdAS5E_4o"",""BD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'""&amp;YEAR(C111)&amp;""-""&amp;MONTH(C111)&amp;""-""&amp;DAY(C111)&amp;""'""))&gt;0,""Depositada"",if(sum(QUERY(IMPORTRANGE(""https://docs.google.com/spreadsheets/d/1wBSFbIXYswW2S5SMKo44LPsdTG4P4kfP5VRdAS5E_4o"",""BD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>
        <f>IFERROR(__xludf.DUMMYFUNCTION("ifna(VALUE(REGEXEXTRACT(E111,""[0-9.]+[,]+[0-9]+"")))"),650.0)</f>
        <v>650</v>
      </c>
      <c r="N111" s="224"/>
      <c r="O111" s="216"/>
      <c r="P111" s="216"/>
      <c r="Q111" s="226" t="str">
        <f t="shared" si="2"/>
        <v/>
      </c>
      <c r="R111" s="216" t="str">
        <f t="shared" si="3"/>
        <v/>
      </c>
      <c r="S111" s="213" t="str">
        <f t="shared" si="1"/>
        <v/>
      </c>
      <c r="T111" s="185"/>
      <c r="U111" s="185"/>
      <c r="V111" s="185"/>
    </row>
    <row r="112" ht="14.25" customHeight="1">
      <c r="A112" s="178"/>
      <c r="B112" s="10">
        <v>1670005.0</v>
      </c>
      <c r="C112" s="11">
        <v>45908.89644675926</v>
      </c>
      <c r="D112" s="179" t="s">
        <v>50</v>
      </c>
      <c r="E112" s="180" t="s">
        <v>157</v>
      </c>
      <c r="F112" s="181"/>
      <c r="G112" s="179" t="s">
        <v>6593</v>
      </c>
      <c r="H112" s="190"/>
      <c r="I112" s="190"/>
      <c r="J112" s="187"/>
      <c r="K112" s="187"/>
      <c r="L112" s="184" t="str">
        <f>IFERROR(__xludf.DUMMYFUNCTION("ifna(IF(and(D112=""Saída"",J112=""Sangria""),if(sum(QUERY(IMPORTRANGE(""https://docs.google.com/spreadsheets/d/1wBSFbIXYswW2S5SMKo44LPsdTG4P4kfP5VRdAS5E_4o"",""BD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'""&amp;YEAR(C112)&amp;""-""&amp;MONTH(C112)&amp;""-""&amp;DAY(C112)&amp;""'""))&gt;0,""Depositada"",if(sum(QUERY(IMPORTRANGE(""https://docs.google.com/spreadsheets/d/1wBSFbIXYswW2S5SMKo44LPsdTG4P4kfP5VRdAS5E_4o"",""BD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IFERROR(__xludf.DUMMYFUNCTION("ifna(VALUE(REGEXEXTRACT(E112,""[0-9.]+[,]+[0-9]+"")))"),5.0)</f>
        <v>5</v>
      </c>
      <c r="N112" s="221"/>
      <c r="O112" s="215"/>
      <c r="P112" s="215"/>
      <c r="Q112" s="223" t="str">
        <f t="shared" si="2"/>
        <v/>
      </c>
      <c r="R112" s="215" t="str">
        <f t="shared" si="3"/>
        <v/>
      </c>
      <c r="S112" s="213" t="str">
        <f t="shared" si="1"/>
        <v/>
      </c>
      <c r="T112" s="185"/>
      <c r="U112" s="185"/>
      <c r="V112" s="185"/>
    </row>
    <row r="113" ht="14.25" customHeight="1">
      <c r="A113" s="178"/>
      <c r="B113" s="10">
        <v>1670034.0</v>
      </c>
      <c r="C113" s="11">
        <v>45908.90212962963</v>
      </c>
      <c r="D113" s="179" t="s">
        <v>50</v>
      </c>
      <c r="E113" s="180" t="s">
        <v>6739</v>
      </c>
      <c r="F113" s="188"/>
      <c r="G113" s="179" t="s">
        <v>6740</v>
      </c>
      <c r="H113" s="190"/>
      <c r="I113" s="190"/>
      <c r="J113" s="187" t="s">
        <v>3746</v>
      </c>
      <c r="K113" s="187" t="s">
        <v>3168</v>
      </c>
      <c r="L113" s="184" t="str">
        <f>IFERROR(__xludf.DUMMYFUNCTION("ifna(IF(and(D113=""Saída"",J113=""Sangria""),if(sum(QUERY(IMPORTRANGE(""https://docs.google.com/spreadsheets/d/1wBSFbIXYswW2S5SMKo44LPsdTG4P4kfP5VRdAS5E_4o"",""BD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'""&amp;YEAR(C113)&amp;""-""&amp;MONTH(C113)&amp;""-""&amp;DAY(C113)&amp;""'""))&gt;0,""Depositada"",if(sum(QUERY(IMPORTRANGE(""https://docs.google.com/spreadsheets/d/1wBSFbIXYswW2S5SMKo44LPsdTG4P4kfP5VRdAS5E_4o"",""BD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Sangria"")"),"#REF!")</f>
        <v>#REF!</v>
      </c>
      <c r="M113" s="185">
        <f>IFERROR(__xludf.DUMMYFUNCTION("ifna(VALUE(REGEXEXTRACT(E113,""[0-9.]+[,]+[0-9]+"")))"),350.0)</f>
        <v>350</v>
      </c>
      <c r="N113" s="224"/>
      <c r="O113" s="216"/>
      <c r="P113" s="216"/>
      <c r="Q113" s="226" t="str">
        <f t="shared" si="2"/>
        <v/>
      </c>
      <c r="R113" s="216" t="str">
        <f t="shared" si="3"/>
        <v/>
      </c>
      <c r="S113" s="213" t="str">
        <f t="shared" si="1"/>
        <v/>
      </c>
      <c r="T113" s="185"/>
      <c r="U113" s="185"/>
      <c r="V113" s="185"/>
    </row>
    <row r="114" ht="14.25" customHeight="1">
      <c r="A114" s="178"/>
      <c r="B114" s="10">
        <v>1671360.0</v>
      </c>
      <c r="C114" s="11">
        <v>45909.79628472222</v>
      </c>
      <c r="D114" s="179" t="s">
        <v>50</v>
      </c>
      <c r="E114" s="180" t="s">
        <v>157</v>
      </c>
      <c r="F114" s="181"/>
      <c r="G114" s="179" t="s">
        <v>4690</v>
      </c>
      <c r="H114" s="190"/>
      <c r="I114" s="190"/>
      <c r="J114" s="187" t="s">
        <v>3044</v>
      </c>
      <c r="K114" s="187" t="s">
        <v>3168</v>
      </c>
      <c r="L114" s="184" t="str">
        <f>IFERROR(__xludf.DUMMYFUNCTION("ifna(IF(and(D114=""Saída"",J114=""Sangria""),if(sum(QUERY(IMPORTRANGE(""https://docs.google.com/spreadsheets/d/1wBSFbIXYswW2S5SMKo44LPsdTG4P4kfP5VRdAS5E_4o"",""BD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'""&amp;YEAR(C114)&amp;""-""&amp;MONTH(C114)&amp;""-""&amp;DAY(C114)&amp;""'""))&gt;0,""Depositada"",if(sum(QUERY(IMPORTRANGE(""https://docs.google.com/spreadsheets/d/1wBSFbIXYswW2S5SMKo44LPsdTG4P4kfP5VRdAS5E_4o"",""BD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>
        <f>IFERROR(__xludf.DUMMYFUNCTION("ifna(VALUE(REGEXEXTRACT(E114,""[0-9.]+[,]+[0-9]+"")))"),5.0)</f>
        <v>5</v>
      </c>
      <c r="N114" s="221"/>
      <c r="O114" s="215"/>
      <c r="P114" s="215"/>
      <c r="Q114" s="223" t="str">
        <f t="shared" si="2"/>
        <v/>
      </c>
      <c r="R114" s="215" t="str">
        <f t="shared" si="3"/>
        <v/>
      </c>
      <c r="S114" s="213" t="str">
        <f t="shared" si="1"/>
        <v/>
      </c>
      <c r="T114" s="185"/>
      <c r="U114" s="185"/>
      <c r="V114" s="185"/>
    </row>
    <row r="115" ht="14.25" customHeight="1">
      <c r="A115" s="178"/>
      <c r="B115" s="10">
        <v>1671392.0</v>
      </c>
      <c r="C115" s="11">
        <v>45909.80997685185</v>
      </c>
      <c r="D115" s="179" t="s">
        <v>50</v>
      </c>
      <c r="E115" s="180" t="s">
        <v>157</v>
      </c>
      <c r="F115" s="181"/>
      <c r="G115" s="179" t="s">
        <v>4704</v>
      </c>
      <c r="H115" s="190"/>
      <c r="I115" s="190"/>
      <c r="J115" s="187" t="s">
        <v>3044</v>
      </c>
      <c r="K115" s="187" t="s">
        <v>3077</v>
      </c>
      <c r="L115" s="184" t="str">
        <f>IFERROR(__xludf.DUMMYFUNCTION("ifna(IF(and(D115=""Saída"",J115=""Sangria""),if(sum(QUERY(IMPORTRANGE(""https://docs.google.com/spreadsheets/d/1wBSFbIXYswW2S5SMKo44LPsdTG4P4kfP5VRdAS5E_4o"",""BD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'""&amp;YEAR(C115)&amp;""-""&amp;MONTH(C115)&amp;""-""&amp;DAY(C115)&amp;""'""))&gt;0,""Depositada"",if(sum(QUERY(IMPORTRANGE(""https://docs.google.com/spreadsheets/d/1wBSFbIXYswW2S5SMKo44LPsdTG4P4kfP5VRdAS5E_4o"",""BD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>
        <f>IFERROR(__xludf.DUMMYFUNCTION("ifna(VALUE(REGEXEXTRACT(E115,""[0-9.]+[,]+[0-9]+"")))"),5.0)</f>
        <v>5</v>
      </c>
      <c r="N115" s="224"/>
      <c r="O115" s="216"/>
      <c r="P115" s="216"/>
      <c r="Q115" s="226" t="str">
        <f t="shared" si="2"/>
        <v/>
      </c>
      <c r="R115" s="216" t="str">
        <f t="shared" si="3"/>
        <v/>
      </c>
      <c r="S115" s="213" t="str">
        <f t="shared" si="1"/>
        <v/>
      </c>
      <c r="T115" s="185"/>
      <c r="U115" s="185"/>
      <c r="V115" s="185"/>
    </row>
    <row r="116" ht="14.25" customHeight="1">
      <c r="A116" s="178"/>
      <c r="B116" s="10">
        <v>1671585.0</v>
      </c>
      <c r="C116" s="11">
        <v>45909.894583333335</v>
      </c>
      <c r="D116" s="179" t="s">
        <v>50</v>
      </c>
      <c r="E116" s="180" t="s">
        <v>6748</v>
      </c>
      <c r="F116" s="181"/>
      <c r="G116" s="179" t="s">
        <v>4690</v>
      </c>
      <c r="H116" s="190"/>
      <c r="I116" s="190"/>
      <c r="J116" s="187" t="s">
        <v>3044</v>
      </c>
      <c r="K116" s="187" t="s">
        <v>3168</v>
      </c>
      <c r="L116" s="184" t="str">
        <f>IFERROR(__xludf.DUMMYFUNCTION("ifna(IF(and(D116=""Saída"",J116=""Sangria""),if(sum(QUERY(IMPORTRANGE(""https://docs.google.com/spreadsheets/d/1wBSFbIXYswW2S5SMKo44LPsdTG4P4kfP5VRdAS5E_4o"",""BD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'""&amp;YEAR(C116)&amp;""-""&amp;MONTH(C116)&amp;""-""&amp;DAY(C116)&amp;""'""))&gt;0,""Depositada"",if(sum(QUERY(IMPORTRANGE(""https://docs.google.com/spreadsheets/d/1wBSFbIXYswW2S5SMKo44LPsdTG4P4kfP5VRdAS5E_4o"",""BD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Sangria"")"),"")</f>
        <v/>
      </c>
      <c r="M116" s="185">
        <f>IFERROR(__xludf.DUMMYFUNCTION("ifna(VALUE(REGEXEXTRACT(E116,""[0-9.]+[,]+[0-9]+"")))"),12.65)</f>
        <v>12.65</v>
      </c>
      <c r="N116" s="221"/>
      <c r="O116" s="215"/>
      <c r="P116" s="215"/>
      <c r="Q116" s="223" t="str">
        <f t="shared" si="2"/>
        <v/>
      </c>
      <c r="R116" s="215" t="str">
        <f t="shared" si="3"/>
        <v/>
      </c>
      <c r="S116" s="213" t="str">
        <f t="shared" si="1"/>
        <v/>
      </c>
      <c r="T116" s="185"/>
      <c r="U116" s="185"/>
      <c r="V116" s="185"/>
    </row>
    <row r="117" ht="14.25" customHeight="1">
      <c r="A117" s="178"/>
      <c r="B117" s="10">
        <v>1671779.0</v>
      </c>
      <c r="C117" s="11">
        <v>45909.92422453704</v>
      </c>
      <c r="D117" s="179" t="s">
        <v>50</v>
      </c>
      <c r="E117" s="180" t="s">
        <v>6750</v>
      </c>
      <c r="F117" s="181"/>
      <c r="G117" s="179" t="s">
        <v>6751</v>
      </c>
      <c r="H117" s="190"/>
      <c r="I117" s="190"/>
      <c r="J117" s="187" t="s">
        <v>3903</v>
      </c>
      <c r="K117" s="187"/>
      <c r="L117" s="184" t="str">
        <f>IFERROR(__xludf.DUMMYFUNCTION("ifna(IF(and(D117=""Saída"",J117=""Sangria""),if(sum(QUERY(IMPORTRANGE(""https://docs.google.com/spreadsheets/d/1wBSFbIXYswW2S5SMKo44LPsdTG4P4kfP5VRdAS5E_4o"",""BD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'""&amp;YEAR(C117)&amp;""-""&amp;MONTH(C117)&amp;""-""&amp;DAY(C117)&amp;""'""))&gt;0,""Depositada"",if(sum(QUERY(IMPORTRANGE(""https://docs.google.com/spreadsheets/d/1wBSFbIXYswW2S5SMKo44LPsdTG4P4kfP5VRdAS5E_4o"",""BD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>
        <f>IFERROR(__xludf.DUMMYFUNCTION("ifna(VALUE(REGEXEXTRACT(E117,""[0-9.]+[,]+[0-9]+"")))"),225.0)</f>
        <v>225</v>
      </c>
      <c r="N117" s="224"/>
      <c r="O117" s="216"/>
      <c r="P117" s="216"/>
      <c r="Q117" s="226" t="str">
        <f t="shared" si="2"/>
        <v/>
      </c>
      <c r="R117" s="216" t="str">
        <f t="shared" si="3"/>
        <v/>
      </c>
      <c r="S117" s="227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0">
        <v>1671793.0</v>
      </c>
      <c r="C118" s="11">
        <v>45909.925104166665</v>
      </c>
      <c r="D118" s="179" t="s">
        <v>50</v>
      </c>
      <c r="E118" s="180" t="s">
        <v>719</v>
      </c>
      <c r="F118" s="181"/>
      <c r="G118" s="179" t="s">
        <v>6755</v>
      </c>
      <c r="H118" s="190"/>
      <c r="I118" s="190"/>
      <c r="J118" s="187" t="s">
        <v>3746</v>
      </c>
      <c r="K118" s="187" t="s">
        <v>3168</v>
      </c>
      <c r="L118" s="184" t="str">
        <f>IFERROR(__xludf.DUMMYFUNCTION("ifna(IF(and(D118=""Saída"",J118=""Sangria""),if(sum(QUERY(IMPORTRANGE(""https://docs.google.com/spreadsheets/d/1wBSFbIXYswW2S5SMKo44LPsdTG4P4kfP5VRdAS5E_4o"",""BD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'""&amp;YEAR(C118)&amp;""-""&amp;MONTH(C118)&amp;""-""&amp;DAY(C118)&amp;""'""))&gt;0,""Depositada"",if(sum(QUERY(IMPORTRANGE(""https://docs.google.com/spreadsheets/d/1wBSFbIXYswW2S5SMKo44LPsdTG4P4kfP5VRdAS5E_4o"",""BD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Sangria"")"),"#REF!")</f>
        <v>#REF!</v>
      </c>
      <c r="M118" s="185">
        <f>IFERROR(__xludf.DUMMYFUNCTION("ifna(VALUE(REGEXEXTRACT(E118,""[0-9.]+[,]+[0-9]+"")))"),500.0)</f>
        <v>500</v>
      </c>
      <c r="N118" s="221"/>
      <c r="O118" s="215"/>
      <c r="P118" s="215"/>
      <c r="Q118" s="223" t="str">
        <f t="shared" si="2"/>
        <v/>
      </c>
      <c r="R118" s="215" t="str">
        <f t="shared" si="3"/>
        <v/>
      </c>
      <c r="S118" s="227" t="str">
        <f t="shared" si="4"/>
        <v/>
      </c>
      <c r="T118" s="185"/>
      <c r="U118" s="185"/>
      <c r="V118" s="185"/>
    </row>
    <row r="119" ht="14.25" customHeight="1">
      <c r="A119" s="178"/>
      <c r="B119" s="10">
        <v>1673054.0</v>
      </c>
      <c r="C119" s="11">
        <v>45910.815405092595</v>
      </c>
      <c r="D119" s="179" t="s">
        <v>50</v>
      </c>
      <c r="E119" s="180" t="s">
        <v>6731</v>
      </c>
      <c r="F119" s="181"/>
      <c r="G119" s="179" t="s">
        <v>6758</v>
      </c>
      <c r="H119" s="190"/>
      <c r="I119" s="190"/>
      <c r="J119" s="187" t="s">
        <v>3903</v>
      </c>
      <c r="K119" s="187"/>
      <c r="L119" s="184" t="str">
        <f>IFERROR(__xludf.DUMMYFUNCTION("ifna(IF(and(D119=""Saída"",J119=""Sangria""),if(sum(QUERY(IMPORTRANGE(""https://docs.google.com/spreadsheets/d/1wBSFbIXYswW2S5SMKo44LPsdTG4P4kfP5VRdAS5E_4o"",""BD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'""&amp;YEAR(C119)&amp;""-""&amp;MONTH(C119)&amp;""-""&amp;DAY(C119)&amp;""'""))&gt;0,""Depositada"",if(sum(QUERY(IMPORTRANGE(""https://docs.google.com/spreadsheets/d/1wBSFbIXYswW2S5SMKo44LPsdTG4P4kfP5VRdAS5E_4o"",""BD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>
        <f>IFERROR(__xludf.DUMMYFUNCTION("ifna(VALUE(REGEXEXTRACT(E119,""[0-9.]+[,]+[0-9]+"")))"),100.0)</f>
        <v>100</v>
      </c>
      <c r="N119" s="224"/>
      <c r="O119" s="216"/>
      <c r="P119" s="216"/>
      <c r="Q119" s="226" t="str">
        <f t="shared" si="2"/>
        <v/>
      </c>
      <c r="R119" s="216" t="str">
        <f t="shared" si="3"/>
        <v/>
      </c>
      <c r="S119" s="227" t="str">
        <f t="shared" si="4"/>
        <v/>
      </c>
      <c r="T119" s="185"/>
      <c r="U119" s="185"/>
      <c r="V119" s="185"/>
    </row>
    <row r="120" ht="14.25" customHeight="1">
      <c r="A120" s="178"/>
      <c r="B120" s="10">
        <v>1673081.0</v>
      </c>
      <c r="C120" s="11">
        <v>45910.82518518518</v>
      </c>
      <c r="D120" s="179" t="s">
        <v>50</v>
      </c>
      <c r="E120" s="180" t="s">
        <v>6762</v>
      </c>
      <c r="F120" s="181"/>
      <c r="G120" s="179" t="s">
        <v>6763</v>
      </c>
      <c r="H120" s="190"/>
      <c r="I120" s="190"/>
      <c r="J120" s="187" t="s">
        <v>3903</v>
      </c>
      <c r="K120" s="187"/>
      <c r="L120" s="184" t="str">
        <f>IFERROR(__xludf.DUMMYFUNCTION("ifna(IF(and(D120=""Saída"",J120=""Sangria""),if(sum(QUERY(IMPORTRANGE(""https://docs.google.com/spreadsheets/d/1wBSFbIXYswW2S5SMKo44LPsdTG4P4kfP5VRdAS5E_4o"",""BD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'""&amp;YEAR(C120)&amp;""-""&amp;MONTH(C120)&amp;""-""&amp;DAY(C120)&amp;""'""))&gt;0,""Depositada"",if(sum(QUERY(IMPORTRANGE(""https://docs.google.com/spreadsheets/d/1wBSFbIXYswW2S5SMKo44LPsdTG4P4kfP5VRdAS5E_4o"",""BD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Sangria"")"),"")</f>
        <v/>
      </c>
      <c r="M120" s="185">
        <f>IFERROR(__xludf.DUMMYFUNCTION("ifna(VALUE(REGEXEXTRACT(E120,""[0-9.]+[,]+[0-9]+"")))"),256.81)</f>
        <v>256.81</v>
      </c>
      <c r="N120" s="221"/>
      <c r="O120" s="215"/>
      <c r="P120" s="215"/>
      <c r="Q120" s="223" t="str">
        <f t="shared" si="2"/>
        <v/>
      </c>
      <c r="R120" s="215" t="str">
        <f t="shared" si="3"/>
        <v/>
      </c>
      <c r="S120" s="227" t="str">
        <f t="shared" si="4"/>
        <v/>
      </c>
      <c r="T120" s="185"/>
      <c r="U120" s="185"/>
      <c r="V120" s="185"/>
    </row>
    <row r="121" ht="14.25" customHeight="1">
      <c r="A121" s="178"/>
      <c r="B121" s="10">
        <v>1673086.0</v>
      </c>
      <c r="C121" s="11">
        <v>45910.82586805556</v>
      </c>
      <c r="D121" s="179" t="s">
        <v>50</v>
      </c>
      <c r="E121" s="180" t="s">
        <v>6766</v>
      </c>
      <c r="F121" s="181"/>
      <c r="G121" s="179" t="s">
        <v>6767</v>
      </c>
      <c r="H121" s="190"/>
      <c r="I121" s="190"/>
      <c r="J121" s="187" t="s">
        <v>3903</v>
      </c>
      <c r="K121" s="187"/>
      <c r="L121" s="184" t="str">
        <f>IFERROR(__xludf.DUMMYFUNCTION("ifna(IF(and(D121=""Saída"",J121=""Sangria""),if(sum(QUERY(IMPORTRANGE(""https://docs.google.com/spreadsheets/d/1wBSFbIXYswW2S5SMKo44LPsdTG4P4kfP5VRdAS5E_4o"",""BD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'""&amp;YEAR(C121)&amp;""-""&amp;MONTH(C121)&amp;""-""&amp;DAY(C121)&amp;""'""))&gt;0,""Depositada"",if(sum(QUERY(IMPORTRANGE(""https://docs.google.com/spreadsheets/d/1wBSFbIXYswW2S5SMKo44LPsdTG4P4kfP5VRdAS5E_4o"",""BD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>
        <f>IFERROR(__xludf.DUMMYFUNCTION("ifna(VALUE(REGEXEXTRACT(E121,""[0-9.]+[,]+[0-9]+"")))"),14.75)</f>
        <v>14.75</v>
      </c>
      <c r="N121" s="224"/>
      <c r="O121" s="216"/>
      <c r="P121" s="216"/>
      <c r="Q121" s="226" t="str">
        <f t="shared" si="2"/>
        <v/>
      </c>
      <c r="R121" s="216" t="str">
        <f t="shared" si="3"/>
        <v/>
      </c>
      <c r="S121" s="227" t="str">
        <f t="shared" si="4"/>
        <v/>
      </c>
      <c r="T121" s="185"/>
      <c r="U121" s="185"/>
      <c r="V121" s="185"/>
    </row>
    <row r="122" ht="14.25" customHeight="1">
      <c r="A122" s="178"/>
      <c r="B122" s="10">
        <v>1673091.0</v>
      </c>
      <c r="C122" s="11">
        <v>45910.82638888889</v>
      </c>
      <c r="D122" s="179" t="s">
        <v>50</v>
      </c>
      <c r="E122" s="180" t="s">
        <v>6769</v>
      </c>
      <c r="F122" s="181"/>
      <c r="G122" s="179" t="s">
        <v>6770</v>
      </c>
      <c r="H122" s="190"/>
      <c r="I122" s="190"/>
      <c r="J122" s="187" t="s">
        <v>3903</v>
      </c>
      <c r="K122" s="187"/>
      <c r="L122" s="184" t="str">
        <f>IFERROR(__xludf.DUMMYFUNCTION("ifna(IF(and(D122=""Saída"",J122=""Sangria""),if(sum(QUERY(IMPORTRANGE(""https://docs.google.com/spreadsheets/d/1wBSFbIXYswW2S5SMKo44LPsdTG4P4kfP5VRdAS5E_4o"",""BD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'""&amp;YEAR(C122)&amp;""-""&amp;MONTH(C122)&amp;""-""&amp;DAY(C122)&amp;""'""))&gt;0,""Depositada"",if(sum(QUERY(IMPORTRANGE(""https://docs.google.com/spreadsheets/d/1wBSFbIXYswW2S5SMKo44LPsdTG4P4kfP5VRdAS5E_4o"",""BD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Sangria"")"),"")</f>
        <v/>
      </c>
      <c r="M122" s="185">
        <f>IFERROR(__xludf.DUMMYFUNCTION("ifna(VALUE(REGEXEXTRACT(E122,""[0-9.]+[,]+[0-9]+"")))"),382.1)</f>
        <v>382.1</v>
      </c>
      <c r="N122" s="221"/>
      <c r="O122" s="215"/>
      <c r="P122" s="215"/>
      <c r="Q122" s="223" t="str">
        <f t="shared" si="2"/>
        <v/>
      </c>
      <c r="R122" s="215" t="str">
        <f t="shared" si="3"/>
        <v/>
      </c>
      <c r="S122" s="227" t="str">
        <f t="shared" si="4"/>
        <v/>
      </c>
      <c r="T122" s="185"/>
      <c r="U122" s="185"/>
      <c r="V122" s="185"/>
    </row>
    <row r="123" ht="14.25" customHeight="1">
      <c r="A123" s="178"/>
      <c r="B123" s="10">
        <v>1673095.0</v>
      </c>
      <c r="C123" s="11">
        <v>45910.826736111114</v>
      </c>
      <c r="D123" s="179" t="s">
        <v>50</v>
      </c>
      <c r="E123" s="180" t="s">
        <v>6773</v>
      </c>
      <c r="F123" s="181"/>
      <c r="G123" s="179" t="s">
        <v>6774</v>
      </c>
      <c r="H123" s="190"/>
      <c r="I123" s="190"/>
      <c r="J123" s="187" t="s">
        <v>3903</v>
      </c>
      <c r="K123" s="187"/>
      <c r="L123" s="184" t="str">
        <f>IFERROR(__xludf.DUMMYFUNCTION("ifna(IF(and(D123=""Saída"",J123=""Sangria""),if(sum(QUERY(IMPORTRANGE(""https://docs.google.com/spreadsheets/d/1wBSFbIXYswW2S5SMKo44LPsdTG4P4kfP5VRdAS5E_4o"",""BD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'""&amp;YEAR(C123)&amp;""-""&amp;MONTH(C123)&amp;""-""&amp;DAY(C123)&amp;""'""))&gt;0,""Depositada"",if(sum(QUERY(IMPORTRANGE(""https://docs.google.com/spreadsheets/d/1wBSFbIXYswW2S5SMKo44LPsdTG4P4kfP5VRdAS5E_4o"",""BD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Sangria"")"),"")</f>
        <v/>
      </c>
      <c r="M123" s="185">
        <f>IFERROR(__xludf.DUMMYFUNCTION("ifna(VALUE(REGEXEXTRACT(E123,""[0-9.]+[,]+[0-9]+"")))"),224.7)</f>
        <v>224.7</v>
      </c>
      <c r="N123" s="224"/>
      <c r="O123" s="216"/>
      <c r="P123" s="216"/>
      <c r="Q123" s="226" t="str">
        <f t="shared" si="2"/>
        <v/>
      </c>
      <c r="R123" s="216" t="str">
        <f t="shared" si="3"/>
        <v/>
      </c>
      <c r="S123" s="227" t="str">
        <f t="shared" si="4"/>
        <v/>
      </c>
      <c r="T123" s="185"/>
      <c r="U123" s="185"/>
      <c r="V123" s="185"/>
    </row>
    <row r="124" ht="14.25" customHeight="1">
      <c r="A124" s="178"/>
      <c r="B124" s="10">
        <v>1673110.0</v>
      </c>
      <c r="C124" s="11">
        <v>45910.830775462964</v>
      </c>
      <c r="D124" s="179" t="s">
        <v>50</v>
      </c>
      <c r="E124" s="180" t="s">
        <v>6777</v>
      </c>
      <c r="F124" s="188"/>
      <c r="G124" s="179" t="s">
        <v>6778</v>
      </c>
      <c r="H124" s="190"/>
      <c r="I124" s="190"/>
      <c r="J124" s="187" t="s">
        <v>3903</v>
      </c>
      <c r="K124" s="187"/>
      <c r="L124" s="184" t="str">
        <f>IFERROR(__xludf.DUMMYFUNCTION("ifna(IF(and(D124=""Saída"",J124=""Sangria""),if(sum(QUERY(IMPORTRANGE(""https://docs.google.com/spreadsheets/d/1wBSFbIXYswW2S5SMKo44LPsdTG4P4kfP5VRdAS5E_4o"",""BD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'""&amp;YEAR(C124)&amp;""-""&amp;MONTH(C124)&amp;""-""&amp;DAY(C124)&amp;""'""))&gt;0,""Depositada"",if(sum(QUERY(IMPORTRANGE(""https://docs.google.com/spreadsheets/d/1wBSFbIXYswW2S5SMKo44LPsdTG4P4kfP5VRdAS5E_4o"",""BD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Sangria"")"),"")</f>
        <v/>
      </c>
      <c r="M124" s="185">
        <f>IFERROR(__xludf.DUMMYFUNCTION("ifna(VALUE(REGEXEXTRACT(E124,""[0-9.]+[,]+[0-9]+"")))"),50.35)</f>
        <v>50.35</v>
      </c>
      <c r="N124" s="221"/>
      <c r="O124" s="215"/>
      <c r="P124" s="215"/>
      <c r="Q124" s="223" t="str">
        <f t="shared" si="2"/>
        <v/>
      </c>
      <c r="R124" s="215" t="str">
        <f t="shared" si="3"/>
        <v/>
      </c>
      <c r="S124" s="227" t="str">
        <f t="shared" si="4"/>
        <v/>
      </c>
      <c r="T124" s="185"/>
      <c r="U124" s="185"/>
      <c r="V124" s="185"/>
    </row>
    <row r="125" ht="14.25" customHeight="1">
      <c r="A125" s="178"/>
      <c r="B125" s="10">
        <v>1673937.0</v>
      </c>
      <c r="C125" s="11">
        <v>45911.57609953704</v>
      </c>
      <c r="D125" s="179" t="s">
        <v>50</v>
      </c>
      <c r="E125" s="180" t="s">
        <v>6782</v>
      </c>
      <c r="F125" s="181"/>
      <c r="G125" s="179" t="s">
        <v>6513</v>
      </c>
      <c r="H125" s="190"/>
      <c r="I125" s="190"/>
      <c r="J125" s="187" t="s">
        <v>3044</v>
      </c>
      <c r="K125" s="187" t="s">
        <v>3040</v>
      </c>
      <c r="L125" s="184" t="str">
        <f>IFERROR(__xludf.DUMMYFUNCTION("ifna(IF(and(D125=""Saída"",J125=""Sangria""),if(sum(QUERY(IMPORTRANGE(""https://docs.google.com/spreadsheets/d/1wBSFbIXYswW2S5SMKo44LPsdTG4P4kfP5VRdAS5E_4o"",""BD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'""&amp;YEAR(C125)&amp;""-""&amp;MONTH(C125)&amp;""-""&amp;DAY(C125)&amp;""'""))&gt;0,""Depositada"",if(sum(QUERY(IMPORTRANGE(""https://docs.google.com/spreadsheets/d/1wBSFbIXYswW2S5SMKo44LPsdTG4P4kfP5VRdAS5E_4o"",""BD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>
        <f>IFERROR(__xludf.DUMMYFUNCTION("ifna(VALUE(REGEXEXTRACT(E125,""[0-9.]+[,]+[0-9]+"")))"),11.12)</f>
        <v>11.12</v>
      </c>
      <c r="N125" s="224"/>
      <c r="O125" s="216"/>
      <c r="P125" s="216"/>
      <c r="Q125" s="226" t="str">
        <f t="shared" si="2"/>
        <v/>
      </c>
      <c r="R125" s="216" t="str">
        <f t="shared" si="3"/>
        <v/>
      </c>
      <c r="S125" s="227" t="str">
        <f t="shared" si="4"/>
        <v/>
      </c>
      <c r="T125" s="185"/>
      <c r="U125" s="185"/>
      <c r="V125" s="185"/>
    </row>
    <row r="126" ht="16.5" customHeight="1">
      <c r="A126" s="178"/>
      <c r="B126" s="10">
        <v>1674072.0</v>
      </c>
      <c r="C126" s="11">
        <v>45911.62987268518</v>
      </c>
      <c r="D126" s="179" t="s">
        <v>227</v>
      </c>
      <c r="E126" s="180" t="s">
        <v>494</v>
      </c>
      <c r="F126" s="181"/>
      <c r="G126" s="179" t="s">
        <v>6785</v>
      </c>
      <c r="H126" s="190"/>
      <c r="I126" s="190"/>
      <c r="J126" s="187" t="s">
        <v>3874</v>
      </c>
      <c r="K126" s="187"/>
      <c r="L126" s="184" t="str">
        <f>IFERROR(__xludf.DUMMYFUNCTION("ifna(IF(and(D126=""Saída"",J126=""Sangria""),if(sum(QUERY(IMPORTRANGE(""https://docs.google.com/spreadsheets/d/1wBSFbIXYswW2S5SMKo44LPsdTG4P4kfP5VRdAS5E_4o"",""BD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'""&amp;YEAR(C126)&amp;""-""&amp;MONTH(C126)&amp;""-""&amp;DAY(C126)&amp;""'""))&gt;0,""Depositada"",if(sum(QUERY(IMPORTRANGE(""https://docs.google.com/spreadsheets/d/1wBSFbIXYswW2S5SMKo44LPsdTG4P4kfP5VRdAS5E_4o"",""BD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>
        <f>IFERROR(__xludf.DUMMYFUNCTION("ifna(VALUE(REGEXEXTRACT(E126,""[0-9.]+[,]+[0-9]+"")))"),0.01)</f>
        <v>0.01</v>
      </c>
      <c r="N126" s="221"/>
      <c r="O126" s="215"/>
      <c r="P126" s="215"/>
      <c r="Q126" s="223" t="str">
        <f t="shared" si="2"/>
        <v/>
      </c>
      <c r="R126" s="215" t="str">
        <f t="shared" si="3"/>
        <v/>
      </c>
      <c r="S126" s="227" t="str">
        <f t="shared" si="4"/>
        <v/>
      </c>
      <c r="T126" s="185"/>
      <c r="U126" s="185"/>
      <c r="V126" s="185"/>
    </row>
    <row r="127" ht="18.75" customHeight="1">
      <c r="A127" s="178"/>
      <c r="B127" s="10">
        <v>1674144.0</v>
      </c>
      <c r="C127" s="11">
        <v>45911.65056712963</v>
      </c>
      <c r="D127" s="179" t="s">
        <v>50</v>
      </c>
      <c r="E127" s="180" t="s">
        <v>6787</v>
      </c>
      <c r="F127" s="181"/>
      <c r="G127" s="179" t="s">
        <v>6790</v>
      </c>
      <c r="H127" s="190"/>
      <c r="I127" s="190"/>
      <c r="J127" s="187" t="s">
        <v>3903</v>
      </c>
      <c r="K127" s="187"/>
      <c r="L127" s="184" t="str">
        <f>IFERROR(__xludf.DUMMYFUNCTION("ifna(IF(and(D127=""Saída"",J127=""Sangria""),if(sum(QUERY(IMPORTRANGE(""https://docs.google.com/spreadsheets/d/1wBSFbIXYswW2S5SMKo44LPsdTG4P4kfP5VRdAS5E_4o"",""BD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'""&amp;YEAR(C127)&amp;""-""&amp;MONTH(C127)&amp;""-""&amp;DAY(C127)&amp;""'""))&gt;0,""Depositada"",if(sum(QUERY(IMPORTRANGE(""https://docs.google.com/spreadsheets/d/1wBSFbIXYswW2S5SMKo44LPsdTG4P4kfP5VRdAS5E_4o"",""BD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>
        <f>IFERROR(__xludf.DUMMYFUNCTION("ifna(VALUE(REGEXEXTRACT(E127,""[0-9.]+[,]+[0-9]+"")))"),477.0)</f>
        <v>477</v>
      </c>
      <c r="N127" s="224"/>
      <c r="O127" s="216"/>
      <c r="P127" s="216"/>
      <c r="Q127" s="226" t="str">
        <f t="shared" si="2"/>
        <v/>
      </c>
      <c r="R127" s="216" t="str">
        <f t="shared" si="3"/>
        <v/>
      </c>
      <c r="S127" s="227" t="str">
        <f t="shared" si="4"/>
        <v/>
      </c>
      <c r="T127" s="185"/>
      <c r="U127" s="185"/>
      <c r="V127" s="185"/>
    </row>
    <row r="128" ht="17.25" customHeight="1">
      <c r="A128" s="178"/>
      <c r="B128" s="10">
        <v>1674693.0</v>
      </c>
      <c r="C128" s="11">
        <v>45911.788981481484</v>
      </c>
      <c r="D128" s="179" t="s">
        <v>50</v>
      </c>
      <c r="E128" s="180" t="s">
        <v>719</v>
      </c>
      <c r="F128" s="181"/>
      <c r="G128" s="179" t="s">
        <v>6793</v>
      </c>
      <c r="H128" s="190"/>
      <c r="I128" s="190"/>
      <c r="J128" s="187" t="s">
        <v>3903</v>
      </c>
      <c r="K128" s="187"/>
      <c r="L128" s="184" t="str">
        <f>IFERROR(__xludf.DUMMYFUNCTION("ifna(IF(and(D128=""Saída"",J128=""Sangria""),if(sum(QUERY(IMPORTRANGE(""https://docs.google.com/spreadsheets/d/1wBSFbIXYswW2S5SMKo44LPsdTG4P4kfP5VRdAS5E_4o"",""BD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'""&amp;YEAR(C128)&amp;""-""&amp;MONTH(C128)&amp;""-""&amp;DAY(C128)&amp;""'""))&gt;0,""Depositada"",if(sum(QUERY(IMPORTRANGE(""https://docs.google.com/spreadsheets/d/1wBSFbIXYswW2S5SMKo44LPsdTG4P4kfP5VRdAS5E_4o"",""BD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>
        <f>IFERROR(__xludf.DUMMYFUNCTION("ifna(VALUE(REGEXEXTRACT(E128,""[0-9.]+[,]+[0-9]+"")))"),500.0)</f>
        <v>500</v>
      </c>
      <c r="N128" s="221"/>
      <c r="O128" s="215"/>
      <c r="P128" s="215"/>
      <c r="Q128" s="223" t="str">
        <f t="shared" si="2"/>
        <v/>
      </c>
      <c r="R128" s="215" t="str">
        <f t="shared" si="3"/>
        <v/>
      </c>
      <c r="S128" s="227" t="str">
        <f t="shared" si="4"/>
        <v/>
      </c>
      <c r="T128" s="185"/>
      <c r="U128" s="185"/>
      <c r="V128" s="185"/>
    </row>
    <row r="129" ht="17.25" customHeight="1">
      <c r="A129" s="178"/>
      <c r="B129" s="10">
        <v>1674814.0</v>
      </c>
      <c r="C129" s="11">
        <v>45911.83483796296</v>
      </c>
      <c r="D129" s="179" t="s">
        <v>50</v>
      </c>
      <c r="E129" s="180" t="s">
        <v>6797</v>
      </c>
      <c r="F129" s="181"/>
      <c r="G129" s="179" t="s">
        <v>4960</v>
      </c>
      <c r="H129" s="190"/>
      <c r="I129" s="190"/>
      <c r="J129" s="187" t="s">
        <v>3044</v>
      </c>
      <c r="K129" s="187" t="s">
        <v>3168</v>
      </c>
      <c r="L129" s="184" t="str">
        <f>IFERROR(__xludf.DUMMYFUNCTION("ifna(IF(and(D129=""Saída"",J129=""Sangria""),if(sum(QUERY(IMPORTRANGE(""https://docs.google.com/spreadsheets/d/1wBSFbIXYswW2S5SMKo44LPsdTG4P4kfP5VRdAS5E_4o"",""BD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'""&amp;YEAR(C129)&amp;""-""&amp;MONTH(C129)&amp;""-""&amp;DAY(C129)&amp;""'""))&gt;0,""Depositada"",if(sum(QUERY(IMPORTRANGE(""https://docs.google.com/spreadsheets/d/1wBSFbIXYswW2S5SMKo44LPsdTG4P4kfP5VRdAS5E_4o"",""BD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>
        <f>IFERROR(__xludf.DUMMYFUNCTION("ifna(VALUE(REGEXEXTRACT(E129,""[0-9.]+[,]+[0-9]+"")))"),9.97)</f>
        <v>9.97</v>
      </c>
      <c r="N129" s="224"/>
      <c r="O129" s="216"/>
      <c r="P129" s="216"/>
      <c r="Q129" s="226" t="str">
        <f t="shared" si="2"/>
        <v/>
      </c>
      <c r="R129" s="216" t="str">
        <f t="shared" si="3"/>
        <v/>
      </c>
      <c r="S129" s="227" t="str">
        <f t="shared" si="4"/>
        <v/>
      </c>
      <c r="T129" s="185"/>
      <c r="U129" s="185"/>
      <c r="V129" s="185"/>
    </row>
    <row r="130" ht="14.25" customHeight="1">
      <c r="A130" s="178"/>
      <c r="B130" s="10">
        <v>1674834.0</v>
      </c>
      <c r="C130" s="11">
        <v>45911.84048611111</v>
      </c>
      <c r="D130" s="179" t="s">
        <v>50</v>
      </c>
      <c r="E130" s="180" t="s">
        <v>6799</v>
      </c>
      <c r="F130" s="181"/>
      <c r="G130" s="179" t="s">
        <v>4983</v>
      </c>
      <c r="H130" s="190"/>
      <c r="I130" s="190"/>
      <c r="J130" s="187" t="s">
        <v>3044</v>
      </c>
      <c r="K130" s="187" t="s">
        <v>3077</v>
      </c>
      <c r="L130" s="184" t="str">
        <f>IFERROR(__xludf.DUMMYFUNCTION("ifna(IF(and(D130=""Saída"",J130=""Sangria""),if(sum(QUERY(IMPORTRANGE(""https://docs.google.com/spreadsheets/d/1wBSFbIXYswW2S5SMKo44LPsdTG4P4kfP5VRdAS5E_4o"",""BD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'""&amp;YEAR(C130)&amp;""-""&amp;MONTH(C130)&amp;""-""&amp;DAY(C130)&amp;""'""))&gt;0,""Depositada"",if(sum(QUERY(IMPORTRANGE(""https://docs.google.com/spreadsheets/d/1wBSFbIXYswW2S5SMKo44LPsdTG4P4kfP5VRdAS5E_4o"",""BD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>
        <f>IFERROR(__xludf.DUMMYFUNCTION("ifna(VALUE(REGEXEXTRACT(E130,""[0-9.]+[,]+[0-9]+"")))"),15.99)</f>
        <v>15.99</v>
      </c>
      <c r="N130" s="221"/>
      <c r="O130" s="215"/>
      <c r="P130" s="215"/>
      <c r="Q130" s="223" t="str">
        <f t="shared" si="2"/>
        <v/>
      </c>
      <c r="R130" s="215" t="str">
        <f t="shared" si="3"/>
        <v/>
      </c>
      <c r="S130" s="227" t="str">
        <f t="shared" si="4"/>
        <v/>
      </c>
      <c r="T130" s="185"/>
      <c r="U130" s="185"/>
      <c r="V130" s="185"/>
    </row>
    <row r="131" ht="14.25" customHeight="1">
      <c r="A131" s="178"/>
      <c r="B131" s="10"/>
      <c r="C131" s="11"/>
      <c r="D131" s="179"/>
      <c r="E131" s="180"/>
      <c r="F131" s="181"/>
      <c r="G131" s="179"/>
      <c r="H131" s="190"/>
      <c r="I131" s="190"/>
      <c r="J131" s="254"/>
      <c r="K131" s="187"/>
      <c r="L131" s="184" t="str">
        <f>IFERROR(__xludf.DUMMYFUNCTION("ifna(IF(and(D131=""Saída"",J131=""Sangria""),if(sum(QUERY(IMPORTRANGE(""https://docs.google.com/spreadsheets/d/1wBSFbIXYswW2S5SMKo44LPsdTG4P4kfP5VRdAS5E_4o"",""BD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'""&amp;YEAR(C131)&amp;""-""&amp;MONTH(C131)&amp;""-""&amp;DAY(C131)&amp;""'""))&gt;0,""Depositada"",if(sum(QUERY(IMPORTRANGE(""https://docs.google.com/spreadsheets/d/1wBSFbIXYswW2S5SMKo44LPsdTG4P4kfP5VRdAS5E_4o"",""BD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 t="str">
        <f>IFERROR(__xludf.DUMMYFUNCTION("ifna(VALUE(REGEXEXTRACT(E131,""[0-9.]+[,]+[0-9]+"")))"),"")</f>
        <v/>
      </c>
      <c r="N131" s="224"/>
      <c r="O131" s="216"/>
      <c r="P131" s="216"/>
      <c r="Q131" s="226" t="str">
        <f t="shared" si="2"/>
        <v/>
      </c>
      <c r="R131" s="216" t="str">
        <f t="shared" si="3"/>
        <v/>
      </c>
      <c r="S131" s="227" t="str">
        <f t="shared" si="4"/>
        <v/>
      </c>
      <c r="T131" s="185"/>
      <c r="U131" s="185"/>
      <c r="V131" s="185"/>
    </row>
    <row r="132" ht="14.25" customHeight="1">
      <c r="A132" s="178"/>
      <c r="B132" s="10">
        <v>1675264.0</v>
      </c>
      <c r="C132" s="11">
        <v>45911.928819444445</v>
      </c>
      <c r="D132" s="179" t="s">
        <v>50</v>
      </c>
      <c r="E132" s="180" t="s">
        <v>6800</v>
      </c>
      <c r="F132" s="181"/>
      <c r="G132" s="179" t="s">
        <v>6801</v>
      </c>
      <c r="H132" s="190"/>
      <c r="I132" s="190"/>
      <c r="J132" s="187" t="s">
        <v>3903</v>
      </c>
      <c r="K132" s="187"/>
      <c r="L132" s="184" t="str">
        <f>IFERROR(__xludf.DUMMYFUNCTION("ifna(IF(and(D132=""Saída"",J132=""Sangria""),if(sum(QUERY(IMPORTRANGE(""https://docs.google.com/spreadsheets/d/1wBSFbIXYswW2S5SMKo44LPsdTG4P4kfP5VRdAS5E_4o"",""BD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'""&amp;YEAR(C132)&amp;""-""&amp;MONTH(C132)&amp;""-""&amp;DAY(C132)&amp;""'""))&gt;0,""Depositada"",if(sum(QUERY(IMPORTRANGE(""https://docs.google.com/spreadsheets/d/1wBSFbIXYswW2S5SMKo44LPsdTG4P4kfP5VRdAS5E_4o"",""BD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Sangria"")"),"")</f>
        <v/>
      </c>
      <c r="M132" s="185">
        <f>IFERROR(__xludf.DUMMYFUNCTION("ifna(VALUE(REGEXEXTRACT(E132,""[0-9.]+[,]+[0-9]+"")))"),645.69)</f>
        <v>645.69</v>
      </c>
      <c r="N132" s="221"/>
      <c r="O132" s="215"/>
      <c r="P132" s="215"/>
      <c r="Q132" s="223" t="str">
        <f t="shared" si="2"/>
        <v/>
      </c>
      <c r="R132" s="215" t="str">
        <f t="shared" si="3"/>
        <v/>
      </c>
      <c r="S132" s="227" t="str">
        <f t="shared" si="4"/>
        <v/>
      </c>
      <c r="T132" s="185"/>
      <c r="U132" s="185"/>
      <c r="V132" s="185"/>
    </row>
    <row r="133" ht="14.25" customHeight="1">
      <c r="A133" s="178"/>
      <c r="B133" s="10">
        <v>1675402.0</v>
      </c>
      <c r="C133" s="11">
        <v>45911.94832175926</v>
      </c>
      <c r="D133" s="179" t="s">
        <v>50</v>
      </c>
      <c r="E133" s="180" t="s">
        <v>6731</v>
      </c>
      <c r="F133" s="181"/>
      <c r="G133" s="179" t="s">
        <v>6804</v>
      </c>
      <c r="H133" s="190"/>
      <c r="I133" s="190"/>
      <c r="K133" s="187"/>
      <c r="L133" s="184" t="str">
        <f>IFERROR(__xludf.DUMMYFUNCTION("ifna(IF(and(D133=""Saída"",J133=""Sangria""),if(sum(QUERY(IMPORTRANGE(""https://docs.google.com/spreadsheets/d/1wBSFbIXYswW2S5SMKo44LPsdTG4P4kfP5VRdAS5E_4o"",""BD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'""&amp;YEAR(C133)&amp;""-""&amp;MONTH(C133)&amp;""-""&amp;DAY(C133)&amp;""'""))&gt;0,""Depositada"",if(sum(QUERY(IMPORTRANGE(""https://docs.google.com/spreadsheets/d/1wBSFbIXYswW2S5SMKo44LPsdTG4P4kfP5VRdAS5E_4o"",""BD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>
        <f>IFERROR(__xludf.DUMMYFUNCTION("ifna(VALUE(REGEXEXTRACT(E133,""[0-9.]+[,]+[0-9]+"")))"),100.0)</f>
        <v>100</v>
      </c>
      <c r="N133" s="229"/>
      <c r="O133" s="230"/>
      <c r="P133" s="230"/>
      <c r="Q133" s="231" t="str">
        <f t="shared" si="2"/>
        <v/>
      </c>
      <c r="R133" s="230" t="str">
        <f t="shared" si="3"/>
        <v/>
      </c>
      <c r="S133" s="227" t="str">
        <f t="shared" si="4"/>
        <v/>
      </c>
      <c r="T133" s="185"/>
      <c r="U133" s="185"/>
      <c r="V133" s="185"/>
    </row>
    <row r="134" ht="14.25" customHeight="1">
      <c r="A134" s="178"/>
      <c r="B134" s="10">
        <v>1675785.0</v>
      </c>
      <c r="C134" s="11">
        <v>45912.58736111111</v>
      </c>
      <c r="D134" s="179" t="s">
        <v>50</v>
      </c>
      <c r="E134" s="180" t="s">
        <v>6682</v>
      </c>
      <c r="F134" s="181"/>
      <c r="G134" s="179" t="s">
        <v>6720</v>
      </c>
      <c r="H134" s="190"/>
      <c r="I134" s="190"/>
      <c r="J134" s="187" t="s">
        <v>3903</v>
      </c>
      <c r="K134" s="187"/>
      <c r="L134" s="184" t="str">
        <f>IFERROR(__xludf.DUMMYFUNCTION("ifna(IF(and(D134=""Saída"",J134=""Sangria""),if(sum(QUERY(IMPORTRANGE(""https://docs.google.com/spreadsheets/d/1wBSFbIXYswW2S5SMKo44LPsdTG4P4kfP5VRdAS5E_4o"",""BD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'""&amp;YEAR(C134)&amp;""-""&amp;MONTH(C134)&amp;""-""&amp;DAY(C134)&amp;""'""))&gt;0,""Depositada"",if(sum(QUERY(IMPORTRANGE(""https://docs.google.com/spreadsheets/d/1wBSFbIXYswW2S5SMKo44LPsdTG4P4kfP5VRdAS5E_4o"",""BD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>
        <f>IFERROR(__xludf.DUMMYFUNCTION("ifna(VALUE(REGEXEXTRACT(E134,""[0-9.]+[,]+[0-9]+"")))"),280.0)</f>
        <v>280</v>
      </c>
      <c r="N134" s="229"/>
      <c r="O134" s="230"/>
      <c r="P134" s="230"/>
      <c r="Q134" s="231" t="str">
        <f t="shared" si="2"/>
        <v/>
      </c>
      <c r="R134" s="230" t="str">
        <f t="shared" si="3"/>
        <v/>
      </c>
      <c r="S134" s="227" t="str">
        <f t="shared" si="4"/>
        <v/>
      </c>
      <c r="T134" s="185"/>
      <c r="U134" s="185"/>
      <c r="V134" s="185"/>
    </row>
    <row r="135" ht="14.25" customHeight="1">
      <c r="A135" s="178"/>
      <c r="B135" s="10">
        <v>1676668.0</v>
      </c>
      <c r="C135" s="11">
        <v>45912.79096064815</v>
      </c>
      <c r="D135" s="179" t="s">
        <v>50</v>
      </c>
      <c r="E135" s="180" t="s">
        <v>6809</v>
      </c>
      <c r="F135" s="188"/>
      <c r="G135" s="179" t="s">
        <v>6810</v>
      </c>
      <c r="H135" s="190"/>
      <c r="I135" s="190"/>
      <c r="J135" s="187" t="s">
        <v>3467</v>
      </c>
      <c r="K135" s="187"/>
      <c r="L135" s="184" t="str">
        <f>IFERROR(__xludf.DUMMYFUNCTION("ifna(IF(and(D135=""Saída"",J135=""Sangria""),if(sum(QUERY(IMPORTRANGE(""https://docs.google.com/spreadsheets/d/1wBSFbIXYswW2S5SMKo44LPsdTG4P4kfP5VRdAS5E_4o"",""BD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'""&amp;YEAR(C135)&amp;""-""&amp;MONTH(C135)&amp;""-""&amp;DAY(C135)&amp;""'""))&gt;0,""Depositada"",if(sum(QUERY(IMPORTRANGE(""https://docs.google.com/spreadsheets/d/1wBSFbIXYswW2S5SMKo44LPsdTG4P4kfP5VRdAS5E_4o"",""BD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Sangria"")"),"")</f>
        <v/>
      </c>
      <c r="M135" s="185">
        <f>IFERROR(__xludf.DUMMYFUNCTION("ifna(VALUE(REGEXEXTRACT(E135,""[0-9.]+[,]+[0-9]+"")))"),35.4)</f>
        <v>35.4</v>
      </c>
      <c r="N135" s="229"/>
      <c r="O135" s="230"/>
      <c r="P135" s="230"/>
      <c r="Q135" s="231" t="str">
        <f t="shared" si="2"/>
        <v/>
      </c>
      <c r="R135" s="230" t="str">
        <f t="shared" si="3"/>
        <v/>
      </c>
      <c r="S135" s="227" t="str">
        <f t="shared" si="4"/>
        <v/>
      </c>
      <c r="T135" s="185"/>
      <c r="U135" s="185"/>
      <c r="V135" s="185"/>
    </row>
    <row r="136" ht="14.25" customHeight="1">
      <c r="A136" s="178"/>
      <c r="B136" s="10">
        <v>1676675.0</v>
      </c>
      <c r="C136" s="11">
        <v>45912.79256944444</v>
      </c>
      <c r="D136" s="179" t="s">
        <v>50</v>
      </c>
      <c r="E136" s="180" t="s">
        <v>6731</v>
      </c>
      <c r="F136" s="181"/>
      <c r="G136" s="179" t="s">
        <v>6813</v>
      </c>
      <c r="H136" s="190"/>
      <c r="I136" s="190"/>
      <c r="J136" s="187" t="s">
        <v>3466</v>
      </c>
      <c r="K136" s="187"/>
      <c r="L136" s="184" t="str">
        <f>IFERROR(__xludf.DUMMYFUNCTION("ifna(IF(and(D136=""Saída"",J136=""Sangria""),if(sum(QUERY(IMPORTRANGE(""https://docs.google.com/spreadsheets/d/1wBSFbIXYswW2S5SMKo44LPsdTG4P4kfP5VRdAS5E_4o"",""BD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'""&amp;YEAR(C136)&amp;""-""&amp;MONTH(C136)&amp;""-""&amp;DAY(C136)&amp;""'""))&gt;0,""Depositada"",if(sum(QUERY(IMPORTRANGE(""https://docs.google.com/spreadsheets/d/1wBSFbIXYswW2S5SMKo44LPsdTG4P4kfP5VRdAS5E_4o"",""BD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Sangria"")"),"")</f>
        <v/>
      </c>
      <c r="M136" s="185">
        <f>IFERROR(__xludf.DUMMYFUNCTION("ifna(VALUE(REGEXEXTRACT(E136,""[0-9.]+[,]+[0-9]+"")))"),100.0)</f>
        <v>100</v>
      </c>
      <c r="N136" s="229"/>
      <c r="O136" s="230"/>
      <c r="P136" s="230"/>
      <c r="Q136" s="231" t="str">
        <f t="shared" si="2"/>
        <v/>
      </c>
      <c r="R136" s="230" t="str">
        <f t="shared" si="3"/>
        <v/>
      </c>
      <c r="S136" s="227" t="str">
        <f t="shared" si="4"/>
        <v/>
      </c>
      <c r="T136" s="185"/>
      <c r="U136" s="185"/>
      <c r="V136" s="185"/>
    </row>
    <row r="137" ht="14.25" customHeight="1">
      <c r="A137" s="178"/>
      <c r="B137" s="10">
        <v>1676681.0</v>
      </c>
      <c r="C137" s="11">
        <v>45912.79349537037</v>
      </c>
      <c r="D137" s="179" t="s">
        <v>227</v>
      </c>
      <c r="E137" s="180" t="s">
        <v>494</v>
      </c>
      <c r="F137" s="181"/>
      <c r="G137" s="179" t="s">
        <v>6815</v>
      </c>
      <c r="H137" s="190"/>
      <c r="I137" s="190"/>
      <c r="J137" s="187" t="s">
        <v>3874</v>
      </c>
      <c r="K137" s="187"/>
      <c r="L137" s="184" t="str">
        <f>IFERROR(__xludf.DUMMYFUNCTION("ifna(IF(and(D137=""Saída"",J137=""Sangria""),if(sum(QUERY(IMPORTRANGE(""https://docs.google.com/spreadsheets/d/1wBSFbIXYswW2S5SMKo44LPsdTG4P4kfP5VRdAS5E_4o"",""BD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'""&amp;YEAR(C137)&amp;""-""&amp;MONTH(C137)&amp;""-""&amp;DAY(C137)&amp;""'""))&gt;0,""Depositada"",if(sum(QUERY(IMPORTRANGE(""https://docs.google.com/spreadsheets/d/1wBSFbIXYswW2S5SMKo44LPsdTG4P4kfP5VRdAS5E_4o"",""BD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>
        <f>IFERROR(__xludf.DUMMYFUNCTION("ifna(VALUE(REGEXEXTRACT(E137,""[0-9.]+[,]+[0-9]+"")))"),0.01)</f>
        <v>0.01</v>
      </c>
      <c r="N137" s="229"/>
      <c r="O137" s="230"/>
      <c r="P137" s="230"/>
      <c r="Q137" s="231" t="str">
        <f t="shared" si="2"/>
        <v/>
      </c>
      <c r="R137" s="230" t="str">
        <f t="shared" si="3"/>
        <v/>
      </c>
      <c r="S137" s="227" t="str">
        <f t="shared" si="4"/>
        <v/>
      </c>
      <c r="T137" s="185"/>
      <c r="U137" s="185"/>
      <c r="V137" s="185"/>
    </row>
    <row r="138" ht="14.25" customHeight="1">
      <c r="A138" s="178"/>
      <c r="B138" s="10">
        <v>1676709.0</v>
      </c>
      <c r="C138" s="11">
        <v>45912.80126157407</v>
      </c>
      <c r="D138" s="179" t="s">
        <v>50</v>
      </c>
      <c r="E138" s="180" t="s">
        <v>6818</v>
      </c>
      <c r="F138" s="181"/>
      <c r="G138" s="179" t="s">
        <v>6696</v>
      </c>
      <c r="H138" s="190"/>
      <c r="I138" s="190"/>
      <c r="J138" s="187" t="s">
        <v>3044</v>
      </c>
      <c r="K138" s="187" t="s">
        <v>3040</v>
      </c>
      <c r="L138" s="184" t="str">
        <f>IFERROR(__xludf.DUMMYFUNCTION("ifna(IF(and(D138=""Saída"",J138=""Sangria""),if(sum(QUERY(IMPORTRANGE(""https://docs.google.com/spreadsheets/d/1wBSFbIXYswW2S5SMKo44LPsdTG4P4kfP5VRdAS5E_4o"",""BD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'""&amp;YEAR(C138)&amp;""-""&amp;MONTH(C138)&amp;""-""&amp;DAY(C138)&amp;""'""))&gt;0,""Depositada"",if(sum(QUERY(IMPORTRANGE(""https://docs.google.com/spreadsheets/d/1wBSFbIXYswW2S5SMKo44LPsdTG4P4kfP5VRdAS5E_4o"",""BD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Sangria"")"),"")</f>
        <v/>
      </c>
      <c r="M138" s="185">
        <f>IFERROR(__xludf.DUMMYFUNCTION("ifna(VALUE(REGEXEXTRACT(E138,""[0-9.]+[,]+[0-9]+"")))"),26.2)</f>
        <v>26.2</v>
      </c>
      <c r="N138" s="232"/>
      <c r="O138" s="233"/>
      <c r="P138" s="233"/>
      <c r="Q138" s="234" t="str">
        <f t="shared" si="2"/>
        <v/>
      </c>
      <c r="R138" s="233" t="str">
        <f t="shared" si="3"/>
        <v/>
      </c>
      <c r="S138" s="235" t="str">
        <f t="shared" si="4"/>
        <v/>
      </c>
      <c r="T138" s="185"/>
      <c r="U138" s="185"/>
      <c r="V138" s="185"/>
    </row>
    <row r="139" ht="14.25" customHeight="1">
      <c r="A139" s="178"/>
      <c r="B139" s="10">
        <v>1676819.0</v>
      </c>
      <c r="C139" s="11">
        <v>45912.834699074076</v>
      </c>
      <c r="D139" s="179" t="s">
        <v>50</v>
      </c>
      <c r="E139" s="180" t="s">
        <v>6819</v>
      </c>
      <c r="F139" s="181"/>
      <c r="G139" s="179" t="s">
        <v>6820</v>
      </c>
      <c r="H139" s="190"/>
      <c r="I139" s="190"/>
      <c r="J139" s="187" t="s">
        <v>3903</v>
      </c>
      <c r="K139" s="187"/>
      <c r="L139" s="184" t="str">
        <f>IFERROR(__xludf.DUMMYFUNCTION("ifna(IF(and(D139=""Saída"",J139=""Sangria""),if(sum(QUERY(IMPORTRANGE(""https://docs.google.com/spreadsheets/d/1wBSFbIXYswW2S5SMKo44LPsdTG4P4kfP5VRdAS5E_4o"",""BD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'""&amp;YEAR(C139)&amp;""-""&amp;MONTH(C139)&amp;""-""&amp;DAY(C139)&amp;""'""))&gt;0,""Depositada"",if(sum(QUERY(IMPORTRANGE(""https://docs.google.com/spreadsheets/d/1wBSFbIXYswW2S5SMKo44LPsdTG4P4kfP5VRdAS5E_4o"",""BD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>
        <f>IFERROR(__xludf.DUMMYFUNCTION("ifna(VALUE(REGEXEXTRACT(E139,""[0-9.]+[,]+[0-9]+"")))"),17.59)</f>
        <v>17.59</v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0">
        <v>1676822.0</v>
      </c>
      <c r="C140" s="11">
        <v>45912.83625</v>
      </c>
      <c r="D140" s="179" t="s">
        <v>50</v>
      </c>
      <c r="E140" s="180" t="s">
        <v>6739</v>
      </c>
      <c r="F140" s="181"/>
      <c r="G140" s="179" t="s">
        <v>6822</v>
      </c>
      <c r="H140" s="190"/>
      <c r="I140" s="190"/>
      <c r="J140" s="187" t="s">
        <v>3903</v>
      </c>
      <c r="K140" s="187"/>
      <c r="L140" s="184" t="str">
        <f>IFERROR(__xludf.DUMMYFUNCTION("ifna(IF(and(D140=""Saída"",J140=""Sangria""),if(sum(QUERY(IMPORTRANGE(""https://docs.google.com/spreadsheets/d/1wBSFbIXYswW2S5SMKo44LPsdTG4P4kfP5VRdAS5E_4o"",""BD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'""&amp;YEAR(C140)&amp;""-""&amp;MONTH(C140)&amp;""-""&amp;DAY(C140)&amp;""'""))&gt;0,""Depositada"",if(sum(QUERY(IMPORTRANGE(""https://docs.google.com/spreadsheets/d/1wBSFbIXYswW2S5SMKo44LPsdTG4P4kfP5VRdAS5E_4o"",""BD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Sangria"")"),"")</f>
        <v/>
      </c>
      <c r="M140" s="185">
        <f>IFERROR(__xludf.DUMMYFUNCTION("ifna(VALUE(REGEXEXTRACT(E140,""[0-9.]+[,]+[0-9]+"")))"),350.0)</f>
        <v>350</v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0">
        <v>1676824.0</v>
      </c>
      <c r="C141" s="11">
        <v>45912.83667824074</v>
      </c>
      <c r="D141" s="179" t="s">
        <v>50</v>
      </c>
      <c r="E141" s="180" t="s">
        <v>6824</v>
      </c>
      <c r="F141" s="181"/>
      <c r="G141" s="179" t="s">
        <v>6825</v>
      </c>
      <c r="H141" s="190"/>
      <c r="I141" s="190"/>
      <c r="J141" s="187" t="s">
        <v>3903</v>
      </c>
      <c r="K141" s="187"/>
      <c r="L141" s="184" t="str">
        <f>IFERROR(__xludf.DUMMYFUNCTION("ifna(IF(and(D141=""Saída"",J141=""Sangria""),if(sum(QUERY(IMPORTRANGE(""https://docs.google.com/spreadsheets/d/1wBSFbIXYswW2S5SMKo44LPsdTG4P4kfP5VRdAS5E_4o"",""BD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'""&amp;YEAR(C141)&amp;""-""&amp;MONTH(C141)&amp;""-""&amp;DAY(C141)&amp;""'""))&gt;0,""Depositada"",if(sum(QUERY(IMPORTRANGE(""https://docs.google.com/spreadsheets/d/1wBSFbIXYswW2S5SMKo44LPsdTG4P4kfP5VRdAS5E_4o"",""BD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>
        <f>IFERROR(__xludf.DUMMYFUNCTION("ifna(VALUE(REGEXEXTRACT(E141,""[0-9.]+[,]+[0-9]+"")))"),55.77)</f>
        <v>55.77</v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0">
        <v>1677136.0</v>
      </c>
      <c r="C142" s="11">
        <v>45912.92020833334</v>
      </c>
      <c r="D142" s="179" t="s">
        <v>50</v>
      </c>
      <c r="E142" s="180" t="s">
        <v>6827</v>
      </c>
      <c r="F142" s="181"/>
      <c r="G142" s="179" t="s">
        <v>4960</v>
      </c>
      <c r="H142" s="190"/>
      <c r="I142" s="190"/>
      <c r="J142" s="187" t="s">
        <v>3044</v>
      </c>
      <c r="K142" s="187" t="s">
        <v>3168</v>
      </c>
      <c r="L142" s="184" t="str">
        <f>IFERROR(__xludf.DUMMYFUNCTION("ifna(IF(and(D142=""Saída"",J142=""Sangria""),if(sum(QUERY(IMPORTRANGE(""https://docs.google.com/spreadsheets/d/1wBSFbIXYswW2S5SMKo44LPsdTG4P4kfP5VRdAS5E_4o"",""BD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'""&amp;YEAR(C142)&amp;""-""&amp;MONTH(C142)&amp;""-""&amp;DAY(C142)&amp;""'""))&gt;0,""Depositada"",if(sum(QUERY(IMPORTRANGE(""https://docs.google.com/spreadsheets/d/1wBSFbIXYswW2S5SMKo44LPsdTG4P4kfP5VRdAS5E_4o"",""BD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Sangria"")"),"")</f>
        <v/>
      </c>
      <c r="M142" s="185">
        <f>IFERROR(__xludf.DUMMYFUNCTION("ifna(VALUE(REGEXEXTRACT(E142,""[0-9.]+[,]+[0-9]+"")))"),15.46)</f>
        <v>15.46</v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0">
        <v>1677673.0</v>
      </c>
      <c r="C143" s="11">
        <v>45913.56693287037</v>
      </c>
      <c r="D143" s="179" t="s">
        <v>50</v>
      </c>
      <c r="E143" s="180" t="s">
        <v>157</v>
      </c>
      <c r="F143" s="181"/>
      <c r="G143" s="179" t="s">
        <v>6446</v>
      </c>
      <c r="H143" s="190"/>
      <c r="I143" s="190"/>
      <c r="J143" s="187" t="s">
        <v>3044</v>
      </c>
      <c r="K143" s="187" t="s">
        <v>3137</v>
      </c>
      <c r="L143" s="184" t="str">
        <f>IFERROR(__xludf.DUMMYFUNCTION("ifna(IF(and(D143=""Saída"",J143=""Sangria""),if(sum(QUERY(IMPORTRANGE(""https://docs.google.com/spreadsheets/d/1wBSFbIXYswW2S5SMKo44LPsdTG4P4kfP5VRdAS5E_4o"",""BD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'""&amp;YEAR(C143)&amp;""-""&amp;MONTH(C143)&amp;""-""&amp;DAY(C143)&amp;""'""))&gt;0,""Depositada"",if(sum(QUERY(IMPORTRANGE(""https://docs.google.com/spreadsheets/d/1wBSFbIXYswW2S5SMKo44LPsdTG4P4kfP5VRdAS5E_4o"",""BD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>
        <f>IFERROR(__xludf.DUMMYFUNCTION("ifna(VALUE(REGEXEXTRACT(E143,""[0-9.]+[,]+[0-9]+"")))"),5.0)</f>
        <v>5</v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0">
        <v>1677686.0</v>
      </c>
      <c r="C144" s="11">
        <v>45913.571875</v>
      </c>
      <c r="D144" s="179" t="s">
        <v>50</v>
      </c>
      <c r="E144" s="180" t="s">
        <v>6831</v>
      </c>
      <c r="F144" s="188"/>
      <c r="G144" s="179" t="s">
        <v>6832</v>
      </c>
      <c r="H144" s="190"/>
      <c r="I144" s="190"/>
      <c r="J144" s="187" t="s">
        <v>3903</v>
      </c>
      <c r="K144" s="187"/>
      <c r="L144" s="184" t="str">
        <f>IFERROR(__xludf.DUMMYFUNCTION("ifna(IF(and(D144=""Saída"",J144=""Sangria""),if(sum(QUERY(IMPORTRANGE(""https://docs.google.com/spreadsheets/d/1wBSFbIXYswW2S5SMKo44LPsdTG4P4kfP5VRdAS5E_4o"",""BD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'""&amp;YEAR(C144)&amp;""-""&amp;MONTH(C144)&amp;""-""&amp;DAY(C144)&amp;""'""))&gt;0,""Depositada"",if(sum(QUERY(IMPORTRANGE(""https://docs.google.com/spreadsheets/d/1wBSFbIXYswW2S5SMKo44LPsdTG4P4kfP5VRdAS5E_4o"",""BD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>
        <f>IFERROR(__xludf.DUMMYFUNCTION("ifna(VALUE(REGEXEXTRACT(E144,""[0-9.]+[,]+[0-9]+"")))"),21.96)</f>
        <v>21.96</v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0">
        <v>1678633.0</v>
      </c>
      <c r="C145" s="11">
        <v>45913.79416666667</v>
      </c>
      <c r="D145" s="179" t="s">
        <v>50</v>
      </c>
      <c r="E145" s="180" t="s">
        <v>6382</v>
      </c>
      <c r="F145" s="181"/>
      <c r="G145" s="179" t="s">
        <v>6836</v>
      </c>
      <c r="H145" s="190"/>
      <c r="I145" s="190"/>
      <c r="J145" s="187" t="s">
        <v>3825</v>
      </c>
      <c r="K145" s="187"/>
      <c r="L145" s="184" t="str">
        <f>IFERROR(__xludf.DUMMYFUNCTION("ifna(IF(and(D145=""Saída"",J145=""Sangria""),if(sum(QUERY(IMPORTRANGE(""https://docs.google.com/spreadsheets/d/1wBSFbIXYswW2S5SMKo44LPsdTG4P4kfP5VRdAS5E_4o"",""BD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'""&amp;YEAR(C145)&amp;""-""&amp;MONTH(C145)&amp;""-""&amp;DAY(C145)&amp;""'""))&gt;0,""Depositada"",if(sum(QUERY(IMPORTRANGE(""https://docs.google.com/spreadsheets/d/1wBSFbIXYswW2S5SMKo44LPsdTG4P4kfP5VRdAS5E_4o"",""BD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>
        <f>IFERROR(__xludf.DUMMYFUNCTION("ifna(VALUE(REGEXEXTRACT(E145,""[0-9.]+[,]+[0-9]+"")))"),65.0)</f>
        <v>65</v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6.5" customHeight="1">
      <c r="A146" s="178"/>
      <c r="B146" s="10">
        <v>1679212.0</v>
      </c>
      <c r="C146" s="11">
        <v>45913.91013888889</v>
      </c>
      <c r="D146" s="179" t="s">
        <v>50</v>
      </c>
      <c r="E146" s="180" t="s">
        <v>3819</v>
      </c>
      <c r="F146" s="181"/>
      <c r="G146" s="179" t="s">
        <v>6840</v>
      </c>
      <c r="H146" s="190"/>
      <c r="I146" s="190"/>
      <c r="J146" s="187" t="s">
        <v>3825</v>
      </c>
      <c r="K146" s="187"/>
      <c r="L146" s="184" t="str">
        <f>IFERROR(__xludf.DUMMYFUNCTION("ifna(IF(and(D146=""Saída"",J146=""Sangria""),if(sum(QUERY(IMPORTRANGE(""https://docs.google.com/spreadsheets/d/1wBSFbIXYswW2S5SMKo44LPsdTG4P4kfP5VRdAS5E_4o"",""BD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'""&amp;YEAR(C146)&amp;""-""&amp;MONTH(C146)&amp;""-""&amp;DAY(C146)&amp;""'""))&gt;0,""Depositada"",if(sum(QUERY(IMPORTRANGE(""https://docs.google.com/spreadsheets/d/1wBSFbIXYswW2S5SMKo44LPsdTG4P4kfP5VRdAS5E_4o"",""BD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>
        <f>IFERROR(__xludf.DUMMYFUNCTION("ifna(VALUE(REGEXEXTRACT(E146,""[0-9.]+[,]+[0-9]+"")))"),110.5)</f>
        <v>110.5</v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0">
        <v>1679215.0</v>
      </c>
      <c r="C147" s="11">
        <v>45913.91138888889</v>
      </c>
      <c r="D147" s="179" t="s">
        <v>50</v>
      </c>
      <c r="E147" s="180" t="s">
        <v>6844</v>
      </c>
      <c r="F147" s="181"/>
      <c r="G147" s="179" t="s">
        <v>6845</v>
      </c>
      <c r="H147" s="190"/>
      <c r="I147" s="190"/>
      <c r="J147" s="187" t="s">
        <v>3825</v>
      </c>
      <c r="K147" s="187"/>
      <c r="L147" s="184" t="str">
        <f>IFERROR(__xludf.DUMMYFUNCTION("ifna(IF(and(D147=""Saída"",J147=""Sangria""),if(sum(QUERY(IMPORTRANGE(""https://docs.google.com/spreadsheets/d/1wBSFbIXYswW2S5SMKo44LPsdTG4P4kfP5VRdAS5E_4o"",""BD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'""&amp;YEAR(C147)&amp;""-""&amp;MONTH(C147)&amp;""-""&amp;DAY(C147)&amp;""'""))&gt;0,""Depositada"",if(sum(QUERY(IMPORTRANGE(""https://docs.google.com/spreadsheets/d/1wBSFbIXYswW2S5SMKo44LPsdTG4P4kfP5VRdAS5E_4o"",""BD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>
        <f>IFERROR(__xludf.DUMMYFUNCTION("ifna(VALUE(REGEXEXTRACT(E147,""[0-9.]+[,]+[0-9]+"")))"),123.5)</f>
        <v>123.5</v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0">
        <v>1679237.0</v>
      </c>
      <c r="C148" s="11">
        <v>45913.91385416667</v>
      </c>
      <c r="D148" s="179" t="s">
        <v>50</v>
      </c>
      <c r="E148" s="180" t="s">
        <v>6848</v>
      </c>
      <c r="F148" s="181"/>
      <c r="G148" s="179" t="s">
        <v>6850</v>
      </c>
      <c r="H148" s="190"/>
      <c r="I148" s="190"/>
      <c r="J148" s="187" t="s">
        <v>3746</v>
      </c>
      <c r="K148" s="187" t="s">
        <v>3168</v>
      </c>
      <c r="L148" s="184" t="str">
        <f>IFERROR(__xludf.DUMMYFUNCTION("ifna(IF(and(D148=""Saída"",J148=""Sangria""),if(sum(QUERY(IMPORTRANGE(""https://docs.google.com/spreadsheets/d/1wBSFbIXYswW2S5SMKo44LPsdTG4P4kfP5VRdAS5E_4o"",""BD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'""&amp;YEAR(C148)&amp;""-""&amp;MONTH(C148)&amp;""-""&amp;DAY(C148)&amp;""'""))&gt;0,""Depositada"",if(sum(QUERY(IMPORTRANGE(""https://docs.google.com/spreadsheets/d/1wBSFbIXYswW2S5SMKo44LPsdTG4P4kfP5VRdAS5E_4o"",""BD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Sangria"")"),"#REF!")</f>
        <v>#REF!</v>
      </c>
      <c r="M148" s="185">
        <f>IFERROR(__xludf.DUMMYFUNCTION("ifna(VALUE(REGEXEXTRACT(E148,""[0-9.]+[,]+[0-9]+"")))"),1350.0)</f>
        <v>1350</v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0">
        <v>1679282.0</v>
      </c>
      <c r="C149" s="11">
        <v>45913.917233796295</v>
      </c>
      <c r="D149" s="179" t="s">
        <v>50</v>
      </c>
      <c r="E149" s="180" t="s">
        <v>1294</v>
      </c>
      <c r="F149" s="181"/>
      <c r="G149" s="179" t="s">
        <v>4639</v>
      </c>
      <c r="H149" s="190"/>
      <c r="I149" s="190"/>
      <c r="J149" s="187" t="s">
        <v>3044</v>
      </c>
      <c r="K149" s="187" t="s">
        <v>3137</v>
      </c>
      <c r="L149" s="184" t="str">
        <f>IFERROR(__xludf.DUMMYFUNCTION("ifna(IF(and(D149=""Saída"",J149=""Sangria""),if(sum(QUERY(IMPORTRANGE(""https://docs.google.com/spreadsheets/d/1wBSFbIXYswW2S5SMKo44LPsdTG4P4kfP5VRdAS5E_4o"",""BD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'""&amp;YEAR(C149)&amp;""-""&amp;MONTH(C149)&amp;""-""&amp;DAY(C149)&amp;""'""))&gt;0,""Depositada"",if(sum(QUERY(IMPORTRANGE(""https://docs.google.com/spreadsheets/d/1wBSFbIXYswW2S5SMKo44LPsdTG4P4kfP5VRdAS5E_4o"",""BD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>
        <f>IFERROR(__xludf.DUMMYFUNCTION("ifna(VALUE(REGEXEXTRACT(E149,""[0-9.]+[,]+[0-9]+"")))"),16.61)</f>
        <v>16.61</v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0">
        <v>1680014.0</v>
      </c>
      <c r="C150" s="11">
        <v>45914.561631944445</v>
      </c>
      <c r="D150" s="179" t="s">
        <v>50</v>
      </c>
      <c r="E150" s="180" t="s">
        <v>6855</v>
      </c>
      <c r="F150" s="188"/>
      <c r="G150" s="179" t="s">
        <v>6649</v>
      </c>
      <c r="H150" s="190"/>
      <c r="I150" s="190"/>
      <c r="J150" s="187" t="s">
        <v>3903</v>
      </c>
      <c r="K150" s="187"/>
      <c r="L150" s="184" t="str">
        <f>IFERROR(__xludf.DUMMYFUNCTION("ifna(IF(and(D150=""Saída"",J150=""Sangria""),if(sum(QUERY(IMPORTRANGE(""https://docs.google.com/spreadsheets/d/1wBSFbIXYswW2S5SMKo44LPsdTG4P4kfP5VRdAS5E_4o"",""BD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'""&amp;YEAR(C150)&amp;""-""&amp;MONTH(C150)&amp;""-""&amp;DAY(C150)&amp;""'""))&gt;0,""Depositada"",if(sum(QUERY(IMPORTRANGE(""https://docs.google.com/spreadsheets/d/1wBSFbIXYswW2S5SMKo44LPsdTG4P4kfP5VRdAS5E_4o"",""BD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>
        <f>IFERROR(__xludf.DUMMYFUNCTION("ifna(VALUE(REGEXEXTRACT(E150,""[0-9.]+[,]+[0-9]+"")))"),16.33)</f>
        <v>16.33</v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0">
        <v>1681499.0</v>
      </c>
      <c r="C151" s="11">
        <v>45914.84361111111</v>
      </c>
      <c r="D151" s="179" t="s">
        <v>50</v>
      </c>
      <c r="E151" s="180" t="s">
        <v>157</v>
      </c>
      <c r="F151" s="181"/>
      <c r="G151" s="179" t="s">
        <v>4983</v>
      </c>
      <c r="H151" s="190"/>
      <c r="I151" s="190"/>
      <c r="J151" s="187" t="s">
        <v>3044</v>
      </c>
      <c r="K151" s="187" t="s">
        <v>3077</v>
      </c>
      <c r="L151" s="184" t="str">
        <f>IFERROR(__xludf.DUMMYFUNCTION("ifna(IF(and(D151=""Saída"",J151=""Sangria""),if(sum(QUERY(IMPORTRANGE(""https://docs.google.com/spreadsheets/d/1wBSFbIXYswW2S5SMKo44LPsdTG4P4kfP5VRdAS5E_4o"",""BD M Sangrias!a:i""),""select Col6 where Col7 = 'Depositada' and Col9 = '""&amp;K151&amp;""' and Col6 ="&amp;" ""&amp;M151&amp;"" and Col4 = date '""&amp;YEAR(C151)&amp;""-""&amp;MONTH(C151)&amp;""-""&amp;DAY(C151)&amp;""'""))&gt;0,""Depositada"",if(sum(QUERY(IMPORTRANGE(""https://docs.google.com/spreadsheets/d/1wBSFbIXYswW2S5SMKo44LPsdTG4P4kfP5VRdAS5E_4o"",""BD M Sangrias!a:i""),""select Col6 whe"&amp;"re Col7 = 'Caixa Atendimento' and Col9 = '""&amp;K151&amp;""' and Col6 = ""&amp;M151&amp;"" and Col4 = date '""&amp;YEAR(C151)&amp;""-""&amp;MONTH(C151)&amp;""-""&amp;DAY(C151)&amp;""'""))&gt;0,""Caixa Atendimento"",""Caixa Sangria"")),""""),""Caixa Sangria"")"),"")</f>
        <v/>
      </c>
      <c r="M151" s="185">
        <f>IFERROR(__xludf.DUMMYFUNCTION("ifna(VALUE(REGEXEXTRACT(E151,""[0-9.]+[,]+[0-9]+"")))"),5.0)</f>
        <v>5</v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0">
        <v>1681867.0</v>
      </c>
      <c r="C152" s="11">
        <v>45914.89712962963</v>
      </c>
      <c r="D152" s="179" t="s">
        <v>50</v>
      </c>
      <c r="E152" s="180" t="s">
        <v>6863</v>
      </c>
      <c r="F152" s="181"/>
      <c r="G152" s="179" t="s">
        <v>6865</v>
      </c>
      <c r="H152" s="190"/>
      <c r="I152" s="190"/>
      <c r="J152" s="187" t="s">
        <v>3044</v>
      </c>
      <c r="K152" s="187" t="s">
        <v>3040</v>
      </c>
      <c r="L152" s="184" t="str">
        <f>IFERROR(__xludf.DUMMYFUNCTION("ifna(IF(and(D152=""Saída"",J152=""Sangria""),if(sum(QUERY(IMPORTRANGE(""https://docs.google.com/spreadsheets/d/1wBSFbIXYswW2S5SMKo44LPsdTG4P4kfP5VRdAS5E_4o"",""BD M Sangrias!a:i""),""select Col6 where Col7 = 'Depositada' and Col9 = '""&amp;K152&amp;""' and Col6 ="&amp;" ""&amp;M152&amp;"" and Col4 = date '""&amp;YEAR(C152)&amp;""-""&amp;MONTH(C152)&amp;""-""&amp;DAY(C152)&amp;""'""))&gt;0,""Depositada"",if(sum(QUERY(IMPORTRANGE(""https://docs.google.com/spreadsheets/d/1wBSFbIXYswW2S5SMKo44LPsdTG4P4kfP5VRdAS5E_4o"",""BD M Sangrias!a:i""),""select Col6 whe"&amp;"re Col7 = 'Caixa Atendimento' and Col9 = '""&amp;K152&amp;""' and Col6 = ""&amp;M152&amp;"" and Col4 = date '""&amp;YEAR(C152)&amp;""-""&amp;MONTH(C152)&amp;""-""&amp;DAY(C152)&amp;""'""))&gt;0,""Caixa Atendimento"",""Caixa Sangria"")),""""),""Caixa Sangria"")"),"")</f>
        <v/>
      </c>
      <c r="M152" s="185">
        <f>IFERROR(__xludf.DUMMYFUNCTION("ifna(VALUE(REGEXEXTRACT(E152,""[0-9.]+[,]+[0-9]+"")))"),84.4)</f>
        <v>84.4</v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0">
        <v>1681874.0</v>
      </c>
      <c r="C153" s="11">
        <v>45914.89761574074</v>
      </c>
      <c r="D153" s="179" t="s">
        <v>50</v>
      </c>
      <c r="E153" s="180" t="s">
        <v>6868</v>
      </c>
      <c r="F153" s="181"/>
      <c r="G153" s="179" t="s">
        <v>4960</v>
      </c>
      <c r="H153" s="190"/>
      <c r="I153" s="190"/>
      <c r="J153" s="187" t="s">
        <v>3044</v>
      </c>
      <c r="K153" s="187" t="s">
        <v>3168</v>
      </c>
      <c r="L153" s="184" t="str">
        <f>IFERROR(__xludf.DUMMYFUNCTION("ifna(IF(and(D153=""Saída"",J153=""Sangria""),if(sum(QUERY(IMPORTRANGE(""https://docs.google.com/spreadsheets/d/1wBSFbIXYswW2S5SMKo44LPsdTG4P4kfP5VRdAS5E_4o"",""BD M Sangrias!a:i""),""select Col6 where Col7 = 'Depositada' and Col9 = '""&amp;K153&amp;""' and Col6 ="&amp;" ""&amp;M153&amp;"" and Col4 = date '""&amp;YEAR(C153)&amp;""-""&amp;MONTH(C153)&amp;""-""&amp;DAY(C153)&amp;""'""))&gt;0,""Depositada"",if(sum(QUERY(IMPORTRANGE(""https://docs.google.com/spreadsheets/d/1wBSFbIXYswW2S5SMKo44LPsdTG4P4kfP5VRdAS5E_4o"",""BD M Sangrias!a:i""),""select Col6 whe"&amp;"re Col7 = 'Caixa Atendimento' and Col9 = '""&amp;K153&amp;""' and Col6 = ""&amp;M153&amp;"" and Col4 = date '""&amp;YEAR(C153)&amp;""-""&amp;MONTH(C153)&amp;""-""&amp;DAY(C153)&amp;""'""))&gt;0,""Caixa Atendimento"",""Caixa Sangria"")),""""),""Caixa Sangria"")"),"")</f>
        <v/>
      </c>
      <c r="M153" s="185">
        <f>IFERROR(__xludf.DUMMYFUNCTION("ifna(VALUE(REGEXEXTRACT(E153,""[0-9.]+[,]+[0-9]+"")))"),35.78)</f>
        <v>35.78</v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0">
        <v>1681959.0</v>
      </c>
      <c r="C154" s="11">
        <v>45914.90678240741</v>
      </c>
      <c r="D154" s="179" t="s">
        <v>50</v>
      </c>
      <c r="E154" s="180" t="s">
        <v>4449</v>
      </c>
      <c r="F154" s="181"/>
      <c r="G154" s="179" t="s">
        <v>6870</v>
      </c>
      <c r="H154" s="190"/>
      <c r="I154" s="190"/>
      <c r="J154" s="187" t="s">
        <v>3825</v>
      </c>
      <c r="K154" s="187"/>
      <c r="L154" s="184" t="str">
        <f>IFERROR(__xludf.DUMMYFUNCTION("ifna(IF(and(D154=""Saída"",J154=""Sangria""),if(sum(QUERY(IMPORTRANGE(""https://docs.google.com/spreadsheets/d/1wBSFbIXYswW2S5SMKo44LPsdTG4P4kfP5VRdAS5E_4o"",""BD M Sangrias!a:i""),""select Col6 where Col7 = 'Depositada' and Col9 = '""&amp;K154&amp;""' and Col6 ="&amp;" ""&amp;M154&amp;"" and Col4 = date '""&amp;YEAR(C154)&amp;""-""&amp;MONTH(C154)&amp;""-""&amp;DAY(C154)&amp;""'""))&gt;0,""Depositada"",if(sum(QUERY(IMPORTRANGE(""https://docs.google.com/spreadsheets/d/1wBSFbIXYswW2S5SMKo44LPsdTG4P4kfP5VRdAS5E_4o"",""BD M Sangrias!a:i""),""select Col6 whe"&amp;"re Col7 = 'Caixa Atendimento' and Col9 = '""&amp;K154&amp;""' and Col6 = ""&amp;M154&amp;"" and Col4 = date '""&amp;YEAR(C154)&amp;""-""&amp;MONTH(C154)&amp;""-""&amp;DAY(C154)&amp;""'""))&gt;0,""Caixa Atendimento"",""Caixa Sangria"")),""""),""Caixa Sangria"")"),"")</f>
        <v/>
      </c>
      <c r="M154" s="185">
        <f>IFERROR(__xludf.DUMMYFUNCTION("ifna(VALUE(REGEXEXTRACT(E154,""[0-9.]+[,]+[0-9]+"")))"),124.0)</f>
        <v>124</v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0">
        <v>1681963.0</v>
      </c>
      <c r="C155" s="11">
        <v>45914.90708333333</v>
      </c>
      <c r="D155" s="179" t="s">
        <v>50</v>
      </c>
      <c r="E155" s="180" t="s">
        <v>4449</v>
      </c>
      <c r="F155" s="181"/>
      <c r="G155" s="179" t="s">
        <v>6871</v>
      </c>
      <c r="H155" s="190"/>
      <c r="I155" s="190"/>
      <c r="J155" s="187" t="s">
        <v>3825</v>
      </c>
      <c r="K155" s="187"/>
      <c r="L155" s="184" t="str">
        <f>IFERROR(__xludf.DUMMYFUNCTION("ifna(IF(and(D155=""Saída"",J155=""Sangria""),if(sum(QUERY(IMPORTRANGE(""https://docs.google.com/spreadsheets/d/1wBSFbIXYswW2S5SMKo44LPsdTG4P4kfP5VRdAS5E_4o"",""BD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'""&amp;YEAR(C155)&amp;""-""&amp;MONTH(C155)&amp;""-""&amp;DAY(C155)&amp;""'""))&gt;0,""Depositada"",if(sum(QUERY(IMPORTRANGE(""https://docs.google.com/spreadsheets/d/1wBSFbIXYswW2S5SMKo44LPsdTG4P4kfP5VRdAS5E_4o"",""BD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>
        <f>IFERROR(__xludf.DUMMYFUNCTION("ifna(VALUE(REGEXEXTRACT(E155,""[0-9.]+[,]+[0-9]+"")))"),124.0)</f>
        <v>124</v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0">
        <v>1682000.0</v>
      </c>
      <c r="C156" s="11">
        <v>45914.90951388889</v>
      </c>
      <c r="D156" s="179" t="s">
        <v>50</v>
      </c>
      <c r="E156" s="180" t="s">
        <v>6612</v>
      </c>
      <c r="F156" s="181"/>
      <c r="G156" s="179" t="s">
        <v>6876</v>
      </c>
      <c r="H156" s="190"/>
      <c r="I156" s="190"/>
      <c r="J156" s="187" t="s">
        <v>3746</v>
      </c>
      <c r="K156" s="187" t="s">
        <v>3040</v>
      </c>
      <c r="L156" s="184" t="str">
        <f>IFERROR(__xludf.DUMMYFUNCTION("ifna(IF(and(D156=""Saída"",J156=""Sangria""),if(sum(QUERY(IMPORTRANGE(""https://docs.google.com/spreadsheets/d/1wBSFbIXYswW2S5SMKo44LPsdTG4P4kfP5VRdAS5E_4o"",""BD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'""&amp;YEAR(C156)&amp;""-""&amp;MONTH(C156)&amp;""-""&amp;DAY(C156)&amp;""'""))&gt;0,""Depositada"",if(sum(QUERY(IMPORTRANGE(""https://docs.google.com/spreadsheets/d/1wBSFbIXYswW2S5SMKo44LPsdTG4P4kfP5VRdAS5E_4o"",""BD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Sangria"")"),"#REF!")</f>
        <v>#REF!</v>
      </c>
      <c r="M156" s="185">
        <f>IFERROR(__xludf.DUMMYFUNCTION("ifna(VALUE(REGEXEXTRACT(E156,""[0-9.]+[,]+[0-9]+"")))"),2000.0)</f>
        <v>2000</v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0">
        <v>1683444.0</v>
      </c>
      <c r="C157" s="11">
        <v>45915.708391203705</v>
      </c>
      <c r="D157" s="179" t="s">
        <v>50</v>
      </c>
      <c r="E157" s="180" t="s">
        <v>157</v>
      </c>
      <c r="F157" s="181"/>
      <c r="G157" s="179" t="s">
        <v>4960</v>
      </c>
      <c r="H157" s="190"/>
      <c r="I157" s="190"/>
      <c r="J157" s="187" t="s">
        <v>3044</v>
      </c>
      <c r="K157" s="187" t="s">
        <v>3168</v>
      </c>
      <c r="L157" s="184" t="str">
        <f>IFERROR(__xludf.DUMMYFUNCTION("ifna(IF(and(D157=""Saída"",J157=""Sangria""),if(sum(QUERY(IMPORTRANGE(""https://docs.google.com/spreadsheets/d/1wBSFbIXYswW2S5SMKo44LPsdTG4P4kfP5VRdAS5E_4o"",""BD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'""&amp;YEAR(C157)&amp;""-""&amp;MONTH(C157)&amp;""-""&amp;DAY(C157)&amp;""'""))&gt;0,""Depositada"",if(sum(QUERY(IMPORTRANGE(""https://docs.google.com/spreadsheets/d/1wBSFbIXYswW2S5SMKo44LPsdTG4P4kfP5VRdAS5E_4o"",""BD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>
        <f>IFERROR(__xludf.DUMMYFUNCTION("ifna(VALUE(REGEXEXTRACT(E157,""[0-9.]+[,]+[0-9]+"")))"),5.0)</f>
        <v>5</v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19.5" customHeight="1">
      <c r="A158" s="178"/>
      <c r="B158" s="10">
        <v>1683466.0</v>
      </c>
      <c r="C158" s="11">
        <v>45915.71230324074</v>
      </c>
      <c r="D158" s="179" t="s">
        <v>50</v>
      </c>
      <c r="E158" s="180" t="s">
        <v>6883</v>
      </c>
      <c r="F158" s="181"/>
      <c r="G158" s="179" t="s">
        <v>6884</v>
      </c>
      <c r="H158" s="190"/>
      <c r="I158" s="190"/>
      <c r="J158" s="187" t="s">
        <v>3903</v>
      </c>
      <c r="K158" s="187"/>
      <c r="L158" s="184" t="str">
        <f>IFERROR(__xludf.DUMMYFUNCTION("ifna(IF(and(D158=""Saída"",J158=""Sangria""),if(sum(QUERY(IMPORTRANGE(""https://docs.google.com/spreadsheets/d/1wBSFbIXYswW2S5SMKo44LPsdTG4P4kfP5VRdAS5E_4o"",""BD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'""&amp;YEAR(C158)&amp;""-""&amp;MONTH(C158)&amp;""-""&amp;DAY(C158)&amp;""'""))&gt;0,""Depositada"",if(sum(QUERY(IMPORTRANGE(""https://docs.google.com/spreadsheets/d/1wBSFbIXYswW2S5SMKo44LPsdTG4P4kfP5VRdAS5E_4o"",""BD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>
        <f>IFERROR(__xludf.DUMMYFUNCTION("ifna(VALUE(REGEXEXTRACT(E158,""[0-9.]+[,]+[0-9]+"")))"),206.25)</f>
        <v>206.25</v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8.75" customHeight="1">
      <c r="A159" s="178"/>
      <c r="B159" s="10">
        <v>1683524.0</v>
      </c>
      <c r="C159" s="11">
        <v>45915.72930555556</v>
      </c>
      <c r="D159" s="179" t="s">
        <v>50</v>
      </c>
      <c r="E159" s="180" t="s">
        <v>157</v>
      </c>
      <c r="F159" s="181"/>
      <c r="G159" s="179" t="s">
        <v>4983</v>
      </c>
      <c r="H159" s="190"/>
      <c r="I159" s="190"/>
      <c r="J159" s="187" t="s">
        <v>3044</v>
      </c>
      <c r="K159" s="187" t="s">
        <v>3077</v>
      </c>
      <c r="L159" s="184" t="str">
        <f>IFERROR(__xludf.DUMMYFUNCTION("ifna(IF(and(D159=""Saída"",J159=""Sangria""),if(sum(QUERY(IMPORTRANGE(""https://docs.google.com/spreadsheets/d/1wBSFbIXYswW2S5SMKo44LPsdTG4P4kfP5VRdAS5E_4o"",""BD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'""&amp;YEAR(C159)&amp;""-""&amp;MONTH(C159)&amp;""-""&amp;DAY(C159)&amp;""'""))&gt;0,""Depositada"",if(sum(QUERY(IMPORTRANGE(""https://docs.google.com/spreadsheets/d/1wBSFbIXYswW2S5SMKo44LPsdTG4P4kfP5VRdAS5E_4o"",""BD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>
        <f>IFERROR(__xludf.DUMMYFUNCTION("ifna(VALUE(REGEXEXTRACT(E159,""[0-9.]+[,]+[0-9]+"")))"),5.0)</f>
        <v>5</v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6.5" customHeight="1">
      <c r="A160" s="178"/>
      <c r="B160" s="10">
        <v>1683787.0</v>
      </c>
      <c r="C160" s="11">
        <v>45915.80604166666</v>
      </c>
      <c r="D160" s="179" t="s">
        <v>50</v>
      </c>
      <c r="E160" s="180" t="s">
        <v>6890</v>
      </c>
      <c r="F160" s="188"/>
      <c r="G160" s="179" t="s">
        <v>4983</v>
      </c>
      <c r="H160" s="190"/>
      <c r="I160" s="190"/>
      <c r="J160" s="187" t="s">
        <v>3044</v>
      </c>
      <c r="K160" s="187" t="s">
        <v>3077</v>
      </c>
      <c r="L160" s="184" t="str">
        <f>IFERROR(__xludf.DUMMYFUNCTION("ifna(IF(and(D160=""Saída"",J160=""Sangria""),if(sum(QUERY(IMPORTRANGE(""https://docs.google.com/spreadsheets/d/1wBSFbIXYswW2S5SMKo44LPsdTG4P4kfP5VRdAS5E_4o"",""BD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'""&amp;YEAR(C160)&amp;""-""&amp;MONTH(C160)&amp;""-""&amp;DAY(C160)&amp;""'""))&gt;0,""Depositada"",if(sum(QUERY(IMPORTRANGE(""https://docs.google.com/spreadsheets/d/1wBSFbIXYswW2S5SMKo44LPsdTG4P4kfP5VRdAS5E_4o"",""BD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>
        <f>IFERROR(__xludf.DUMMYFUNCTION("ifna(VALUE(REGEXEXTRACT(E160,""[0-9.]+[,]+[0-9]+"")))"),26.47)</f>
        <v>26.47</v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6.5" customHeight="1">
      <c r="A161" s="178"/>
      <c r="B161" s="10">
        <v>1684648.0</v>
      </c>
      <c r="C161" s="11">
        <v>45916.54436342593</v>
      </c>
      <c r="D161" s="179" t="s">
        <v>50</v>
      </c>
      <c r="E161" s="180" t="s">
        <v>157</v>
      </c>
      <c r="F161" s="181"/>
      <c r="G161" s="179" t="s">
        <v>6446</v>
      </c>
      <c r="H161" s="190"/>
      <c r="I161" s="190"/>
      <c r="J161" s="187" t="s">
        <v>3044</v>
      </c>
      <c r="K161" s="187" t="s">
        <v>3137</v>
      </c>
      <c r="L161" s="184" t="str">
        <f>IFERROR(__xludf.DUMMYFUNCTION("ifna(IF(and(D161=""Saída"",J161=""Sangria""),if(sum(QUERY(IMPORTRANGE(""https://docs.google.com/spreadsheets/d/1wBSFbIXYswW2S5SMKo44LPsdTG4P4kfP5VRdAS5E_4o"",""BD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'""&amp;YEAR(C161)&amp;""-""&amp;MONTH(C161)&amp;""-""&amp;DAY(C161)&amp;""'""))&gt;0,""Depositada"",if(sum(QUERY(IMPORTRANGE(""https://docs.google.com/spreadsheets/d/1wBSFbIXYswW2S5SMKo44LPsdTG4P4kfP5VRdAS5E_4o"",""BD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>
        <f>IFERROR(__xludf.DUMMYFUNCTION("ifna(VALUE(REGEXEXTRACT(E161,""[0-9.]+[,]+[0-9]+"")))"),5.0)</f>
        <v>5</v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0">
        <v>1685376.0</v>
      </c>
      <c r="C162" s="11">
        <v>45916.776550925926</v>
      </c>
      <c r="D162" s="179" t="s">
        <v>50</v>
      </c>
      <c r="E162" s="180" t="s">
        <v>708</v>
      </c>
      <c r="F162" s="181"/>
      <c r="G162" s="179" t="s">
        <v>6513</v>
      </c>
      <c r="H162" s="190"/>
      <c r="I162" s="190"/>
      <c r="J162" s="187" t="s">
        <v>3044</v>
      </c>
      <c r="K162" s="187" t="s">
        <v>3040</v>
      </c>
      <c r="L162" s="184" t="str">
        <f>IFERROR(__xludf.DUMMYFUNCTION("ifna(IF(and(D162=""Saída"",J162=""Sangria""),if(sum(QUERY(IMPORTRANGE(""https://docs.google.com/spreadsheets/d/1wBSFbIXYswW2S5SMKo44LPsdTG4P4kfP5VRdAS5E_4o"",""BD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'""&amp;YEAR(C162)&amp;""-""&amp;MONTH(C162)&amp;""-""&amp;DAY(C162)&amp;""'""))&gt;0,""Depositada"",if(sum(QUERY(IMPORTRANGE(""https://docs.google.com/spreadsheets/d/1wBSFbIXYswW2S5SMKo44LPsdTG4P4kfP5VRdAS5E_4o"",""BD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>
        <f>IFERROR(__xludf.DUMMYFUNCTION("ifna(VALUE(REGEXEXTRACT(E162,""[0-9.]+[,]+[0-9]+"")))"),8.0)</f>
        <v>8</v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0">
        <v>1685452.0</v>
      </c>
      <c r="C163" s="11">
        <v>45916.79951388889</v>
      </c>
      <c r="D163" s="179" t="s">
        <v>50</v>
      </c>
      <c r="E163" s="180" t="s">
        <v>6897</v>
      </c>
      <c r="F163" s="181"/>
      <c r="G163" s="179" t="s">
        <v>4960</v>
      </c>
      <c r="H163" s="190"/>
      <c r="I163" s="190"/>
      <c r="J163" s="187" t="s">
        <v>3044</v>
      </c>
      <c r="K163" s="187" t="s">
        <v>3168</v>
      </c>
      <c r="L163" s="184" t="str">
        <f>IFERROR(__xludf.DUMMYFUNCTION("ifna(IF(and(D163=""Saída"",J163=""Sangria""),if(sum(QUERY(IMPORTRANGE(""https://docs.google.com/spreadsheets/d/1wBSFbIXYswW2S5SMKo44LPsdTG4P4kfP5VRdAS5E_4o"",""BD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'""&amp;YEAR(C163)&amp;""-""&amp;MONTH(C163)&amp;""-""&amp;DAY(C163)&amp;""'""))&gt;0,""Depositada"",if(sum(QUERY(IMPORTRANGE(""https://docs.google.com/spreadsheets/d/1wBSFbIXYswW2S5SMKo44LPsdTG4P4kfP5VRdAS5E_4o"",""BD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>
        <f>IFERROR(__xludf.DUMMYFUNCTION("ifna(VALUE(REGEXEXTRACT(E163,""[0-9.]+[,]+[0-9]+"")))"),21.47)</f>
        <v>21.47</v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0">
        <v>1674978.0</v>
      </c>
      <c r="C164" s="11">
        <v>45911.88554398148</v>
      </c>
      <c r="D164" s="179" t="s">
        <v>50</v>
      </c>
      <c r="E164" s="180" t="s">
        <v>6899</v>
      </c>
      <c r="F164" s="188"/>
      <c r="G164" s="179" t="s">
        <v>4665</v>
      </c>
      <c r="H164" s="190"/>
      <c r="I164" s="190"/>
      <c r="J164" s="187" t="s">
        <v>3044</v>
      </c>
      <c r="K164" s="187" t="s">
        <v>3040</v>
      </c>
      <c r="L164" s="184" t="str">
        <f>IFERROR(__xludf.DUMMYFUNCTION("ifna(IF(and(D164=""Saída"",J164=""Sangria""),if(sum(QUERY(IMPORTRANGE(""https://docs.google.com/spreadsheets/d/1wBSFbIXYswW2S5SMKo44LPsdTG4P4kfP5VRdAS5E_4o"",""BD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'""&amp;YEAR(C164)&amp;""-""&amp;MONTH(C164)&amp;""-""&amp;DAY(C164)&amp;""'""))&gt;0,""Depositada"",if(sum(QUERY(IMPORTRANGE(""https://docs.google.com/spreadsheets/d/1wBSFbIXYswW2S5SMKo44LPsdTG4P4kfP5VRdAS5E_4o"",""BD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>
        <f>IFERROR(__xludf.DUMMYFUNCTION("ifna(VALUE(REGEXEXTRACT(E164,""[0-9.]+[,]+[0-9]+"")))"),38.72)</f>
        <v>38.72</v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0">
        <v>1668167.0</v>
      </c>
      <c r="C165" s="11">
        <v>45907.921215277776</v>
      </c>
      <c r="D165" s="179" t="s">
        <v>50</v>
      </c>
      <c r="E165" s="180" t="s">
        <v>6392</v>
      </c>
      <c r="F165" s="188"/>
      <c r="G165" s="179" t="s">
        <v>6902</v>
      </c>
      <c r="H165" s="190"/>
      <c r="I165" s="190"/>
      <c r="J165" s="187" t="s">
        <v>3746</v>
      </c>
      <c r="K165" s="187" t="s">
        <v>3168</v>
      </c>
      <c r="L165" s="184" t="str">
        <f>IFERROR(__xludf.DUMMYFUNCTION("ifna(IF(and(D165=""Saída"",J165=""Sangria""),if(sum(QUERY(IMPORTRANGE(""https://docs.google.com/spreadsheets/d/1wBSFbIXYswW2S5SMKo44LPsdTG4P4kfP5VRdAS5E_4o"",""BD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'""&amp;YEAR(C165)&amp;""-""&amp;MONTH(C165)&amp;""-""&amp;DAY(C165)&amp;""'""))&gt;0,""Depositada"",if(sum(QUERY(IMPORTRANGE(""https://docs.google.com/spreadsheets/d/1wBSFbIXYswW2S5SMKo44LPsdTG4P4kfP5VRdAS5E_4o"",""BD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Sangria"")"),"#REF!")</f>
        <v>#REF!</v>
      </c>
      <c r="M165" s="185">
        <f>IFERROR(__xludf.DUMMYFUNCTION("ifna(VALUE(REGEXEXTRACT(E165,""[0-9.]+[,]+[0-9]+"")))"),1300.0)</f>
        <v>1300</v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0">
        <v>1685492.0</v>
      </c>
      <c r="C166" s="11">
        <v>45916.818761574075</v>
      </c>
      <c r="D166" s="179" t="s">
        <v>50</v>
      </c>
      <c r="E166" s="180" t="s">
        <v>6904</v>
      </c>
      <c r="F166" s="181"/>
      <c r="G166" s="179" t="s">
        <v>4983</v>
      </c>
      <c r="H166" s="190"/>
      <c r="I166" s="190"/>
      <c r="J166" s="187" t="s">
        <v>3044</v>
      </c>
      <c r="K166" s="187" t="s">
        <v>3077</v>
      </c>
      <c r="L166" s="184" t="str">
        <f>IFERROR(__xludf.DUMMYFUNCTION("ifna(IF(and(D166=""Saída"",J166=""Sangria""),if(sum(QUERY(IMPORTRANGE(""https://docs.google.com/spreadsheets/d/1wBSFbIXYswW2S5SMKo44LPsdTG4P4kfP5VRdAS5E_4o"",""BD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'""&amp;YEAR(C166)&amp;""-""&amp;MONTH(C166)&amp;""-""&amp;DAY(C166)&amp;""'""))&gt;0,""Depositada"",if(sum(QUERY(IMPORTRANGE(""https://docs.google.com/spreadsheets/d/1wBSFbIXYswW2S5SMKo44LPsdTG4P4kfP5VRdAS5E_4o"",""BD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>
        <f>IFERROR(__xludf.DUMMYFUNCTION("ifna(VALUE(REGEXEXTRACT(E166,""[0-9.]+[,]+[0-9]+"")))"),23.9)</f>
        <v>23.9</v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0">
        <v>1685848.0</v>
      </c>
      <c r="C167" s="11">
        <v>45916.918761574074</v>
      </c>
      <c r="D167" s="179" t="s">
        <v>50</v>
      </c>
      <c r="E167" s="180" t="s">
        <v>991</v>
      </c>
      <c r="F167" s="181"/>
      <c r="G167" s="179" t="s">
        <v>6908</v>
      </c>
      <c r="H167" s="190"/>
      <c r="I167" s="190"/>
      <c r="J167" s="187" t="s">
        <v>3746</v>
      </c>
      <c r="K167" s="187"/>
      <c r="L167" s="184" t="str">
        <f>IFERROR(__xludf.DUMMYFUNCTION("ifna(IF(and(D167=""Saída"",J167=""Sangria""),if(sum(QUERY(IMPORTRANGE(""https://docs.google.com/spreadsheets/d/1wBSFbIXYswW2S5SMKo44LPsdTG4P4kfP5VRdAS5E_4o"",""BD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'""&amp;YEAR(C167)&amp;""-""&amp;MONTH(C167)&amp;""-""&amp;DAY(C167)&amp;""'""))&gt;0,""Depositada"",if(sum(QUERY(IMPORTRANGE(""https://docs.google.com/spreadsheets/d/1wBSFbIXYswW2S5SMKo44LPsdTG4P4kfP5VRdAS5E_4o"",""BD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Sangria"")"),"#REF!")</f>
        <v>#REF!</v>
      </c>
      <c r="M167" s="185">
        <f>IFERROR(__xludf.DUMMYFUNCTION("ifna(VALUE(REGEXEXTRACT(E167,""[0-9.]+[,]+[0-9]+"")))"),700.0)</f>
        <v>700</v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0">
        <v>1686796.0</v>
      </c>
      <c r="C168" s="11">
        <v>45917.70135416667</v>
      </c>
      <c r="D168" s="179" t="s">
        <v>50</v>
      </c>
      <c r="E168" s="180" t="s">
        <v>205</v>
      </c>
      <c r="F168" s="181"/>
      <c r="G168" s="179" t="s">
        <v>6911</v>
      </c>
      <c r="H168" s="190"/>
      <c r="I168" s="190"/>
      <c r="J168" s="187" t="s">
        <v>3044</v>
      </c>
      <c r="K168" s="187"/>
      <c r="L168" s="184" t="str">
        <f>IFERROR(__xludf.DUMMYFUNCTION("ifna(IF(and(D168=""Saída"",J168=""Sangria""),if(sum(QUERY(IMPORTRANGE(""https://docs.google.com/spreadsheets/d/1wBSFbIXYswW2S5SMKo44LPsdTG4P4kfP5VRdAS5E_4o"",""BD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'""&amp;YEAR(C168)&amp;""-""&amp;MONTH(C168)&amp;""-""&amp;DAY(C168)&amp;""'""))&gt;0,""Depositada"",if(sum(QUERY(IMPORTRANGE(""https://docs.google.com/spreadsheets/d/1wBSFbIXYswW2S5SMKo44LPsdTG4P4kfP5VRdAS5E_4o"",""BD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>
        <f>IFERROR(__xludf.DUMMYFUNCTION("ifna(VALUE(REGEXEXTRACT(E168,""[0-9.]+[,]+[0-9]+"")))"),10.0)</f>
        <v>10</v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0">
        <v>1686858.0</v>
      </c>
      <c r="C169" s="11">
        <v>45917.71625</v>
      </c>
      <c r="D169" s="179" t="s">
        <v>50</v>
      </c>
      <c r="E169" s="180" t="s">
        <v>157</v>
      </c>
      <c r="F169" s="188"/>
      <c r="G169" s="179" t="s">
        <v>6593</v>
      </c>
      <c r="H169" s="190"/>
      <c r="I169" s="190"/>
      <c r="J169" s="187" t="s">
        <v>3044</v>
      </c>
      <c r="K169" s="187"/>
      <c r="L169" s="184" t="str">
        <f>IFERROR(__xludf.DUMMYFUNCTION("ifna(IF(and(D169=""Saída"",J169=""Sangria""),if(sum(QUERY(IMPORTRANGE(""https://docs.google.com/spreadsheets/d/1wBSFbIXYswW2S5SMKo44LPsdTG4P4kfP5VRdAS5E_4o"",""BD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'""&amp;YEAR(C169)&amp;""-""&amp;MONTH(C169)&amp;""-""&amp;DAY(C169)&amp;""'""))&gt;0,""Depositada"",if(sum(QUERY(IMPORTRANGE(""https://docs.google.com/spreadsheets/d/1wBSFbIXYswW2S5SMKo44LPsdTG4P4kfP5VRdAS5E_4o"",""BD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>
        <f>IFERROR(__xludf.DUMMYFUNCTION("ifna(VALUE(REGEXEXTRACT(E169,""[0-9.]+[,]+[0-9]+"")))"),5.0)</f>
        <v>5</v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0">
        <v>1686866.0</v>
      </c>
      <c r="C170" s="11">
        <v>45917.71739583334</v>
      </c>
      <c r="D170" s="179" t="s">
        <v>227</v>
      </c>
      <c r="E170" s="180" t="s">
        <v>494</v>
      </c>
      <c r="F170" s="181"/>
      <c r="G170" s="179" t="s">
        <v>6912</v>
      </c>
      <c r="H170" s="190"/>
      <c r="I170" s="190"/>
      <c r="J170" s="187" t="s">
        <v>3044</v>
      </c>
      <c r="K170" s="187" t="s">
        <v>3077</v>
      </c>
      <c r="L170" s="184" t="str">
        <f>IFERROR(__xludf.DUMMYFUNCTION("ifna(IF(and(D170=""Saída"",J170=""Sangria""),if(sum(QUERY(IMPORTRANGE(""https://docs.google.com/spreadsheets/d/1wBSFbIXYswW2S5SMKo44LPsdTG4P4kfP5VRdAS5E_4o"",""BD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'""&amp;YEAR(C170)&amp;""-""&amp;MONTH(C170)&amp;""-""&amp;DAY(C170)&amp;""'""))&gt;0,""Depositada"",if(sum(QUERY(IMPORTRANGE(""https://docs.google.com/spreadsheets/d/1wBSFbIXYswW2S5SMKo44LPsdTG4P4kfP5VRdAS5E_4o"",""BD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>
        <f>IFERROR(__xludf.DUMMYFUNCTION("ifna(VALUE(REGEXEXTRACT(E170,""[0-9.]+[,]+[0-9]+"")))"),0.01)</f>
        <v>0.01</v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0">
        <v>1687043.0</v>
      </c>
      <c r="C171" s="11">
        <v>45917.75850694445</v>
      </c>
      <c r="D171" s="179" t="s">
        <v>50</v>
      </c>
      <c r="E171" s="180" t="s">
        <v>6914</v>
      </c>
      <c r="F171" s="181"/>
      <c r="G171" s="179" t="s">
        <v>6915</v>
      </c>
      <c r="H171" s="190"/>
      <c r="I171" s="190"/>
      <c r="J171" s="187" t="s">
        <v>3467</v>
      </c>
      <c r="K171" s="187"/>
      <c r="L171" s="184" t="str">
        <f>IFERROR(__xludf.DUMMYFUNCTION("ifna(IF(and(D171=""Saída"",J171=""Sangria""),if(sum(QUERY(IMPORTRANGE(""https://docs.google.com/spreadsheets/d/1wBSFbIXYswW2S5SMKo44LPsdTG4P4kfP5VRdAS5E_4o"",""BD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'""&amp;YEAR(C171)&amp;""-""&amp;MONTH(C171)&amp;""-""&amp;DAY(C171)&amp;""'""))&gt;0,""Depositada"",if(sum(QUERY(IMPORTRANGE(""https://docs.google.com/spreadsheets/d/1wBSFbIXYswW2S5SMKo44LPsdTG4P4kfP5VRdAS5E_4o"",""BD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>
        <f>IFERROR(__xludf.DUMMYFUNCTION("ifna(VALUE(REGEXEXTRACT(E171,""[0-9.]+[,]+[0-9]+"")))"),21.6)</f>
        <v>21.6</v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0">
        <v>1687138.0</v>
      </c>
      <c r="C172" s="11">
        <v>45917.792291666665</v>
      </c>
      <c r="D172" s="179" t="s">
        <v>50</v>
      </c>
      <c r="E172" s="180" t="s">
        <v>205</v>
      </c>
      <c r="F172" s="181"/>
      <c r="G172" s="179" t="s">
        <v>6917</v>
      </c>
      <c r="H172" s="190"/>
      <c r="I172" s="190"/>
      <c r="J172" s="187" t="s">
        <v>3044</v>
      </c>
      <c r="K172" s="187"/>
      <c r="L172" s="184" t="str">
        <f>IFERROR(__xludf.DUMMYFUNCTION("ifna(IF(and(D172=""Saída"",J172=""Sangria""),if(sum(QUERY(IMPORTRANGE(""https://docs.google.com/spreadsheets/d/1wBSFbIXYswW2S5SMKo44LPsdTG4P4kfP5VRdAS5E_4o"",""BD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'""&amp;YEAR(C172)&amp;""-""&amp;MONTH(C172)&amp;""-""&amp;DAY(C172)&amp;""'""))&gt;0,""Depositada"",if(sum(QUERY(IMPORTRANGE(""https://docs.google.com/spreadsheets/d/1wBSFbIXYswW2S5SMKo44LPsdTG4P4kfP5VRdAS5E_4o"",""BD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>
        <f>IFERROR(__xludf.DUMMYFUNCTION("ifna(VALUE(REGEXEXTRACT(E172,""[0-9.]+[,]+[0-9]+"")))"),10.0)</f>
        <v>10</v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0">
        <v>1687186.0</v>
      </c>
      <c r="C173" s="11">
        <v>45917.81460648148</v>
      </c>
      <c r="D173" s="179" t="s">
        <v>50</v>
      </c>
      <c r="E173" s="180" t="s">
        <v>6887</v>
      </c>
      <c r="F173" s="181"/>
      <c r="G173" s="179" t="s">
        <v>6918</v>
      </c>
      <c r="H173" s="190"/>
      <c r="I173" s="190"/>
      <c r="J173" s="187" t="s">
        <v>3466</v>
      </c>
      <c r="K173" s="187"/>
      <c r="L173" s="184" t="str">
        <f>IFERROR(__xludf.DUMMYFUNCTION("ifna(IF(and(D173=""Saída"",J173=""Sangria""),if(sum(QUERY(IMPORTRANGE(""https://docs.google.com/spreadsheets/d/1wBSFbIXYswW2S5SMKo44LPsdTG4P4kfP5VRdAS5E_4o"",""BD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'""&amp;YEAR(C173)&amp;""-""&amp;MONTH(C173)&amp;""-""&amp;DAY(C173)&amp;""'""))&gt;0,""Depositada"",if(sum(QUERY(IMPORTRANGE(""https://docs.google.com/spreadsheets/d/1wBSFbIXYswW2S5SMKo44LPsdTG4P4kfP5VRdAS5E_4o"",""BD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>
        <f>IFERROR(__xludf.DUMMYFUNCTION("ifna(VALUE(REGEXEXTRACT(E173,""[0-9.]+[,]+[0-9]+"")))"),9.9)</f>
        <v>9.9</v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0">
        <v>1687193.0</v>
      </c>
      <c r="C174" s="11">
        <v>45917.815520833334</v>
      </c>
      <c r="D174" s="179" t="s">
        <v>50</v>
      </c>
      <c r="E174" s="180" t="s">
        <v>6887</v>
      </c>
      <c r="F174" s="181"/>
      <c r="G174" s="179" t="s">
        <v>6920</v>
      </c>
      <c r="H174" s="190"/>
      <c r="I174" s="190"/>
      <c r="J174" s="187" t="s">
        <v>3466</v>
      </c>
      <c r="K174" s="187"/>
      <c r="L174" s="184" t="str">
        <f>IFERROR(__xludf.DUMMYFUNCTION("ifna(IF(and(D174=""Saída"",J174=""Sangria""),if(sum(QUERY(IMPORTRANGE(""https://docs.google.com/spreadsheets/d/1wBSFbIXYswW2S5SMKo44LPsdTG4P4kfP5VRdAS5E_4o"",""BD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'""&amp;YEAR(C174)&amp;""-""&amp;MONTH(C174)&amp;""-""&amp;DAY(C174)&amp;""'""))&gt;0,""Depositada"",if(sum(QUERY(IMPORTRANGE(""https://docs.google.com/spreadsheets/d/1wBSFbIXYswW2S5SMKo44LPsdTG4P4kfP5VRdAS5E_4o"",""BD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>
        <f>IFERROR(__xludf.DUMMYFUNCTION("ifna(VALUE(REGEXEXTRACT(E174,""[0-9.]+[,]+[0-9]+"")))"),9.9)</f>
        <v>9.9</v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0">
        <v>1687200.0</v>
      </c>
      <c r="C175" s="11">
        <v>45917.817465277774</v>
      </c>
      <c r="D175" s="179" t="s">
        <v>50</v>
      </c>
      <c r="E175" s="180" t="s">
        <v>6887</v>
      </c>
      <c r="F175" s="181"/>
      <c r="G175" s="179" t="s">
        <v>6922</v>
      </c>
      <c r="H175" s="190"/>
      <c r="I175" s="190"/>
      <c r="J175" s="187" t="s">
        <v>3466</v>
      </c>
      <c r="K175" s="187"/>
      <c r="L175" s="184" t="str">
        <f>IFERROR(__xludf.DUMMYFUNCTION("ifna(IF(and(D175=""Saída"",J175=""Sangria""),if(sum(QUERY(IMPORTRANGE(""https://docs.google.com/spreadsheets/d/1wBSFbIXYswW2S5SMKo44LPsdTG4P4kfP5VRdAS5E_4o"",""BD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'""&amp;YEAR(C175)&amp;""-""&amp;MONTH(C175)&amp;""-""&amp;DAY(C175)&amp;""'""))&gt;0,""Depositada"",if(sum(QUERY(IMPORTRANGE(""https://docs.google.com/spreadsheets/d/1wBSFbIXYswW2S5SMKo44LPsdTG4P4kfP5VRdAS5E_4o"",""BD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>
        <f>IFERROR(__xludf.DUMMYFUNCTION("ifna(VALUE(REGEXEXTRACT(E175,""[0-9.]+[,]+[0-9]+"")))"),9.9)</f>
        <v>9.9</v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0">
        <v>1687462.0</v>
      </c>
      <c r="C176" s="11">
        <v>45917.89282407407</v>
      </c>
      <c r="D176" s="179" t="s">
        <v>50</v>
      </c>
      <c r="E176" s="180" t="s">
        <v>6652</v>
      </c>
      <c r="F176" s="181"/>
      <c r="G176" s="179" t="s">
        <v>6923</v>
      </c>
      <c r="H176" s="190"/>
      <c r="I176" s="190"/>
      <c r="J176" s="187" t="s">
        <v>3746</v>
      </c>
      <c r="K176" s="187"/>
      <c r="L176" s="184" t="str">
        <f>IFERROR(__xludf.DUMMYFUNCTION("ifna(IF(and(D176=""Saída"",J176=""Sangria""),if(sum(QUERY(IMPORTRANGE(""https://docs.google.com/spreadsheets/d/1wBSFbIXYswW2S5SMKo44LPsdTG4P4kfP5VRdAS5E_4o"",""BD M Sangrias!a:i""),""select Col6 where Col7 = 'Depositada' and Col9 = '""&amp;K176&amp;""' and Col6 ="&amp;" ""&amp;M176&amp;"" and Col4 = date '""&amp;YEAR(C176)&amp;""-""&amp;MONTH(C176)&amp;""-""&amp;DAY(C176)&amp;""'""))&gt;0,""Depositada"",if(sum(QUERY(IMPORTRANGE(""https://docs.google.com/spreadsheets/d/1wBSFbIXYswW2S5SMKo44LPsdTG4P4kfP5VRdAS5E_4o"",""BD M Sangrias!a:i""),""select Col6 whe"&amp;"re Col7 = 'Caixa Atendimento' and Col9 = '""&amp;K176&amp;""' and Col6 = ""&amp;M176&amp;"" and Col4 = date '""&amp;YEAR(C176)&amp;""-""&amp;MONTH(C176)&amp;""-""&amp;DAY(C176)&amp;""'""))&gt;0,""Caixa Atendimento"",""Caixa Sangria"")),""""),""Caixa Sangria"")"),"#REF!")</f>
        <v>#REF!</v>
      </c>
      <c r="M176" s="185">
        <f>IFERROR(__xludf.DUMMYFUNCTION("ifna(VALUE(REGEXEXTRACT(E176,""[0-9.]+[,]+[0-9]+"")))"),650.0)</f>
        <v>650</v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0">
        <v>1688231.0</v>
      </c>
      <c r="C177" s="11">
        <v>45918.61924768519</v>
      </c>
      <c r="D177" s="179" t="s">
        <v>50</v>
      </c>
      <c r="E177" s="180" t="s">
        <v>157</v>
      </c>
      <c r="F177" s="181"/>
      <c r="G177" s="179" t="s">
        <v>6446</v>
      </c>
      <c r="H177" s="190"/>
      <c r="I177" s="190"/>
      <c r="K177" s="187"/>
      <c r="L177" s="184" t="str">
        <f>IFERROR(__xludf.DUMMYFUNCTION("ifna(IF(and(D177=""Saída"",J177=""Sangria""),if(sum(QUERY(IMPORTRANGE(""https://docs.google.com/spreadsheets/d/1wBSFbIXYswW2S5SMKo44LPsdTG4P4kfP5VRdAS5E_4o"",""BD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'""&amp;YEAR(C177)&amp;""-""&amp;MONTH(C177)&amp;""-""&amp;DAY(C177)&amp;""'""))&gt;0,""Depositada"",if(sum(QUERY(IMPORTRANGE(""https://docs.google.com/spreadsheets/d/1wBSFbIXYswW2S5SMKo44LPsdTG4P4kfP5VRdAS5E_4o"",""BD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>
        <f>IFERROR(__xludf.DUMMYFUNCTION("ifna(VALUE(REGEXEXTRACT(E177,""[0-9.]+[,]+[0-9]+"")))"),5.0)</f>
        <v>5</v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0">
        <v>1688235.0</v>
      </c>
      <c r="C178" s="11">
        <v>45918.61960648148</v>
      </c>
      <c r="D178" s="179" t="s">
        <v>50</v>
      </c>
      <c r="E178" s="180" t="s">
        <v>6926</v>
      </c>
      <c r="F178" s="181"/>
      <c r="G178" s="179" t="s">
        <v>6927</v>
      </c>
      <c r="H178" s="190"/>
      <c r="I178" s="190"/>
      <c r="J178" s="187" t="s">
        <v>3903</v>
      </c>
      <c r="K178" s="187"/>
      <c r="L178" s="184" t="str">
        <f>IFERROR(__xludf.DUMMYFUNCTION("ifna(IF(and(D178=""Saída"",J178=""Sangria""),if(sum(QUERY(IMPORTRANGE(""https://docs.google.com/spreadsheets/d/1wBSFbIXYswW2S5SMKo44LPsdTG4P4kfP5VRdAS5E_4o"",""BD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'""&amp;YEAR(C178)&amp;""-""&amp;MONTH(C178)&amp;""-""&amp;DAY(C178)&amp;""'""))&gt;0,""Depositada"",if(sum(QUERY(IMPORTRANGE(""https://docs.google.com/spreadsheets/d/1wBSFbIXYswW2S5SMKo44LPsdTG4P4kfP5VRdAS5E_4o"",""BD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>
        <f>IFERROR(__xludf.DUMMYFUNCTION("ifna(VALUE(REGEXEXTRACT(E178,""[0-9.]+[,]+[0-9]+"")))"),167.52)</f>
        <v>167.52</v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0">
        <v>1688481.0</v>
      </c>
      <c r="C179" s="11">
        <v>45918.69652777778</v>
      </c>
      <c r="D179" s="179" t="s">
        <v>50</v>
      </c>
      <c r="E179" s="180" t="s">
        <v>6929</v>
      </c>
      <c r="F179" s="188"/>
      <c r="G179" s="179" t="s">
        <v>6930</v>
      </c>
      <c r="H179" s="190"/>
      <c r="I179" s="190"/>
      <c r="J179" s="187" t="s">
        <v>3903</v>
      </c>
      <c r="K179" s="187"/>
      <c r="L179" s="184" t="str">
        <f>IFERROR(__xludf.DUMMYFUNCTION("ifna(IF(and(D179=""Saída"",J179=""Sangria""),if(sum(QUERY(IMPORTRANGE(""https://docs.google.com/spreadsheets/d/1wBSFbIXYswW2S5SMKo44LPsdTG4P4kfP5VRdAS5E_4o"",""BD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'""&amp;YEAR(C179)&amp;""-""&amp;MONTH(C179)&amp;""-""&amp;DAY(C179)&amp;""'""))&gt;0,""Depositada"",if(sum(QUERY(IMPORTRANGE(""https://docs.google.com/spreadsheets/d/1wBSFbIXYswW2S5SMKo44LPsdTG4P4kfP5VRdAS5E_4o"",""BD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>
        <f>IFERROR(__xludf.DUMMYFUNCTION("ifna(VALUE(REGEXEXTRACT(E179,""[0-9.]+[,]+[0-9]+"")))"),7.5)</f>
        <v>7.5</v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0">
        <v>1688483.0</v>
      </c>
      <c r="C180" s="11">
        <v>45918.696805555555</v>
      </c>
      <c r="D180" s="179" t="s">
        <v>50</v>
      </c>
      <c r="E180" s="180" t="s">
        <v>246</v>
      </c>
      <c r="F180" s="181"/>
      <c r="G180" s="179" t="s">
        <v>6931</v>
      </c>
      <c r="H180" s="190"/>
      <c r="I180" s="190"/>
      <c r="K180" s="187"/>
      <c r="L180" s="184" t="str">
        <f>IFERROR(__xludf.DUMMYFUNCTION("ifna(IF(and(D180=""Saída"",J180=""Sangria""),if(sum(QUERY(IMPORTRANGE(""https://docs.google.com/spreadsheets/d/1wBSFbIXYswW2S5SMKo44LPsdTG4P4kfP5VRdAS5E_4o"",""BD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'""&amp;YEAR(C180)&amp;""-""&amp;MONTH(C180)&amp;""-""&amp;DAY(C180)&amp;""'""))&gt;0,""Depositada"",if(sum(QUERY(IMPORTRANGE(""https://docs.google.com/spreadsheets/d/1wBSFbIXYswW2S5SMKo44LPsdTG4P4kfP5VRdAS5E_4o"",""BD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>
        <f>IFERROR(__xludf.DUMMYFUNCTION("ifna(VALUE(REGEXEXTRACT(E180,""[0-9.]+[,]+[0-9]+"")))"),4.0)</f>
        <v>4</v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0">
        <v>1688552.0</v>
      </c>
      <c r="C181" s="11">
        <v>45918.71240740741</v>
      </c>
      <c r="D181" s="179" t="s">
        <v>50</v>
      </c>
      <c r="E181" s="180" t="s">
        <v>329</v>
      </c>
      <c r="F181" s="181"/>
      <c r="G181" s="179" t="s">
        <v>6932</v>
      </c>
      <c r="H181" s="190"/>
      <c r="I181" s="190"/>
      <c r="J181" s="187" t="s">
        <v>3466</v>
      </c>
      <c r="K181" s="187"/>
      <c r="L181" s="184" t="str">
        <f>IFERROR(__xludf.DUMMYFUNCTION("ifna(IF(and(D181=""Saída"",J181=""Sangria""),if(sum(QUERY(IMPORTRANGE(""https://docs.google.com/spreadsheets/d/1wBSFbIXYswW2S5SMKo44LPsdTG4P4kfP5VRdAS5E_4o"",""BD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'""&amp;YEAR(C181)&amp;""-""&amp;MONTH(C181)&amp;""-""&amp;DAY(C181)&amp;""'""))&gt;0,""Depositada"",if(sum(QUERY(IMPORTRANGE(""https://docs.google.com/spreadsheets/d/1wBSFbIXYswW2S5SMKo44LPsdTG4P4kfP5VRdAS5E_4o"",""BD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>
        <f>IFERROR(__xludf.DUMMYFUNCTION("ifna(VALUE(REGEXEXTRACT(E181,""[0-9.]+[,]+[0-9]+"")))"),200.0)</f>
        <v>200</v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0">
        <v>1688556.0</v>
      </c>
      <c r="C182" s="11">
        <v>45918.71303240741</v>
      </c>
      <c r="D182" s="179" t="s">
        <v>227</v>
      </c>
      <c r="E182" s="180" t="s">
        <v>494</v>
      </c>
      <c r="F182" s="181"/>
      <c r="G182" s="179" t="s">
        <v>6934</v>
      </c>
      <c r="H182" s="190"/>
      <c r="I182" s="190"/>
      <c r="J182" s="187" t="s">
        <v>3874</v>
      </c>
      <c r="K182" s="187"/>
      <c r="L182" s="184" t="str">
        <f>IFERROR(__xludf.DUMMYFUNCTION("ifna(IF(and(D182=""Saída"",J182=""Sangria""),if(sum(QUERY(IMPORTRANGE(""https://docs.google.com/spreadsheets/d/1wBSFbIXYswW2S5SMKo44LPsdTG4P4kfP5VRdAS5E_4o"",""BD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'""&amp;YEAR(C182)&amp;""-""&amp;MONTH(C182)&amp;""-""&amp;DAY(C182)&amp;""'""))&gt;0,""Depositada"",if(sum(QUERY(IMPORTRANGE(""https://docs.google.com/spreadsheets/d/1wBSFbIXYswW2S5SMKo44LPsdTG4P4kfP5VRdAS5E_4o"",""BD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>
        <f>IFERROR(__xludf.DUMMYFUNCTION("ifna(VALUE(REGEXEXTRACT(E182,""[0-9.]+[,]+[0-9]+"")))"),0.01)</f>
        <v>0.01</v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0">
        <v>1688563.0</v>
      </c>
      <c r="C183" s="11">
        <v>45918.713425925926</v>
      </c>
      <c r="D183" s="179" t="s">
        <v>50</v>
      </c>
      <c r="E183" s="180" t="s">
        <v>6936</v>
      </c>
      <c r="F183" s="181"/>
      <c r="G183" s="179" t="s">
        <v>6937</v>
      </c>
      <c r="H183" s="190"/>
      <c r="I183" s="190"/>
      <c r="J183" s="187" t="s">
        <v>3467</v>
      </c>
      <c r="K183" s="187"/>
      <c r="L183" s="184" t="str">
        <f>IFERROR(__xludf.DUMMYFUNCTION("ifna(IF(and(D183=""Saída"",J183=""Sangria""),if(sum(QUERY(IMPORTRANGE(""https://docs.google.com/spreadsheets/d/1wBSFbIXYswW2S5SMKo44LPsdTG4P4kfP5VRdAS5E_4o"",""BD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'""&amp;YEAR(C183)&amp;""-""&amp;MONTH(C183)&amp;""-""&amp;DAY(C183)&amp;""'""))&gt;0,""Depositada"",if(sum(QUERY(IMPORTRANGE(""https://docs.google.com/spreadsheets/d/1wBSFbIXYswW2S5SMKo44LPsdTG4P4kfP5VRdAS5E_4o"",""BD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>
        <f>IFERROR(__xludf.DUMMYFUNCTION("ifna(VALUE(REGEXEXTRACT(E183,""[0-9.]+[,]+[0-9]+"")))"),22.36)</f>
        <v>22.36</v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0">
        <v>1688844.0</v>
      </c>
      <c r="C184" s="11">
        <v>45918.78302083333</v>
      </c>
      <c r="D184" s="179" t="s">
        <v>50</v>
      </c>
      <c r="E184" s="180" t="s">
        <v>157</v>
      </c>
      <c r="F184" s="181"/>
      <c r="G184" s="179" t="s">
        <v>6446</v>
      </c>
      <c r="H184" s="190"/>
      <c r="I184" s="190"/>
      <c r="J184" s="187" t="s">
        <v>3044</v>
      </c>
      <c r="K184" s="187" t="s">
        <v>3137</v>
      </c>
      <c r="L184" s="184" t="str">
        <f>IFERROR(__xludf.DUMMYFUNCTION("ifna(IF(and(D184=""Saída"",J184=""Sangria""),if(sum(QUERY(IMPORTRANGE(""https://docs.google.com/spreadsheets/d/1wBSFbIXYswW2S5SMKo44LPsdTG4P4kfP5VRdAS5E_4o"",""BD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'""&amp;YEAR(C184)&amp;""-""&amp;MONTH(C184)&amp;""-""&amp;DAY(C184)&amp;""'""))&gt;0,""Depositada"",if(sum(QUERY(IMPORTRANGE(""https://docs.google.com/spreadsheets/d/1wBSFbIXYswW2S5SMKo44LPsdTG4P4kfP5VRdAS5E_4o"",""BD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>
        <f>IFERROR(__xludf.DUMMYFUNCTION("ifna(VALUE(REGEXEXTRACT(E184,""[0-9.]+[,]+[0-9]+"")))"),5.0)</f>
        <v>5</v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0">
        <v>1689248.0</v>
      </c>
      <c r="C185" s="11">
        <v>45918.912083333336</v>
      </c>
      <c r="D185" s="179" t="s">
        <v>50</v>
      </c>
      <c r="E185" s="180" t="s">
        <v>6682</v>
      </c>
      <c r="F185" s="181"/>
      <c r="G185" s="179" t="s">
        <v>6720</v>
      </c>
      <c r="H185" s="190"/>
      <c r="I185" s="190"/>
      <c r="J185" s="187" t="s">
        <v>3903</v>
      </c>
      <c r="K185" s="187"/>
      <c r="L185" s="184" t="str">
        <f>IFERROR(__xludf.DUMMYFUNCTION("ifna(IF(and(D185=""Saída"",J185=""Sangria""),if(sum(QUERY(IMPORTRANGE(""https://docs.google.com/spreadsheets/d/1wBSFbIXYswW2S5SMKo44LPsdTG4P4kfP5VRdAS5E_4o"",""BD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'""&amp;YEAR(C185)&amp;""-""&amp;MONTH(C185)&amp;""-""&amp;DAY(C185)&amp;""'""))&gt;0,""Depositada"",if(sum(QUERY(IMPORTRANGE(""https://docs.google.com/spreadsheets/d/1wBSFbIXYswW2S5SMKo44LPsdTG4P4kfP5VRdAS5E_4o"",""BD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>
        <f>IFERROR(__xludf.DUMMYFUNCTION("ifna(VALUE(REGEXEXTRACT(E185,""[0-9.]+[,]+[0-9]+"")))"),280.0)</f>
        <v>280</v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0">
        <v>1689325.0</v>
      </c>
      <c r="C186" s="11">
        <v>45918.91935185185</v>
      </c>
      <c r="D186" s="179" t="s">
        <v>50</v>
      </c>
      <c r="E186" s="180" t="s">
        <v>3944</v>
      </c>
      <c r="F186" s="181"/>
      <c r="G186" s="179" t="s">
        <v>6938</v>
      </c>
      <c r="H186" s="190"/>
      <c r="I186" s="190"/>
      <c r="J186" s="187" t="s">
        <v>3825</v>
      </c>
      <c r="K186" s="187"/>
      <c r="L186" s="184" t="str">
        <f>IFERROR(__xludf.DUMMYFUNCTION("ifna(IF(and(D186=""Saída"",J186=""Sangria""),if(sum(QUERY(IMPORTRANGE(""https://docs.google.com/spreadsheets/d/1wBSFbIXYswW2S5SMKo44LPsdTG4P4kfP5VRdAS5E_4o"",""BD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'""&amp;YEAR(C186)&amp;""-""&amp;MONTH(C186)&amp;""-""&amp;DAY(C186)&amp;""'""))&gt;0,""Depositada"",if(sum(QUERY(IMPORTRANGE(""https://docs.google.com/spreadsheets/d/1wBSFbIXYswW2S5SMKo44LPsdTG4P4kfP5VRdAS5E_4o"",""BD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>
        <f>IFERROR(__xludf.DUMMYFUNCTION("ifna(VALUE(REGEXEXTRACT(E186,""[0-9.]+[,]+[0-9]+"")))"),85.0)</f>
        <v>85</v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0">
        <v>1689849.0</v>
      </c>
      <c r="C187" s="11">
        <v>45919.576631944445</v>
      </c>
      <c r="D187" s="179" t="s">
        <v>50</v>
      </c>
      <c r="E187" s="180" t="s">
        <v>624</v>
      </c>
      <c r="F187" s="181"/>
      <c r="G187" s="179" t="s">
        <v>6939</v>
      </c>
      <c r="H187" s="190"/>
      <c r="I187" s="190"/>
      <c r="J187" s="187" t="s">
        <v>3903</v>
      </c>
      <c r="K187" s="187"/>
      <c r="L187" s="184" t="str">
        <f>IFERROR(__xludf.DUMMYFUNCTION("ifna(IF(and(D187=""Saída"",J187=""Sangria""),if(sum(QUERY(IMPORTRANGE(""https://docs.google.com/spreadsheets/d/1wBSFbIXYswW2S5SMKo44LPsdTG4P4kfP5VRdAS5E_4o"",""BD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'""&amp;YEAR(C187)&amp;""-""&amp;MONTH(C187)&amp;""-""&amp;DAY(C187)&amp;""'""))&gt;0,""Depositada"",if(sum(QUERY(IMPORTRANGE(""https://docs.google.com/spreadsheets/d/1wBSFbIXYswW2S5SMKo44LPsdTG4P4kfP5VRdAS5E_4o"",""BD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>
        <f>IFERROR(__xludf.DUMMYFUNCTION("ifna(VALUE(REGEXEXTRACT(E187,""[0-9.]+[,]+[0-9]+"")))"),130.0)</f>
        <v>130</v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0">
        <v>1690426.0</v>
      </c>
      <c r="C188" s="11">
        <v>45919.72373842593</v>
      </c>
      <c r="D188" s="179" t="s">
        <v>50</v>
      </c>
      <c r="E188" s="180" t="s">
        <v>427</v>
      </c>
      <c r="F188" s="181"/>
      <c r="G188" s="179" t="s">
        <v>6446</v>
      </c>
      <c r="H188" s="190"/>
      <c r="I188" s="190"/>
      <c r="J188" s="187" t="s">
        <v>3044</v>
      </c>
      <c r="K188" s="187" t="s">
        <v>3137</v>
      </c>
      <c r="L188" s="184" t="str">
        <f>IFERROR(__xludf.DUMMYFUNCTION("ifna(IF(and(D188=""Saída"",J188=""Sangria""),if(sum(QUERY(IMPORTRANGE(""https://docs.google.com/spreadsheets/d/1wBSFbIXYswW2S5SMKo44LPsdTG4P4kfP5VRdAS5E_4o"",""BD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'""&amp;YEAR(C188)&amp;""-""&amp;MONTH(C188)&amp;""-""&amp;DAY(C188)&amp;""'""))&gt;0,""Depositada"",if(sum(QUERY(IMPORTRANGE(""https://docs.google.com/spreadsheets/d/1wBSFbIXYswW2S5SMKo44LPsdTG4P4kfP5VRdAS5E_4o"",""BD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>
        <f>IFERROR(__xludf.DUMMYFUNCTION("ifna(VALUE(REGEXEXTRACT(E188,""[0-9.]+[,]+[0-9]+"")))"),15.0)</f>
        <v>15</v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0">
        <v>1691207.0</v>
      </c>
      <c r="C189" s="11">
        <v>45919.91684027778</v>
      </c>
      <c r="D189" s="179" t="s">
        <v>50</v>
      </c>
      <c r="E189" s="180" t="s">
        <v>3885</v>
      </c>
      <c r="F189" s="181"/>
      <c r="G189" s="179" t="s">
        <v>6942</v>
      </c>
      <c r="H189" s="190"/>
      <c r="I189" s="190"/>
      <c r="J189" s="187" t="s">
        <v>3825</v>
      </c>
      <c r="K189" s="187"/>
      <c r="L189" s="184" t="str">
        <f>IFERROR(__xludf.DUMMYFUNCTION("ifna(IF(and(D189=""Saída"",J189=""Sangria""),if(sum(QUERY(IMPORTRANGE(""https://docs.google.com/spreadsheets/d/1wBSFbIXYswW2S5SMKo44LPsdTG4P4kfP5VRdAS5E_4o"",""BD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'""&amp;YEAR(C189)&amp;""-""&amp;MONTH(C189)&amp;""-""&amp;DAY(C189)&amp;""'""))&gt;0,""Depositada"",if(sum(QUERY(IMPORTRANGE(""https://docs.google.com/spreadsheets/d/1wBSFbIXYswW2S5SMKo44LPsdTG4P4kfP5VRdAS5E_4o"",""BD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>
        <f>IFERROR(__xludf.DUMMYFUNCTION("ifna(VALUE(REGEXEXTRACT(E189,""[0-9.]+[,]+[0-9]+"")))"),78.0)</f>
        <v>78</v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0">
        <v>1691299.0</v>
      </c>
      <c r="C190" s="11">
        <v>45919.92431712963</v>
      </c>
      <c r="D190" s="179" t="s">
        <v>50</v>
      </c>
      <c r="E190" s="180" t="s">
        <v>6943</v>
      </c>
      <c r="F190" s="181"/>
      <c r="G190" s="179" t="s">
        <v>6944</v>
      </c>
      <c r="H190" s="190"/>
      <c r="I190" s="190"/>
      <c r="J190" s="187" t="s">
        <v>3903</v>
      </c>
      <c r="K190" s="187"/>
      <c r="L190" s="184" t="str">
        <f>IFERROR(__xludf.DUMMYFUNCTION("ifna(IF(and(D190=""Saída"",J190=""Sangria""),if(sum(QUERY(IMPORTRANGE(""https://docs.google.com/spreadsheets/d/1wBSFbIXYswW2S5SMKo44LPsdTG4P4kfP5VRdAS5E_4o"",""BD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'""&amp;YEAR(C190)&amp;""-""&amp;MONTH(C190)&amp;""-""&amp;DAY(C190)&amp;""'""))&gt;0,""Depositada"",if(sum(QUERY(IMPORTRANGE(""https://docs.google.com/spreadsheets/d/1wBSFbIXYswW2S5SMKo44LPsdTG4P4kfP5VRdAS5E_4o"",""BD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>
        <f>IFERROR(__xludf.DUMMYFUNCTION("ifna(VALUE(REGEXEXTRACT(E190,""[0-9.]+[,]+[0-9]+"")))"),497.17)</f>
        <v>497.17</v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0">
        <v>1691301.0</v>
      </c>
      <c r="C191" s="11">
        <v>45919.924675925926</v>
      </c>
      <c r="D191" s="179" t="s">
        <v>50</v>
      </c>
      <c r="E191" s="180" t="s">
        <v>6947</v>
      </c>
      <c r="F191" s="188"/>
      <c r="G191" s="179" t="s">
        <v>6948</v>
      </c>
      <c r="H191" s="190"/>
      <c r="I191" s="190"/>
      <c r="J191" s="187" t="s">
        <v>3903</v>
      </c>
      <c r="K191" s="187"/>
      <c r="L191" s="184" t="str">
        <f>IFERROR(__xludf.DUMMYFUNCTION("ifna(IF(and(D191=""Saída"",J191=""Sangria""),if(sum(QUERY(IMPORTRANGE(""https://docs.google.com/spreadsheets/d/1wBSFbIXYswW2S5SMKo44LPsdTG4P4kfP5VRdAS5E_4o"",""BD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'""&amp;YEAR(C191)&amp;""-""&amp;MONTH(C191)&amp;""-""&amp;DAY(C191)&amp;""'""))&gt;0,""Depositada"",if(sum(QUERY(IMPORTRANGE(""https://docs.google.com/spreadsheets/d/1wBSFbIXYswW2S5SMKo44LPsdTG4P4kfP5VRdAS5E_4o"",""BD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>
        <f>IFERROR(__xludf.DUMMYFUNCTION("ifna(VALUE(REGEXEXTRACT(E191,""[0-9.]+[,]+[0-9]+"")))"),132.75)</f>
        <v>132.75</v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0">
        <v>1691332.0</v>
      </c>
      <c r="C192" s="11">
        <v>45919.92831018518</v>
      </c>
      <c r="D192" s="179" t="s">
        <v>50</v>
      </c>
      <c r="E192" s="180" t="s">
        <v>6652</v>
      </c>
      <c r="F192" s="181"/>
      <c r="G192" s="179" t="s">
        <v>6950</v>
      </c>
      <c r="H192" s="190"/>
      <c r="I192" s="190"/>
      <c r="J192" s="187" t="s">
        <v>3746</v>
      </c>
      <c r="K192" s="187" t="s">
        <v>3168</v>
      </c>
      <c r="L192" s="184" t="str">
        <f>IFERROR(__xludf.DUMMYFUNCTION("ifna(IF(and(D192=""Saída"",J192=""Sangria""),if(sum(QUERY(IMPORTRANGE(""https://docs.google.com/spreadsheets/d/1wBSFbIXYswW2S5SMKo44LPsdTG4P4kfP5VRdAS5E_4o"",""BD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'""&amp;YEAR(C192)&amp;""-""&amp;MONTH(C192)&amp;""-""&amp;DAY(C192)&amp;""'""))&gt;0,""Depositada"",if(sum(QUERY(IMPORTRANGE(""https://docs.google.com/spreadsheets/d/1wBSFbIXYswW2S5SMKo44LPsdTG4P4kfP5VRdAS5E_4o"",""BD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Sangria"")"),"#REF!")</f>
        <v>#REF!</v>
      </c>
      <c r="M192" s="185">
        <f>IFERROR(__xludf.DUMMYFUNCTION("ifna(VALUE(REGEXEXTRACT(E192,""[0-9.]+[,]+[0-9]+"")))"),650.0)</f>
        <v>650</v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0">
        <v>1692793.0</v>
      </c>
      <c r="C193" s="11">
        <v>45920.76787037037</v>
      </c>
      <c r="D193" s="179" t="s">
        <v>50</v>
      </c>
      <c r="E193" s="180" t="s">
        <v>6951</v>
      </c>
      <c r="F193" s="181"/>
      <c r="G193" s="179" t="s">
        <v>6952</v>
      </c>
      <c r="H193" s="190"/>
      <c r="I193" s="190"/>
      <c r="J193" s="187" t="s">
        <v>3825</v>
      </c>
      <c r="K193" s="187"/>
      <c r="L193" s="184" t="str">
        <f>IFERROR(__xludf.DUMMYFUNCTION("ifna(IF(and(D193=""Saída"",J193=""Sangria""),if(sum(QUERY(IMPORTRANGE(""https://docs.google.com/spreadsheets/d/1wBSFbIXYswW2S5SMKo44LPsdTG4P4kfP5VRdAS5E_4o"",""BD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'""&amp;YEAR(C193)&amp;""-""&amp;MONTH(C193)&amp;""-""&amp;DAY(C193)&amp;""'""))&gt;0,""Depositada"",if(sum(QUERY(IMPORTRANGE(""https://docs.google.com/spreadsheets/d/1wBSFbIXYswW2S5SMKo44LPsdTG4P4kfP5VRdAS5E_4o"",""BD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>
        <f>IFERROR(__xludf.DUMMYFUNCTION("ifna(VALUE(REGEXEXTRACT(E193,""[0-9.]+[,]+[0-9]+"")))"),59.0)</f>
        <v>59</v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0">
        <v>1693206.0</v>
      </c>
      <c r="C194" s="11">
        <v>45920.85414351852</v>
      </c>
      <c r="D194" s="179" t="s">
        <v>50</v>
      </c>
      <c r="E194" s="180" t="s">
        <v>4506</v>
      </c>
      <c r="F194" s="181"/>
      <c r="G194" s="179" t="s">
        <v>6953</v>
      </c>
      <c r="H194" s="190"/>
      <c r="I194" s="190"/>
      <c r="J194" s="187" t="s">
        <v>3825</v>
      </c>
      <c r="K194" s="187"/>
      <c r="L194" s="184" t="str">
        <f>IFERROR(__xludf.DUMMYFUNCTION("ifna(IF(and(D194=""Saída"",J194=""Sangria""),if(sum(QUERY(IMPORTRANGE(""https://docs.google.com/spreadsheets/d/1wBSFbIXYswW2S5SMKo44LPsdTG4P4kfP5VRdAS5E_4o"",""BD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'""&amp;YEAR(C194)&amp;""-""&amp;MONTH(C194)&amp;""-""&amp;DAY(C194)&amp;""'""))&gt;0,""Depositada"",if(sum(QUERY(IMPORTRANGE(""https://docs.google.com/spreadsheets/d/1wBSFbIXYswW2S5SMKo44LPsdTG4P4kfP5VRdAS5E_4o"",""BD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>
        <f>IFERROR(__xludf.DUMMYFUNCTION("ifna(VALUE(REGEXEXTRACT(E194,""[0-9.]+[,]+[0-9]+"")))"),91.0)</f>
        <v>91</v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0">
        <v>1693780.0</v>
      </c>
      <c r="C195" s="11">
        <v>45920.92429398148</v>
      </c>
      <c r="D195" s="179" t="s">
        <v>50</v>
      </c>
      <c r="E195" s="180" t="s">
        <v>624</v>
      </c>
      <c r="F195" s="181"/>
      <c r="G195" s="179" t="s">
        <v>6954</v>
      </c>
      <c r="H195" s="190"/>
      <c r="I195" s="190"/>
      <c r="J195" s="187" t="s">
        <v>3825</v>
      </c>
      <c r="K195" s="187"/>
      <c r="L195" s="184" t="str">
        <f>IFERROR(__xludf.DUMMYFUNCTION("ifna(IF(and(D195=""Saída"",J195=""Sangria""),if(sum(QUERY(IMPORTRANGE(""https://docs.google.com/spreadsheets/d/1wBSFbIXYswW2S5SMKo44LPsdTG4P4kfP5VRdAS5E_4o"",""BD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'""&amp;YEAR(C195)&amp;""-""&amp;MONTH(C195)&amp;""-""&amp;DAY(C195)&amp;""'""))&gt;0,""Depositada"",if(sum(QUERY(IMPORTRANGE(""https://docs.google.com/spreadsheets/d/1wBSFbIXYswW2S5SMKo44LPsdTG4P4kfP5VRdAS5E_4o"",""BD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>
        <f>IFERROR(__xludf.DUMMYFUNCTION("ifna(VALUE(REGEXEXTRACT(E195,""[0-9.]+[,]+[0-9]+"")))"),130.0)</f>
        <v>130</v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0">
        <v>1693793.0</v>
      </c>
      <c r="C196" s="11">
        <v>45920.92538194444</v>
      </c>
      <c r="D196" s="179" t="s">
        <v>50</v>
      </c>
      <c r="E196" s="180" t="s">
        <v>1588</v>
      </c>
      <c r="F196" s="181"/>
      <c r="G196" s="179" t="s">
        <v>6956</v>
      </c>
      <c r="H196" s="190"/>
      <c r="I196" s="190"/>
      <c r="J196" s="187" t="s">
        <v>3746</v>
      </c>
      <c r="K196" s="187" t="s">
        <v>3168</v>
      </c>
      <c r="L196" s="184" t="str">
        <f>IFERROR(__xludf.DUMMYFUNCTION("ifna(IF(and(D196=""Saída"",J196=""Sangria""),if(sum(QUERY(IMPORTRANGE(""https://docs.google.com/spreadsheets/d/1wBSFbIXYswW2S5SMKo44LPsdTG4P4kfP5VRdAS5E_4o"",""BD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'""&amp;YEAR(C196)&amp;""-""&amp;MONTH(C196)&amp;""-""&amp;DAY(C196)&amp;""'""))&gt;0,""Depositada"",if(sum(QUERY(IMPORTRANGE(""https://docs.google.com/spreadsheets/d/1wBSFbIXYswW2S5SMKo44LPsdTG4P4kfP5VRdAS5E_4o"",""BD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Sangria"")"),"#REF!")</f>
        <v>#REF!</v>
      </c>
      <c r="M196" s="185">
        <f>IFERROR(__xludf.DUMMYFUNCTION("ifna(VALUE(REGEXEXTRACT(E196,""[0-9.]+[,]+[0-9]+"")))"),1200.0)</f>
        <v>1200</v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0">
        <v>1695897.0</v>
      </c>
      <c r="C197" s="11">
        <v>45921.85943287037</v>
      </c>
      <c r="D197" s="179" t="s">
        <v>50</v>
      </c>
      <c r="E197" s="180" t="s">
        <v>6958</v>
      </c>
      <c r="F197" s="188"/>
      <c r="G197" s="179" t="s">
        <v>6959</v>
      </c>
      <c r="H197" s="190"/>
      <c r="I197" s="190"/>
      <c r="J197" s="187" t="s">
        <v>3825</v>
      </c>
      <c r="K197" s="187"/>
      <c r="L197" s="184" t="str">
        <f>IFERROR(__xludf.DUMMYFUNCTION("ifna(IF(and(D197=""Saída"",J197=""Sangria""),if(sum(QUERY(IMPORTRANGE(""https://docs.google.com/spreadsheets/d/1wBSFbIXYswW2S5SMKo44LPsdTG4P4kfP5VRdAS5E_4o"",""BD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'""&amp;YEAR(C197)&amp;""-""&amp;MONTH(C197)&amp;""-""&amp;DAY(C197)&amp;""'""))&gt;0,""Depositada"",if(sum(QUERY(IMPORTRANGE(""https://docs.google.com/spreadsheets/d/1wBSFbIXYswW2S5SMKo44LPsdTG4P4kfP5VRdAS5E_4o"",""BD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>
        <f>IFERROR(__xludf.DUMMYFUNCTION("ifna(VALUE(REGEXEXTRACT(E197,""[0-9.]+[,]+[0-9]+"")))"),45.5)</f>
        <v>45.5</v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0">
        <v>1696548.0</v>
      </c>
      <c r="C198" s="11">
        <v>45921.92555555556</v>
      </c>
      <c r="D198" s="179" t="s">
        <v>50</v>
      </c>
      <c r="E198" s="180" t="s">
        <v>719</v>
      </c>
      <c r="F198" s="181"/>
      <c r="G198" s="179" t="s">
        <v>6962</v>
      </c>
      <c r="H198" s="190"/>
      <c r="I198" s="190"/>
      <c r="J198" s="187" t="s">
        <v>3746</v>
      </c>
      <c r="K198" s="187" t="s">
        <v>3040</v>
      </c>
      <c r="L198" s="184" t="str">
        <f>IFERROR(__xludf.DUMMYFUNCTION("ifna(IF(and(D198=""Saída"",J198=""Sangria""),if(sum(QUERY(IMPORTRANGE(""https://docs.google.com/spreadsheets/d/1wBSFbIXYswW2S5SMKo44LPsdTG4P4kfP5VRdAS5E_4o"",""BD M Sangrias!a:i""),""select Col6 where Col7 = 'Depositada' and Col9 = '""&amp;K198&amp;""' and Col6 ="&amp;" ""&amp;M198&amp;"" and Col4 = date '""&amp;YEAR(C198)&amp;""-""&amp;MONTH(C198)&amp;""-""&amp;DAY(C198)&amp;""'""))&gt;0,""Depositada"",if(sum(QUERY(IMPORTRANGE(""https://docs.google.com/spreadsheets/d/1wBSFbIXYswW2S5SMKo44LPsdTG4P4kfP5VRdAS5E_4o"",""BD M Sangrias!a:i""),""select Col6 whe"&amp;"re Col7 = 'Caixa Atendimento' and Col9 = '""&amp;K198&amp;""' and Col6 = ""&amp;M198&amp;"" and Col4 = date '""&amp;YEAR(C198)&amp;""-""&amp;MONTH(C198)&amp;""-""&amp;DAY(C198)&amp;""'""))&gt;0,""Caixa Atendimento"",""Caixa Sangria"")),""""),""Caixa Sangria"")"),"#REF!")</f>
        <v>#REF!</v>
      </c>
      <c r="M198" s="185">
        <f>IFERROR(__xludf.DUMMYFUNCTION("ifna(VALUE(REGEXEXTRACT(E198,""[0-9.]+[,]+[0-9]+"")))"),500.0)</f>
        <v>500</v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0">
        <v>1697415.0</v>
      </c>
      <c r="C199" s="11">
        <v>45922.62480324074</v>
      </c>
      <c r="D199" s="179" t="s">
        <v>227</v>
      </c>
      <c r="E199" s="180" t="s">
        <v>1158</v>
      </c>
      <c r="F199" s="181"/>
      <c r="G199" s="179" t="s">
        <v>6963</v>
      </c>
      <c r="H199" s="190"/>
      <c r="I199" s="190"/>
      <c r="J199" s="187" t="s">
        <v>4159</v>
      </c>
      <c r="K199" s="187"/>
      <c r="L199" s="184" t="str">
        <f>IFERROR(__xludf.DUMMYFUNCTION("ifna(IF(and(D199=""Saída"",J199=""Sangria""),if(sum(QUERY(IMPORTRANGE(""https://docs.google.com/spreadsheets/d/1wBSFbIXYswW2S5SMKo44LPsdTG4P4kfP5VRdAS5E_4o"",""BD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'""&amp;YEAR(C199)&amp;""-""&amp;MONTH(C199)&amp;""-""&amp;DAY(C199)&amp;""'""))&gt;0,""Depositada"",if(sum(QUERY(IMPORTRANGE(""https://docs.google.com/spreadsheets/d/1wBSFbIXYswW2S5SMKo44LPsdTG4P4kfP5VRdAS5E_4o"",""BD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>
        <f>IFERROR(__xludf.DUMMYFUNCTION("ifna(VALUE(REGEXEXTRACT(E199,""[0-9.]+[,]+[0-9]+"")))"),800.0)</f>
        <v>800</v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0">
        <v>1697417.0</v>
      </c>
      <c r="C200" s="11">
        <v>45922.62533564815</v>
      </c>
      <c r="D200" s="179" t="s">
        <v>50</v>
      </c>
      <c r="E200" s="180" t="s">
        <v>1158</v>
      </c>
      <c r="F200" s="181"/>
      <c r="G200" s="179" t="s">
        <v>6964</v>
      </c>
      <c r="H200" s="190"/>
      <c r="I200" s="190"/>
      <c r="J200" s="187" t="s">
        <v>3746</v>
      </c>
      <c r="K200" s="187"/>
      <c r="L200" s="184" t="str">
        <f>IFERROR(__xludf.DUMMYFUNCTION("ifna(IF(and(D200=""Saída"",J200=""Sangria""),if(sum(QUERY(IMPORTRANGE(""https://docs.google.com/spreadsheets/d/1wBSFbIXYswW2S5SMKo44LPsdTG4P4kfP5VRdAS5E_4o"",""BD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'""&amp;YEAR(C200)&amp;""-""&amp;MONTH(C200)&amp;""-""&amp;DAY(C200)&amp;""'""))&gt;0,""Depositada"",if(sum(QUERY(IMPORTRANGE(""https://docs.google.com/spreadsheets/d/1wBSFbIXYswW2S5SMKo44LPsdTG4P4kfP5VRdAS5E_4o"",""BD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Sangria"")"),"#REF!")</f>
        <v>#REF!</v>
      </c>
      <c r="M200" s="185">
        <f>IFERROR(__xludf.DUMMYFUNCTION("ifna(VALUE(REGEXEXTRACT(E200,""[0-9.]+[,]+[0-9]+"")))"),800.0)</f>
        <v>800</v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0">
        <v>1697594.0</v>
      </c>
      <c r="C201" s="11">
        <v>45922.7025462963</v>
      </c>
      <c r="D201" s="179" t="s">
        <v>50</v>
      </c>
      <c r="E201" s="180" t="s">
        <v>6966</v>
      </c>
      <c r="F201" s="181"/>
      <c r="G201" s="179" t="s">
        <v>6967</v>
      </c>
      <c r="H201" s="190"/>
      <c r="I201" s="190"/>
      <c r="J201" s="187" t="s">
        <v>3903</v>
      </c>
      <c r="K201" s="187"/>
      <c r="L201" s="184" t="str">
        <f>IFERROR(__xludf.DUMMYFUNCTION("ifna(IF(and(D201=""Saída"",J201=""Sangria""),if(sum(QUERY(IMPORTRANGE(""https://docs.google.com/spreadsheets/d/1wBSFbIXYswW2S5SMKo44LPsdTG4P4kfP5VRdAS5E_4o"",""BD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'""&amp;YEAR(C201)&amp;""-""&amp;MONTH(C201)&amp;""-""&amp;DAY(C201)&amp;""'""))&gt;0,""Depositada"",if(sum(QUERY(IMPORTRANGE(""https://docs.google.com/spreadsheets/d/1wBSFbIXYswW2S5SMKo44LPsdTG4P4kfP5VRdAS5E_4o"",""BD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>
        <f>IFERROR(__xludf.DUMMYFUNCTION("ifna(VALUE(REGEXEXTRACT(E201,""[0-9.]+[,]+[0-9]+"")))"),14.9)</f>
        <v>14.9</v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0">
        <v>1697595.0</v>
      </c>
      <c r="C202" s="11">
        <v>45922.702893518515</v>
      </c>
      <c r="D202" s="179" t="s">
        <v>50</v>
      </c>
      <c r="E202" s="180" t="s">
        <v>6970</v>
      </c>
      <c r="F202" s="181"/>
      <c r="G202" s="179" t="s">
        <v>6884</v>
      </c>
      <c r="H202" s="190"/>
      <c r="I202" s="190"/>
      <c r="J202" s="187" t="s">
        <v>3903</v>
      </c>
      <c r="K202" s="187"/>
      <c r="L202" s="184" t="str">
        <f>IFERROR(__xludf.DUMMYFUNCTION("ifna(IF(and(D202=""Saída"",J202=""Sangria""),if(sum(QUERY(IMPORTRANGE(""https://docs.google.com/spreadsheets/d/1wBSFbIXYswW2S5SMKo44LPsdTG4P4kfP5VRdAS5E_4o"",""BD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'""&amp;YEAR(C202)&amp;""-""&amp;MONTH(C202)&amp;""-""&amp;DAY(C202)&amp;""'""))&gt;0,""Depositada"",if(sum(QUERY(IMPORTRANGE(""https://docs.google.com/spreadsheets/d/1wBSFbIXYswW2S5SMKo44LPsdTG4P4kfP5VRdAS5E_4o"",""BD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>
        <f>IFERROR(__xludf.DUMMYFUNCTION("ifna(VALUE(REGEXEXTRACT(E202,""[0-9.]+[,]+[0-9]+"")))"),417.25)</f>
        <v>417.25</v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0">
        <v>1697596.0</v>
      </c>
      <c r="C203" s="11">
        <v>45922.70332175926</v>
      </c>
      <c r="D203" s="179" t="s">
        <v>50</v>
      </c>
      <c r="E203" s="180" t="s">
        <v>6971</v>
      </c>
      <c r="F203" s="181"/>
      <c r="G203" s="179" t="s">
        <v>6649</v>
      </c>
      <c r="H203" s="190"/>
      <c r="I203" s="190"/>
      <c r="J203" s="187" t="s">
        <v>3903</v>
      </c>
      <c r="K203" s="187"/>
      <c r="L203" s="184" t="str">
        <f>IFERROR(__xludf.DUMMYFUNCTION("ifna(IF(and(D203=""Saída"",J203=""Sangria""),if(sum(QUERY(IMPORTRANGE(""https://docs.google.com/spreadsheets/d/1wBSFbIXYswW2S5SMKo44LPsdTG4P4kfP5VRdAS5E_4o"",""BD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'""&amp;YEAR(C203)&amp;""-""&amp;MONTH(C203)&amp;""-""&amp;DAY(C203)&amp;""'""))&gt;0,""Depositada"",if(sum(QUERY(IMPORTRANGE(""https://docs.google.com/spreadsheets/d/1wBSFbIXYswW2S5SMKo44LPsdTG4P4kfP5VRdAS5E_4o"",""BD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>
        <f>IFERROR(__xludf.DUMMYFUNCTION("ifna(VALUE(REGEXEXTRACT(E203,""[0-9.]+[,]+[0-9]+"")))"),9.66)</f>
        <v>9.66</v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0">
        <v>1697824.0</v>
      </c>
      <c r="C204" s="11">
        <v>45922.788518518515</v>
      </c>
      <c r="D204" s="179" t="s">
        <v>50</v>
      </c>
      <c r="E204" s="180" t="s">
        <v>6974</v>
      </c>
      <c r="F204" s="181"/>
      <c r="G204" s="179" t="s">
        <v>6975</v>
      </c>
      <c r="H204" s="190"/>
      <c r="I204" s="190"/>
      <c r="J204" s="187" t="s">
        <v>3825</v>
      </c>
      <c r="K204" s="187"/>
      <c r="L204" s="184" t="str">
        <f>IFERROR(__xludf.DUMMYFUNCTION("ifna(IF(and(D204=""Saída"",J204=""Sangria""),if(sum(QUERY(IMPORTRANGE(""https://docs.google.com/spreadsheets/d/1wBSFbIXYswW2S5SMKo44LPsdTG4P4kfP5VRdAS5E_4o"",""BD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'""&amp;YEAR(C204)&amp;""-""&amp;MONTH(C204)&amp;""-""&amp;DAY(C204)&amp;""'""))&gt;0,""Depositada"",if(sum(QUERY(IMPORTRANGE(""https://docs.google.com/spreadsheets/d/1wBSFbIXYswW2S5SMKo44LPsdTG4P4kfP5VRdAS5E_4o"",""BD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>
        <f>IFERROR(__xludf.DUMMYFUNCTION("ifna(VALUE(REGEXEXTRACT(E204,""[0-9.]+[,]+[0-9]+"")))"),39.0)</f>
        <v>39</v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0">
        <v>1697866.0</v>
      </c>
      <c r="C205" s="11">
        <v>45922.81009259259</v>
      </c>
      <c r="D205" s="179" t="s">
        <v>50</v>
      </c>
      <c r="E205" s="180" t="s">
        <v>157</v>
      </c>
      <c r="F205" s="181"/>
      <c r="G205" s="179" t="s">
        <v>4960</v>
      </c>
      <c r="H205" s="190"/>
      <c r="I205" s="190"/>
      <c r="J205" s="187" t="s">
        <v>3044</v>
      </c>
      <c r="K205" s="187" t="s">
        <v>3168</v>
      </c>
      <c r="L205" s="184" t="str">
        <f>IFERROR(__xludf.DUMMYFUNCTION("ifna(IF(and(D205=""Saída"",J205=""Sangria""),if(sum(QUERY(IMPORTRANGE(""https://docs.google.com/spreadsheets/d/1wBSFbIXYswW2S5SMKo44LPsdTG4P4kfP5VRdAS5E_4o"",""BD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'""&amp;YEAR(C205)&amp;""-""&amp;MONTH(C205)&amp;""-""&amp;DAY(C205)&amp;""'""))&gt;0,""Depositada"",if(sum(QUERY(IMPORTRANGE(""https://docs.google.com/spreadsheets/d/1wBSFbIXYswW2S5SMKo44LPsdTG4P4kfP5VRdAS5E_4o"",""BD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>
        <f>IFERROR(__xludf.DUMMYFUNCTION("ifna(VALUE(REGEXEXTRACT(E205,""[0-9.]+[,]+[0-9]+"")))"),5.0)</f>
        <v>5</v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0">
        <v>1698156.0</v>
      </c>
      <c r="C206" s="11">
        <v>45922.9115625</v>
      </c>
      <c r="D206" s="179" t="s">
        <v>50</v>
      </c>
      <c r="E206" s="180" t="s">
        <v>3885</v>
      </c>
      <c r="F206" s="188"/>
      <c r="G206" s="179" t="s">
        <v>6980</v>
      </c>
      <c r="H206" s="190"/>
      <c r="I206" s="190"/>
      <c r="J206" s="187" t="s">
        <v>3825</v>
      </c>
      <c r="K206" s="187"/>
      <c r="L206" s="184" t="str">
        <f>IFERROR(__xludf.DUMMYFUNCTION("ifna(IF(and(D206=""Saída"",J206=""Sangria""),if(sum(QUERY(IMPORTRANGE(""https://docs.google.com/spreadsheets/d/1wBSFbIXYswW2S5SMKo44LPsdTG4P4kfP5VRdAS5E_4o"",""BD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'""&amp;YEAR(C206)&amp;""-""&amp;MONTH(C206)&amp;""-""&amp;DAY(C206)&amp;""'""))&gt;0,""Depositada"",if(sum(QUERY(IMPORTRANGE(""https://docs.google.com/spreadsheets/d/1wBSFbIXYswW2S5SMKo44LPsdTG4P4kfP5VRdAS5E_4o"",""BD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>
        <f>IFERROR(__xludf.DUMMYFUNCTION("ifna(VALUE(REGEXEXTRACT(E206,""[0-9.]+[,]+[0-9]+"")))"),78.0)</f>
        <v>78</v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0">
        <v>1698932.0</v>
      </c>
      <c r="C207" s="11">
        <v>45923.69635416667</v>
      </c>
      <c r="D207" s="179" t="s">
        <v>227</v>
      </c>
      <c r="E207" s="180" t="s">
        <v>494</v>
      </c>
      <c r="F207" s="181"/>
      <c r="G207" s="179" t="s">
        <v>6982</v>
      </c>
      <c r="H207" s="190"/>
      <c r="I207" s="190"/>
      <c r="J207" s="187" t="s">
        <v>4159</v>
      </c>
      <c r="K207" s="187"/>
      <c r="L207" s="184" t="str">
        <f>IFERROR(__xludf.DUMMYFUNCTION("ifna(IF(and(D207=""Saída"",J207=""Sangria""),if(sum(QUERY(IMPORTRANGE(""https://docs.google.com/spreadsheets/d/1wBSFbIXYswW2S5SMKo44LPsdTG4P4kfP5VRdAS5E_4o"",""BD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'""&amp;YEAR(C207)&amp;""-""&amp;MONTH(C207)&amp;""-""&amp;DAY(C207)&amp;""'""))&gt;0,""Depositada"",if(sum(QUERY(IMPORTRANGE(""https://docs.google.com/spreadsheets/d/1wBSFbIXYswW2S5SMKo44LPsdTG4P4kfP5VRdAS5E_4o"",""BD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>
        <f>IFERROR(__xludf.DUMMYFUNCTION("ifna(VALUE(REGEXEXTRACT(E207,""[0-9.]+[,]+[0-9]+"")))"),0.01)</f>
        <v>0.01</v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0">
        <v>1698935.0</v>
      </c>
      <c r="C208" s="11">
        <v>45923.69665509259</v>
      </c>
      <c r="D208" s="179" t="s">
        <v>50</v>
      </c>
      <c r="E208" s="180" t="s">
        <v>6362</v>
      </c>
      <c r="F208" s="181"/>
      <c r="G208" s="179" t="s">
        <v>6984</v>
      </c>
      <c r="H208" s="190"/>
      <c r="I208" s="190"/>
      <c r="J208" s="187" t="s">
        <v>4159</v>
      </c>
      <c r="K208" s="187"/>
      <c r="L208" s="184" t="str">
        <f>IFERROR(__xludf.DUMMYFUNCTION("ifna(IF(and(D208=""Saída"",J208=""Sangria""),if(sum(QUERY(IMPORTRANGE(""https://docs.google.com/spreadsheets/d/1wBSFbIXYswW2S5SMKo44LPsdTG4P4kfP5VRdAS5E_4o"",""BD M Sangrias!a:i""),""select Col6 where Col7 = 'Depositada' and Col9 = '""&amp;K208&amp;""' and Col6 ="&amp;" ""&amp;M208&amp;"" and Col4 = date '""&amp;YEAR(C208)&amp;""-""&amp;MONTH(C208)&amp;""-""&amp;DAY(C208)&amp;""'""))&gt;0,""Depositada"",if(sum(QUERY(IMPORTRANGE(""https://docs.google.com/spreadsheets/d/1wBSFbIXYswW2S5SMKo44LPsdTG4P4kfP5VRdAS5E_4o"",""BD M Sangrias!a:i""),""select Col6 whe"&amp;"re Col7 = 'Caixa Atendimento' and Col9 = '""&amp;K208&amp;""' and Col6 = ""&amp;M208&amp;"" and Col4 = date '""&amp;YEAR(C208)&amp;""-""&amp;MONTH(C208)&amp;""-""&amp;DAY(C208)&amp;""'""))&gt;0,""Caixa Atendimento"",""Caixa Sangria"")),""""),""Caixa Sangria"")"),"")</f>
        <v/>
      </c>
      <c r="M208" s="185">
        <f>IFERROR(__xludf.DUMMYFUNCTION("ifna(VALUE(REGEXEXTRACT(E208,""[0-9.]+[,]+[0-9]+"")))"),111.0)</f>
        <v>111</v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0">
        <v>1699593.0</v>
      </c>
      <c r="C209" s="11">
        <v>45923.91614583333</v>
      </c>
      <c r="D209" s="179" t="s">
        <v>50</v>
      </c>
      <c r="E209" s="180" t="s">
        <v>3885</v>
      </c>
      <c r="F209" s="181"/>
      <c r="G209" s="179" t="s">
        <v>6980</v>
      </c>
      <c r="H209" s="190"/>
      <c r="I209" s="190"/>
      <c r="J209" s="187" t="s">
        <v>3825</v>
      </c>
      <c r="K209" s="187"/>
      <c r="L209" s="184" t="str">
        <f>IFERROR(__xludf.DUMMYFUNCTION("ifna(IF(and(D209=""Saída"",J209=""Sangria""),if(sum(QUERY(IMPORTRANGE(""https://docs.google.com/spreadsheets/d/1wBSFbIXYswW2S5SMKo44LPsdTG4P4kfP5VRdAS5E_4o"",""BD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'""&amp;YEAR(C209)&amp;""-""&amp;MONTH(C209)&amp;""-""&amp;DAY(C209)&amp;""'""))&gt;0,""Depositada"",if(sum(QUERY(IMPORTRANGE(""https://docs.google.com/spreadsheets/d/1wBSFbIXYswW2S5SMKo44LPsdTG4P4kfP5VRdAS5E_4o"",""BD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>
        <f>IFERROR(__xludf.DUMMYFUNCTION("ifna(VALUE(REGEXEXTRACT(E209,""[0-9.]+[,]+[0-9]+"")))"),78.0)</f>
        <v>78</v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0">
        <v>1700340.0</v>
      </c>
      <c r="C210" s="11">
        <v>45924.68707175926</v>
      </c>
      <c r="D210" s="179" t="s">
        <v>50</v>
      </c>
      <c r="E210" s="180" t="s">
        <v>6989</v>
      </c>
      <c r="F210" s="181"/>
      <c r="G210" s="179" t="s">
        <v>6790</v>
      </c>
      <c r="H210" s="190"/>
      <c r="I210" s="190"/>
      <c r="J210" s="187" t="s">
        <v>3903</v>
      </c>
      <c r="K210" s="187"/>
      <c r="L210" s="184" t="str">
        <f>IFERROR(__xludf.DUMMYFUNCTION("ifna(IF(and(D210=""Saída"",J210=""Sangria""),if(sum(QUERY(IMPORTRANGE(""https://docs.google.com/spreadsheets/d/1wBSFbIXYswW2S5SMKo44LPsdTG4P4kfP5VRdAS5E_4o"",""BD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'""&amp;YEAR(C210)&amp;""-""&amp;MONTH(C210)&amp;""-""&amp;DAY(C210)&amp;""'""))&gt;0,""Depositada"",if(sum(QUERY(IMPORTRANGE(""https://docs.google.com/spreadsheets/d/1wBSFbIXYswW2S5SMKo44LPsdTG4P4kfP5VRdAS5E_4o"",""BD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>
        <f>IFERROR(__xludf.DUMMYFUNCTION("ifna(VALUE(REGEXEXTRACT(E210,""[0-9.]+[,]+[0-9]+"")))"),125.64)</f>
        <v>125.64</v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0">
        <v>1700341.0</v>
      </c>
      <c r="C211" s="11">
        <v>45924.68733796296</v>
      </c>
      <c r="D211" s="179" t="s">
        <v>50</v>
      </c>
      <c r="E211" s="180" t="s">
        <v>6991</v>
      </c>
      <c r="F211" s="181"/>
      <c r="G211" s="179" t="s">
        <v>6992</v>
      </c>
      <c r="H211" s="190"/>
      <c r="I211" s="190"/>
      <c r="J211" s="187" t="s">
        <v>3903</v>
      </c>
      <c r="K211" s="187"/>
      <c r="L211" s="184" t="str">
        <f>IFERROR(__xludf.DUMMYFUNCTION("ifna(IF(and(D211=""Saída"",J211=""Sangria""),if(sum(QUERY(IMPORTRANGE(""https://docs.google.com/spreadsheets/d/1wBSFbIXYswW2S5SMKo44LPsdTG4P4kfP5VRdAS5E_4o"",""BD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'""&amp;YEAR(C211)&amp;""-""&amp;MONTH(C211)&amp;""-""&amp;DAY(C211)&amp;""'""))&gt;0,""Depositada"",if(sum(QUERY(IMPORTRANGE(""https://docs.google.com/spreadsheets/d/1wBSFbIXYswW2S5SMKo44LPsdTG4P4kfP5VRdAS5E_4o"",""BD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>
        <f>IFERROR(__xludf.DUMMYFUNCTION("ifna(VALUE(REGEXEXTRACT(E211,""[0-9.]+[,]+[0-9]+"")))"),118.0)</f>
        <v>118</v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0">
        <v>1700583.0</v>
      </c>
      <c r="C212" s="11">
        <v>45924.756157407406</v>
      </c>
      <c r="D212" s="179" t="s">
        <v>50</v>
      </c>
      <c r="E212" s="180" t="s">
        <v>6993</v>
      </c>
      <c r="F212" s="181"/>
      <c r="G212" s="179" t="s">
        <v>6994</v>
      </c>
      <c r="H212" s="190"/>
      <c r="I212" s="190"/>
      <c r="J212" s="187" t="s">
        <v>3903</v>
      </c>
      <c r="K212" s="187"/>
      <c r="L212" s="184" t="str">
        <f>IFERROR(__xludf.DUMMYFUNCTION("ifna(IF(and(D212=""Saída"",J212=""Sangria""),if(sum(QUERY(IMPORTRANGE(""https://docs.google.com/spreadsheets/d/1wBSFbIXYswW2S5SMKo44LPsdTG4P4kfP5VRdAS5E_4o"",""BD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'""&amp;YEAR(C212)&amp;""-""&amp;MONTH(C212)&amp;""-""&amp;DAY(C212)&amp;""'""))&gt;0,""Depositada"",if(sum(QUERY(IMPORTRANGE(""https://docs.google.com/spreadsheets/d/1wBSFbIXYswW2S5SMKo44LPsdTG4P4kfP5VRdAS5E_4o"",""BD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>
        <f>IFERROR(__xludf.DUMMYFUNCTION("ifna(VALUE(REGEXEXTRACT(E212,""[0-9.]+[,]+[0-9]+"")))"),9.69)</f>
        <v>9.69</v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0">
        <v>1700594.0</v>
      </c>
      <c r="C213" s="11">
        <v>45924.76217592593</v>
      </c>
      <c r="D213" s="179" t="s">
        <v>50</v>
      </c>
      <c r="E213" s="180" t="s">
        <v>1238</v>
      </c>
      <c r="F213" s="181"/>
      <c r="G213" s="179" t="s">
        <v>6803</v>
      </c>
      <c r="H213" s="190"/>
      <c r="I213" s="190"/>
      <c r="J213" s="187" t="s">
        <v>3903</v>
      </c>
      <c r="K213" s="187"/>
      <c r="L213" s="184" t="str">
        <f>IFERROR(__xludf.DUMMYFUNCTION("ifna(IF(and(D213=""Saída"",J213=""Sangria""),if(sum(QUERY(IMPORTRANGE(""https://docs.google.com/spreadsheets/d/1wBSFbIXYswW2S5SMKo44LPsdTG4P4kfP5VRdAS5E_4o"",""BD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'""&amp;YEAR(C213)&amp;""-""&amp;MONTH(C213)&amp;""-""&amp;DAY(C213)&amp;""'""))&gt;0,""Depositada"",if(sum(QUERY(IMPORTRANGE(""https://docs.google.com/spreadsheets/d/1wBSFbIXYswW2S5SMKo44LPsdTG4P4kfP5VRdAS5E_4o"",""BD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>
        <f>IFERROR(__xludf.DUMMYFUNCTION("ifna(VALUE(REGEXEXTRACT(E213,""[0-9.]+[,]+[0-9]+"")))"),105.0)</f>
        <v>105</v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0">
        <v>1700596.0</v>
      </c>
      <c r="C214" s="11">
        <v>45924.76305555556</v>
      </c>
      <c r="D214" s="179" t="s">
        <v>50</v>
      </c>
      <c r="E214" s="180" t="s">
        <v>537</v>
      </c>
      <c r="F214" s="181"/>
      <c r="G214" s="179" t="s">
        <v>6996</v>
      </c>
      <c r="H214" s="190"/>
      <c r="I214" s="190"/>
      <c r="J214" s="187" t="s">
        <v>3903</v>
      </c>
      <c r="K214" s="187"/>
      <c r="L214" s="184" t="str">
        <f>IFERROR(__xludf.DUMMYFUNCTION("ifna(IF(and(D214=""Saída"",J214=""Sangria""),if(sum(QUERY(IMPORTRANGE(""https://docs.google.com/spreadsheets/d/1wBSFbIXYswW2S5SMKo44LPsdTG4P4kfP5VRdAS5E_4o"",""BD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'""&amp;YEAR(C214)&amp;""-""&amp;MONTH(C214)&amp;""-""&amp;DAY(C214)&amp;""'""))&gt;0,""Depositada"",if(sum(QUERY(IMPORTRANGE(""https://docs.google.com/spreadsheets/d/1wBSFbIXYswW2S5SMKo44LPsdTG4P4kfP5VRdAS5E_4o"",""BD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>
        <f>IFERROR(__xludf.DUMMYFUNCTION("ifna(VALUE(REGEXEXTRACT(E214,""[0-9.]+[,]+[0-9]+"")))"),42.5)</f>
        <v>42.5</v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0">
        <v>1700598.0</v>
      </c>
      <c r="C215" s="11">
        <v>45924.763645833336</v>
      </c>
      <c r="D215" s="179" t="s">
        <v>227</v>
      </c>
      <c r="E215" s="180" t="s">
        <v>494</v>
      </c>
      <c r="F215" s="188"/>
      <c r="G215" s="179" t="s">
        <v>6997</v>
      </c>
      <c r="H215" s="190"/>
      <c r="I215" s="190"/>
      <c r="J215" s="187" t="s">
        <v>4159</v>
      </c>
      <c r="K215" s="187"/>
      <c r="L215" s="184" t="str">
        <f>IFERROR(__xludf.DUMMYFUNCTION("ifna(IF(and(D215=""Saída"",J215=""Sangria""),if(sum(QUERY(IMPORTRANGE(""https://docs.google.com/spreadsheets/d/1wBSFbIXYswW2S5SMKo44LPsdTG4P4kfP5VRdAS5E_4o"",""BD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'""&amp;YEAR(C215)&amp;""-""&amp;MONTH(C215)&amp;""-""&amp;DAY(C215)&amp;""'""))&gt;0,""Depositada"",if(sum(QUERY(IMPORTRANGE(""https://docs.google.com/spreadsheets/d/1wBSFbIXYswW2S5SMKo44LPsdTG4P4kfP5VRdAS5E_4o"",""BD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>
        <f>IFERROR(__xludf.DUMMYFUNCTION("ifna(VALUE(REGEXEXTRACT(E215,""[0-9.]+[,]+[0-9]+"")))"),0.01)</f>
        <v>0.01</v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0">
        <v>1700612.0</v>
      </c>
      <c r="C216" s="11">
        <v>45924.76652777778</v>
      </c>
      <c r="D216" s="179" t="s">
        <v>227</v>
      </c>
      <c r="E216" s="180" t="s">
        <v>494</v>
      </c>
      <c r="F216" s="181"/>
      <c r="G216" s="179" t="s">
        <v>7000</v>
      </c>
      <c r="H216" s="190"/>
      <c r="I216" s="190"/>
      <c r="J216" s="187" t="s">
        <v>4159</v>
      </c>
      <c r="K216" s="187"/>
      <c r="L216" s="184" t="str">
        <f>IFERROR(__xludf.DUMMYFUNCTION("ifna(IF(and(D216=""Saída"",J216=""Sangria""),if(sum(QUERY(IMPORTRANGE(""https://docs.google.com/spreadsheets/d/1wBSFbIXYswW2S5SMKo44LPsdTG4P4kfP5VRdAS5E_4o"",""BD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'""&amp;YEAR(C216)&amp;""-""&amp;MONTH(C216)&amp;""-""&amp;DAY(C216)&amp;""'""))&gt;0,""Depositada"",if(sum(QUERY(IMPORTRANGE(""https://docs.google.com/spreadsheets/d/1wBSFbIXYswW2S5SMKo44LPsdTG4P4kfP5VRdAS5E_4o"",""BD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>
        <f>IFERROR(__xludf.DUMMYFUNCTION("ifna(VALUE(REGEXEXTRACT(E216,""[0-9.]+[,]+[0-9]+"")))"),0.01)</f>
        <v>0.01</v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0">
        <v>1700617.0</v>
      </c>
      <c r="C217" s="11">
        <v>45924.768229166664</v>
      </c>
      <c r="D217" s="179" t="s">
        <v>50</v>
      </c>
      <c r="E217" s="180" t="s">
        <v>1635</v>
      </c>
      <c r="F217" s="181"/>
      <c r="G217" s="179" t="s">
        <v>7002</v>
      </c>
      <c r="H217" s="190"/>
      <c r="I217" s="190"/>
      <c r="J217" s="187" t="s">
        <v>3466</v>
      </c>
      <c r="K217" s="187"/>
      <c r="L217" s="184" t="str">
        <f>IFERROR(__xludf.DUMMYFUNCTION("ifna(IF(and(D217=""Saída"",J217=""Sangria""),if(sum(QUERY(IMPORTRANGE(""https://docs.google.com/spreadsheets/d/1wBSFbIXYswW2S5SMKo44LPsdTG4P4kfP5VRdAS5E_4o"",""BD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'""&amp;YEAR(C217)&amp;""-""&amp;MONTH(C217)&amp;""-""&amp;DAY(C217)&amp;""'""))&gt;0,""Depositada"",if(sum(QUERY(IMPORTRANGE(""https://docs.google.com/spreadsheets/d/1wBSFbIXYswW2S5SMKo44LPsdTG4P4kfP5VRdAS5E_4o"",""BD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>
        <f>IFERROR(__xludf.DUMMYFUNCTION("ifna(VALUE(REGEXEXTRACT(E217,""[0-9.]+[,]+[0-9]+"")))"),18.28)</f>
        <v>18.28</v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0">
        <v>1701119.0</v>
      </c>
      <c r="C218" s="11">
        <v>45924.92252314815</v>
      </c>
      <c r="D218" s="179" t="s">
        <v>50</v>
      </c>
      <c r="E218" s="180" t="s">
        <v>7004</v>
      </c>
      <c r="F218" s="181"/>
      <c r="G218" s="179" t="s">
        <v>6942</v>
      </c>
      <c r="H218" s="190"/>
      <c r="I218" s="190"/>
      <c r="J218" s="187" t="s">
        <v>3825</v>
      </c>
      <c r="K218" s="187"/>
      <c r="L218" s="184" t="str">
        <f>IFERROR(__xludf.DUMMYFUNCTION("ifna(IF(and(D218=""Saída"",J218=""Sangria""),if(sum(QUERY(IMPORTRANGE(""https://docs.google.com/spreadsheets/d/1wBSFbIXYswW2S5SMKo44LPsdTG4P4kfP5VRdAS5E_4o"",""BD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'""&amp;YEAR(C218)&amp;""-""&amp;MONTH(C218)&amp;""-""&amp;DAY(C218)&amp;""'""))&gt;0,""Depositada"",if(sum(QUERY(IMPORTRANGE(""https://docs.google.com/spreadsheets/d/1wBSFbIXYswW2S5SMKo44LPsdTG4P4kfP5VRdAS5E_4o"",""BD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>
        <f>IFERROR(__xludf.DUMMYFUNCTION("ifna(VALUE(REGEXEXTRACT(E218,""[0-9.]+[,]+[0-9]+"")))"),56.0)</f>
        <v>56</v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0">
        <v>1701608.0</v>
      </c>
      <c r="C219" s="11">
        <v>45925.634050925924</v>
      </c>
      <c r="D219" s="179" t="s">
        <v>50</v>
      </c>
      <c r="E219" s="180" t="s">
        <v>6672</v>
      </c>
      <c r="F219" s="181"/>
      <c r="G219" s="179" t="s">
        <v>7005</v>
      </c>
      <c r="H219" s="190"/>
      <c r="I219" s="190"/>
      <c r="J219" s="187" t="s">
        <v>4159</v>
      </c>
      <c r="K219" s="187"/>
      <c r="L219" s="184" t="str">
        <f>IFERROR(__xludf.DUMMYFUNCTION("ifna(IF(and(D219=""Saída"",J219=""Sangria""),if(sum(QUERY(IMPORTRANGE(""https://docs.google.com/spreadsheets/d/1wBSFbIXYswW2S5SMKo44LPsdTG4P4kfP5VRdAS5E_4o"",""BD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'""&amp;YEAR(C219)&amp;""-""&amp;MONTH(C219)&amp;""-""&amp;DAY(C219)&amp;""'""))&gt;0,""Depositada"",if(sum(QUERY(IMPORTRANGE(""https://docs.google.com/spreadsheets/d/1wBSFbIXYswW2S5SMKo44LPsdTG4P4kfP5VRdAS5E_4o"",""BD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>
        <f>IFERROR(__xludf.DUMMYFUNCTION("ifna(VALUE(REGEXEXTRACT(E219,""[0-9.]+[,]+[0-9]+"")))"),260.0)</f>
        <v>260</v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0">
        <v>1701609.0</v>
      </c>
      <c r="C220" s="11">
        <v>45925.63449074074</v>
      </c>
      <c r="D220" s="179" t="s">
        <v>227</v>
      </c>
      <c r="E220" s="180" t="s">
        <v>494</v>
      </c>
      <c r="F220" s="181"/>
      <c r="G220" s="179" t="s">
        <v>7007</v>
      </c>
      <c r="H220" s="190"/>
      <c r="I220" s="190"/>
      <c r="J220" s="187" t="s">
        <v>4159</v>
      </c>
      <c r="K220" s="187"/>
      <c r="L220" s="184" t="str">
        <f>IFERROR(__xludf.DUMMYFUNCTION("ifna(IF(and(D220=""Saída"",J220=""Sangria""),if(sum(QUERY(IMPORTRANGE(""https://docs.google.com/spreadsheets/d/1wBSFbIXYswW2S5SMKo44LPsdTG4P4kfP5VRdAS5E_4o"",""BD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'""&amp;YEAR(C220)&amp;""-""&amp;MONTH(C220)&amp;""-""&amp;DAY(C220)&amp;""'""))&gt;0,""Depositada"",if(sum(QUERY(IMPORTRANGE(""https://docs.google.com/spreadsheets/d/1wBSFbIXYswW2S5SMKo44LPsdTG4P4kfP5VRdAS5E_4o"",""BD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>
        <f>IFERROR(__xludf.DUMMYFUNCTION("ifna(VALUE(REGEXEXTRACT(E220,""[0-9.]+[,]+[0-9]+"")))"),0.01)</f>
        <v>0.01</v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0">
        <v>1701614.0</v>
      </c>
      <c r="C221" s="11">
        <v>45925.638344907406</v>
      </c>
      <c r="D221" s="179" t="s">
        <v>50</v>
      </c>
      <c r="E221" s="180" t="s">
        <v>7009</v>
      </c>
      <c r="F221" s="181"/>
      <c r="G221" s="179" t="s">
        <v>7010</v>
      </c>
      <c r="H221" s="190"/>
      <c r="I221" s="190"/>
      <c r="J221" s="187" t="s">
        <v>3466</v>
      </c>
      <c r="K221" s="187"/>
      <c r="L221" s="184" t="str">
        <f>IFERROR(__xludf.DUMMYFUNCTION("ifna(IF(and(D221=""Saída"",J221=""Sangria""),if(sum(QUERY(IMPORTRANGE(""https://docs.google.com/spreadsheets/d/1wBSFbIXYswW2S5SMKo44LPsdTG4P4kfP5VRdAS5E_4o"",""BD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'""&amp;YEAR(C221)&amp;""-""&amp;MONTH(C221)&amp;""-""&amp;DAY(C221)&amp;""'""))&gt;0,""Depositada"",if(sum(QUERY(IMPORTRANGE(""https://docs.google.com/spreadsheets/d/1wBSFbIXYswW2S5SMKo44LPsdTG4P4kfP5VRdAS5E_4o"",""BD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>
        <f>IFERROR(__xludf.DUMMYFUNCTION("ifna(VALUE(REGEXEXTRACT(E221,""[0-9.]+[,]+[0-9]+"")))"),46.78)</f>
        <v>46.78</v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0">
        <v>1702549.0</v>
      </c>
      <c r="C222" s="11">
        <v>45925.92548611111</v>
      </c>
      <c r="D222" s="179" t="s">
        <v>50</v>
      </c>
      <c r="E222" s="180" t="s">
        <v>7004</v>
      </c>
      <c r="F222" s="188"/>
      <c r="G222" s="179" t="s">
        <v>6942</v>
      </c>
      <c r="H222" s="190"/>
      <c r="I222" s="190"/>
      <c r="J222" s="187" t="s">
        <v>3825</v>
      </c>
      <c r="K222" s="187"/>
      <c r="L222" s="184" t="str">
        <f>IFERROR(__xludf.DUMMYFUNCTION("ifna(IF(and(D222=""Saída"",J222=""Sangria""),if(sum(QUERY(IMPORTRANGE(""https://docs.google.com/spreadsheets/d/1wBSFbIXYswW2S5SMKo44LPsdTG4P4kfP5VRdAS5E_4o"",""BD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'""&amp;YEAR(C222)&amp;""-""&amp;MONTH(C222)&amp;""-""&amp;DAY(C222)&amp;""'""))&gt;0,""Depositada"",if(sum(QUERY(IMPORTRANGE(""https://docs.google.com/spreadsheets/d/1wBSFbIXYswW2S5SMKo44LPsdTG4P4kfP5VRdAS5E_4o"",""BD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>
        <f>IFERROR(__xludf.DUMMYFUNCTION("ifna(VALUE(REGEXEXTRACT(E222,""[0-9.]+[,]+[0-9]+"")))"),56.0)</f>
        <v>56</v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0"/>
      <c r="C223" s="11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IFERROR(__xludf.DUMMYFUNCTION("ifna(IF(and(D223=""Saída"",J223=""Sangria""),if(sum(QUERY(IMPORTRANGE(""https://docs.google.com/spreadsheets/d/1wBSFbIXYswW2S5SMKo44LPsdTG4P4kfP5VRdAS5E_4o"",""BD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'""&amp;YEAR(C223)&amp;""-""&amp;MONTH(C223)&amp;""-""&amp;DAY(C223)&amp;""'""))&gt;0,""Depositada"",if(sum(QUERY(IMPORTRANGE(""https://docs.google.com/spreadsheets/d/1wBSFbIXYswW2S5SMKo44LPsdTG4P4kfP5VRdAS5E_4o"",""BD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0"/>
      <c r="C224" s="11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IFERROR(__xludf.DUMMYFUNCTION("ifna(IF(and(D224=""Saída"",J224=""Sangria""),if(sum(QUERY(IMPORTRANGE(""https://docs.google.com/spreadsheets/d/1wBSFbIXYswW2S5SMKo44LPsdTG4P4kfP5VRdAS5E_4o"",""BD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'""&amp;YEAR(C224)&amp;""-""&amp;MONTH(C224)&amp;""-""&amp;DAY(C224)&amp;""'""))&gt;0,""Depositada"",if(sum(QUERY(IMPORTRANGE(""https://docs.google.com/spreadsheets/d/1wBSFbIXYswW2S5SMKo44LPsdTG4P4kfP5VRdAS5E_4o"",""BD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0"/>
      <c r="C225" s="11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IFERROR(__xludf.DUMMYFUNCTION("ifna(IF(and(D225=""Saída"",J225=""Sangria""),if(sum(QUERY(IMPORTRANGE(""https://docs.google.com/spreadsheets/d/1wBSFbIXYswW2S5SMKo44LPsdTG4P4kfP5VRdAS5E_4o"",""BD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'""&amp;YEAR(C225)&amp;""-""&amp;MONTH(C225)&amp;""-""&amp;DAY(C225)&amp;""'""))&gt;0,""Depositada"",if(sum(QUERY(IMPORTRANGE(""https://docs.google.com/spreadsheets/d/1wBSFbIXYswW2S5SMKo44LPsdTG4P4kfP5VRdAS5E_4o"",""BD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0"/>
      <c r="C226" s="11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IFERROR(__xludf.DUMMYFUNCTION("ifna(IF(and(D226=""Saída"",J226=""Sangria""),if(sum(QUERY(IMPORTRANGE(""https://docs.google.com/spreadsheets/d/1wBSFbIXYswW2S5SMKo44LPsdTG4P4kfP5VRdAS5E_4o"",""BD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'""&amp;YEAR(C226)&amp;""-""&amp;MONTH(C226)&amp;""-""&amp;DAY(C226)&amp;""'""))&gt;0,""Depositada"",if(sum(QUERY(IMPORTRANGE(""https://docs.google.com/spreadsheets/d/1wBSFbIXYswW2S5SMKo44LPsdTG4P4kfP5VRdAS5E_4o"",""BD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0"/>
      <c r="C227" s="11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IFERROR(__xludf.DUMMYFUNCTION("ifna(IF(and(D227=""Saída"",J227=""Sangria""),if(sum(QUERY(IMPORTRANGE(""https://docs.google.com/spreadsheets/d/1wBSFbIXYswW2S5SMKo44LPsdTG4P4kfP5VRdAS5E_4o"",""BD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'""&amp;YEAR(C227)&amp;""-""&amp;MONTH(C227)&amp;""-""&amp;DAY(C227)&amp;""'""))&gt;0,""Depositada"",if(sum(QUERY(IMPORTRANGE(""https://docs.google.com/spreadsheets/d/1wBSFbIXYswW2S5SMKo44LPsdTG4P4kfP5VRdAS5E_4o"",""BD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0"/>
      <c r="C228" s="11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IFERROR(__xludf.DUMMYFUNCTION("ifna(IF(and(D228=""Saída"",J228=""Sangria""),if(sum(QUERY(IMPORTRANGE(""https://docs.google.com/spreadsheets/d/1wBSFbIXYswW2S5SMKo44LPsdTG4P4kfP5VRdAS5E_4o"",""BD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'""&amp;YEAR(C228)&amp;""-""&amp;MONTH(C228)&amp;""-""&amp;DAY(C228)&amp;""'""))&gt;0,""Depositada"",if(sum(QUERY(IMPORTRANGE(""https://docs.google.com/spreadsheets/d/1wBSFbIXYswW2S5SMKo44LPsdTG4P4kfP5VRdAS5E_4o"",""BD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IFERROR(__xludf.DUMMYFUNCTION("ifna(IF(and(D229=""Saída"",J229=""Sangria""),if(sum(QUERY(IMPORTRANGE(""https://docs.google.com/spreadsheets/d/1wBSFbIXYswW2S5SMKo44LPsdTG4P4kfP5VRdAS5E_4o"",""BD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'""&amp;YEAR(C229)&amp;""-""&amp;MONTH(C229)&amp;""-""&amp;DAY(C229)&amp;""'""))&gt;0,""Depositada"",if(sum(QUERY(IMPORTRANGE(""https://docs.google.com/spreadsheets/d/1wBSFbIXYswW2S5SMKo44LPsdTG4P4kfP5VRdAS5E_4o"",""BD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IFERROR(__xludf.DUMMYFUNCTION("ifna(IF(and(D230=""Saída"",J230=""Sangria""),if(sum(QUERY(IMPORTRANGE(""https://docs.google.com/spreadsheets/d/1wBSFbIXYswW2S5SMKo44LPsdTG4P4kfP5VRdAS5E_4o"",""BD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'""&amp;YEAR(C230)&amp;""-""&amp;MONTH(C230)&amp;""-""&amp;DAY(C230)&amp;""'""))&gt;0,""Depositada"",if(sum(QUERY(IMPORTRANGE(""https://docs.google.com/spreadsheets/d/1wBSFbIXYswW2S5SMKo44LPsdTG4P4kfP5VRdAS5E_4o"",""BD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IFERROR(__xludf.DUMMYFUNCTION("ifna(IF(and(D231=""Saída"",J231=""Sangria""),if(sum(QUERY(IMPORTRANGE(""https://docs.google.com/spreadsheets/d/1wBSFbIXYswW2S5SMKo44LPsdTG4P4kfP5VRdAS5E_4o"",""BD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'""&amp;YEAR(C231)&amp;""-""&amp;MONTH(C231)&amp;""-""&amp;DAY(C231)&amp;""'""))&gt;0,""Depositada"",if(sum(QUERY(IMPORTRANGE(""https://docs.google.com/spreadsheets/d/1wBSFbIXYswW2S5SMKo44LPsdTG4P4kfP5VRdAS5E_4o"",""BD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0"/>
      <c r="C232" s="11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IFERROR(__xludf.DUMMYFUNCTION("ifna(IF(and(D232=""Saída"",J232=""Sangria""),if(sum(QUERY(IMPORTRANGE(""https://docs.google.com/spreadsheets/d/1wBSFbIXYswW2S5SMKo44LPsdTG4P4kfP5VRdAS5E_4o"",""BD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'""&amp;YEAR(C232)&amp;""-""&amp;MONTH(C232)&amp;""-""&amp;DAY(C232)&amp;""'""))&gt;0,""Depositada"",if(sum(QUERY(IMPORTRANGE(""https://docs.google.com/spreadsheets/d/1wBSFbIXYswW2S5SMKo44LPsdTG4P4kfP5VRdAS5E_4o"",""BD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IFERROR(__xludf.DUMMYFUNCTION("ifna(IF(and(D233=""Saída"",J233=""Sangria""),if(sum(QUERY(IMPORTRANGE(""https://docs.google.com/spreadsheets/d/1wBSFbIXYswW2S5SMKo44LPsdTG4P4kfP5VRdAS5E_4o"",""BD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'""&amp;YEAR(C233)&amp;""-""&amp;MONTH(C233)&amp;""-""&amp;DAY(C233)&amp;""'""))&gt;0,""Depositada"",if(sum(QUERY(IMPORTRANGE(""https://docs.google.com/spreadsheets/d/1wBSFbIXYswW2S5SMKo44LPsdTG4P4kfP5VRdAS5E_4o"",""BD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0"/>
      <c r="C234" s="11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IFERROR(__xludf.DUMMYFUNCTION("ifna(IF(and(D234=""Saída"",J234=""Sangria""),if(sum(QUERY(IMPORTRANGE(""https://docs.google.com/spreadsheets/d/1wBSFbIXYswW2S5SMKo44LPsdTG4P4kfP5VRdAS5E_4o"",""BD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'""&amp;YEAR(C234)&amp;""-""&amp;MONTH(C234)&amp;""-""&amp;DAY(C234)&amp;""'""))&gt;0,""Depositada"",if(sum(QUERY(IMPORTRANGE(""https://docs.google.com/spreadsheets/d/1wBSFbIXYswW2S5SMKo44LPsdTG4P4kfP5VRdAS5E_4o"",""BD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1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IFERROR(__xludf.DUMMYFUNCTION("ifna(IF(and(D235=""Saída"",J235=""Sangria""),if(sum(QUERY(IMPORTRANGE(""https://docs.google.com/spreadsheets/d/1wBSFbIXYswW2S5SMKo44LPsdTG4P4kfP5VRdAS5E_4o"",""BD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'""&amp;YEAR(C235)&amp;""-""&amp;MONTH(C235)&amp;""-""&amp;DAY(C235)&amp;""'""))&gt;0,""Depositada"",if(sum(QUERY(IMPORTRANGE(""https://docs.google.com/spreadsheets/d/1wBSFbIXYswW2S5SMKo44LPsdTG4P4kfP5VRdAS5E_4o"",""BD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IFERROR(__xludf.DUMMYFUNCTION("ifna(IF(and(D236=""Saída"",J236=""Sangria""),if(sum(QUERY(IMPORTRANGE(""https://docs.google.com/spreadsheets/d/1wBSFbIXYswW2S5SMKo44LPsdTG4P4kfP5VRdAS5E_4o"",""BD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'""&amp;YEAR(C236)&amp;""-""&amp;MONTH(C236)&amp;""-""&amp;DAY(C236)&amp;""'""))&gt;0,""Depositada"",if(sum(QUERY(IMPORTRANGE(""https://docs.google.com/spreadsheets/d/1wBSFbIXYswW2S5SMKo44LPsdTG4P4kfP5VRdAS5E_4o"",""BD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IFERROR(__xludf.DUMMYFUNCTION("ifna(IF(and(D237=""Saída"",J237=""Sangria""),if(sum(QUERY(IMPORTRANGE(""https://docs.google.com/spreadsheets/d/1wBSFbIXYswW2S5SMKo44LPsdTG4P4kfP5VRdAS5E_4o"",""BD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'""&amp;YEAR(C237)&amp;""-""&amp;MONTH(C237)&amp;""-""&amp;DAY(C237)&amp;""'""))&gt;0,""Depositada"",if(sum(QUERY(IMPORTRANGE(""https://docs.google.com/spreadsheets/d/1wBSFbIXYswW2S5SMKo44LPsdTG4P4kfP5VRdAS5E_4o"",""BD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IFERROR(__xludf.DUMMYFUNCTION("ifna(IF(and(D238=""Saída"",J238=""Sangria""),if(sum(QUERY(IMPORTRANGE(""https://docs.google.com/spreadsheets/d/1E4szPcLzsqlw4uyBAoJ61L1ChCgpz4wVP8tHfHW1g_c"",""BD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'""&amp;YEAR(C238)&amp;""-""&amp;MONTH(C238)&amp;""-""&amp;DAY(C238)&amp;""'""))&gt;0,""Depositada"",if(sum(QUERY(IMPORTRANGE(""https://docs.google.com/spreadsheets/d/1EcLIvUgMoBC5as4ikW0wuQsGH5yVZ6cQ1y16qEfgPnk"",""BD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IFERROR(__xludf.DUMMYFUNCTION("ifna(IF(and(D239=""Saída"",J239=""Sangria""),if(sum(QUERY(IMPORTRANGE(""https://docs.google.com/spreadsheets/d/1E4szPcLzsqlw4uyBAoJ61L1ChCgpz4wVP8tHfHW1g_c"",""BD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'""&amp;YEAR(C239)&amp;""-""&amp;MONTH(C239)&amp;""-""&amp;DAY(C239)&amp;""'""))&gt;0,""Depositada"",if(sum(QUERY(IMPORTRANGE(""https://docs.google.com/spreadsheets/d/1EcLIvUgMoBC5as4ikW0wuQsGH5yVZ6cQ1y16qEfgPnk"",""BD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IFERROR(__xludf.DUMMYFUNCTION("ifna(IF(and(D240=""Saída"",J240=""Sangria""),if(sum(QUERY(IMPORTRANGE(""https://docs.google.com/spreadsheets/d/1E4szPcLzsqlw4uyBAoJ61L1ChCgpz4wVP8tHfHW1g_c"",""BD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'""&amp;YEAR(C240)&amp;""-""&amp;MONTH(C240)&amp;""-""&amp;DAY(C240)&amp;""'""))&gt;0,""Depositada"",if(sum(QUERY(IMPORTRANGE(""https://docs.google.com/spreadsheets/d/1EcLIvUgMoBC5as4ikW0wuQsGH5yVZ6cQ1y16qEfgPnk"",""BD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IFERROR(__xludf.DUMMYFUNCTION("ifna(IF(and(D241=""Saída"",J241=""Sangria""),if(sum(QUERY(IMPORTRANGE(""https://docs.google.com/spreadsheets/d/1E4szPcLzsqlw4uyBAoJ61L1ChCgpz4wVP8tHfHW1g_c"",""BD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'""&amp;YEAR(C241)&amp;""-""&amp;MONTH(C241)&amp;""-""&amp;DAY(C241)&amp;""'""))&gt;0,""Depositada"",if(sum(QUERY(IMPORTRANGE(""https://docs.google.com/spreadsheets/d/1EcLIvUgMoBC5as4ikW0wuQsGH5yVZ6cQ1y16qEfgPnk"",""BD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IFERROR(__xludf.DUMMYFUNCTION("ifna(IF(and(D242=""Saída"",J242=""Sangria""),if(sum(QUERY(IMPORTRANGE(""https://docs.google.com/spreadsheets/d/1E4szPcLzsqlw4uyBAoJ61L1ChCgpz4wVP8tHfHW1g_c"",""BD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'""&amp;YEAR(C242)&amp;""-""&amp;MONTH(C242)&amp;""-""&amp;DAY(C242)&amp;""'""))&gt;0,""Depositada"",if(sum(QUERY(IMPORTRANGE(""https://docs.google.com/spreadsheets/d/1EcLIvUgMoBC5as4ikW0wuQsGH5yVZ6cQ1y16qEfgPnk"",""BD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IFERROR(__xludf.DUMMYFUNCTION("ifna(IF(and(D243=""Saída"",J243=""Sangria""),if(sum(QUERY(IMPORTRANGE(""https://docs.google.com/spreadsheets/d/1E4szPcLzsqlw4uyBAoJ61L1ChCgpz4wVP8tHfHW1g_c"",""BD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'""&amp;YEAR(C243)&amp;""-""&amp;MONTH(C243)&amp;""-""&amp;DAY(C243)&amp;""'""))&gt;0,""Depositada"",if(sum(QUERY(IMPORTRANGE(""https://docs.google.com/spreadsheets/d/1EcLIvUgMoBC5as4ikW0wuQsGH5yVZ6cQ1y16qEfgPnk"",""BD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IFERROR(__xludf.DUMMYFUNCTION("ifna(IF(and(D244=""Saída"",J244=""Sangria""),if(sum(QUERY(IMPORTRANGE(""https://docs.google.com/spreadsheets/d/1E4szPcLzsqlw4uyBAoJ61L1ChCgpz4wVP8tHfHW1g_c"",""BD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'""&amp;YEAR(C244)&amp;""-""&amp;MONTH(C244)&amp;""-""&amp;DAY(C244)&amp;""'""))&gt;0,""Depositada"",if(sum(QUERY(IMPORTRANGE(""https://docs.google.com/spreadsheets/d/1EcLIvUgMoBC5as4ikW0wuQsGH5yVZ6cQ1y16qEfgPnk"",""BD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IFERROR(__xludf.DUMMYFUNCTION("ifna(IF(and(D245=""Saída"",J245=""Sangria""),if(sum(QUERY(IMPORTRANGE(""https://docs.google.com/spreadsheets/d/1E4szPcLzsqlw4uyBAoJ61L1ChCgpz4wVP8tHfHW1g_c"",""BD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'""&amp;YEAR(C245)&amp;""-""&amp;MONTH(C245)&amp;""-""&amp;DAY(C245)&amp;""'""))&gt;0,""Depositada"",if(sum(QUERY(IMPORTRANGE(""https://docs.google.com/spreadsheets/d/1EcLIvUgMoBC5as4ikW0wuQsGH5yVZ6cQ1y16qEfgPnk"",""BD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IFERROR(__xludf.DUMMYFUNCTION("ifna(IF(and(D246=""Saída"",J246=""Sangria""),if(sum(QUERY(IMPORTRANGE(""https://docs.google.com/spreadsheets/d/1E4szPcLzsqlw4uyBAoJ61L1ChCgpz4wVP8tHfHW1g_c"",""BD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'""&amp;YEAR(C246)&amp;""-""&amp;MONTH(C246)&amp;""-""&amp;DAY(C246)&amp;""'""))&gt;0,""Depositada"",if(sum(QUERY(IMPORTRANGE(""https://docs.google.com/spreadsheets/d/1EcLIvUgMoBC5as4ikW0wuQsGH5yVZ6cQ1y16qEfgPnk"",""BD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IFERROR(__xludf.DUMMYFUNCTION("ifna(IF(and(D247=""Saída"",J247=""Sangria""),if(sum(QUERY(IMPORTRANGE(""https://docs.google.com/spreadsheets/d/1E4szPcLzsqlw4uyBAoJ61L1ChCgpz4wVP8tHfHW1g_c"",""BD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'""&amp;YEAR(C247)&amp;""-""&amp;MONTH(C247)&amp;""-""&amp;DAY(C247)&amp;""'""))&gt;0,""Depositada"",if(sum(QUERY(IMPORTRANGE(""https://docs.google.com/spreadsheets/d/1EcLIvUgMoBC5as4ikW0wuQsGH5yVZ6cQ1y16qEfgPnk"",""BD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IFERROR(__xludf.DUMMYFUNCTION("ifna(IF(and(D248=""Saída"",J248=""Sangria""),if(sum(QUERY(IMPORTRANGE(""https://docs.google.com/spreadsheets/d/1E4szPcLzsqlw4uyBAoJ61L1ChCgpz4wVP8tHfHW1g_c"",""BD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'""&amp;YEAR(C248)&amp;""-""&amp;MONTH(C248)&amp;""-""&amp;DAY(C248)&amp;""'""))&gt;0,""Depositada"",if(sum(QUERY(IMPORTRANGE(""https://docs.google.com/spreadsheets/d/1EcLIvUgMoBC5as4ikW0wuQsGH5yVZ6cQ1y16qEfgPnk"",""BD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IFERROR(__xludf.DUMMYFUNCTION("ifna(IF(and(D249=""Saída"",J249=""Sangria""),if(sum(QUERY(IMPORTRANGE(""https://docs.google.com/spreadsheets/d/1E4szPcLzsqlw4uyBAoJ61L1ChCgpz4wVP8tHfHW1g_c"",""BD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'""&amp;YEAR(C249)&amp;""-""&amp;MONTH(C249)&amp;""-""&amp;DAY(C249)&amp;""'""))&gt;0,""Depositada"",if(sum(QUERY(IMPORTRANGE(""https://docs.google.com/spreadsheets/d/1EcLIvUgMoBC5as4ikW0wuQsGH5yVZ6cQ1y16qEfgPnk"",""BD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IFERROR(__xludf.DUMMYFUNCTION("ifna(IF(and(D250=""Saída"",J250=""Sangria""),if(sum(QUERY(IMPORTRANGE(""https://docs.google.com/spreadsheets/d/1E4szPcLzsqlw4uyBAoJ61L1ChCgpz4wVP8tHfHW1g_c"",""BD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'""&amp;YEAR(C250)&amp;""-""&amp;MONTH(C250)&amp;""-""&amp;DAY(C250)&amp;""'""))&gt;0,""Depositada"",if(sum(QUERY(IMPORTRANGE(""https://docs.google.com/spreadsheets/d/1EcLIvUgMoBC5as4ikW0wuQsGH5yVZ6cQ1y16qEfgPnk"",""BD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IFERROR(__xludf.DUMMYFUNCTION("ifna(IF(and(D251=""Saída"",J251=""Sangria""),if(sum(QUERY(IMPORTRANGE(""https://docs.google.com/spreadsheets/d/1E4szPcLzsqlw4uyBAoJ61L1ChCgpz4wVP8tHfHW1g_c"",""BD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'""&amp;YEAR(C251)&amp;""-""&amp;MONTH(C251)&amp;""-""&amp;DAY(C251)&amp;""'""))&gt;0,""Depositada"",if(sum(QUERY(IMPORTRANGE(""https://docs.google.com/spreadsheets/d/1EcLIvUgMoBC5as4ikW0wuQsGH5yVZ6cQ1y16qEfgPnk"",""BD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IFERROR(__xludf.DUMMYFUNCTION("ifna(IF(and(D252=""Saída"",J252=""Sangria""),if(sum(QUERY(IMPORTRANGE(""https://docs.google.com/spreadsheets/d/1E4szPcLzsqlw4uyBAoJ61L1ChCgpz4wVP8tHfHW1g_c"",""BD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'""&amp;YEAR(C252)&amp;""-""&amp;MONTH(C252)&amp;""-""&amp;DAY(C252)&amp;""'""))&gt;0,""Depositada"",if(sum(QUERY(IMPORTRANGE(""https://docs.google.com/spreadsheets/d/1EcLIvUgMoBC5as4ikW0wuQsGH5yVZ6cQ1y16qEfgPnk"",""BD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IFERROR(__xludf.DUMMYFUNCTION("ifna(IF(and(D253=""Saída"",J253=""Sangria""),if(sum(QUERY(IMPORTRANGE(""https://docs.google.com/spreadsheets/d/1E4szPcLzsqlw4uyBAoJ61L1ChCgpz4wVP8tHfHW1g_c"",""BD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'""&amp;YEAR(C253)&amp;""-""&amp;MONTH(C253)&amp;""-""&amp;DAY(C253)&amp;""'""))&gt;0,""Depositada"",if(sum(QUERY(IMPORTRANGE(""https://docs.google.com/spreadsheets/d/1EcLIvUgMoBC5as4ikW0wuQsGH5yVZ6cQ1y16qEfgPnk"",""BD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IFERROR(__xludf.DUMMYFUNCTION("ifna(IF(and(D254=""Saída"",J254=""Sangria""),if(sum(QUERY(IMPORTRANGE(""https://docs.google.com/spreadsheets/d/1E4szPcLzsqlw4uyBAoJ61L1ChCgpz4wVP8tHfHW1g_c"",""BD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'""&amp;YEAR(C254)&amp;""-""&amp;MONTH(C254)&amp;""-""&amp;DAY(C254)&amp;""'""))&gt;0,""Depositada"",if(sum(QUERY(IMPORTRANGE(""https://docs.google.com/spreadsheets/d/1EcLIvUgMoBC5as4ikW0wuQsGH5yVZ6cQ1y16qEfgPnk"",""BD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IFERROR(__xludf.DUMMYFUNCTION("ifna(IF(and(D255=""Saída"",J255=""Sangria""),if(sum(QUERY(IMPORTRANGE(""https://docs.google.com/spreadsheets/d/1E4szPcLzsqlw4uyBAoJ61L1ChCgpz4wVP8tHfHW1g_c"",""BD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'""&amp;YEAR(C255)&amp;""-""&amp;MONTH(C255)&amp;""-""&amp;DAY(C255)&amp;""'""))&gt;0,""Depositada"",if(sum(QUERY(IMPORTRANGE(""https://docs.google.com/spreadsheets/d/1EcLIvUgMoBC5as4ikW0wuQsGH5yVZ6cQ1y16qEfgPnk"",""BD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IFERROR(__xludf.DUMMYFUNCTION("ifna(IF(and(D256=""Saída"",J256=""Sangria""),if(sum(QUERY(IMPORTRANGE(""https://docs.google.com/spreadsheets/d/1E4szPcLzsqlw4uyBAoJ61L1ChCgpz4wVP8tHfHW1g_c"",""BD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'""&amp;YEAR(C256)&amp;""-""&amp;MONTH(C256)&amp;""-""&amp;DAY(C256)&amp;""'""))&gt;0,""Depositada"",if(sum(QUERY(IMPORTRANGE(""https://docs.google.com/spreadsheets/d/1EcLIvUgMoBC5as4ikW0wuQsGH5yVZ6cQ1y16qEfgPnk"",""BD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IFERROR(__xludf.DUMMYFUNCTION("ifna(IF(and(D257=""Saída"",J257=""Sangria""),if(sum(QUERY(IMPORTRANGE(""https://docs.google.com/spreadsheets/d/1E4szPcLzsqlw4uyBAoJ61L1ChCgpz4wVP8tHfHW1g_c"",""BD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'""&amp;YEAR(C257)&amp;""-""&amp;MONTH(C257)&amp;""-""&amp;DAY(C257)&amp;""'""))&gt;0,""Depositada"",if(sum(QUERY(IMPORTRANGE(""https://docs.google.com/spreadsheets/d/1EcLIvUgMoBC5as4ikW0wuQsGH5yVZ6cQ1y16qEfgPnk"",""BD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IFERROR(__xludf.DUMMYFUNCTION("ifna(IF(and(D258=""Saída"",J258=""Sangria""),if(sum(QUERY(IMPORTRANGE(""https://docs.google.com/spreadsheets/d/1E4szPcLzsqlw4uyBAoJ61L1ChCgpz4wVP8tHfHW1g_c"",""BD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'""&amp;YEAR(C258)&amp;""-""&amp;MONTH(C258)&amp;""-""&amp;DAY(C258)&amp;""'""))&gt;0,""Depositada"",if(sum(QUERY(IMPORTRANGE(""https://docs.google.com/spreadsheets/d/1EcLIvUgMoBC5as4ikW0wuQsGH5yVZ6cQ1y16qEfgPnk"",""BD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IFERROR(__xludf.DUMMYFUNCTION("ifna(IF(and(D259=""Saída"",J259=""Sangria""),if(sum(QUERY(IMPORTRANGE(""https://docs.google.com/spreadsheets/d/1E4szPcLzsqlw4uyBAoJ61L1ChCgpz4wVP8tHfHW1g_c"",""BD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'""&amp;YEAR(C259)&amp;""-""&amp;MONTH(C259)&amp;""-""&amp;DAY(C259)&amp;""'""))&gt;0,""Depositada"",if(sum(QUERY(IMPORTRANGE(""https://docs.google.com/spreadsheets/d/1EcLIvUgMoBC5as4ikW0wuQsGH5yVZ6cQ1y16qEfgPnk"",""BD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IFERROR(__xludf.DUMMYFUNCTION("ifna(IF(and(D260=""Saída"",J260=""Sangria""),if(sum(QUERY(IMPORTRANGE(""https://docs.google.com/spreadsheets/d/1E4szPcLzsqlw4uyBAoJ61L1ChCgpz4wVP8tHfHW1g_c"",""BD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'""&amp;YEAR(C260)&amp;""-""&amp;MONTH(C260)&amp;""-""&amp;DAY(C260)&amp;""'""))&gt;0,""Depositada"",if(sum(QUERY(IMPORTRANGE(""https://docs.google.com/spreadsheets/d/1EcLIvUgMoBC5as4ikW0wuQsGH5yVZ6cQ1y16qEfgPnk"",""BD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IFERROR(__xludf.DUMMYFUNCTION("ifna(IF(and(D261=""Saída"",J261=""Sangria""),if(sum(QUERY(IMPORTRANGE(""https://docs.google.com/spreadsheets/d/1E4szPcLzsqlw4uyBAoJ61L1ChCgpz4wVP8tHfHW1g_c"",""BD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'""&amp;YEAR(C261)&amp;""-""&amp;MONTH(C261)&amp;""-""&amp;DAY(C261)&amp;""'""))&gt;0,""Depositada"",if(sum(QUERY(IMPORTRANGE(""https://docs.google.com/spreadsheets/d/1EcLIvUgMoBC5as4ikW0wuQsGH5yVZ6cQ1y16qEfgPnk"",""BD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IFERROR(__xludf.DUMMYFUNCTION("ifna(IF(and(D262=""Saída"",J262=""Sangria""),if(sum(QUERY(IMPORTRANGE(""https://docs.google.com/spreadsheets/d/1E4szPcLzsqlw4uyBAoJ61L1ChCgpz4wVP8tHfHW1g_c"",""BD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'""&amp;YEAR(C262)&amp;""-""&amp;MONTH(C262)&amp;""-""&amp;DAY(C262)&amp;""'""))&gt;0,""Depositada"",if(sum(QUERY(IMPORTRANGE(""https://docs.google.com/spreadsheets/d/1EcLIvUgMoBC5as4ikW0wuQsGH5yVZ6cQ1y16qEfgPnk"",""BD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IFERROR(__xludf.DUMMYFUNCTION("ifna(IF(and(D263=""Saída"",J263=""Sangria""),if(sum(QUERY(IMPORTRANGE(""https://docs.google.com/spreadsheets/d/1E4szPcLzsqlw4uyBAoJ61L1ChCgpz4wVP8tHfHW1g_c"",""BD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'""&amp;YEAR(C263)&amp;""-""&amp;MONTH(C263)&amp;""-""&amp;DAY(C263)&amp;""'""))&gt;0,""Depositada"",if(sum(QUERY(IMPORTRANGE(""https://docs.google.com/spreadsheets/d/1EcLIvUgMoBC5as4ikW0wuQsGH5yVZ6cQ1y16qEfgPnk"",""BD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IFERROR(__xludf.DUMMYFUNCTION("ifna(IF(and(D264=""Saída"",J264=""Sangria""),if(sum(QUERY(IMPORTRANGE(""https://docs.google.com/spreadsheets/d/1E4szPcLzsqlw4uyBAoJ61L1ChCgpz4wVP8tHfHW1g_c"",""BD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'""&amp;YEAR(C264)&amp;""-""&amp;MONTH(C264)&amp;""-""&amp;DAY(C264)&amp;""'""))&gt;0,""Depositada"",if(sum(QUERY(IMPORTRANGE(""https://docs.google.com/spreadsheets/d/1EcLIvUgMoBC5as4ikW0wuQsGH5yVZ6cQ1y16qEfgPnk"",""BD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IFERROR(__xludf.DUMMYFUNCTION("ifna(IF(and(D265=""Saída"",J265=""Sangria""),if(sum(QUERY(IMPORTRANGE(""https://docs.google.com/spreadsheets/d/1E4szPcLzsqlw4uyBAoJ61L1ChCgpz4wVP8tHfHW1g_c"",""BD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'""&amp;YEAR(C265)&amp;""-""&amp;MONTH(C265)&amp;""-""&amp;DAY(C265)&amp;""'""))&gt;0,""Depositada"",if(sum(QUERY(IMPORTRANGE(""https://docs.google.com/spreadsheets/d/1EcLIvUgMoBC5as4ikW0wuQsGH5yVZ6cQ1y16qEfgPnk"",""BD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IFERROR(__xludf.DUMMYFUNCTION("ifna(IF(and(D266=""Saída"",J266=""Sangria""),if(sum(QUERY(IMPORTRANGE(""https://docs.google.com/spreadsheets/d/1E4szPcLzsqlw4uyBAoJ61L1ChCgpz4wVP8tHfHW1g_c"",""BD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'""&amp;YEAR(C266)&amp;""-""&amp;MONTH(C266)&amp;""-""&amp;DAY(C266)&amp;""'""))&gt;0,""Depositada"",if(sum(QUERY(IMPORTRANGE(""https://docs.google.com/spreadsheets/d/1EcLIvUgMoBC5as4ikW0wuQsGH5yVZ6cQ1y16qEfgPnk"",""BD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IFERROR(__xludf.DUMMYFUNCTION("ifna(IF(and(D267=""Saída"",J267=""Sangria""),if(sum(QUERY(IMPORTRANGE(""https://docs.google.com/spreadsheets/d/1E4szPcLzsqlw4uyBAoJ61L1ChCgpz4wVP8tHfHW1g_c"",""BD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'""&amp;YEAR(C267)&amp;""-""&amp;MONTH(C267)&amp;""-""&amp;DAY(C267)&amp;""'""))&gt;0,""Depositada"",if(sum(QUERY(IMPORTRANGE(""https://docs.google.com/spreadsheets/d/1EcLIvUgMoBC5as4ikW0wuQsGH5yVZ6cQ1y16qEfgPnk"",""BD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184" t="str">
        <f>IFERROR(__xludf.DUMMYFUNCTION("ifna(IF(and(D268=""Saída"",J268=""Sangria""),if(sum(QUERY(IMPORTRANGE(""https://docs.google.com/spreadsheets/d/1E4szPcLzsqlw4uyBAoJ61L1ChCgpz4wVP8tHfHW1g_c"",""BD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'""&amp;YEAR(C268)&amp;""-""&amp;MONTH(C268)&amp;""-""&amp;DAY(C268)&amp;""'""))&gt;0,""Depositada"",if(sum(QUERY(IMPORTRANGE(""https://docs.google.com/spreadsheets/d/1EcLIvUgMoBC5as4ikW0wuQsGH5yVZ6cQ1y16qEfgPnk"",""BD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IFERROR(__xludf.DUMMYFUNCTION("ifna(IF(and(D269=""Saída"",J269=""Sangria""),if(sum(QUERY(IMPORTRANGE(""https://docs.google.com/spreadsheets/d/1E4szPcLzsqlw4uyBAoJ61L1ChCgpz4wVP8tHfHW1g_c"",""BD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'""&amp;YEAR(C269)&amp;""-""&amp;MONTH(C269)&amp;""-""&amp;DAY(C269)&amp;""'""))&gt;0,""Depositada"",if(sum(QUERY(IMPORTRANGE(""https://docs.google.com/spreadsheets/d/1EcLIvUgMoBC5as4ikW0wuQsGH5yVZ6cQ1y16qEfgPnk"",""BD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IFERROR(__xludf.DUMMYFUNCTION("ifna(IF(and(D270=""Saída"",J270=""Sangria""),if(sum(QUERY(IMPORTRANGE(""https://docs.google.com/spreadsheets/d/1E4szPcLzsqlw4uyBAoJ61L1ChCgpz4wVP8tHfHW1g_c"",""BD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'""&amp;YEAR(C270)&amp;""-""&amp;MONTH(C270)&amp;""-""&amp;DAY(C270)&amp;""'""))&gt;0,""Depositada"",if(sum(QUERY(IMPORTRANGE(""https://docs.google.com/spreadsheets/d/1EcLIvUgMoBC5as4ikW0wuQsGH5yVZ6cQ1y16qEfgPnk"",""BD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IFERROR(__xludf.DUMMYFUNCTION("ifna(IF(and(D271=""Saída"",J271=""Sangria""),if(sum(QUERY(IMPORTRANGE(""https://docs.google.com/spreadsheets/d/1E4szPcLzsqlw4uyBAoJ61L1ChCgpz4wVP8tHfHW1g_c"",""BD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'""&amp;YEAR(C271)&amp;""-""&amp;MONTH(C271)&amp;""-""&amp;DAY(C271)&amp;""'""))&gt;0,""Depositada"",if(sum(QUERY(IMPORTRANGE(""https://docs.google.com/spreadsheets/d/1EcLIvUgMoBC5as4ikW0wuQsGH5yVZ6cQ1y16qEfgPnk"",""BD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IFERROR(__xludf.DUMMYFUNCTION("ifna(IF(and(D272=""Saída"",J272=""Sangria""),if(sum(QUERY(IMPORTRANGE(""https://docs.google.com/spreadsheets/d/1E4szPcLzsqlw4uyBAoJ61L1ChCgpz4wVP8tHfHW1g_c"",""BD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'""&amp;YEAR(C272)&amp;""-""&amp;MONTH(C272)&amp;""-""&amp;DAY(C272)&amp;""'""))&gt;0,""Depositada"",if(sum(QUERY(IMPORTRANGE(""https://docs.google.com/spreadsheets/d/1EcLIvUgMoBC5as4ikW0wuQsGH5yVZ6cQ1y16qEfgPnk"",""BD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IFERROR(__xludf.DUMMYFUNCTION("ifna(IF(and(D273=""Saída"",J273=""Sangria""),if(sum(QUERY(IMPORTRANGE(""https://docs.google.com/spreadsheets/d/1E4szPcLzsqlw4uyBAoJ61L1ChCgpz4wVP8tHfHW1g_c"",""BD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'""&amp;YEAR(C273)&amp;""-""&amp;MONTH(C273)&amp;""-""&amp;DAY(C273)&amp;""'""))&gt;0,""Depositada"",if(sum(QUERY(IMPORTRANGE(""https://docs.google.com/spreadsheets/d/1EcLIvUgMoBC5as4ikW0wuQsGH5yVZ6cQ1y16qEfgPnk"",""BD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IFERROR(__xludf.DUMMYFUNCTION("ifna(IF(and(D274=""Saída"",J274=""Sangria""),if(sum(QUERY(IMPORTRANGE(""https://docs.google.com/spreadsheets/d/1E4szPcLzsqlw4uyBAoJ61L1ChCgpz4wVP8tHfHW1g_c"",""BD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'""&amp;YEAR(C274)&amp;""-""&amp;MONTH(C274)&amp;""-""&amp;DAY(C274)&amp;""'""))&gt;0,""Depositada"",if(sum(QUERY(IMPORTRANGE(""https://docs.google.com/spreadsheets/d/1EcLIvUgMoBC5as4ikW0wuQsGH5yVZ6cQ1y16qEfgPnk"",""BD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IFERROR(__xludf.DUMMYFUNCTION("ifna(IF(and(D275=""Saída"",J275=""Sangria""),if(sum(QUERY(IMPORTRANGE(""https://docs.google.com/spreadsheets/d/1E4szPcLzsqlw4uyBAoJ61L1ChCgpz4wVP8tHfHW1g_c"",""BD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'""&amp;YEAR(C275)&amp;""-""&amp;MONTH(C275)&amp;""-""&amp;DAY(C275)&amp;""'""))&gt;0,""Depositada"",if(sum(QUERY(IMPORTRANGE(""https://docs.google.com/spreadsheets/d/1EcLIvUgMoBC5as4ikW0wuQsGH5yVZ6cQ1y16qEfgPnk"",""BD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IFERROR(__xludf.DUMMYFUNCTION("ifna(IF(and(D276=""Saída"",J276=""Sangria""),if(sum(QUERY(IMPORTRANGE(""https://docs.google.com/spreadsheets/d/1E4szPcLzsqlw4uyBAoJ61L1ChCgpz4wVP8tHfHW1g_c"",""BD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'""&amp;YEAR(C276)&amp;""-""&amp;MONTH(C276)&amp;""-""&amp;DAY(C276)&amp;""'""))&gt;0,""Depositada"",if(sum(QUERY(IMPORTRANGE(""https://docs.google.com/spreadsheets/d/1EcLIvUgMoBC5as4ikW0wuQsGH5yVZ6cQ1y16qEfgPnk"",""BD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IFERROR(__xludf.DUMMYFUNCTION("ifna(IF(and(D277=""Saída"",J277=""Sangria""),if(sum(QUERY(IMPORTRANGE(""https://docs.google.com/spreadsheets/d/1E4szPcLzsqlw4uyBAoJ61L1ChCgpz4wVP8tHfHW1g_c"",""BD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'""&amp;YEAR(C277)&amp;""-""&amp;MONTH(C277)&amp;""-""&amp;DAY(C277)&amp;""'""))&gt;0,""Depositada"",if(sum(QUERY(IMPORTRANGE(""https://docs.google.com/spreadsheets/d/1EcLIvUgMoBC5as4ikW0wuQsGH5yVZ6cQ1y16qEfgPnk"",""BD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IFERROR(__xludf.DUMMYFUNCTION("ifna(IF(and(D278=""Saída"",J278=""Sangria""),if(sum(QUERY(IMPORTRANGE(""https://docs.google.com/spreadsheets/d/1E4szPcLzsqlw4uyBAoJ61L1ChCgpz4wVP8tHfHW1g_c"",""BD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'""&amp;YEAR(C278)&amp;""-""&amp;MONTH(C278)&amp;""-""&amp;DAY(C278)&amp;""'""))&gt;0,""Depositada"",if(sum(QUERY(IMPORTRANGE(""https://docs.google.com/spreadsheets/d/1EcLIvUgMoBC5as4ikW0wuQsGH5yVZ6cQ1y16qEfgPnk"",""BD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IFERROR(__xludf.DUMMYFUNCTION("ifna(IF(and(D279=""Saída"",J279=""Sangria""),if(sum(QUERY(IMPORTRANGE(""https://docs.google.com/spreadsheets/d/1E4szPcLzsqlw4uyBAoJ61L1ChCgpz4wVP8tHfHW1g_c"",""BD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'""&amp;YEAR(C279)&amp;""-""&amp;MONTH(C279)&amp;""-""&amp;DAY(C279)&amp;""'""))&gt;0,""Depositada"",if(sum(QUERY(IMPORTRANGE(""https://docs.google.com/spreadsheets/d/1EcLIvUgMoBC5as4ikW0wuQsGH5yVZ6cQ1y16qEfgPnk"",""BD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IFERROR(__xludf.DUMMYFUNCTION("ifna(IF(and(D280=""Saída"",J280=""Sangria""),if(sum(QUERY(IMPORTRANGE(""https://docs.google.com/spreadsheets/d/1E4szPcLzsqlw4uyBAoJ61L1ChCgpz4wVP8tHfHW1g_c"",""BD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'""&amp;YEAR(C280)&amp;""-""&amp;MONTH(C280)&amp;""-""&amp;DAY(C280)&amp;""'""))&gt;0,""Depositada"",if(sum(QUERY(IMPORTRANGE(""https://docs.google.com/spreadsheets/d/1EcLIvUgMoBC5as4ikW0wuQsGH5yVZ6cQ1y16qEfgPnk"",""BD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IFERROR(__xludf.DUMMYFUNCTION("ifna(IF(and(D281=""Saída"",J281=""Sangria""),if(sum(QUERY(IMPORTRANGE(""https://docs.google.com/spreadsheets/d/1E4szPcLzsqlw4uyBAoJ61L1ChCgpz4wVP8tHfHW1g_c"",""BD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'""&amp;YEAR(C281)&amp;""-""&amp;MONTH(C281)&amp;""-""&amp;DAY(C281)&amp;""'""))&gt;0,""Depositada"",if(sum(QUERY(IMPORTRANGE(""https://docs.google.com/spreadsheets/d/1EcLIvUgMoBC5as4ikW0wuQsGH5yVZ6cQ1y16qEfgPnk"",""BD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IFERROR(__xludf.DUMMYFUNCTION("ifna(IF(and(D282=""Saída"",J282=""Sangria""),if(sum(QUERY(IMPORTRANGE(""https://docs.google.com/spreadsheets/d/1E4szPcLzsqlw4uyBAoJ61L1ChCgpz4wVP8tHfHW1g_c"",""BD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'""&amp;YEAR(C282)&amp;""-""&amp;MONTH(C282)&amp;""-""&amp;DAY(C282)&amp;""'""))&gt;0,""Depositada"",if(sum(QUERY(IMPORTRANGE(""https://docs.google.com/spreadsheets/d/1EcLIvUgMoBC5as4ikW0wuQsGH5yVZ6cQ1y16qEfgPnk"",""BD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IFERROR(__xludf.DUMMYFUNCTION("ifna(IF(and(D283=""Saída"",J283=""Sangria""),if(sum(QUERY(IMPORTRANGE(""https://docs.google.com/spreadsheets/d/1E4szPcLzsqlw4uyBAoJ61L1ChCgpz4wVP8tHfHW1g_c"",""BD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'""&amp;YEAR(C283)&amp;""-""&amp;MONTH(C283)&amp;""-""&amp;DAY(C283)&amp;""'""))&gt;0,""Depositada"",if(sum(QUERY(IMPORTRANGE(""https://docs.google.com/spreadsheets/d/1EcLIvUgMoBC5as4ikW0wuQsGH5yVZ6cQ1y16qEfgPnk"",""BD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IFERROR(__xludf.DUMMYFUNCTION("ifna(IF(and(D284=""Saída"",J284=""Sangria""),if(sum(QUERY(IMPORTRANGE(""https://docs.google.com/spreadsheets/d/1E4szPcLzsqlw4uyBAoJ61L1ChCgpz4wVP8tHfHW1g_c"",""BD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'""&amp;YEAR(C284)&amp;""-""&amp;MONTH(C284)&amp;""-""&amp;DAY(C284)&amp;""'""))&gt;0,""Depositada"",if(sum(QUERY(IMPORTRANGE(""https://docs.google.com/spreadsheets/d/1EcLIvUgMoBC5as4ikW0wuQsGH5yVZ6cQ1y16qEfgPnk"",""BD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IFERROR(__xludf.DUMMYFUNCTION("ifna(IF(and(D285=""Saída"",J285=""Sangria""),if(sum(QUERY(IMPORTRANGE(""https://docs.google.com/spreadsheets/d/1E4szPcLzsqlw4uyBAoJ61L1ChCgpz4wVP8tHfHW1g_c"",""BD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'""&amp;YEAR(C285)&amp;""-""&amp;MONTH(C285)&amp;""-""&amp;DAY(C285)&amp;""'""))&gt;0,""Depositada"",if(sum(QUERY(IMPORTRANGE(""https://docs.google.com/spreadsheets/d/1EcLIvUgMoBC5as4ikW0wuQsGH5yVZ6cQ1y16qEfgPnk"",""BD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IFERROR(__xludf.DUMMYFUNCTION("ifna(IF(and(D286=""Saída"",J286=""Sangria""),if(sum(QUERY(IMPORTRANGE(""https://docs.google.com/spreadsheets/d/1E4szPcLzsqlw4uyBAoJ61L1ChCgpz4wVP8tHfHW1g_c"",""BD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'""&amp;YEAR(C286)&amp;""-""&amp;MONTH(C286)&amp;""-""&amp;DAY(C286)&amp;""'""))&gt;0,""Depositada"",if(sum(QUERY(IMPORTRANGE(""https://docs.google.com/spreadsheets/d/1EcLIvUgMoBC5as4ikW0wuQsGH5yVZ6cQ1y16qEfgPnk"",""BD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184" t="str">
        <f>IFERROR(__xludf.DUMMYFUNCTION("ifna(IF(and(D287=""Saída"",J287=""Sangria""),if(sum(QUERY(IMPORTRANGE(""https://docs.google.com/spreadsheets/d/1E4szPcLzsqlw4uyBAoJ61L1ChCgpz4wVP8tHfHW1g_c"",""BD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'""&amp;YEAR(C287)&amp;""-""&amp;MONTH(C287)&amp;""-""&amp;DAY(C287)&amp;""'""))&gt;0,""Depositada"",if(sum(QUERY(IMPORTRANGE(""https://docs.google.com/spreadsheets/d/1EcLIvUgMoBC5as4ikW0wuQsGH5yVZ6cQ1y16qEfgPnk"",""BD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IFERROR(__xludf.DUMMYFUNCTION("ifna(IF(and(D288=""Saída"",J288=""Sangria""),if(sum(QUERY(IMPORTRANGE(""https://docs.google.com/spreadsheets/d/1E4szPcLzsqlw4uyBAoJ61L1ChCgpz4wVP8tHfHW1g_c"",""BD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'""&amp;YEAR(C288)&amp;""-""&amp;MONTH(C288)&amp;""-""&amp;DAY(C288)&amp;""'""))&gt;0,""Depositada"",if(sum(QUERY(IMPORTRANGE(""https://docs.google.com/spreadsheets/d/1EcLIvUgMoBC5as4ikW0wuQsGH5yVZ6cQ1y16qEfgPnk"",""BD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IFERROR(__xludf.DUMMYFUNCTION("ifna(IF(and(D289=""Saída"",J289=""Sangria""),if(sum(QUERY(IMPORTRANGE(""https://docs.google.com/spreadsheets/d/1E4szPcLzsqlw4uyBAoJ61L1ChCgpz4wVP8tHfHW1g_c"",""BD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'""&amp;YEAR(C289)&amp;""-""&amp;MONTH(C289)&amp;""-""&amp;DAY(C289)&amp;""'""))&gt;0,""Depositada"",if(sum(QUERY(IMPORTRANGE(""https://docs.google.com/spreadsheets/d/1EcLIvUgMoBC5as4ikW0wuQsGH5yVZ6cQ1y16qEfgPnk"",""BD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IFERROR(__xludf.DUMMYFUNCTION("ifna(IF(and(D290=""Saída"",J290=""Sangria""),if(sum(QUERY(IMPORTRANGE(""https://docs.google.com/spreadsheets/d/1E4szPcLzsqlw4uyBAoJ61L1ChCgpz4wVP8tHfHW1g_c"",""BD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'""&amp;YEAR(C290)&amp;""-""&amp;MONTH(C290)&amp;""-""&amp;DAY(C290)&amp;""'""))&gt;0,""Depositada"",if(sum(QUERY(IMPORTRANGE(""https://docs.google.com/spreadsheets/d/1EcLIvUgMoBC5as4ikW0wuQsGH5yVZ6cQ1y16qEfgPnk"",""BD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IFERROR(__xludf.DUMMYFUNCTION("ifna(IF(and(D291=""Saída"",J291=""Sangria""),if(sum(QUERY(IMPORTRANGE(""https://docs.google.com/spreadsheets/d/1E4szPcLzsqlw4uyBAoJ61L1ChCgpz4wVP8tHfHW1g_c"",""BD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'""&amp;YEAR(C291)&amp;""-""&amp;MONTH(C291)&amp;""-""&amp;DAY(C291)&amp;""'""))&gt;0,""Depositada"",if(sum(QUERY(IMPORTRANGE(""https://docs.google.com/spreadsheets/d/1EcLIvUgMoBC5as4ikW0wuQsGH5yVZ6cQ1y16qEfgPnk"",""BD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IFERROR(__xludf.DUMMYFUNCTION("ifna(IF(and(D292=""Saída"",J292=""Sangria""),if(sum(QUERY(IMPORTRANGE(""https://docs.google.com/spreadsheets/d/1E4szPcLzsqlw4uyBAoJ61L1ChCgpz4wVP8tHfHW1g_c"",""BD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'""&amp;YEAR(C292)&amp;""-""&amp;MONTH(C292)&amp;""-""&amp;DAY(C292)&amp;""'""))&gt;0,""Depositada"",if(sum(QUERY(IMPORTRANGE(""https://docs.google.com/spreadsheets/d/1EcLIvUgMoBC5as4ikW0wuQsGH5yVZ6cQ1y16qEfgPnk"",""BD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IFERROR(__xludf.DUMMYFUNCTION("ifna(IF(and(D293=""Saída"",J293=""Sangria""),if(sum(QUERY(IMPORTRANGE(""https://docs.google.com/spreadsheets/d/1E4szPcLzsqlw4uyBAoJ61L1ChCgpz4wVP8tHfHW1g_c"",""BD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'""&amp;YEAR(C293)&amp;""-""&amp;MONTH(C293)&amp;""-""&amp;DAY(C293)&amp;""'""))&gt;0,""Depositada"",if(sum(QUERY(IMPORTRANGE(""https://docs.google.com/spreadsheets/d/1EcLIvUgMoBC5as4ikW0wuQsGH5yVZ6cQ1y16qEfgPnk"",""BD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IFERROR(__xludf.DUMMYFUNCTION("ifna(IF(and(D294=""Saída"",J294=""Sangria""),if(sum(QUERY(IMPORTRANGE(""https://docs.google.com/spreadsheets/d/1E4szPcLzsqlw4uyBAoJ61L1ChCgpz4wVP8tHfHW1g_c"",""BD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'""&amp;YEAR(C294)&amp;""-""&amp;MONTH(C294)&amp;""-""&amp;DAY(C294)&amp;""'""))&gt;0,""Depositada"",if(sum(QUERY(IMPORTRANGE(""https://docs.google.com/spreadsheets/d/1EcLIvUgMoBC5as4ikW0wuQsGH5yVZ6cQ1y16qEfgPnk"",""BD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IFERROR(__xludf.DUMMYFUNCTION("ifna(IF(and(D295=""Saída"",J295=""Sangria""),if(sum(QUERY(IMPORTRANGE(""https://docs.google.com/spreadsheets/d/1E4szPcLzsqlw4uyBAoJ61L1ChCgpz4wVP8tHfHW1g_c"",""BD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'""&amp;YEAR(C295)&amp;""-""&amp;MONTH(C295)&amp;""-""&amp;DAY(C295)&amp;""'""))&gt;0,""Depositada"",if(sum(QUERY(IMPORTRANGE(""https://docs.google.com/spreadsheets/d/1EcLIvUgMoBC5as4ikW0wuQsGH5yVZ6cQ1y16qEfgPnk"",""BD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IFERROR(__xludf.DUMMYFUNCTION("ifna(IF(and(D296=""Saída"",J296=""Sangria""),if(sum(QUERY(IMPORTRANGE(""https://docs.google.com/spreadsheets/d/1E4szPcLzsqlw4uyBAoJ61L1ChCgpz4wVP8tHfHW1g_c"",""BD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'""&amp;YEAR(C296)&amp;""-""&amp;MONTH(C296)&amp;""-""&amp;DAY(C296)&amp;""'""))&gt;0,""Depositada"",if(sum(QUERY(IMPORTRANGE(""https://docs.google.com/spreadsheets/d/1EcLIvUgMoBC5as4ikW0wuQsGH5yVZ6cQ1y16qEfgPnk"",""BD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IFERROR(__xludf.DUMMYFUNCTION("ifna(IF(and(D297=""Saída"",J297=""Sangria""),if(sum(QUERY(IMPORTRANGE(""https://docs.google.com/spreadsheets/d/1E4szPcLzsqlw4uyBAoJ61L1ChCgpz4wVP8tHfHW1g_c"",""BD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'""&amp;YEAR(C297)&amp;""-""&amp;MONTH(C297)&amp;""-""&amp;DAY(C297)&amp;""'""))&gt;0,""Depositada"",if(sum(QUERY(IMPORTRANGE(""https://docs.google.com/spreadsheets/d/1EcLIvUgMoBC5as4ikW0wuQsGH5yVZ6cQ1y16qEfgPnk"",""BD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IFERROR(__xludf.DUMMYFUNCTION("ifna(IF(and(D298=""Saída"",J298=""Sangria""),if(sum(QUERY(IMPORTRANGE(""https://docs.google.com/spreadsheets/d/1E4szPcLzsqlw4uyBAoJ61L1ChCgpz4wVP8tHfHW1g_c"",""BD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'""&amp;YEAR(C298)&amp;""-""&amp;MONTH(C298)&amp;""-""&amp;DAY(C298)&amp;""'""))&gt;0,""Depositada"",if(sum(QUERY(IMPORTRANGE(""https://docs.google.com/spreadsheets/d/1EcLIvUgMoBC5as4ikW0wuQsGH5yVZ6cQ1y16qEfgPnk"",""BD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IFERROR(__xludf.DUMMYFUNCTION("ifna(IF(and(D299=""Saída"",J299=""Sangria""),if(sum(QUERY(IMPORTRANGE(""https://docs.google.com/spreadsheets/d/1E4szPcLzsqlw4uyBAoJ61L1ChCgpz4wVP8tHfHW1g_c"",""BD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'""&amp;YEAR(C299)&amp;""-""&amp;MONTH(C299)&amp;""-""&amp;DAY(C299)&amp;""'""))&gt;0,""Depositada"",if(sum(QUERY(IMPORTRANGE(""https://docs.google.com/spreadsheets/d/1EcLIvUgMoBC5as4ikW0wuQsGH5yVZ6cQ1y16qEfgPnk"",""BD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IFERROR(__xludf.DUMMYFUNCTION("ifna(IF(and(D300=""Saída"",J300=""Sangria""),if(sum(QUERY(IMPORTRANGE(""https://docs.google.com/spreadsheets/d/1E4szPcLzsqlw4uyBAoJ61L1ChCgpz4wVP8tHfHW1g_c"",""BD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'""&amp;YEAR(C300)&amp;""-""&amp;MONTH(C300)&amp;""-""&amp;DAY(C300)&amp;""'""))&gt;0,""Depositada"",if(sum(QUERY(IMPORTRANGE(""https://docs.google.com/spreadsheets/d/1EcLIvUgMoBC5as4ikW0wuQsGH5yVZ6cQ1y16qEfgPnk"",""BD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IFERROR(__xludf.DUMMYFUNCTION("ifna(IF(and(D301=""Saída"",J301=""Sangria""),if(sum(QUERY(IMPORTRANGE(""https://docs.google.com/spreadsheets/d/1E4szPcLzsqlw4uyBAoJ61L1ChCgpz4wVP8tHfHW1g_c"",""BD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'""&amp;YEAR(C301)&amp;""-""&amp;MONTH(C301)&amp;""-""&amp;DAY(C301)&amp;""'""))&gt;0,""Depositada"",if(sum(QUERY(IMPORTRANGE(""https://docs.google.com/spreadsheets/d/1EcLIvUgMoBC5as4ikW0wuQsGH5yVZ6cQ1y16qEfgPnk"",""BD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IFERROR(__xludf.DUMMYFUNCTION("ifna(IF(and(D302=""Saída"",J302=""Sangria""),if(sum(QUERY(IMPORTRANGE(""https://docs.google.com/spreadsheets/d/1E4szPcLzsqlw4uyBAoJ61L1ChCgpz4wVP8tHfHW1g_c"",""BD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'""&amp;YEAR(C302)&amp;""-""&amp;MONTH(C302)&amp;""-""&amp;DAY(C302)&amp;""'""))&gt;0,""Depositada"",if(sum(QUERY(IMPORTRANGE(""https://docs.google.com/spreadsheets/d/1EcLIvUgMoBC5as4ikW0wuQsGH5yVZ6cQ1y16qEfgPnk"",""BD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IFERROR(__xludf.DUMMYFUNCTION("ifna(IF(and(D303=""Saída"",J303=""Sangria""),if(sum(QUERY(IMPORTRANGE(""https://docs.google.com/spreadsheets/d/1E4szPcLzsqlw4uyBAoJ61L1ChCgpz4wVP8tHfHW1g_c"",""BD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'""&amp;YEAR(C303)&amp;""-""&amp;MONTH(C303)&amp;""-""&amp;DAY(C303)&amp;""'""))&gt;0,""Depositada"",if(sum(QUERY(IMPORTRANGE(""https://docs.google.com/spreadsheets/d/1EcLIvUgMoBC5as4ikW0wuQsGH5yVZ6cQ1y16qEfgPnk"",""BD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184" t="str">
        <f>IFERROR(__xludf.DUMMYFUNCTION("ifna(IF(and(D304=""Saída"",J304=""Sangria""),if(sum(QUERY(IMPORTRANGE(""https://docs.google.com/spreadsheets/d/1E4szPcLzsqlw4uyBAoJ61L1ChCgpz4wVP8tHfHW1g_c"",""BD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'""&amp;YEAR(C304)&amp;""-""&amp;MONTH(C304)&amp;""-""&amp;DAY(C304)&amp;""'""))&gt;0,""Depositada"",if(sum(QUERY(IMPORTRANGE(""https://docs.google.com/spreadsheets/d/1EcLIvUgMoBC5as4ikW0wuQsGH5yVZ6cQ1y16qEfgPnk"",""BD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184" t="str">
        <f>IFERROR(__xludf.DUMMYFUNCTION("ifna(IF(and(D305=""Saída"",J305=""Sangria""),if(sum(QUERY(IMPORTRANGE(""https://docs.google.com/spreadsheets/d/1E4szPcLzsqlw4uyBAoJ61L1ChCgpz4wVP8tHfHW1g_c"",""BD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'""&amp;YEAR(C305)&amp;""-""&amp;MONTH(C305)&amp;""-""&amp;DAY(C305)&amp;""'""))&gt;0,""Depositada"",if(sum(QUERY(IMPORTRANGE(""https://docs.google.com/spreadsheets/d/1EcLIvUgMoBC5as4ikW0wuQsGH5yVZ6cQ1y16qEfgPnk"",""BD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IFERROR(__xludf.DUMMYFUNCTION("ifna(IF(and(D306=""Saída"",J306=""Sangria""),if(sum(QUERY(IMPORTRANGE(""https://docs.google.com/spreadsheets/d/1E4szPcLzsqlw4uyBAoJ61L1ChCgpz4wVP8tHfHW1g_c"",""BD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'""&amp;YEAR(C306)&amp;""-""&amp;MONTH(C306)&amp;""-""&amp;DAY(C306)&amp;""'""))&gt;0,""Depositada"",if(sum(QUERY(IMPORTRANGE(""https://docs.google.com/spreadsheets/d/1EcLIvUgMoBC5as4ikW0wuQsGH5yVZ6cQ1y16qEfgPnk"",""BD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IFERROR(__xludf.DUMMYFUNCTION("ifna(IF(and(D307=""Saída"",J307=""Sangria""),if(sum(QUERY(IMPORTRANGE(""https://docs.google.com/spreadsheets/d/1E4szPcLzsqlw4uyBAoJ61L1ChCgpz4wVP8tHfHW1g_c"",""BD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'""&amp;YEAR(C307)&amp;""-""&amp;MONTH(C307)&amp;""-""&amp;DAY(C307)&amp;""'""))&gt;0,""Depositada"",if(sum(QUERY(IMPORTRANGE(""https://docs.google.com/spreadsheets/d/1EcLIvUgMoBC5as4ikW0wuQsGH5yVZ6cQ1y16qEfgPnk"",""BD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IFERROR(__xludf.DUMMYFUNCTION("ifna(IF(and(D308=""Saída"",J308=""Sangria""),if(sum(QUERY(IMPORTRANGE(""https://docs.google.com/spreadsheets/d/1E4szPcLzsqlw4uyBAoJ61L1ChCgpz4wVP8tHfHW1g_c"",""BD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'""&amp;YEAR(C308)&amp;""-""&amp;MONTH(C308)&amp;""-""&amp;DAY(C308)&amp;""'""))&gt;0,""Depositada"",if(sum(QUERY(IMPORTRANGE(""https://docs.google.com/spreadsheets/d/1EcLIvUgMoBC5as4ikW0wuQsGH5yVZ6cQ1y16qEfgPnk"",""BD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184" t="str">
        <f>IFERROR(__xludf.DUMMYFUNCTION("ifna(IF(and(D309=""Saída"",J309=""Sangria""),if(sum(QUERY(IMPORTRANGE(""https://docs.google.com/spreadsheets/d/1E4szPcLzsqlw4uyBAoJ61L1ChCgpz4wVP8tHfHW1g_c"",""BD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'""&amp;YEAR(C309)&amp;""-""&amp;MONTH(C309)&amp;""-""&amp;DAY(C309)&amp;""'""))&gt;0,""Depositada"",if(sum(QUERY(IMPORTRANGE(""https://docs.google.com/spreadsheets/d/1EcLIvUgMoBC5as4ikW0wuQsGH5yVZ6cQ1y16qEfgPnk"",""BD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IFERROR(__xludf.DUMMYFUNCTION("ifna(IF(and(D310=""Saída"",J310=""Sangria""),if(sum(QUERY(IMPORTRANGE(""https://docs.google.com/spreadsheets/d/1E4szPcLzsqlw4uyBAoJ61L1ChCgpz4wVP8tHfHW1g_c"",""BD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'""&amp;YEAR(C310)&amp;""-""&amp;MONTH(C310)&amp;""-""&amp;DAY(C310)&amp;""'""))&gt;0,""Depositada"",if(sum(QUERY(IMPORTRANGE(""https://docs.google.com/spreadsheets/d/1EcLIvUgMoBC5as4ikW0wuQsGH5yVZ6cQ1y16qEfgPnk"",""BD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IFERROR(__xludf.DUMMYFUNCTION("ifna(IF(and(D311=""Saída"",J311=""Sangria""),if(sum(QUERY(IMPORTRANGE(""https://docs.google.com/spreadsheets/d/1E4szPcLzsqlw4uyBAoJ61L1ChCgpz4wVP8tHfHW1g_c"",""BD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'""&amp;YEAR(C311)&amp;""-""&amp;MONTH(C311)&amp;""-""&amp;DAY(C311)&amp;""'""))&gt;0,""Depositada"",if(sum(QUERY(IMPORTRANGE(""https://docs.google.com/spreadsheets/d/1EcLIvUgMoBC5as4ikW0wuQsGH5yVZ6cQ1y16qEfgPnk"",""BD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IFERROR(__xludf.DUMMYFUNCTION("ifna(IF(and(D312=""Saída"",J312=""Sangria""),if(sum(QUERY(IMPORTRANGE(""https://docs.google.com/spreadsheets/d/1E4szPcLzsqlw4uyBAoJ61L1ChCgpz4wVP8tHfHW1g_c"",""BD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'""&amp;YEAR(C312)&amp;""-""&amp;MONTH(C312)&amp;""-""&amp;DAY(C312)&amp;""'""))&gt;0,""Depositada"",if(sum(QUERY(IMPORTRANGE(""https://docs.google.com/spreadsheets/d/1EcLIvUgMoBC5as4ikW0wuQsGH5yVZ6cQ1y16qEfgPnk"",""BD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IFERROR(__xludf.DUMMYFUNCTION("ifna(IF(and(D313=""Saída"",J313=""Sangria""),if(sum(QUERY(IMPORTRANGE(""https://docs.google.com/spreadsheets/d/1E4szPcLzsqlw4uyBAoJ61L1ChCgpz4wVP8tHfHW1g_c"",""BD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'""&amp;YEAR(C313)&amp;""-""&amp;MONTH(C313)&amp;""-""&amp;DAY(C313)&amp;""'""))&gt;0,""Depositada"",if(sum(QUERY(IMPORTRANGE(""https://docs.google.com/spreadsheets/d/1EcLIvUgMoBC5as4ikW0wuQsGH5yVZ6cQ1y16qEfgPnk"",""BD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IFERROR(__xludf.DUMMYFUNCTION("ifna(IF(and(D314=""Saída"",J314=""Sangria""),if(sum(QUERY(IMPORTRANGE(""https://docs.google.com/spreadsheets/d/1E4szPcLzsqlw4uyBAoJ61L1ChCgpz4wVP8tHfHW1g_c"",""BD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'""&amp;YEAR(C314)&amp;""-""&amp;MONTH(C314)&amp;""-""&amp;DAY(C314)&amp;""'""))&gt;0,""Depositada"",if(sum(QUERY(IMPORTRANGE(""https://docs.google.com/spreadsheets/d/1EcLIvUgMoBC5as4ikW0wuQsGH5yVZ6cQ1y16qEfgPnk"",""BD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IFERROR(__xludf.DUMMYFUNCTION("ifna(IF(and(D315=""Saída"",J315=""Sangria""),if(sum(QUERY(IMPORTRANGE(""https://docs.google.com/spreadsheets/d/1E4szPcLzsqlw4uyBAoJ61L1ChCgpz4wVP8tHfHW1g_c"",""BD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'""&amp;YEAR(C315)&amp;""-""&amp;MONTH(C315)&amp;""-""&amp;DAY(C315)&amp;""'""))&gt;0,""Depositada"",if(sum(QUERY(IMPORTRANGE(""https://docs.google.com/spreadsheets/d/1EcLIvUgMoBC5as4ikW0wuQsGH5yVZ6cQ1y16qEfgPnk"",""BD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IFERROR(__xludf.DUMMYFUNCTION("ifna(IF(and(D316=""Saída"",J316=""Sangria""),if(sum(QUERY(IMPORTRANGE(""https://docs.google.com/spreadsheets/d/1E4szPcLzsqlw4uyBAoJ61L1ChCgpz4wVP8tHfHW1g_c"",""BD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'""&amp;YEAR(C316)&amp;""-""&amp;MONTH(C316)&amp;""-""&amp;DAY(C316)&amp;""'""))&gt;0,""Depositada"",if(sum(QUERY(IMPORTRANGE(""https://docs.google.com/spreadsheets/d/1EcLIvUgMoBC5as4ikW0wuQsGH5yVZ6cQ1y16qEfgPnk"",""BD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IFERROR(__xludf.DUMMYFUNCTION("ifna(IF(and(D317=""Saída"",J317=""Sangria""),if(sum(QUERY(IMPORTRANGE(""https://docs.google.com/spreadsheets/d/1E4szPcLzsqlw4uyBAoJ61L1ChCgpz4wVP8tHfHW1g_c"",""BD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'""&amp;YEAR(C317)&amp;""-""&amp;MONTH(C317)&amp;""-""&amp;DAY(C317)&amp;""'""))&gt;0,""Depositada"",if(sum(QUERY(IMPORTRANGE(""https://docs.google.com/spreadsheets/d/1EcLIvUgMoBC5as4ikW0wuQsGH5yVZ6cQ1y16qEfgPnk"",""BD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IFERROR(__xludf.DUMMYFUNCTION("ifna(IF(and(D318=""Saída"",J318=""Sangria""),if(sum(QUERY(IMPORTRANGE(""https://docs.google.com/spreadsheets/d/1E4szPcLzsqlw4uyBAoJ61L1ChCgpz4wVP8tHfHW1g_c"",""BD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'""&amp;YEAR(C318)&amp;""-""&amp;MONTH(C318)&amp;""-""&amp;DAY(C318)&amp;""'""))&gt;0,""Depositada"",if(sum(QUERY(IMPORTRANGE(""https://docs.google.com/spreadsheets/d/1EcLIvUgMoBC5as4ikW0wuQsGH5yVZ6cQ1y16qEfgPnk"",""BD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IFERROR(__xludf.DUMMYFUNCTION("ifna(IF(and(D319=""Saída"",J319=""Sangria""),if(sum(QUERY(IMPORTRANGE(""https://docs.google.com/spreadsheets/d/1E4szPcLzsqlw4uyBAoJ61L1ChCgpz4wVP8tHfHW1g_c"",""BD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'""&amp;YEAR(C319)&amp;""-""&amp;MONTH(C319)&amp;""-""&amp;DAY(C319)&amp;""'""))&gt;0,""Depositada"",if(sum(QUERY(IMPORTRANGE(""https://docs.google.com/spreadsheets/d/1EcLIvUgMoBC5as4ikW0wuQsGH5yVZ6cQ1y16qEfgPnk"",""BD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IFERROR(__xludf.DUMMYFUNCTION("ifna(IF(and(D320=""Saída"",J320=""Sangria""),if(sum(QUERY(IMPORTRANGE(""https://docs.google.com/spreadsheets/d/1E4szPcLzsqlw4uyBAoJ61L1ChCgpz4wVP8tHfHW1g_c"",""BD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'""&amp;YEAR(C320)&amp;""-""&amp;MONTH(C320)&amp;""-""&amp;DAY(C320)&amp;""'""))&gt;0,""Depositada"",if(sum(QUERY(IMPORTRANGE(""https://docs.google.com/spreadsheets/d/1EcLIvUgMoBC5as4ikW0wuQsGH5yVZ6cQ1y16qEfgPnk"",""BD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IFERROR(__xludf.DUMMYFUNCTION("ifna(IF(and(D321=""Saída"",J321=""Sangria""),if(sum(QUERY(IMPORTRANGE(""https://docs.google.com/spreadsheets/d/1E4szPcLzsqlw4uyBAoJ61L1ChCgpz4wVP8tHfHW1g_c"",""BD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'""&amp;YEAR(C321)&amp;""-""&amp;MONTH(C321)&amp;""-""&amp;DAY(C321)&amp;""'""))&gt;0,""Depositada"",if(sum(QUERY(IMPORTRANGE(""https://docs.google.com/spreadsheets/d/1EcLIvUgMoBC5as4ikW0wuQsGH5yVZ6cQ1y16qEfgPnk"",""BD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IFERROR(__xludf.DUMMYFUNCTION("ifna(IF(and(D322=""Saída"",J322=""Sangria""),if(sum(QUERY(IMPORTRANGE(""https://docs.google.com/spreadsheets/d/1E4szPcLzsqlw4uyBAoJ61L1ChCgpz4wVP8tHfHW1g_c"",""BD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'""&amp;YEAR(C322)&amp;""-""&amp;MONTH(C322)&amp;""-""&amp;DAY(C322)&amp;""'""))&gt;0,""Depositada"",if(sum(QUERY(IMPORTRANGE(""https://docs.google.com/spreadsheets/d/1EcLIvUgMoBC5as4ikW0wuQsGH5yVZ6cQ1y16qEfgPnk"",""BD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IFERROR(__xludf.DUMMYFUNCTION("ifna(IF(and(D323=""Saída"",J323=""Sangria""),if(sum(QUERY(IMPORTRANGE(""https://docs.google.com/spreadsheets/d/1E4szPcLzsqlw4uyBAoJ61L1ChCgpz4wVP8tHfHW1g_c"",""BD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'""&amp;YEAR(C323)&amp;""-""&amp;MONTH(C323)&amp;""-""&amp;DAY(C323)&amp;""'""))&gt;0,""Depositada"",if(sum(QUERY(IMPORTRANGE(""https://docs.google.com/spreadsheets/d/1EcLIvUgMoBC5as4ikW0wuQsGH5yVZ6cQ1y16qEfgPnk"",""BD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IFERROR(__xludf.DUMMYFUNCTION("ifna(IF(and(D324=""Saída"",J324=""Sangria""),if(sum(QUERY(IMPORTRANGE(""https://docs.google.com/spreadsheets/d/1E4szPcLzsqlw4uyBAoJ61L1ChCgpz4wVP8tHfHW1g_c"",""BD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'""&amp;YEAR(C324)&amp;""-""&amp;MONTH(C324)&amp;""-""&amp;DAY(C324)&amp;""'""))&gt;0,""Depositada"",if(sum(QUERY(IMPORTRANGE(""https://docs.google.com/spreadsheets/d/1EcLIvUgMoBC5as4ikW0wuQsGH5yVZ6cQ1y16qEfgPnk"",""BD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IFERROR(__xludf.DUMMYFUNCTION("ifna(IF(and(D325=""Saída"",J325=""Sangria""),if(sum(QUERY(IMPORTRANGE(""https://docs.google.com/spreadsheets/d/1E4szPcLzsqlw4uyBAoJ61L1ChCgpz4wVP8tHfHW1g_c"",""BD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'""&amp;YEAR(C325)&amp;""-""&amp;MONTH(C325)&amp;""-""&amp;DAY(C325)&amp;""'""))&gt;0,""Depositada"",if(sum(QUERY(IMPORTRANGE(""https://docs.google.com/spreadsheets/d/1EcLIvUgMoBC5as4ikW0wuQsGH5yVZ6cQ1y16qEfgPnk"",""BD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IFERROR(__xludf.DUMMYFUNCTION("ifna(IF(and(D326=""Saída"",J326=""Sangria""),if(sum(QUERY(IMPORTRANGE(""https://docs.google.com/spreadsheets/d/1E4szPcLzsqlw4uyBAoJ61L1ChCgpz4wVP8tHfHW1g_c"",""BD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'""&amp;YEAR(C326)&amp;""-""&amp;MONTH(C326)&amp;""-""&amp;DAY(C326)&amp;""'""))&gt;0,""Depositada"",if(sum(QUERY(IMPORTRANGE(""https://docs.google.com/spreadsheets/d/1EcLIvUgMoBC5as4ikW0wuQsGH5yVZ6cQ1y16qEfgPnk"",""BD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IFERROR(__xludf.DUMMYFUNCTION("ifna(IF(and(D327=""Saída"",J327=""Sangria""),if(sum(QUERY(IMPORTRANGE(""https://docs.google.com/spreadsheets/d/1E4szPcLzsqlw4uyBAoJ61L1ChCgpz4wVP8tHfHW1g_c"",""BD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'""&amp;YEAR(C327)&amp;""-""&amp;MONTH(C327)&amp;""-""&amp;DAY(C327)&amp;""'""))&gt;0,""Depositada"",if(sum(QUERY(IMPORTRANGE(""https://docs.google.com/spreadsheets/d/1EcLIvUgMoBC5as4ikW0wuQsGH5yVZ6cQ1y16qEfgPnk"",""BD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IFERROR(__xludf.DUMMYFUNCTION("ifna(IF(and(D328=""Saída"",J328=""Sangria""),if(sum(QUERY(IMPORTRANGE(""https://docs.google.com/spreadsheets/d/1E4szPcLzsqlw4uyBAoJ61L1ChCgpz4wVP8tHfHW1g_c"",""BD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'""&amp;YEAR(C328)&amp;""-""&amp;MONTH(C328)&amp;""-""&amp;DAY(C328)&amp;""'""))&gt;0,""Depositada"",if(sum(QUERY(IMPORTRANGE(""https://docs.google.com/spreadsheets/d/1EcLIvUgMoBC5as4ikW0wuQsGH5yVZ6cQ1y16qEfgPnk"",""BD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IFERROR(__xludf.DUMMYFUNCTION("ifna(IF(and(D329=""Saída"",J329=""Sangria""),if(sum(QUERY(IMPORTRANGE(""https://docs.google.com/spreadsheets/d/1E4szPcLzsqlw4uyBAoJ61L1ChCgpz4wVP8tHfHW1g_c"",""BD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'""&amp;YEAR(C329)&amp;""-""&amp;MONTH(C329)&amp;""-""&amp;DAY(C329)&amp;""'""))&gt;0,""Depositada"",if(sum(QUERY(IMPORTRANGE(""https://docs.google.com/spreadsheets/d/1EcLIvUgMoBC5as4ikW0wuQsGH5yVZ6cQ1y16qEfgPnk"",""BD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IFERROR(__xludf.DUMMYFUNCTION("ifna(IF(and(D330=""Saída"",J330=""Sangria""),if(sum(QUERY(IMPORTRANGE(""https://docs.google.com/spreadsheets/d/1E4szPcLzsqlw4uyBAoJ61L1ChCgpz4wVP8tHfHW1g_c"",""BD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'""&amp;YEAR(C330)&amp;""-""&amp;MONTH(C330)&amp;""-""&amp;DAY(C330)&amp;""'""))&gt;0,""Depositada"",if(sum(QUERY(IMPORTRANGE(""https://docs.google.com/spreadsheets/d/1EcLIvUgMoBC5as4ikW0wuQsGH5yVZ6cQ1y16qEfgPnk"",""BD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IFERROR(__xludf.DUMMYFUNCTION("ifna(IF(and(D331=""Saída"",J331=""Sangria""),if(sum(QUERY(IMPORTRANGE(""https://docs.google.com/spreadsheets/d/1E4szPcLzsqlw4uyBAoJ61L1ChCgpz4wVP8tHfHW1g_c"",""BD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'""&amp;YEAR(C331)&amp;""-""&amp;MONTH(C331)&amp;""-""&amp;DAY(C331)&amp;""'""))&gt;0,""Depositada"",if(sum(QUERY(IMPORTRANGE(""https://docs.google.com/spreadsheets/d/1EcLIvUgMoBC5as4ikW0wuQsGH5yVZ6cQ1y16qEfgPnk"",""BD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IFERROR(__xludf.DUMMYFUNCTION("ifna(IF(and(D332=""Saída"",J332=""Sangria""),if(sum(QUERY(IMPORTRANGE(""https://docs.google.com/spreadsheets/d/1E4szPcLzsqlw4uyBAoJ61L1ChCgpz4wVP8tHfHW1g_c"",""BD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'""&amp;YEAR(C332)&amp;""-""&amp;MONTH(C332)&amp;""-""&amp;DAY(C332)&amp;""'""))&gt;0,""Depositada"",if(sum(QUERY(IMPORTRANGE(""https://docs.google.com/spreadsheets/d/1EcLIvUgMoBC5as4ikW0wuQsGH5yVZ6cQ1y16qEfgPnk"",""BD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IFERROR(__xludf.DUMMYFUNCTION("ifna(IF(and(D333=""Saída"",J333=""Sangria""),if(sum(QUERY(IMPORTRANGE(""https://docs.google.com/spreadsheets/d/1E4szPcLzsqlw4uyBAoJ61L1ChCgpz4wVP8tHfHW1g_c"",""BD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'""&amp;YEAR(C333)&amp;""-""&amp;MONTH(C333)&amp;""-""&amp;DAY(C333)&amp;""'""))&gt;0,""Depositada"",if(sum(QUERY(IMPORTRANGE(""https://docs.google.com/spreadsheets/d/1EcLIvUgMoBC5as4ikW0wuQsGH5yVZ6cQ1y16qEfgPnk"",""BD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IFERROR(__xludf.DUMMYFUNCTION("ifna(IF(and(D334=""Saída"",J334=""Sangria""),if(sum(QUERY(IMPORTRANGE(""https://docs.google.com/spreadsheets/d/1E4szPcLzsqlw4uyBAoJ61L1ChCgpz4wVP8tHfHW1g_c"",""BD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'""&amp;YEAR(C334)&amp;""-""&amp;MONTH(C334)&amp;""-""&amp;DAY(C334)&amp;""'""))&gt;0,""Depositada"",if(sum(QUERY(IMPORTRANGE(""https://docs.google.com/spreadsheets/d/1EcLIvUgMoBC5as4ikW0wuQsGH5yVZ6cQ1y16qEfgPnk"",""BD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IFERROR(__xludf.DUMMYFUNCTION("ifna(IF(and(D335=""Saída"",J335=""Sangria""),if(sum(QUERY(IMPORTRANGE(""https://docs.google.com/spreadsheets/d/1E4szPcLzsqlw4uyBAoJ61L1ChCgpz4wVP8tHfHW1g_c"",""BD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'""&amp;YEAR(C335)&amp;""-""&amp;MONTH(C335)&amp;""-""&amp;DAY(C335)&amp;""'""))&gt;0,""Depositada"",if(sum(QUERY(IMPORTRANGE(""https://docs.google.com/spreadsheets/d/1EcLIvUgMoBC5as4ikW0wuQsGH5yVZ6cQ1y16qEfgPnk"",""BD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IFERROR(__xludf.DUMMYFUNCTION("ifna(IF(and(D336=""Saída"",J336=""Sangria""),if(sum(QUERY(IMPORTRANGE(""https://docs.google.com/spreadsheets/d/1E4szPcLzsqlw4uyBAoJ61L1ChCgpz4wVP8tHfHW1g_c"",""BD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'""&amp;YEAR(C336)&amp;""-""&amp;MONTH(C336)&amp;""-""&amp;DAY(C336)&amp;""'""))&gt;0,""Depositada"",if(sum(QUERY(IMPORTRANGE(""https://docs.google.com/spreadsheets/d/1EcLIvUgMoBC5as4ikW0wuQsGH5yVZ6cQ1y16qEfgPnk"",""BD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IFERROR(__xludf.DUMMYFUNCTION("ifna(IF(and(D337=""Saída"",J337=""Sangria""),if(sum(QUERY(IMPORTRANGE(""https://docs.google.com/spreadsheets/d/1E4szPcLzsqlw4uyBAoJ61L1ChCgpz4wVP8tHfHW1g_c"",""BD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'""&amp;YEAR(C337)&amp;""-""&amp;MONTH(C337)&amp;""-""&amp;DAY(C337)&amp;""'""))&gt;0,""Depositada"",if(sum(QUERY(IMPORTRANGE(""https://docs.google.com/spreadsheets/d/1EcLIvUgMoBC5as4ikW0wuQsGH5yVZ6cQ1y16qEfgPnk"",""BD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IFERROR(__xludf.DUMMYFUNCTION("ifna(IF(and(D338=""Saída"",J338=""Sangria""),if(sum(QUERY(IMPORTRANGE(""https://docs.google.com/spreadsheets/d/1E4szPcLzsqlw4uyBAoJ61L1ChCgpz4wVP8tHfHW1g_c"",""BD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'""&amp;YEAR(C338)&amp;""-""&amp;MONTH(C338)&amp;""-""&amp;DAY(C338)&amp;""'""))&gt;0,""Depositada"",if(sum(QUERY(IMPORTRANGE(""https://docs.google.com/spreadsheets/d/1EcLIvUgMoBC5as4ikW0wuQsGH5yVZ6cQ1y16qEfgPnk"",""BD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IFERROR(__xludf.DUMMYFUNCTION("ifna(IF(and(D339=""Saída"",J339=""Sangria""),if(sum(QUERY(IMPORTRANGE(""https://docs.google.com/spreadsheets/d/1E4szPcLzsqlw4uyBAoJ61L1ChCgpz4wVP8tHfHW1g_c"",""BD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'""&amp;YEAR(C339)&amp;""-""&amp;MONTH(C339)&amp;""-""&amp;DAY(C339)&amp;""'""))&gt;0,""Depositada"",if(sum(QUERY(IMPORTRANGE(""https://docs.google.com/spreadsheets/d/1EcLIvUgMoBC5as4ikW0wuQsGH5yVZ6cQ1y16qEfgPnk"",""BD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IFERROR(__xludf.DUMMYFUNCTION("ifna(IF(and(D340=""Saída"",J340=""Sangria""),if(sum(QUERY(IMPORTRANGE(""https://docs.google.com/spreadsheets/d/1E4szPcLzsqlw4uyBAoJ61L1ChCgpz4wVP8tHfHW1g_c"",""BD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'""&amp;YEAR(C340)&amp;""-""&amp;MONTH(C340)&amp;""-""&amp;DAY(C340)&amp;""'""))&gt;0,""Depositada"",if(sum(QUERY(IMPORTRANGE(""https://docs.google.com/spreadsheets/d/1EcLIvUgMoBC5as4ikW0wuQsGH5yVZ6cQ1y16qEfgPnk"",""BD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IFERROR(__xludf.DUMMYFUNCTION("ifna(IF(and(D341=""Saída"",J341=""Sangria""),if(sum(QUERY(IMPORTRANGE(""https://docs.google.com/spreadsheets/d/1E4szPcLzsqlw4uyBAoJ61L1ChCgpz4wVP8tHfHW1g_c"",""BD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'""&amp;YEAR(C341)&amp;""-""&amp;MONTH(C341)&amp;""-""&amp;DAY(C341)&amp;""'""))&gt;0,""Depositada"",if(sum(QUERY(IMPORTRANGE(""https://docs.google.com/spreadsheets/d/1EcLIvUgMoBC5as4ikW0wuQsGH5yVZ6cQ1y16qEfgPnk"",""BD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IFERROR(__xludf.DUMMYFUNCTION("ifna(IF(and(D342=""Saída"",J342=""Sangria""),if(sum(QUERY(IMPORTRANGE(""https://docs.google.com/spreadsheets/d/1E4szPcLzsqlw4uyBAoJ61L1ChCgpz4wVP8tHfHW1g_c"",""BD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'""&amp;YEAR(C342)&amp;""-""&amp;MONTH(C342)&amp;""-""&amp;DAY(C342)&amp;""'""))&gt;0,""Depositada"",if(sum(QUERY(IMPORTRANGE(""https://docs.google.com/spreadsheets/d/1EcLIvUgMoBC5as4ikW0wuQsGH5yVZ6cQ1y16qEfgPnk"",""BD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IFERROR(__xludf.DUMMYFUNCTION("ifna(IF(and(D343=""Saída"",J343=""Sangria""),if(sum(QUERY(IMPORTRANGE(""https://docs.google.com/spreadsheets/d/1E4szPcLzsqlw4uyBAoJ61L1ChCgpz4wVP8tHfHW1g_c"",""BD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'""&amp;YEAR(C343)&amp;""-""&amp;MONTH(C343)&amp;""-""&amp;DAY(C343)&amp;""'""))&gt;0,""Depositada"",if(sum(QUERY(IMPORTRANGE(""https://docs.google.com/spreadsheets/d/1EcLIvUgMoBC5as4ikW0wuQsGH5yVZ6cQ1y16qEfgPnk"",""BD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IFERROR(__xludf.DUMMYFUNCTION("ifna(IF(and(D344=""Saída"",J344=""Sangria""),if(sum(QUERY(IMPORTRANGE(""https://docs.google.com/spreadsheets/d/1E4szPcLzsqlw4uyBAoJ61L1ChCgpz4wVP8tHfHW1g_c"",""BD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'""&amp;YEAR(C344)&amp;""-""&amp;MONTH(C344)&amp;""-""&amp;DAY(C344)&amp;""'""))&gt;0,""Depositada"",if(sum(QUERY(IMPORTRANGE(""https://docs.google.com/spreadsheets/d/1EcLIvUgMoBC5as4ikW0wuQsGH5yVZ6cQ1y16qEfgPnk"",""BD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IFERROR(__xludf.DUMMYFUNCTION("ifna(IF(and(D345=""Saída"",J345=""Sangria""),if(sum(QUERY(IMPORTRANGE(""https://docs.google.com/spreadsheets/d/1E4szPcLzsqlw4uyBAoJ61L1ChCgpz4wVP8tHfHW1g_c"",""BD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'""&amp;YEAR(C345)&amp;""-""&amp;MONTH(C345)&amp;""-""&amp;DAY(C345)&amp;""'""))&gt;0,""Depositada"",if(sum(QUERY(IMPORTRANGE(""https://docs.google.com/spreadsheets/d/1EcLIvUgMoBC5as4ikW0wuQsGH5yVZ6cQ1y16qEfgPnk"",""BD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IFERROR(__xludf.DUMMYFUNCTION("ifna(IF(and(D346=""Saída"",J346=""Sangria""),if(sum(QUERY(IMPORTRANGE(""https://docs.google.com/spreadsheets/d/1E4szPcLzsqlw4uyBAoJ61L1ChCgpz4wVP8tHfHW1g_c"",""BD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'""&amp;YEAR(C346)&amp;""-""&amp;MONTH(C346)&amp;""-""&amp;DAY(C346)&amp;""'""))&gt;0,""Depositada"",if(sum(QUERY(IMPORTRANGE(""https://docs.google.com/spreadsheets/d/1EcLIvUgMoBC5as4ikW0wuQsGH5yVZ6cQ1y16qEfgPnk"",""BD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IFERROR(__xludf.DUMMYFUNCTION("ifna(IF(and(D347=""Saída"",J347=""Sangria""),if(sum(QUERY(IMPORTRANGE(""https://docs.google.com/spreadsheets/d/1E4szPcLzsqlw4uyBAoJ61L1ChCgpz4wVP8tHfHW1g_c"",""BD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'""&amp;YEAR(C347)&amp;""-""&amp;MONTH(C347)&amp;""-""&amp;DAY(C347)&amp;""'""))&gt;0,""Depositada"",if(sum(QUERY(IMPORTRANGE(""https://docs.google.com/spreadsheets/d/1EcLIvUgMoBC5as4ikW0wuQsGH5yVZ6cQ1y16qEfgPnk"",""BD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IFERROR(__xludf.DUMMYFUNCTION("ifna(IF(and(D348=""Saída"",J348=""Sangria""),if(sum(QUERY(IMPORTRANGE(""https://docs.google.com/spreadsheets/d/1E4szPcLzsqlw4uyBAoJ61L1ChCgpz4wVP8tHfHW1g_c"",""BD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'""&amp;YEAR(C348)&amp;""-""&amp;MONTH(C348)&amp;""-""&amp;DAY(C348)&amp;""'""))&gt;0,""Depositada"",if(sum(QUERY(IMPORTRANGE(""https://docs.google.com/spreadsheets/d/1EcLIvUgMoBC5as4ikW0wuQsGH5yVZ6cQ1y16qEfgPnk"",""BD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IFERROR(__xludf.DUMMYFUNCTION("ifna(IF(and(D349=""Saída"",J349=""Sangria""),if(sum(QUERY(IMPORTRANGE(""https://docs.google.com/spreadsheets/d/1E4szPcLzsqlw4uyBAoJ61L1ChCgpz4wVP8tHfHW1g_c"",""BD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'""&amp;YEAR(C349)&amp;""-""&amp;MONTH(C349)&amp;""-""&amp;DAY(C349)&amp;""'""))&gt;0,""Depositada"",if(sum(QUERY(IMPORTRANGE(""https://docs.google.com/spreadsheets/d/1EcLIvUgMoBC5as4ikW0wuQsGH5yVZ6cQ1y16qEfgPnk"",""BD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IFERROR(__xludf.DUMMYFUNCTION("ifna(IF(and(D350=""Saída"",J350=""Sangria""),if(sum(QUERY(IMPORTRANGE(""https://docs.google.com/spreadsheets/d/1E4szPcLzsqlw4uyBAoJ61L1ChCgpz4wVP8tHfHW1g_c"",""BD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'""&amp;YEAR(C350)&amp;""-""&amp;MONTH(C350)&amp;""-""&amp;DAY(C350)&amp;""'""))&gt;0,""Depositada"",if(sum(QUERY(IMPORTRANGE(""https://docs.google.com/spreadsheets/d/1EcLIvUgMoBC5as4ikW0wuQsGH5yVZ6cQ1y16qEfgPnk"",""BD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IFERROR(__xludf.DUMMYFUNCTION("ifna(IF(and(D351=""Saída"",J351=""Sangria""),if(sum(QUERY(IMPORTRANGE(""https://docs.google.com/spreadsheets/d/1E4szPcLzsqlw4uyBAoJ61L1ChCgpz4wVP8tHfHW1g_c"",""BD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'""&amp;YEAR(C351)&amp;""-""&amp;MONTH(C351)&amp;""-""&amp;DAY(C351)&amp;""'""))&gt;0,""Depositada"",if(sum(QUERY(IMPORTRANGE(""https://docs.google.com/spreadsheets/d/1EcLIvUgMoBC5as4ikW0wuQsGH5yVZ6cQ1y16qEfgPnk"",""BD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IFERROR(__xludf.DUMMYFUNCTION("ifna(IF(and(D352=""Saída"",J352=""Sangria""),if(sum(QUERY(IMPORTRANGE(""https://docs.google.com/spreadsheets/d/1E4szPcLzsqlw4uyBAoJ61L1ChCgpz4wVP8tHfHW1g_c"",""BD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'""&amp;YEAR(C352)&amp;""-""&amp;MONTH(C352)&amp;""-""&amp;DAY(C352)&amp;""'""))&gt;0,""Depositada"",if(sum(QUERY(IMPORTRANGE(""https://docs.google.com/spreadsheets/d/1EcLIvUgMoBC5as4ikW0wuQsGH5yVZ6cQ1y16qEfgPnk"",""BD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IFERROR(__xludf.DUMMYFUNCTION("ifna(IF(and(D353=""Saída"",J353=""Sangria""),if(sum(QUERY(IMPORTRANGE(""https://docs.google.com/spreadsheets/d/1E4szPcLzsqlw4uyBAoJ61L1ChCgpz4wVP8tHfHW1g_c"",""BD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'""&amp;YEAR(C353)&amp;""-""&amp;MONTH(C353)&amp;""-""&amp;DAY(C353)&amp;""'""))&gt;0,""Depositada"",if(sum(QUERY(IMPORTRANGE(""https://docs.google.com/spreadsheets/d/1EcLIvUgMoBC5as4ikW0wuQsGH5yVZ6cQ1y16qEfgPnk"",""BD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IFERROR(__xludf.DUMMYFUNCTION("ifna(IF(and(D354=""Saída"",J354=""Sangria""),if(sum(QUERY(IMPORTRANGE(""https://docs.google.com/spreadsheets/d/1E4szPcLzsqlw4uyBAoJ61L1ChCgpz4wVP8tHfHW1g_c"",""BD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'""&amp;YEAR(C354)&amp;""-""&amp;MONTH(C354)&amp;""-""&amp;DAY(C354)&amp;""'""))&gt;0,""Depositada"",if(sum(QUERY(IMPORTRANGE(""https://docs.google.com/spreadsheets/d/1EcLIvUgMoBC5as4ikW0wuQsGH5yVZ6cQ1y16qEfgPnk"",""BD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IFERROR(__xludf.DUMMYFUNCTION("ifna(IF(and(D355=""Saída"",J355=""Sangria""),if(sum(QUERY(IMPORTRANGE(""https://docs.google.com/spreadsheets/d/1E4szPcLzsqlw4uyBAoJ61L1ChCgpz4wVP8tHfHW1g_c"",""BD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'""&amp;YEAR(C355)&amp;""-""&amp;MONTH(C355)&amp;""-""&amp;DAY(C355)&amp;""'""))&gt;0,""Depositada"",if(sum(QUERY(IMPORTRANGE(""https://docs.google.com/spreadsheets/d/1EcLIvUgMoBC5as4ikW0wuQsGH5yVZ6cQ1y16qEfgPnk"",""BD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IFERROR(__xludf.DUMMYFUNCTION("ifna(IF(and(D356=""Saída"",J356=""Sangria""),if(sum(QUERY(IMPORTRANGE(""https://docs.google.com/spreadsheets/d/1E4szPcLzsqlw4uyBAoJ61L1ChCgpz4wVP8tHfHW1g_c"",""BD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'""&amp;YEAR(C356)&amp;""-""&amp;MONTH(C356)&amp;""-""&amp;DAY(C356)&amp;""'""))&gt;0,""Depositada"",if(sum(QUERY(IMPORTRANGE(""https://docs.google.com/spreadsheets/d/1EcLIvUgMoBC5as4ikW0wuQsGH5yVZ6cQ1y16qEfgPnk"",""BD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IFERROR(__xludf.DUMMYFUNCTION("ifna(IF(and(D357=""Saída"",J357=""Sangria""),if(sum(QUERY(IMPORTRANGE(""https://docs.google.com/spreadsheets/d/1E4szPcLzsqlw4uyBAoJ61L1ChCgpz4wVP8tHfHW1g_c"",""BD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'""&amp;YEAR(C357)&amp;""-""&amp;MONTH(C357)&amp;""-""&amp;DAY(C357)&amp;""'""))&gt;0,""Depositada"",if(sum(QUERY(IMPORTRANGE(""https://docs.google.com/spreadsheets/d/1EcLIvUgMoBC5as4ikW0wuQsGH5yVZ6cQ1y16qEfgPnk"",""BD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IFERROR(__xludf.DUMMYFUNCTION("ifna(IF(and(D358=""Saída"",J358=""Sangria""),if(sum(QUERY(IMPORTRANGE(""https://docs.google.com/spreadsheets/d/1E4szPcLzsqlw4uyBAoJ61L1ChCgpz4wVP8tHfHW1g_c"",""BD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'""&amp;YEAR(C358)&amp;""-""&amp;MONTH(C358)&amp;""-""&amp;DAY(C358)&amp;""'""))&gt;0,""Depositada"",if(sum(QUERY(IMPORTRANGE(""https://docs.google.com/spreadsheets/d/1EcLIvUgMoBC5as4ikW0wuQsGH5yVZ6cQ1y16qEfgPnk"",""BD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IFERROR(__xludf.DUMMYFUNCTION("ifna(IF(and(D359=""Saída"",J359=""Sangria""),if(sum(QUERY(IMPORTRANGE(""https://docs.google.com/spreadsheets/d/1E4szPcLzsqlw4uyBAoJ61L1ChCgpz4wVP8tHfHW1g_c"",""BD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'""&amp;YEAR(C359)&amp;""-""&amp;MONTH(C359)&amp;""-""&amp;DAY(C359)&amp;""'""))&gt;0,""Depositada"",if(sum(QUERY(IMPORTRANGE(""https://docs.google.com/spreadsheets/d/1EcLIvUgMoBC5as4ikW0wuQsGH5yVZ6cQ1y16qEfgPnk"",""BD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IFERROR(__xludf.DUMMYFUNCTION("ifna(IF(and(D360=""Saída"",J360=""Sangria""),if(sum(QUERY(IMPORTRANGE(""https://docs.google.com/spreadsheets/d/1E4szPcLzsqlw4uyBAoJ61L1ChCgpz4wVP8tHfHW1g_c"",""BD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'""&amp;YEAR(C360)&amp;""-""&amp;MONTH(C360)&amp;""-""&amp;DAY(C360)&amp;""'""))&gt;0,""Depositada"",if(sum(QUERY(IMPORTRANGE(""https://docs.google.com/spreadsheets/d/1EcLIvUgMoBC5as4ikW0wuQsGH5yVZ6cQ1y16qEfgPnk"",""BD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IFERROR(__xludf.DUMMYFUNCTION("ifna(IF(and(D361=""Saída"",J361=""Sangria""),if(sum(QUERY(IMPORTRANGE(""https://docs.google.com/spreadsheets/d/1E4szPcLzsqlw4uyBAoJ61L1ChCgpz4wVP8tHfHW1g_c"",""BD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'""&amp;YEAR(C361)&amp;""-""&amp;MONTH(C361)&amp;""-""&amp;DAY(C361)&amp;""'""))&gt;0,""Depositada"",if(sum(QUERY(IMPORTRANGE(""https://docs.google.com/spreadsheets/d/1EcLIvUgMoBC5as4ikW0wuQsGH5yVZ6cQ1y16qEfgPnk"",""BD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IFERROR(__xludf.DUMMYFUNCTION("ifna(IF(and(D362=""Saída"",J362=""Sangria""),if(sum(QUERY(IMPORTRANGE(""https://docs.google.com/spreadsheets/d/1E4szPcLzsqlw4uyBAoJ61L1ChCgpz4wVP8tHfHW1g_c"",""BD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'""&amp;YEAR(C362)&amp;""-""&amp;MONTH(C362)&amp;""-""&amp;DAY(C362)&amp;""'""))&gt;0,""Depositada"",if(sum(QUERY(IMPORTRANGE(""https://docs.google.com/spreadsheets/d/1EcLIvUgMoBC5as4ikW0wuQsGH5yVZ6cQ1y16qEfgPnk"",""BD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IFERROR(__xludf.DUMMYFUNCTION("ifna(IF(and(D363=""Saída"",J363=""Sangria""),if(sum(QUERY(IMPORTRANGE(""https://docs.google.com/spreadsheets/d/1E4szPcLzsqlw4uyBAoJ61L1ChCgpz4wVP8tHfHW1g_c"",""BD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'""&amp;YEAR(C363)&amp;""-""&amp;MONTH(C363)&amp;""-""&amp;DAY(C363)&amp;""'""))&gt;0,""Depositada"",if(sum(QUERY(IMPORTRANGE(""https://docs.google.com/spreadsheets/d/1EcLIvUgMoBC5as4ikW0wuQsGH5yVZ6cQ1y16qEfgPnk"",""BD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IFERROR(__xludf.DUMMYFUNCTION("ifna(IF(and(D364=""Saída"",J364=""Sangria""),if(sum(QUERY(IMPORTRANGE(""https://docs.google.com/spreadsheets/d/1E4szPcLzsqlw4uyBAoJ61L1ChCgpz4wVP8tHfHW1g_c"",""BD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'""&amp;YEAR(C364)&amp;""-""&amp;MONTH(C364)&amp;""-""&amp;DAY(C364)&amp;""'""))&gt;0,""Depositada"",if(sum(QUERY(IMPORTRANGE(""https://docs.google.com/spreadsheets/d/1EcLIvUgMoBC5as4ikW0wuQsGH5yVZ6cQ1y16qEfgPnk"",""BD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IFERROR(__xludf.DUMMYFUNCTION("ifna(IF(and(D365=""Saída"",J365=""Sangria""),if(sum(QUERY(IMPORTRANGE(""https://docs.google.com/spreadsheets/d/1E4szPcLzsqlw4uyBAoJ61L1ChCgpz4wVP8tHfHW1g_c"",""BD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'""&amp;YEAR(C365)&amp;""-""&amp;MONTH(C365)&amp;""-""&amp;DAY(C365)&amp;""'""))&gt;0,""Depositada"",if(sum(QUERY(IMPORTRANGE(""https://docs.google.com/spreadsheets/d/1EcLIvUgMoBC5as4ikW0wuQsGH5yVZ6cQ1y16qEfgPnk"",""BD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IFERROR(__xludf.DUMMYFUNCTION("ifna(IF(and(D366=""Saída"",J366=""Sangria""),if(sum(QUERY(IMPORTRANGE(""https://docs.google.com/spreadsheets/d/1E4szPcLzsqlw4uyBAoJ61L1ChCgpz4wVP8tHfHW1g_c"",""BD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'""&amp;YEAR(C366)&amp;""-""&amp;MONTH(C366)&amp;""-""&amp;DAY(C366)&amp;""'""))&gt;0,""Depositada"",if(sum(QUERY(IMPORTRANGE(""https://docs.google.com/spreadsheets/d/1EcLIvUgMoBC5as4ikW0wuQsGH5yVZ6cQ1y16qEfgPnk"",""BD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IFERROR(__xludf.DUMMYFUNCTION("ifna(IF(and(D367=""Saída"",J367=""Sangria""),if(sum(QUERY(IMPORTRANGE(""https://docs.google.com/spreadsheets/d/1E4szPcLzsqlw4uyBAoJ61L1ChCgpz4wVP8tHfHW1g_c"",""BD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'""&amp;YEAR(C367)&amp;""-""&amp;MONTH(C367)&amp;""-""&amp;DAY(C367)&amp;""'""))&gt;0,""Depositada"",if(sum(QUERY(IMPORTRANGE(""https://docs.google.com/spreadsheets/d/1EcLIvUgMoBC5as4ikW0wuQsGH5yVZ6cQ1y16qEfgPnk"",""BD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IFERROR(__xludf.DUMMYFUNCTION("ifna(IF(and(D368=""Saída"",J368=""Sangria""),if(sum(QUERY(IMPORTRANGE(""https://docs.google.com/spreadsheets/d/1E4szPcLzsqlw4uyBAoJ61L1ChCgpz4wVP8tHfHW1g_c"",""BD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'""&amp;YEAR(C368)&amp;""-""&amp;MONTH(C368)&amp;""-""&amp;DAY(C368)&amp;""'""))&gt;0,""Depositada"",if(sum(QUERY(IMPORTRANGE(""https://docs.google.com/spreadsheets/d/1EcLIvUgMoBC5as4ikW0wuQsGH5yVZ6cQ1y16qEfgPnk"",""BD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IFERROR(__xludf.DUMMYFUNCTION("ifna(IF(and(D369=""Saída"",J369=""Sangria""),if(sum(QUERY(IMPORTRANGE(""https://docs.google.com/spreadsheets/d/1E4szPcLzsqlw4uyBAoJ61L1ChCgpz4wVP8tHfHW1g_c"",""BD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'""&amp;YEAR(C369)&amp;""-""&amp;MONTH(C369)&amp;""-""&amp;DAY(C369)&amp;""'""))&gt;0,""Depositada"",if(sum(QUERY(IMPORTRANGE(""https://docs.google.com/spreadsheets/d/1EcLIvUgMoBC5as4ikW0wuQsGH5yVZ6cQ1y16qEfgPnk"",""BD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IFERROR(__xludf.DUMMYFUNCTION("ifna(IF(and(D370=""Saída"",J370=""Sangria""),if(sum(QUERY(IMPORTRANGE(""https://docs.google.com/spreadsheets/d/1E4szPcLzsqlw4uyBAoJ61L1ChCgpz4wVP8tHfHW1g_c"",""BD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'""&amp;YEAR(C370)&amp;""-""&amp;MONTH(C370)&amp;""-""&amp;DAY(C370)&amp;""'""))&gt;0,""Depositada"",if(sum(QUERY(IMPORTRANGE(""https://docs.google.com/spreadsheets/d/1EcLIvUgMoBC5as4ikW0wuQsGH5yVZ6cQ1y16qEfgPnk"",""BD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IFERROR(__xludf.DUMMYFUNCTION("ifna(IF(and(D371=""Saída"",J371=""Sangria""),if(sum(QUERY(IMPORTRANGE(""https://docs.google.com/spreadsheets/d/1E4szPcLzsqlw4uyBAoJ61L1ChCgpz4wVP8tHfHW1g_c"",""BD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'""&amp;YEAR(C371)&amp;""-""&amp;MONTH(C371)&amp;""-""&amp;DAY(C371)&amp;""'""))&gt;0,""Depositada"",if(sum(QUERY(IMPORTRANGE(""https://docs.google.com/spreadsheets/d/1EcLIvUgMoBC5as4ikW0wuQsGH5yVZ6cQ1y16qEfgPnk"",""BD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IFERROR(__xludf.DUMMYFUNCTION("ifna(IF(and(D372=""Saída"",J372=""Sangria""),if(sum(QUERY(IMPORTRANGE(""https://docs.google.com/spreadsheets/d/1E4szPcLzsqlw4uyBAoJ61L1ChCgpz4wVP8tHfHW1g_c"",""BD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'""&amp;YEAR(C372)&amp;""-""&amp;MONTH(C372)&amp;""-""&amp;DAY(C372)&amp;""'""))&gt;0,""Depositada"",if(sum(QUERY(IMPORTRANGE(""https://docs.google.com/spreadsheets/d/1EcLIvUgMoBC5as4ikW0wuQsGH5yVZ6cQ1y16qEfgPnk"",""BD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IFERROR(__xludf.DUMMYFUNCTION("ifna(IF(and(D373=""Saída"",J373=""Sangria""),if(sum(QUERY(IMPORTRANGE(""https://docs.google.com/spreadsheets/d/1E4szPcLzsqlw4uyBAoJ61L1ChCgpz4wVP8tHfHW1g_c"",""BD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'""&amp;YEAR(C373)&amp;""-""&amp;MONTH(C373)&amp;""-""&amp;DAY(C373)&amp;""'""))&gt;0,""Depositada"",if(sum(QUERY(IMPORTRANGE(""https://docs.google.com/spreadsheets/d/1EcLIvUgMoBC5as4ikW0wuQsGH5yVZ6cQ1y16qEfgPnk"",""BD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IFERROR(__xludf.DUMMYFUNCTION("ifna(IF(and(D374=""Saída"",J374=""Sangria""),if(sum(QUERY(IMPORTRANGE(""https://docs.google.com/spreadsheets/d/1E4szPcLzsqlw4uyBAoJ61L1ChCgpz4wVP8tHfHW1g_c"",""BD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'""&amp;YEAR(C374)&amp;""-""&amp;MONTH(C374)&amp;""-""&amp;DAY(C374)&amp;""'""))&gt;0,""Depositada"",if(sum(QUERY(IMPORTRANGE(""https://docs.google.com/spreadsheets/d/1EcLIvUgMoBC5as4ikW0wuQsGH5yVZ6cQ1y16qEfgPnk"",""BD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IFERROR(__xludf.DUMMYFUNCTION("ifna(IF(and(D375=""Saída"",J375=""Sangria""),if(sum(QUERY(IMPORTRANGE(""https://docs.google.com/spreadsheets/d/1E4szPcLzsqlw4uyBAoJ61L1ChCgpz4wVP8tHfHW1g_c"",""BD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'""&amp;YEAR(C375)&amp;""-""&amp;MONTH(C375)&amp;""-""&amp;DAY(C375)&amp;""'""))&gt;0,""Depositada"",if(sum(QUERY(IMPORTRANGE(""https://docs.google.com/spreadsheets/d/1EcLIvUgMoBC5as4ikW0wuQsGH5yVZ6cQ1y16qEfgPnk"",""BD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IFERROR(__xludf.DUMMYFUNCTION("ifna(IF(and(D376=""Saída"",J376=""Sangria""),if(sum(QUERY(IMPORTRANGE(""https://docs.google.com/spreadsheets/d/1E4szPcLzsqlw4uyBAoJ61L1ChCgpz4wVP8tHfHW1g_c"",""BD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'""&amp;YEAR(C376)&amp;""-""&amp;MONTH(C376)&amp;""-""&amp;DAY(C376)&amp;""'""))&gt;0,""Depositada"",if(sum(QUERY(IMPORTRANGE(""https://docs.google.com/spreadsheets/d/1EcLIvUgMoBC5as4ikW0wuQsGH5yVZ6cQ1y16qEfgPnk"",""BD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184" t="str">
        <f>IFERROR(__xludf.DUMMYFUNCTION("ifna(IF(and(D377=""Saída"",J377=""Sangria""),if(sum(QUERY(IMPORTRANGE(""https://docs.google.com/spreadsheets/d/1E4szPcLzsqlw4uyBAoJ61L1ChCgpz4wVP8tHfHW1g_c"",""BD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'""&amp;YEAR(C377)&amp;""-""&amp;MONTH(C377)&amp;""-""&amp;DAY(C377)&amp;""'""))&gt;0,""Depositada"",if(sum(QUERY(IMPORTRANGE(""https://docs.google.com/spreadsheets/d/1EcLIvUgMoBC5as4ikW0wuQsGH5yVZ6cQ1y16qEfgPnk"",""BD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IFERROR(__xludf.DUMMYFUNCTION("ifna(IF(and(D378=""Saída"",J378=""Sangria""),if(sum(QUERY(IMPORTRANGE(""https://docs.google.com/spreadsheets/d/1E4szPcLzsqlw4uyBAoJ61L1ChCgpz4wVP8tHfHW1g_c"",""BD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'""&amp;YEAR(C378)&amp;""-""&amp;MONTH(C378)&amp;""-""&amp;DAY(C378)&amp;""'""))&gt;0,""Depositada"",if(sum(QUERY(IMPORTRANGE(""https://docs.google.com/spreadsheets/d/1EcLIvUgMoBC5as4ikW0wuQsGH5yVZ6cQ1y16qEfgPnk"",""BD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IFERROR(__xludf.DUMMYFUNCTION("ifna(IF(and(D379=""Saída"",J379=""Sangria""),if(sum(QUERY(IMPORTRANGE(""https://docs.google.com/spreadsheets/d/1E4szPcLzsqlw4uyBAoJ61L1ChCgpz4wVP8tHfHW1g_c"",""BD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'""&amp;YEAR(C379)&amp;""-""&amp;MONTH(C379)&amp;""-""&amp;DAY(C379)&amp;""'""))&gt;0,""Depositada"",if(sum(QUERY(IMPORTRANGE(""https://docs.google.com/spreadsheets/d/1EcLIvUgMoBC5as4ikW0wuQsGH5yVZ6cQ1y16qEfgPnk"",""BD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IFERROR(__xludf.DUMMYFUNCTION("ifna(IF(and(D380=""Saída"",J380=""Sangria""),if(sum(QUERY(IMPORTRANGE(""https://docs.google.com/spreadsheets/d/1E4szPcLzsqlw4uyBAoJ61L1ChCgpz4wVP8tHfHW1g_c"",""BD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'""&amp;YEAR(C380)&amp;""-""&amp;MONTH(C380)&amp;""-""&amp;DAY(C380)&amp;""'""))&gt;0,""Depositada"",if(sum(QUERY(IMPORTRANGE(""https://docs.google.com/spreadsheets/d/1EcLIvUgMoBC5as4ikW0wuQsGH5yVZ6cQ1y16qEfgPnk"",""BD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IFERROR(__xludf.DUMMYFUNCTION("ifna(IF(and(D381=""Saída"",J381=""Sangria""),if(sum(QUERY(IMPORTRANGE(""https://docs.google.com/spreadsheets/d/1E4szPcLzsqlw4uyBAoJ61L1ChCgpz4wVP8tHfHW1g_c"",""BD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'""&amp;YEAR(C381)&amp;""-""&amp;MONTH(C381)&amp;""-""&amp;DAY(C381)&amp;""'""))&gt;0,""Depositada"",if(sum(QUERY(IMPORTRANGE(""https://docs.google.com/spreadsheets/d/1EcLIvUgMoBC5as4ikW0wuQsGH5yVZ6cQ1y16qEfgPnk"",""BD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IFERROR(__xludf.DUMMYFUNCTION("ifna(IF(and(D382=""Saída"",J382=""Sangria""),if(sum(QUERY(IMPORTRANGE(""https://docs.google.com/spreadsheets/d/1E4szPcLzsqlw4uyBAoJ61L1ChCgpz4wVP8tHfHW1g_c"",""BD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'""&amp;YEAR(C382)&amp;""-""&amp;MONTH(C382)&amp;""-""&amp;DAY(C382)&amp;""'""))&gt;0,""Depositada"",if(sum(QUERY(IMPORTRANGE(""https://docs.google.com/spreadsheets/d/1EcLIvUgMoBC5as4ikW0wuQsGH5yVZ6cQ1y16qEfgPnk"",""BD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IFERROR(__xludf.DUMMYFUNCTION("ifna(IF(and(D383=""Saída"",J383=""Sangria""),if(sum(QUERY(IMPORTRANGE(""https://docs.google.com/spreadsheets/d/1E4szPcLzsqlw4uyBAoJ61L1ChCgpz4wVP8tHfHW1g_c"",""BD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'""&amp;YEAR(C383)&amp;""-""&amp;MONTH(C383)&amp;""-""&amp;DAY(C383)&amp;""'""))&gt;0,""Depositada"",if(sum(QUERY(IMPORTRANGE(""https://docs.google.com/spreadsheets/d/1EcLIvUgMoBC5as4ikW0wuQsGH5yVZ6cQ1y16qEfgPnk"",""BD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IFERROR(__xludf.DUMMYFUNCTION("ifna(IF(and(D384=""Saída"",J384=""Sangria""),if(sum(QUERY(IMPORTRANGE(""https://docs.google.com/spreadsheets/d/1E4szPcLzsqlw4uyBAoJ61L1ChCgpz4wVP8tHfHW1g_c"",""BD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'""&amp;YEAR(C384)&amp;""-""&amp;MONTH(C384)&amp;""-""&amp;DAY(C384)&amp;""'""))&gt;0,""Depositada"",if(sum(QUERY(IMPORTRANGE(""https://docs.google.com/spreadsheets/d/1EcLIvUgMoBC5as4ikW0wuQsGH5yVZ6cQ1y16qEfgPnk"",""BD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IFERROR(__xludf.DUMMYFUNCTION("ifna(IF(and(D385=""Saída"",J385=""Sangria""),if(sum(QUERY(IMPORTRANGE(""https://docs.google.com/spreadsheets/d/1E4szPcLzsqlw4uyBAoJ61L1ChCgpz4wVP8tHfHW1g_c"",""BD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'""&amp;YEAR(C385)&amp;""-""&amp;MONTH(C385)&amp;""-""&amp;DAY(C385)&amp;""'""))&gt;0,""Depositada"",if(sum(QUERY(IMPORTRANGE(""https://docs.google.com/spreadsheets/d/1EcLIvUgMoBC5as4ikW0wuQsGH5yVZ6cQ1y16qEfgPnk"",""BD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IFERROR(__xludf.DUMMYFUNCTION("ifna(IF(and(D386=""Saída"",J386=""Sangria""),if(sum(QUERY(IMPORTRANGE(""https://docs.google.com/spreadsheets/d/1E4szPcLzsqlw4uyBAoJ61L1ChCgpz4wVP8tHfHW1g_c"",""BD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'""&amp;YEAR(C386)&amp;""-""&amp;MONTH(C386)&amp;""-""&amp;DAY(C386)&amp;""'""))&gt;0,""Depositada"",if(sum(QUERY(IMPORTRANGE(""https://docs.google.com/spreadsheets/d/1EcLIvUgMoBC5as4ikW0wuQsGH5yVZ6cQ1y16qEfgPnk"",""BD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IFERROR(__xludf.DUMMYFUNCTION("ifna(IF(and(D387=""Saída"",J387=""Sangria""),if(sum(QUERY(IMPORTRANGE(""https://docs.google.com/spreadsheets/d/1E4szPcLzsqlw4uyBAoJ61L1ChCgpz4wVP8tHfHW1g_c"",""BD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'""&amp;YEAR(C387)&amp;""-""&amp;MONTH(C387)&amp;""-""&amp;DAY(C387)&amp;""'""))&gt;0,""Depositada"",if(sum(QUERY(IMPORTRANGE(""https://docs.google.com/spreadsheets/d/1EcLIvUgMoBC5as4ikW0wuQsGH5yVZ6cQ1y16qEfgPnk"",""BD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IFERROR(__xludf.DUMMYFUNCTION("ifna(IF(and(D388=""Saída"",J388=""Sangria""),if(sum(QUERY(IMPORTRANGE(""https://docs.google.com/spreadsheets/d/1E4szPcLzsqlw4uyBAoJ61L1ChCgpz4wVP8tHfHW1g_c"",""BD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'""&amp;YEAR(C388)&amp;""-""&amp;MONTH(C388)&amp;""-""&amp;DAY(C388)&amp;""'""))&gt;0,""Depositada"",if(sum(QUERY(IMPORTRANGE(""https://docs.google.com/spreadsheets/d/1EcLIvUgMoBC5as4ikW0wuQsGH5yVZ6cQ1y16qEfgPnk"",""BD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184" t="str">
        <f>IFERROR(__xludf.DUMMYFUNCTION("ifna(IF(and(D389=""Saída"",J389=""Sangria""),if(sum(QUERY(IMPORTRANGE(""https://docs.google.com/spreadsheets/d/1E4szPcLzsqlw4uyBAoJ61L1ChCgpz4wVP8tHfHW1g_c"",""BD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'""&amp;YEAR(C389)&amp;""-""&amp;MONTH(C389)&amp;""-""&amp;DAY(C389)&amp;""'""))&gt;0,""Depositada"",if(sum(QUERY(IMPORTRANGE(""https://docs.google.com/spreadsheets/d/1EcLIvUgMoBC5as4ikW0wuQsGH5yVZ6cQ1y16qEfgPnk"",""BD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IFERROR(__xludf.DUMMYFUNCTION("ifna(IF(and(D390=""Saída"",J390=""Sangria""),if(sum(QUERY(IMPORTRANGE(""https://docs.google.com/spreadsheets/d/1E4szPcLzsqlw4uyBAoJ61L1ChCgpz4wVP8tHfHW1g_c"",""BD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'""&amp;YEAR(C390)&amp;""-""&amp;MONTH(C390)&amp;""-""&amp;DAY(C390)&amp;""'""))&gt;0,""Depositada"",if(sum(QUERY(IMPORTRANGE(""https://docs.google.com/spreadsheets/d/1EcLIvUgMoBC5as4ikW0wuQsGH5yVZ6cQ1y16qEfgPnk"",""BD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IFERROR(__xludf.DUMMYFUNCTION("ifna(IF(and(D391=""Saída"",J391=""Sangria""),if(sum(QUERY(IMPORTRANGE(""https://docs.google.com/spreadsheets/d/1E4szPcLzsqlw4uyBAoJ61L1ChCgpz4wVP8tHfHW1g_c"",""BD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'""&amp;YEAR(C391)&amp;""-""&amp;MONTH(C391)&amp;""-""&amp;DAY(C391)&amp;""'""))&gt;0,""Depositada"",if(sum(QUERY(IMPORTRANGE(""https://docs.google.com/spreadsheets/d/1EcLIvUgMoBC5as4ikW0wuQsGH5yVZ6cQ1y16qEfgPnk"",""BD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IFERROR(__xludf.DUMMYFUNCTION("ifna(IF(and(D392=""Saída"",J392=""Sangria""),if(sum(QUERY(IMPORTRANGE(""https://docs.google.com/spreadsheets/d/1E4szPcLzsqlw4uyBAoJ61L1ChCgpz4wVP8tHfHW1g_c"",""BD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'""&amp;YEAR(C392)&amp;""-""&amp;MONTH(C392)&amp;""-""&amp;DAY(C392)&amp;""'""))&gt;0,""Depositada"",if(sum(QUERY(IMPORTRANGE(""https://docs.google.com/spreadsheets/d/1EcLIvUgMoBC5as4ikW0wuQsGH5yVZ6cQ1y16qEfgPnk"",""BD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IFERROR(__xludf.DUMMYFUNCTION("ifna(IF(and(D393=""Saída"",J393=""Sangria""),if(sum(QUERY(IMPORTRANGE(""https://docs.google.com/spreadsheets/d/1E4szPcLzsqlw4uyBAoJ61L1ChCgpz4wVP8tHfHW1g_c"",""BD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'""&amp;YEAR(C393)&amp;""-""&amp;MONTH(C393)&amp;""-""&amp;DAY(C393)&amp;""'""))&gt;0,""Depositada"",if(sum(QUERY(IMPORTRANGE(""https://docs.google.com/spreadsheets/d/1EcLIvUgMoBC5as4ikW0wuQsGH5yVZ6cQ1y16qEfgPnk"",""BD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30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504">
      <formula1>'SETEMBRO 2025'!$B$4:$B$16</formula1>
    </dataValidation>
    <dataValidation type="list" allowBlank="1" showErrorMessage="1" sqref="J29:J77 J79:J97 J99:J105 J107:J130 J132 J134:J176 J178:J179 J181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9.75"/>
    <col customWidth="1" min="7" max="7" width="66.13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2">
        <v>4.0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9" t="s">
        <v>2888</v>
      </c>
      <c r="O2" s="27"/>
      <c r="P2" s="27"/>
      <c r="Q2" s="27"/>
      <c r="R2" s="27"/>
      <c r="S2" s="27"/>
      <c r="T2" s="27"/>
      <c r="U2" s="27"/>
      <c r="V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Rayana</v>
      </c>
      <c r="F3" s="31"/>
      <c r="G3" s="33" t="str">
        <f>B9</f>
        <v>Janaina</v>
      </c>
      <c r="H3" s="31"/>
      <c r="I3" s="33" t="str">
        <f>B7</f>
        <v>Ana Carolina</v>
      </c>
      <c r="J3" s="31"/>
      <c r="K3" s="33" t="str">
        <f>B8</f>
        <v>Sabrine</v>
      </c>
      <c r="L3" s="34"/>
      <c r="M3" s="35"/>
      <c r="N3" s="36" t="str">
        <f>B4</f>
        <v>Marcos</v>
      </c>
      <c r="O3" s="27"/>
      <c r="P3" s="27"/>
      <c r="Q3" s="28"/>
      <c r="R3" s="37"/>
      <c r="S3" s="38" t="str">
        <f>B5</f>
        <v>Rayana</v>
      </c>
      <c r="T3" s="27"/>
      <c r="U3" s="27"/>
      <c r="V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SUMIFS(M29:M504,J29:J504,C4,K29:K504,C3)+SUMIF(P96:P138,A4,Q96:Q138)+D9</f>
        <v>0</v>
      </c>
      <c r="E4" s="43" t="s">
        <v>1112</v>
      </c>
      <c r="F4" s="42">
        <f>SUMIFS(M29:M504,J29:J504,E4,K29:K504,E3)+SUMIF(P96:P138,A5,Q96:Q138)+F9</f>
        <v>500</v>
      </c>
      <c r="G4" s="43" t="s">
        <v>1112</v>
      </c>
      <c r="H4" s="42">
        <f>SUMIFS(M29:M504,J29:J504,C4,K29:K504,G3)+SUMIF(P96:P138,A6,Q96:Q138)+H9</f>
        <v>0</v>
      </c>
      <c r="I4" s="43" t="s">
        <v>1112</v>
      </c>
      <c r="J4" s="42">
        <f>SUMIFS(M29:M504,J29:J504,C4,K29:K504,I3)+SUMIF(P96:P138,A7,Q96:Q138)+J9</f>
        <v>100</v>
      </c>
      <c r="K4" s="43" t="s">
        <v>1112</v>
      </c>
      <c r="L4" s="44">
        <f>SUMIFS(M29:M504,J29:J504,C4,K29:K504,K3)+SUMIF(P96:P138,A8,Q96:Q138)+L9</f>
        <v>80</v>
      </c>
      <c r="M4" s="25"/>
      <c r="N4" s="45" t="str">
        <f>IFERROR(__xludf.DUMMYFUNCTION("query(C28:L504,""select Col1,Col3,Col8,Col9 where (Col8 = 'Adiantamento' or Col8 = 'Consumo') and Col9 = '""&amp;B4&amp;""'"",1)"),"Data")</f>
        <v>Data</v>
      </c>
      <c r="O4" s="46" t="str">
        <f>IFERROR(__xludf.DUMMYFUNCTION("""COMPUTED_VALUE"""),"Valor ")</f>
        <v>Valor </v>
      </c>
      <c r="P4" s="46" t="str">
        <f>IFERROR(__xludf.DUMMYFUNCTION("""COMPUTED_VALUE"""),"Tipo")</f>
        <v>Tipo</v>
      </c>
      <c r="Q4" s="47" t="str">
        <f>IFERROR(__xludf.DUMMYFUNCTION("""COMPUTED_VALUE"""),"Funcionário")</f>
        <v>Funcionário</v>
      </c>
      <c r="R4" s="48"/>
      <c r="S4" s="49" t="str">
        <f>IFERROR(__xludf.DUMMYFUNCTION("query(C28:L504,""select Col1,Col3,Col8,Col9 where (Col8 = 'Adiantamento' or Col8 = 'Consumo') and Col9 = '""&amp;B5&amp;""'"",1)"),"#REF!")</f>
        <v>#REF!</v>
      </c>
      <c r="T4" s="49"/>
      <c r="U4" s="49"/>
      <c r="V4" s="50"/>
    </row>
    <row r="5" ht="15.0" customHeight="1">
      <c r="A5" s="39" t="s">
        <v>1183</v>
      </c>
      <c r="B5" s="40" t="s">
        <v>3040</v>
      </c>
      <c r="C5" s="41" t="s">
        <v>3044</v>
      </c>
      <c r="D5" s="42">
        <f>SUMIFS(M29:M504,J29:J504,C5,K29:K504,C3)</f>
        <v>0</v>
      </c>
      <c r="E5" s="43" t="s">
        <v>3044</v>
      </c>
      <c r="F5" s="42">
        <f>SUMIFS(M29:M504,J29:J504,C5,K29:K504,E3)</f>
        <v>306.42</v>
      </c>
      <c r="G5" s="43" t="s">
        <v>3044</v>
      </c>
      <c r="H5" s="42">
        <f>SUMIFS(M29:M504,J29:J504,C5,K29:K504,G3)</f>
        <v>359.87</v>
      </c>
      <c r="I5" s="43" t="s">
        <v>3044</v>
      </c>
      <c r="J5" s="42">
        <f>SUMIFS(M29:M504,J29:J504,C5,K29:K504,I3)</f>
        <v>158.6</v>
      </c>
      <c r="K5" s="43" t="s">
        <v>3044</v>
      </c>
      <c r="L5" s="44">
        <f>SUMIFS(M29:M504,J29:J504,C5,K29:K504,K3)</f>
        <v>267.53</v>
      </c>
      <c r="M5" s="25"/>
      <c r="N5" s="51"/>
      <c r="O5" s="52"/>
      <c r="P5" s="52"/>
      <c r="Q5" s="53"/>
      <c r="R5" s="54"/>
      <c r="S5" s="52"/>
      <c r="T5" s="52"/>
      <c r="U5" s="52"/>
      <c r="V5" s="53"/>
    </row>
    <row r="6" ht="16.5" customHeight="1">
      <c r="A6" s="56"/>
      <c r="B6" s="40"/>
      <c r="C6" s="41" t="s">
        <v>3082</v>
      </c>
      <c r="D6" s="42">
        <f>D5*0.8</f>
        <v>0</v>
      </c>
      <c r="E6" s="43" t="s">
        <v>3082</v>
      </c>
      <c r="F6" s="42">
        <f>F5*0.8</f>
        <v>245.136</v>
      </c>
      <c r="G6" s="43" t="s">
        <v>3082</v>
      </c>
      <c r="H6" s="42">
        <f>H5*0.8</f>
        <v>287.896</v>
      </c>
      <c r="I6" s="43" t="s">
        <v>3082</v>
      </c>
      <c r="J6" s="42">
        <f>J5*0.8</f>
        <v>126.88</v>
      </c>
      <c r="K6" s="57" t="s">
        <v>3082</v>
      </c>
      <c r="L6" s="44">
        <f>L5*0.8</f>
        <v>214.024</v>
      </c>
      <c r="M6" s="25"/>
      <c r="N6" s="51"/>
      <c r="O6" s="52"/>
      <c r="P6" s="52"/>
      <c r="Q6" s="53"/>
      <c r="R6" s="54"/>
      <c r="S6" s="52"/>
      <c r="T6" s="52"/>
      <c r="U6" s="52"/>
      <c r="V6" s="53"/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51"/>
      <c r="O7" s="52"/>
      <c r="P7" s="52"/>
      <c r="Q7" s="53"/>
      <c r="R7" s="54"/>
      <c r="S7" s="52"/>
      <c r="T7" s="52"/>
      <c r="U7" s="52"/>
      <c r="V7" s="53"/>
    </row>
    <row r="8" ht="14.25" customHeight="1">
      <c r="A8" s="12" t="s">
        <v>78</v>
      </c>
      <c r="B8" s="40" t="s">
        <v>3168</v>
      </c>
      <c r="C8" s="63" t="s">
        <v>3170</v>
      </c>
      <c r="D8" s="64"/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51"/>
      <c r="O8" s="52"/>
      <c r="P8" s="52"/>
      <c r="Q8" s="53"/>
      <c r="R8" s="54"/>
      <c r="S8" s="52"/>
      <c r="T8" s="52"/>
      <c r="U8" s="52"/>
      <c r="V8" s="53"/>
    </row>
    <row r="9">
      <c r="A9" s="39" t="s">
        <v>1900</v>
      </c>
      <c r="B9" s="40" t="s">
        <v>6340</v>
      </c>
      <c r="C9" s="70" t="s">
        <v>41</v>
      </c>
      <c r="D9" s="71"/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51"/>
      <c r="O9" s="52"/>
      <c r="P9" s="52"/>
      <c r="Q9" s="53"/>
      <c r="R9" s="54"/>
      <c r="S9" s="52"/>
      <c r="T9" s="52"/>
      <c r="U9" s="52"/>
      <c r="V9" s="53"/>
    </row>
    <row r="10" ht="21.75" customHeight="1">
      <c r="A10" s="39"/>
      <c r="B10" s="40"/>
      <c r="C10" s="75" t="str">
        <f>B9</f>
        <v>Janaina</v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51"/>
      <c r="O10" s="79"/>
      <c r="P10" s="79"/>
      <c r="Q10" s="80"/>
      <c r="R10" s="81"/>
      <c r="S10" s="79"/>
      <c r="T10" s="79"/>
      <c r="U10" s="79"/>
      <c r="V10" s="80"/>
    </row>
    <row r="11">
      <c r="A11" s="82"/>
      <c r="B11" s="83"/>
      <c r="C11" s="84" t="s">
        <v>1112</v>
      </c>
      <c r="D11" s="85">
        <f>SUMIFS(M29:M511,J29:J511,C11,K29:K511,C10)+SUMIF(P96:P138,A9,Q96:Q138)+D16</f>
        <v>0</v>
      </c>
      <c r="E11" s="86" t="s">
        <v>1112</v>
      </c>
      <c r="F11" s="85">
        <f>SUMIFS(M29:M511,J29:J511,E11,K29:K511,E10)+SUMIF(P96:P138,A10,Q96:Q138)+F16</f>
        <v>0</v>
      </c>
      <c r="G11" s="86" t="s">
        <v>1112</v>
      </c>
      <c r="H11" s="85">
        <f>SUMIFS(M29:M511,J29:J511,C11,K29:K511,G10)+SUMIF(P96:P138,A11,Q96:Q138)+H16</f>
        <v>0</v>
      </c>
      <c r="I11" s="86" t="s">
        <v>1112</v>
      </c>
      <c r="J11" s="85">
        <f>SUMIFS(M29:M511,J29:J511,C11,K29:K511,I10)+SUMIF(P96:P138,A11,Q96:Q138)+J16</f>
        <v>0</v>
      </c>
      <c r="K11" s="86" t="s">
        <v>1112</v>
      </c>
      <c r="L11" s="87">
        <f>SUMIFS(M29:M511,J29:J511,C11,K29:K511,K10)+SUMIF(P96:P138,A13,Q96:Q138)+L16</f>
        <v>0</v>
      </c>
      <c r="M11" s="24"/>
      <c r="N11" s="88"/>
      <c r="O11" s="89"/>
      <c r="P11" s="89"/>
      <c r="Q11" s="90"/>
      <c r="R11" s="91"/>
      <c r="S11" s="89"/>
      <c r="T11" s="89"/>
      <c r="U11" s="89"/>
      <c r="V11" s="90"/>
    </row>
    <row r="12">
      <c r="A12" s="82"/>
      <c r="B12" s="83"/>
      <c r="C12" s="84" t="s">
        <v>3044</v>
      </c>
      <c r="D12" s="85">
        <f>SUMIFS(M36:M511,J36:J511,C12,K36:K511,C10)</f>
        <v>359.87</v>
      </c>
      <c r="E12" s="86" t="s">
        <v>3044</v>
      </c>
      <c r="F12" s="85">
        <f>SUMIFS(M29:M511,J29:J511,C12,K29:K511,E10)</f>
        <v>0</v>
      </c>
      <c r="G12" s="86" t="s">
        <v>3044</v>
      </c>
      <c r="H12" s="85">
        <f>SUMIFS(M36:M511,J36:J511,C12,K36:K511,G10)</f>
        <v>0</v>
      </c>
      <c r="I12" s="86" t="s">
        <v>3044</v>
      </c>
      <c r="J12" s="85">
        <f>SUMIFS(M29:M511,J29:J511,C12,K29:K511,I10)</f>
        <v>0</v>
      </c>
      <c r="K12" s="86" t="s">
        <v>3044</v>
      </c>
      <c r="L12" s="87">
        <f>SUMIFS(M29:M511,J29:J511,C12,K29:K511,K10)</f>
        <v>0</v>
      </c>
      <c r="M12" s="24"/>
      <c r="N12" s="88"/>
      <c r="O12" s="89"/>
      <c r="P12" s="89"/>
      <c r="Q12" s="90"/>
      <c r="R12" s="91"/>
      <c r="S12" s="89"/>
      <c r="T12" s="89"/>
      <c r="U12" s="89"/>
      <c r="V12" s="90"/>
    </row>
    <row r="13">
      <c r="A13" s="82"/>
      <c r="B13" s="93"/>
      <c r="C13" s="84" t="s">
        <v>3082</v>
      </c>
      <c r="D13" s="85">
        <f>D12*0.8</f>
        <v>287.896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88"/>
      <c r="O13" s="89"/>
      <c r="P13" s="89"/>
      <c r="Q13" s="90"/>
      <c r="R13" s="91"/>
      <c r="S13" s="89"/>
      <c r="T13" s="89"/>
      <c r="U13" s="89"/>
      <c r="V13" s="90"/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88"/>
      <c r="O14" s="89"/>
      <c r="P14" s="89"/>
      <c r="Q14" s="90"/>
      <c r="R14" s="91"/>
      <c r="S14" s="89"/>
      <c r="T14" s="89"/>
      <c r="U14" s="89"/>
      <c r="V14" s="90"/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88"/>
      <c r="O15" s="89"/>
      <c r="P15" s="89"/>
      <c r="Q15" s="90"/>
      <c r="R15" s="91"/>
      <c r="S15" s="89"/>
      <c r="T15" s="89"/>
      <c r="U15" s="89"/>
      <c r="V15" s="90"/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3"/>
      <c r="B19" s="23"/>
      <c r="C19" s="112"/>
      <c r="D19" s="113"/>
      <c r="E19" s="112"/>
      <c r="F19" s="114"/>
      <c r="G19" s="115" t="s">
        <v>3452</v>
      </c>
      <c r="H19" s="116">
        <f>((H20+H21)-H22)-H25</f>
        <v>17050</v>
      </c>
      <c r="I19" s="117" t="s">
        <v>3466</v>
      </c>
      <c r="J19" s="118" t="s">
        <v>3467</v>
      </c>
      <c r="K19" s="119" t="s">
        <v>3472</v>
      </c>
      <c r="L19" s="113"/>
      <c r="M19" s="24"/>
      <c r="N19" s="120"/>
      <c r="O19" s="121"/>
      <c r="P19" s="121"/>
      <c r="Q19" s="121"/>
      <c r="R19" s="122"/>
      <c r="S19" s="123" t="str">
        <f>B9</f>
        <v>Janaina</v>
      </c>
      <c r="T19" s="106"/>
      <c r="U19" s="106"/>
      <c r="V19" s="124"/>
    </row>
    <row r="20">
      <c r="A20" s="125"/>
      <c r="B20" s="125"/>
      <c r="C20" s="126" t="s">
        <v>1112</v>
      </c>
      <c r="D20" s="127">
        <f>SUMIFS(M29:M504,J29:J504,C20,K29:K504,C19)+SUMIF(P102:P138,A9,Q102:Q138)+D25</f>
        <v>0</v>
      </c>
      <c r="E20" s="126" t="s">
        <v>1112</v>
      </c>
      <c r="F20" s="128">
        <f>SUMIFS(M29:M504,J29:J504,C20,K29:K504,E19)+SUMIF(P102:P138,A10,Q102:Q138)+F25</f>
        <v>0</v>
      </c>
      <c r="G20" s="129" t="s">
        <v>3505</v>
      </c>
      <c r="H20" s="130">
        <v>0.0</v>
      </c>
      <c r="I20" s="131">
        <f>SUMIF(J29:J504,I19,M29:M504)</f>
        <v>664.36</v>
      </c>
      <c r="J20" s="132">
        <f>SUMIF(J29:J504,J19,M29:M504)</f>
        <v>134.22</v>
      </c>
      <c r="K20" s="133" t="s">
        <v>3520</v>
      </c>
      <c r="L20" s="134"/>
      <c r="M20" s="24"/>
      <c r="N20" s="135"/>
      <c r="O20" s="136"/>
      <c r="P20" s="136"/>
      <c r="Q20" s="136"/>
      <c r="R20" s="48"/>
      <c r="S20" s="49" t="str">
        <f>IFERROR(__xludf.DUMMYFUNCTION("query(C28:L504,""select Col1,Col3,Col8,Col9 where (Col8 = 'Adiantamento' or Col8 = 'Consumo') and Col9 = '""&amp;B9&amp;""'"",1)"),"Data")</f>
        <v>Data</v>
      </c>
      <c r="T20" s="49" t="str">
        <f>IFERROR(__xludf.DUMMYFUNCTION("""COMPUTED_VALUE"""),"Valor ")</f>
        <v>Valor </v>
      </c>
      <c r="U20" s="49" t="str">
        <f>IFERROR(__xludf.DUMMYFUNCTION("""COMPUTED_VALUE"""),"Tipo")</f>
        <v>Tipo</v>
      </c>
      <c r="V20" s="50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3044</v>
      </c>
      <c r="D21" s="127">
        <f>SUMIFS(M29:M504,J29:J504,C21,K29:K504,C19)</f>
        <v>0</v>
      </c>
      <c r="E21" s="126" t="s">
        <v>3044</v>
      </c>
      <c r="F21" s="128">
        <f>SUMIFS(M29:M504,J29:J504,E21,K29:K504,E19)</f>
        <v>0</v>
      </c>
      <c r="G21" s="86" t="s">
        <v>3560</v>
      </c>
      <c r="H21" s="127">
        <f>SUMIFS(M29:M504,D29:D504,"Saída",J29:J504,"Sangria")</f>
        <v>17500</v>
      </c>
      <c r="I21" s="138"/>
      <c r="J21" s="139"/>
      <c r="K21" s="133" t="s">
        <v>3570</v>
      </c>
      <c r="L21" s="134"/>
      <c r="M21" s="24"/>
      <c r="N21" s="108"/>
      <c r="O21" s="52"/>
      <c r="P21" s="52"/>
      <c r="Q21" s="53"/>
      <c r="R21" s="54"/>
      <c r="S21" s="55">
        <f>IFERROR(__xludf.DUMMYFUNCTION("""COMPUTED_VALUE"""),45931.71299768519)</f>
        <v>45931.713</v>
      </c>
      <c r="T21" s="52" t="str">
        <f>IFERROR(__xludf.DUMMYFUNCTION("""COMPUTED_VALUE"""),"R$ 5,00")</f>
        <v>R$ 5,00</v>
      </c>
      <c r="U21" s="52" t="str">
        <f>IFERROR(__xludf.DUMMYFUNCTION("""COMPUTED_VALUE"""),"Consumo")</f>
        <v>Consumo</v>
      </c>
      <c r="V21" s="53" t="str">
        <f>IFERROR(__xludf.DUMMYFUNCTION("""COMPUTED_VALUE"""),"Janaina")</f>
        <v>Janaina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SUMIFS(M29:M504,D29:D504,"Entrada",J29:J504,"Sangria")</f>
        <v>450</v>
      </c>
      <c r="I22" s="144" t="s">
        <v>3602</v>
      </c>
      <c r="J22" s="145"/>
      <c r="K22" s="133" t="s">
        <v>3606</v>
      </c>
      <c r="L22" s="134"/>
      <c r="M22" s="24"/>
      <c r="N22" s="51"/>
      <c r="O22" s="52"/>
      <c r="P22" s="52"/>
      <c r="Q22" s="53"/>
      <c r="R22" s="54"/>
      <c r="S22" s="55">
        <f>IFERROR(__xludf.DUMMYFUNCTION("""COMPUTED_VALUE"""),45933.81487268519)</f>
        <v>45933.81487</v>
      </c>
      <c r="T22" s="52" t="str">
        <f>IFERROR(__xludf.DUMMYFUNCTION("""COMPUTED_VALUE"""),"R$ 17,38")</f>
        <v>R$ 17,38</v>
      </c>
      <c r="U22" s="52" t="str">
        <f>IFERROR(__xludf.DUMMYFUNCTION("""COMPUTED_VALUE"""),"Consumo")</f>
        <v>Consumo</v>
      </c>
      <c r="V22" s="53" t="str">
        <f>IFERROR(__xludf.DUMMYFUNCTION("""COMPUTED_VALUE"""),"Janaina")</f>
        <v>Janaina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SUMIF(J29:J504,I22,M29:M504)</f>
        <v>0</v>
      </c>
      <c r="J23" s="152"/>
      <c r="K23" s="133" t="s">
        <v>3630</v>
      </c>
      <c r="L23" s="134"/>
      <c r="M23" s="24"/>
      <c r="N23" s="51"/>
      <c r="O23" s="52"/>
      <c r="P23" s="52"/>
      <c r="Q23" s="53"/>
      <c r="R23" s="54"/>
      <c r="S23" s="55">
        <f>IFERROR(__xludf.DUMMYFUNCTION("""COMPUTED_VALUE"""),45936.69541666667)</f>
        <v>45936.69542</v>
      </c>
      <c r="T23" s="52" t="str">
        <f>IFERROR(__xludf.DUMMYFUNCTION("""COMPUTED_VALUE"""),"R$ 35,65")</f>
        <v>R$ 35,65</v>
      </c>
      <c r="U23" s="52" t="str">
        <f>IFERROR(__xludf.DUMMYFUNCTION("""COMPUTED_VALUE"""),"Consumo")</f>
        <v>Consumo</v>
      </c>
      <c r="V23" s="53" t="str">
        <f>IFERROR(__xludf.DUMMYFUNCTION("""COMPUTED_VALUE"""),"Janaina")</f>
        <v>Janaina</v>
      </c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SUMIF(L29:L504,G24,M29:M504)</f>
        <v>0</v>
      </c>
      <c r="I24" s="157" t="s">
        <v>3653</v>
      </c>
      <c r="J24" s="150"/>
      <c r="K24" s="133" t="s">
        <v>3656</v>
      </c>
      <c r="L24" s="134"/>
      <c r="M24" s="24"/>
      <c r="N24" s="51"/>
      <c r="O24" s="52"/>
      <c r="P24" s="52"/>
      <c r="Q24" s="53"/>
      <c r="R24" s="54"/>
      <c r="S24" s="55">
        <f>IFERROR(__xludf.DUMMYFUNCTION("""COMPUTED_VALUE"""),45936.69627314815)</f>
        <v>45936.69627</v>
      </c>
      <c r="T24" s="52" t="str">
        <f>IFERROR(__xludf.DUMMYFUNCTION("""COMPUTED_VALUE"""),"R$ 83,00")</f>
        <v>R$ 83,00</v>
      </c>
      <c r="U24" s="52" t="str">
        <f>IFERROR(__xludf.DUMMYFUNCTION("""COMPUTED_VALUE"""),"Consumo")</f>
        <v>Consumo</v>
      </c>
      <c r="V24" s="53" t="str">
        <f>IFERROR(__xludf.DUMMYFUNCTION("""COMPUTED_VALUE"""),"Janaina")</f>
        <v>Janaina</v>
      </c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5"/>
      <c r="N25" s="51"/>
      <c r="O25" s="52"/>
      <c r="P25" s="52"/>
      <c r="Q25" s="53"/>
      <c r="R25" s="54"/>
      <c r="S25" s="55">
        <f>IFERROR(__xludf.DUMMYFUNCTION("""COMPUTED_VALUE"""),45937.81574074074)</f>
        <v>45937.81574</v>
      </c>
      <c r="T25" s="52" t="str">
        <f>IFERROR(__xludf.DUMMYFUNCTION("""COMPUTED_VALUE"""),"R$ 10,00")</f>
        <v>R$ 10,00</v>
      </c>
      <c r="U25" s="52" t="str">
        <f>IFERROR(__xludf.DUMMYFUNCTION("""COMPUTED_VALUE"""),"Consumo")</f>
        <v>Consumo</v>
      </c>
      <c r="V25" s="53" t="str">
        <f>IFERROR(__xludf.DUMMYFUNCTION("""COMPUTED_VALUE"""),"Janaina")</f>
        <v>Janaina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1"/>
      <c r="O26" s="79"/>
      <c r="P26" s="79"/>
      <c r="Q26" s="80"/>
      <c r="R26" s="81"/>
      <c r="S26" s="55">
        <f>IFERROR(__xludf.DUMMYFUNCTION("""COMPUTED_VALUE"""),45938.81971064815)</f>
        <v>45938.81971</v>
      </c>
      <c r="T26" s="79" t="str">
        <f>IFERROR(__xludf.DUMMYFUNCTION("""COMPUTED_VALUE"""),"R$ 4,00")</f>
        <v>R$ 4,00</v>
      </c>
      <c r="U26" s="79" t="str">
        <f>IFERROR(__xludf.DUMMYFUNCTION("""COMPUTED_VALUE"""),"Consumo")</f>
        <v>Consumo</v>
      </c>
      <c r="V26" s="80" t="str">
        <f>IFERROR(__xludf.DUMMYFUNCTION("""COMPUTED_VALUE"""),"Janaina")</f>
        <v>Janaina</v>
      </c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236">
        <f>IFERROR(__xludf.DUMMYFUNCTION("""COMPUTED_VALUE"""),45938.93208333333)</f>
        <v>45938.93208</v>
      </c>
      <c r="T27" s="89" t="str">
        <f>IFERROR(__xludf.DUMMYFUNCTION("""COMPUTED_VALUE"""),"R$ 20,90")</f>
        <v>R$ 20,90</v>
      </c>
      <c r="U27" s="89" t="str">
        <f>IFERROR(__xludf.DUMMYFUNCTION("""COMPUTED_VALUE"""),"Consumo")</f>
        <v>Consumo</v>
      </c>
      <c r="V27" s="90" t="str">
        <f>IFERROR(__xludf.DUMMYFUNCTION("""COMPUTED_VALUE"""),"Janaina")</f>
        <v>Janaina</v>
      </c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177" t="s">
        <v>3724</v>
      </c>
      <c r="M28" s="167"/>
      <c r="N28" s="88"/>
      <c r="O28" s="89"/>
      <c r="P28" s="89"/>
      <c r="Q28" s="90"/>
      <c r="R28" s="91"/>
      <c r="S28" s="236">
        <f>IFERROR(__xludf.DUMMYFUNCTION("""COMPUTED_VALUE"""),45939.55505787037)</f>
        <v>45939.55506</v>
      </c>
      <c r="T28" s="89" t="str">
        <f>IFERROR(__xludf.DUMMYFUNCTION("""COMPUTED_VALUE"""),"R$ 17,00")</f>
        <v>R$ 17,00</v>
      </c>
      <c r="U28" s="89" t="str">
        <f>IFERROR(__xludf.DUMMYFUNCTION("""COMPUTED_VALUE"""),"Consumo")</f>
        <v>Consumo</v>
      </c>
      <c r="V28" s="90" t="str">
        <f>IFERROR(__xludf.DUMMYFUNCTION("""COMPUTED_VALUE"""),"Janaina")</f>
        <v>Janaina</v>
      </c>
    </row>
    <row r="29" ht="14.25" customHeight="1">
      <c r="A29" s="178"/>
      <c r="B29" s="10">
        <v>1702878.0</v>
      </c>
      <c r="C29" s="11">
        <v>45926.556805555556</v>
      </c>
      <c r="D29" s="179" t="s">
        <v>227</v>
      </c>
      <c r="E29" s="180" t="s">
        <v>329</v>
      </c>
      <c r="F29" s="181"/>
      <c r="G29" s="179" t="s">
        <v>6716</v>
      </c>
      <c r="H29" s="182"/>
      <c r="I29" s="182"/>
      <c r="J29" s="183" t="s">
        <v>4159</v>
      </c>
      <c r="K29" s="183"/>
      <c r="L29" s="252" t="str">
        <f>IFERROR(__xludf.DUMMYFUNCTION("ifna(IF(and(D29=""Saída"",J29=""Sangria""),if(sum(QUERY(IMPORTRANGE(""https://docs.google.com/spreadsheets/d/1wBSFbIXYswW2S5SMKo44LPsdTG4P4kfP5VRdAS5E_4o"",""BD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'""&amp;YEAR(C29)&amp;""-""&amp;MONTH(C29)&amp;""-""&amp;DAY(C29)&amp;""'""))&gt;0,""Depositada"",if(sum(QUERY(IMPORTRANGE(""https://docs.google.com/spreadsheets/d/1wBSFbIXYswW2S5SMKo44LPsdTG4P4kfP5VRdAS5E_4o"",""BD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Sangria"")"),"")</f>
        <v/>
      </c>
      <c r="M29" s="185">
        <f>IFERROR(__xludf.DUMMYFUNCTION("ifna(VALUE(REGEXEXTRACT(E29,""[0-9.]+[,]+[0-9]+"")))"),200.0)</f>
        <v>200</v>
      </c>
      <c r="N29" s="88"/>
      <c r="O29" s="89"/>
      <c r="P29" s="89"/>
      <c r="Q29" s="90"/>
      <c r="R29" s="91"/>
      <c r="S29" s="236">
        <f>IFERROR(__xludf.DUMMYFUNCTION("""COMPUTED_VALUE"""),45940.64138888889)</f>
        <v>45940.64139</v>
      </c>
      <c r="T29" s="89" t="str">
        <f>IFERROR(__xludf.DUMMYFUNCTION("""COMPUTED_VALUE"""),"R$ 38,47")</f>
        <v>R$ 38,47</v>
      </c>
      <c r="U29" s="89" t="str">
        <f>IFERROR(__xludf.DUMMYFUNCTION("""COMPUTED_VALUE"""),"Consumo")</f>
        <v>Consumo</v>
      </c>
      <c r="V29" s="90" t="str">
        <f>IFERROR(__xludf.DUMMYFUNCTION("""COMPUTED_VALUE"""),"Janaina")</f>
        <v>Janaina</v>
      </c>
    </row>
    <row r="30" ht="27.0" customHeight="1">
      <c r="A30" s="178"/>
      <c r="B30" s="10">
        <v>1702879.0</v>
      </c>
      <c r="C30" s="11">
        <v>45926.556979166664</v>
      </c>
      <c r="D30" s="179" t="s">
        <v>50</v>
      </c>
      <c r="E30" s="180" t="s">
        <v>6719</v>
      </c>
      <c r="F30" s="181"/>
      <c r="G30" s="179" t="s">
        <v>6720</v>
      </c>
      <c r="H30" s="186"/>
      <c r="I30" s="186"/>
      <c r="J30" s="187" t="s">
        <v>3903</v>
      </c>
      <c r="K30" s="187"/>
      <c r="L30" s="252" t="str">
        <f>IFERROR(__xludf.DUMMYFUNCTION("ifna(IF(and(D30=""Saída"",J30=""Sangria""),if(sum(QUERY(IMPORTRANGE(""https://docs.google.com/spreadsheets/d/1wBSFbIXYswW2S5SMKo44LPsdTG4P4kfP5VRdAS5E_4o"",""BD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'""&amp;YEAR(C30)&amp;""-""&amp;MONTH(C30)&amp;""-""&amp;DAY(C30)&amp;""'""))&gt;0,""Depositada"",if(sum(QUERY(IMPORTRANGE(""https://docs.google.com/spreadsheets/d/1wBSFbIXYswW2S5SMKo44LPsdTG4P4kfP5VRdAS5E_4o"",""BD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IFERROR(__xludf.DUMMYFUNCTION("ifna(VALUE(REGEXEXTRACT(E30,""[0-9.]+[,]+[0-9]+"")))"),330.0)</f>
        <v>330</v>
      </c>
      <c r="N30" s="88"/>
      <c r="O30" s="89"/>
      <c r="P30" s="89"/>
      <c r="Q30" s="90"/>
      <c r="R30" s="91"/>
      <c r="S30" s="236">
        <f>IFERROR(__xludf.DUMMYFUNCTION("""COMPUTED_VALUE"""),45942.90686342593)</f>
        <v>45942.90686</v>
      </c>
      <c r="T30" s="89" t="str">
        <f>IFERROR(__xludf.DUMMYFUNCTION("""COMPUTED_VALUE"""),"R$ 51,37")</f>
        <v>R$ 51,37</v>
      </c>
      <c r="U30" s="89" t="str">
        <f>IFERROR(__xludf.DUMMYFUNCTION("""COMPUTED_VALUE"""),"Consumo")</f>
        <v>Consumo</v>
      </c>
      <c r="V30" s="90" t="str">
        <f>IFERROR(__xludf.DUMMYFUNCTION("""COMPUTED_VALUE"""),"Janaina")</f>
        <v>Janaina</v>
      </c>
    </row>
    <row r="31" ht="14.25" customHeight="1">
      <c r="A31" s="178"/>
      <c r="B31" s="10">
        <v>1703397.0</v>
      </c>
      <c r="C31" s="11">
        <v>45926.72046296296</v>
      </c>
      <c r="D31" s="179" t="s">
        <v>50</v>
      </c>
      <c r="E31" s="180" t="s">
        <v>6723</v>
      </c>
      <c r="F31" s="181"/>
      <c r="G31" s="179" t="s">
        <v>6724</v>
      </c>
      <c r="H31" s="186"/>
      <c r="I31" s="186"/>
      <c r="J31" s="187" t="s">
        <v>3467</v>
      </c>
      <c r="K31" s="187"/>
      <c r="L31" s="252" t="str">
        <f>IFERROR(__xludf.DUMMYFUNCTION("ifna(IF(and(D31=""Saída"",J31=""Sangria""),if(sum(QUERY(IMPORTRANGE(""https://docs.google.com/spreadsheets/d/1wBSFbIXYswW2S5SMKo44LPsdTG4P4kfP5VRdAS5E_4o"",""BD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'""&amp;YEAR(C31)&amp;""-""&amp;MONTH(C31)&amp;""-""&amp;DAY(C31)&amp;""'""))&gt;0,""Depositada"",if(sum(QUERY(IMPORTRANGE(""https://docs.google.com/spreadsheets/d/1wBSFbIXYswW2S5SMKo44LPsdTG4P4kfP5VRdAS5E_4o"",""BD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Sangria"")"),"")</f>
        <v/>
      </c>
      <c r="M31" s="185">
        <f>IFERROR(__xludf.DUMMYFUNCTION("ifna(VALUE(REGEXEXTRACT(E31,""[0-9.]+[,]+[0-9]+"")))"),57.38)</f>
        <v>57.38</v>
      </c>
      <c r="N31" s="88"/>
      <c r="O31" s="89"/>
      <c r="P31" s="89"/>
      <c r="Q31" s="90"/>
      <c r="R31" s="91"/>
      <c r="S31" s="236">
        <f>IFERROR(__xludf.DUMMYFUNCTION("""COMPUTED_VALUE"""),45942.907546296294)</f>
        <v>45942.90755</v>
      </c>
      <c r="T31" s="89" t="str">
        <f>IFERROR(__xludf.DUMMYFUNCTION("""COMPUTED_VALUE"""),"R$ 32,59")</f>
        <v>R$ 32,59</v>
      </c>
      <c r="U31" s="89" t="str">
        <f>IFERROR(__xludf.DUMMYFUNCTION("""COMPUTED_VALUE"""),"Consumo")</f>
        <v>Consumo</v>
      </c>
      <c r="V31" s="90" t="str">
        <f>IFERROR(__xludf.DUMMYFUNCTION("""COMPUTED_VALUE"""),"Janaina")</f>
        <v>Janaina</v>
      </c>
    </row>
    <row r="32" ht="14.25" customHeight="1">
      <c r="A32" s="178"/>
      <c r="B32" s="10">
        <v>1703666.0</v>
      </c>
      <c r="C32" s="11">
        <v>45926.78640046297</v>
      </c>
      <c r="D32" s="179" t="s">
        <v>50</v>
      </c>
      <c r="E32" s="180" t="s">
        <v>548</v>
      </c>
      <c r="F32" s="181"/>
      <c r="G32" s="179" t="s">
        <v>6728</v>
      </c>
      <c r="H32" s="186"/>
      <c r="I32" s="186"/>
      <c r="J32" s="187" t="s">
        <v>3903</v>
      </c>
      <c r="K32" s="187"/>
      <c r="L32" s="252" t="str">
        <f>IFERROR(__xludf.DUMMYFUNCTION("ifna(IF(and(D32=""Saída"",J32=""Sangria""),if(sum(QUERY(IMPORTRANGE(""https://docs.google.com/spreadsheets/d/1wBSFbIXYswW2S5SMKo44LPsdTG4P4kfP5VRdAS5E_4o"",""BD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'""&amp;YEAR(C32)&amp;""-""&amp;MONTH(C32)&amp;""-""&amp;DAY(C32)&amp;""'""))&gt;0,""Depositada"",if(sum(QUERY(IMPORTRANGE(""https://docs.google.com/spreadsheets/d/1wBSFbIXYswW2S5SMKo44LPsdTG4P4kfP5VRdAS5E_4o"",""BD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IFERROR(__xludf.DUMMYFUNCTION("ifna(VALUE(REGEXEXTRACT(E32,""[0-9.]+[,]+[0-9]+"")))"),70.0)</f>
        <v>70</v>
      </c>
      <c r="N32" s="88"/>
      <c r="O32" s="89"/>
      <c r="P32" s="89"/>
      <c r="Q32" s="90"/>
      <c r="R32" s="91"/>
      <c r="S32" s="236">
        <f>IFERROR(__xludf.DUMMYFUNCTION("""COMPUTED_VALUE"""),45943.87023148148)</f>
        <v>45943.87023</v>
      </c>
      <c r="T32" s="89" t="str">
        <f>IFERROR(__xludf.DUMMYFUNCTION("""COMPUTED_VALUE"""),"R$ 5,00")</f>
        <v>R$ 5,00</v>
      </c>
      <c r="U32" s="89" t="str">
        <f>IFERROR(__xludf.DUMMYFUNCTION("""COMPUTED_VALUE"""),"Consumo")</f>
        <v>Consumo</v>
      </c>
      <c r="V32" s="90" t="str">
        <f>IFERROR(__xludf.DUMMYFUNCTION("""COMPUTED_VALUE"""),"Janaina")</f>
        <v>Janaina</v>
      </c>
    </row>
    <row r="33" ht="14.25" customHeight="1">
      <c r="A33" s="178"/>
      <c r="B33" s="10">
        <v>1703669.0</v>
      </c>
      <c r="C33" s="11">
        <v>45926.787210648145</v>
      </c>
      <c r="D33" s="179" t="s">
        <v>50</v>
      </c>
      <c r="E33" s="180" t="s">
        <v>6382</v>
      </c>
      <c r="F33" s="181"/>
      <c r="G33" s="179" t="s">
        <v>6732</v>
      </c>
      <c r="H33" s="186"/>
      <c r="I33" s="186"/>
      <c r="J33" s="187" t="s">
        <v>3903</v>
      </c>
      <c r="K33" s="187"/>
      <c r="L33" s="252" t="str">
        <f>IFERROR(__xludf.DUMMYFUNCTION("ifna(IF(and(D33=""Saída"",J33=""Sangria""),if(sum(QUERY(IMPORTRANGE(""https://docs.google.com/spreadsheets/d/1wBSFbIXYswW2S5SMKo44LPsdTG4P4kfP5VRdAS5E_4o"",""BD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'""&amp;YEAR(C33)&amp;""-""&amp;MONTH(C33)&amp;""-""&amp;DAY(C33)&amp;""'""))&gt;0,""Depositada"",if(sum(QUERY(IMPORTRANGE(""https://docs.google.com/spreadsheets/d/1wBSFbIXYswW2S5SMKo44LPsdTG4P4kfP5VRdAS5E_4o"",""BD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Sangria"")"),"")</f>
        <v/>
      </c>
      <c r="M33" s="185">
        <f>IFERROR(__xludf.DUMMYFUNCTION("ifna(VALUE(REGEXEXTRACT(E33,""[0-9.]+[,]+[0-9]+"")))"),65.0)</f>
        <v>65</v>
      </c>
      <c r="N33" s="88"/>
      <c r="O33" s="89"/>
      <c r="P33" s="89"/>
      <c r="Q33" s="90"/>
      <c r="R33" s="91"/>
      <c r="S33" s="236">
        <f>IFERROR(__xludf.DUMMYFUNCTION("""COMPUTED_VALUE"""),45944.83856481481)</f>
        <v>45944.83856</v>
      </c>
      <c r="T33" s="89" t="str">
        <f>IFERROR(__xludf.DUMMYFUNCTION("""COMPUTED_VALUE"""),"R$ 5,00")</f>
        <v>R$ 5,00</v>
      </c>
      <c r="U33" s="89" t="str">
        <f>IFERROR(__xludf.DUMMYFUNCTION("""COMPUTED_VALUE"""),"Consumo")</f>
        <v>Consumo</v>
      </c>
      <c r="V33" s="90" t="str">
        <f>IFERROR(__xludf.DUMMYFUNCTION("""COMPUTED_VALUE"""),"Janaina")</f>
        <v>Janaina</v>
      </c>
    </row>
    <row r="34" ht="14.25" customHeight="1">
      <c r="A34" s="178"/>
      <c r="B34" s="10">
        <v>1703673.0</v>
      </c>
      <c r="C34" s="11">
        <v>45926.7881712963</v>
      </c>
      <c r="D34" s="179" t="s">
        <v>50</v>
      </c>
      <c r="E34" s="180" t="s">
        <v>6735</v>
      </c>
      <c r="F34" s="181"/>
      <c r="G34" s="179" t="s">
        <v>6736</v>
      </c>
      <c r="H34" s="186"/>
      <c r="I34" s="186"/>
      <c r="J34" s="187" t="s">
        <v>3825</v>
      </c>
      <c r="K34" s="187"/>
      <c r="L34" s="252" t="str">
        <f>IFERROR(__xludf.DUMMYFUNCTION("ifna(IF(and(D34=""Saída"",J34=""Sangria""),if(sum(QUERY(IMPORTRANGE(""https://docs.google.com/spreadsheets/d/1wBSFbIXYswW2S5SMKo44LPsdTG4P4kfP5VRdAS5E_4o"",""BD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'""&amp;YEAR(C34)&amp;""-""&amp;MONTH(C34)&amp;""-""&amp;DAY(C34)&amp;""'""))&gt;0,""Depositada"",if(sum(QUERY(IMPORTRANGE(""https://docs.google.com/spreadsheets/d/1wBSFbIXYswW2S5SMKo44LPsdTG4P4kfP5VRdAS5E_4o"",""BD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IFERROR(__xludf.DUMMYFUNCTION("ifna(VALUE(REGEXEXTRACT(E34,""[0-9.]+[,]+[0-9]+"")))"),22.0)</f>
        <v>22</v>
      </c>
      <c r="N34" s="108"/>
      <c r="O34" s="109"/>
      <c r="P34" s="109"/>
      <c r="Q34" s="109"/>
      <c r="R34" s="110"/>
      <c r="S34" s="236">
        <f>IFERROR(__xludf.DUMMYFUNCTION("""COMPUTED_VALUE"""),45952.77340277778)</f>
        <v>45952.7734</v>
      </c>
      <c r="T34" s="109" t="str">
        <f>IFERROR(__xludf.DUMMYFUNCTION("""COMPUTED_VALUE"""),"R$ 34,51")</f>
        <v>R$ 34,51</v>
      </c>
      <c r="U34" s="109" t="str">
        <f>IFERROR(__xludf.DUMMYFUNCTION("""COMPUTED_VALUE"""),"Consumo")</f>
        <v>Consumo</v>
      </c>
      <c r="V34" s="111" t="str">
        <f>IFERROR(__xludf.DUMMYFUNCTION("""COMPUTED_VALUE"""),"Janaina")</f>
        <v>Janaina</v>
      </c>
    </row>
    <row r="35" ht="18.75" customHeight="1">
      <c r="A35" s="178"/>
      <c r="B35" s="10">
        <v>1704178.0</v>
      </c>
      <c r="C35" s="11">
        <v>45926.93170138889</v>
      </c>
      <c r="D35" s="179" t="s">
        <v>50</v>
      </c>
      <c r="E35" s="180" t="s">
        <v>452</v>
      </c>
      <c r="F35" s="181"/>
      <c r="G35" s="179" t="s">
        <v>6738</v>
      </c>
      <c r="H35" s="186"/>
      <c r="I35" s="186"/>
      <c r="J35" s="187" t="s">
        <v>3903</v>
      </c>
      <c r="K35" s="187"/>
      <c r="L35" s="252" t="str">
        <f>IFERROR(__xludf.DUMMYFUNCTION("ifna(IF(and(D35=""Saída"",J35=""Sangria""),if(sum(QUERY(IMPORTRANGE(""https://docs.google.com/spreadsheets/d/1wBSFbIXYswW2S5SMKo44LPsdTG4P4kfP5VRdAS5E_4o"",""BD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'""&amp;YEAR(C35)&amp;""-""&amp;MONTH(C35)&amp;""-""&amp;DAY(C35)&amp;""'""))&gt;0,""Depositada"",if(sum(QUERY(IMPORTRANGE(""https://docs.google.com/spreadsheets/d/1wBSFbIXYswW2S5SMKo44LPsdTG4P4kfP5VRdAS5E_4o"",""BD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IFERROR(__xludf.DUMMYFUNCTION("ifna(VALUE(REGEXEXTRACT(E35,""[0-9.]+[,]+[0-9]+"")))"),13.29)</f>
        <v>13.29</v>
      </c>
      <c r="N35" s="108"/>
      <c r="R35" s="110"/>
    </row>
    <row r="36" ht="14.25" customHeight="1">
      <c r="A36" s="178"/>
      <c r="B36" s="10">
        <v>1705333.0</v>
      </c>
      <c r="C36" s="11">
        <v>45927.734664351854</v>
      </c>
      <c r="D36" s="179" t="s">
        <v>50</v>
      </c>
      <c r="E36" s="180" t="s">
        <v>6741</v>
      </c>
      <c r="F36" s="181"/>
      <c r="G36" s="179" t="s">
        <v>6458</v>
      </c>
      <c r="H36" s="186"/>
      <c r="I36" s="186"/>
      <c r="J36" s="187" t="s">
        <v>3903</v>
      </c>
      <c r="K36" s="187"/>
      <c r="L36" s="252" t="str">
        <f>IFERROR(__xludf.DUMMYFUNCTION("ifna(IF(and(D36=""Saída"",J36=""Sangria""),if(sum(QUERY(IMPORTRANGE(""https://docs.google.com/spreadsheets/d/1wBSFbIXYswW2S5SMKo44LPsdTG4P4kfP5VRdAS5E_4o"",""BD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'""&amp;YEAR(C36)&amp;""-""&amp;MONTH(C36)&amp;""-""&amp;DAY(C36)&amp;""'""))&gt;0,""Depositada"",if(sum(QUERY(IMPORTRANGE(""https://docs.google.com/spreadsheets/d/1wBSFbIXYswW2S5SMKo44LPsdTG4P4kfP5VRdAS5E_4o"",""BD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Sangria"")"),"")</f>
        <v/>
      </c>
      <c r="M36" s="185">
        <f>IFERROR(__xludf.DUMMYFUNCTION("ifna(VALUE(REGEXEXTRACT(E36,""[0-9.]+[,]+[0-9]+"")))"),522.47)</f>
        <v>522.47</v>
      </c>
      <c r="N36" s="108"/>
      <c r="R36" s="110"/>
    </row>
    <row r="37" ht="14.25" customHeight="1">
      <c r="A37" s="178"/>
      <c r="B37" s="10">
        <v>1705600.0</v>
      </c>
      <c r="C37" s="11">
        <v>45927.795127314814</v>
      </c>
      <c r="D37" s="179" t="s">
        <v>50</v>
      </c>
      <c r="E37" s="180" t="s">
        <v>3885</v>
      </c>
      <c r="F37" s="181"/>
      <c r="G37" s="179" t="s">
        <v>6742</v>
      </c>
      <c r="H37" s="186"/>
      <c r="I37" s="186"/>
      <c r="J37" s="187" t="s">
        <v>3825</v>
      </c>
      <c r="K37" s="187"/>
      <c r="L37" s="252" t="str">
        <f>IFERROR(__xludf.DUMMYFUNCTION("ifna(IF(and(D37=""Saída"",J37=""Sangria""),if(sum(QUERY(IMPORTRANGE(""https://docs.google.com/spreadsheets/d/1wBSFbIXYswW2S5SMKo44LPsdTG4P4kfP5VRdAS5E_4o"",""BD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'""&amp;YEAR(C37)&amp;""-""&amp;MONTH(C37)&amp;""-""&amp;DAY(C37)&amp;""'""))&gt;0,""Depositada"",if(sum(QUERY(IMPORTRANGE(""https://docs.google.com/spreadsheets/d/1wBSFbIXYswW2S5SMKo44LPsdTG4P4kfP5VRdAS5E_4o"",""BD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IFERROR(__xludf.DUMMYFUNCTION("ifna(VALUE(REGEXEXTRACT(E37,""[0-9.]+[,]+[0-9]+"")))"),78.0)</f>
        <v>78</v>
      </c>
      <c r="N37" s="108"/>
      <c r="R37" s="110"/>
    </row>
    <row r="38" ht="14.25" customHeight="1">
      <c r="A38" s="178"/>
      <c r="B38" s="10">
        <v>1706059.0</v>
      </c>
      <c r="C38" s="11">
        <v>45927.90373842593</v>
      </c>
      <c r="D38" s="179" t="s">
        <v>50</v>
      </c>
      <c r="E38" s="180" t="s">
        <v>1702</v>
      </c>
      <c r="F38" s="188"/>
      <c r="G38" s="179" t="s">
        <v>6743</v>
      </c>
      <c r="H38" s="186"/>
      <c r="I38" s="186"/>
      <c r="J38" s="187" t="s">
        <v>3825</v>
      </c>
      <c r="K38" s="187"/>
      <c r="L38" s="252" t="str">
        <f>IFERROR(__xludf.DUMMYFUNCTION("ifna(IF(and(D38=""Saída"",J38=""Sangria""),if(sum(QUERY(IMPORTRANGE(""https://docs.google.com/spreadsheets/d/1wBSFbIXYswW2S5SMKo44LPsdTG4P4kfP5VRdAS5E_4o"",""BD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'""&amp;YEAR(C38)&amp;""-""&amp;MONTH(C38)&amp;""-""&amp;DAY(C38)&amp;""'""))&gt;0,""Depositada"",if(sum(QUERY(IMPORTRANGE(""https://docs.google.com/spreadsheets/d/1wBSFbIXYswW2S5SMKo44LPsdTG4P4kfP5VRdAS5E_4o"",""BD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Sangria"")"),"")</f>
        <v/>
      </c>
      <c r="M38" s="185">
        <f>IFERROR(__xludf.DUMMYFUNCTION("ifna(VALUE(REGEXEXTRACT(E38,""[0-9.]+[,]+[0-9]+"")))"),90.0)</f>
        <v>90</v>
      </c>
      <c r="N38" s="108"/>
      <c r="R38" s="110"/>
    </row>
    <row r="39" ht="21.75" customHeight="1">
      <c r="A39" s="178"/>
      <c r="B39" s="10">
        <v>1706066.0</v>
      </c>
      <c r="C39" s="11">
        <v>45927.90430555555</v>
      </c>
      <c r="D39" s="179" t="s">
        <v>50</v>
      </c>
      <c r="E39" s="180" t="s">
        <v>6744</v>
      </c>
      <c r="F39" s="181"/>
      <c r="G39" s="179" t="s">
        <v>6745</v>
      </c>
      <c r="H39" s="186"/>
      <c r="I39" s="186"/>
      <c r="J39" s="187" t="s">
        <v>3825</v>
      </c>
      <c r="K39" s="187"/>
      <c r="L39" s="252" t="str">
        <f>IFERROR(__xludf.DUMMYFUNCTION("ifna(IF(and(D39=""Saída"",J39=""Sangria""),if(sum(QUERY(IMPORTRANGE(""https://docs.google.com/spreadsheets/d/1wBSFbIXYswW2S5SMKo44LPsdTG4P4kfP5VRdAS5E_4o"",""BD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'""&amp;YEAR(C39)&amp;""-""&amp;MONTH(C39)&amp;""-""&amp;DAY(C39)&amp;""'""))&gt;0,""Depositada"",if(sum(QUERY(IMPORTRANGE(""https://docs.google.com/spreadsheets/d/1wBSFbIXYswW2S5SMKo44LPsdTG4P4kfP5VRdAS5E_4o"",""BD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IFERROR(__xludf.DUMMYFUNCTION("ifna(VALUE(REGEXEXTRACT(E39,""[0-9.]+[,]+[0-9]+"")))"),135.0)</f>
        <v>135</v>
      </c>
      <c r="N39" s="108"/>
      <c r="R39" s="110"/>
    </row>
    <row r="40" ht="14.25" customHeight="1">
      <c r="A40" s="178"/>
      <c r="B40" s="10">
        <v>1706304.0</v>
      </c>
      <c r="C40" s="11">
        <v>45927.92837962963</v>
      </c>
      <c r="D40" s="179" t="s">
        <v>50</v>
      </c>
      <c r="E40" s="180" t="s">
        <v>6693</v>
      </c>
      <c r="F40" s="181"/>
      <c r="G40" s="179" t="s">
        <v>6747</v>
      </c>
      <c r="H40" s="186"/>
      <c r="I40" s="186"/>
      <c r="J40" s="187" t="s">
        <v>3746</v>
      </c>
      <c r="K40" s="187" t="s">
        <v>3168</v>
      </c>
      <c r="L40" s="252" t="str">
        <f>IFERROR(__xludf.DUMMYFUNCTION("ifna(IF(and(D40=""Saída"",J40=""Sangria""),if(sum(QUERY(IMPORTRANGE(""https://docs.google.com/spreadsheets/d/1wBSFbIXYswW2S5SMKo44LPsdTG4P4kfP5VRdAS5E_4o"",""BD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'""&amp;YEAR(C40)&amp;""-""&amp;MONTH(C40)&amp;""-""&amp;DAY(C40)&amp;""'""))&gt;0,""Depositada"",if(sum(QUERY(IMPORTRANGE(""https://docs.google.com/spreadsheets/d/1wBSFbIXYswW2S5SMKo44LPsdTG4P4kfP5VRdAS5E_4o"",""BD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Sangria"")"),"#REF!")</f>
        <v>#REF!</v>
      </c>
      <c r="M40" s="185">
        <f>IFERROR(__xludf.DUMMYFUNCTION("ifna(VALUE(REGEXEXTRACT(E40,""[0-9.]+[,]+[0-9]+"")))"),550.0)</f>
        <v>550</v>
      </c>
      <c r="N40" s="108"/>
      <c r="R40" s="110"/>
    </row>
    <row r="41" ht="27.0" customHeight="1">
      <c r="A41" s="178"/>
      <c r="B41" s="10">
        <v>1707953.0</v>
      </c>
      <c r="C41" s="11">
        <v>45928.79042824074</v>
      </c>
      <c r="D41" s="179" t="s">
        <v>50</v>
      </c>
      <c r="E41" s="180" t="s">
        <v>6382</v>
      </c>
      <c r="F41" s="181"/>
      <c r="G41" s="179" t="s">
        <v>6749</v>
      </c>
      <c r="H41" s="186"/>
      <c r="I41" s="186"/>
      <c r="J41" s="187" t="s">
        <v>3825</v>
      </c>
      <c r="K41" s="187"/>
      <c r="L41" s="252" t="str">
        <f>IFERROR(__xludf.DUMMYFUNCTION("ifna(IF(and(D41=""Saída"",J41=""Sangria""),if(sum(QUERY(IMPORTRANGE(""https://docs.google.com/spreadsheets/d/1wBSFbIXYswW2S5SMKo44LPsdTG4P4kfP5VRdAS5E_4o"",""BD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'""&amp;YEAR(C41)&amp;""-""&amp;MONTH(C41)&amp;""-""&amp;DAY(C41)&amp;""'""))&gt;0,""Depositada"",if(sum(QUERY(IMPORTRANGE(""https://docs.google.com/spreadsheets/d/1wBSFbIXYswW2S5SMKo44LPsdTG4P4kfP5VRdAS5E_4o"",""BD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Sangria"")"),"")</f>
        <v/>
      </c>
      <c r="M41" s="185">
        <f>IFERROR(__xludf.DUMMYFUNCTION("ifna(VALUE(REGEXEXTRACT(E41,""[0-9.]+[,]+[0-9]+"")))"),65.0)</f>
        <v>65</v>
      </c>
      <c r="N41" s="108"/>
      <c r="R41" s="110"/>
    </row>
    <row r="42" ht="14.25" customHeight="1">
      <c r="A42" s="178"/>
      <c r="B42" s="10">
        <v>1708617.0</v>
      </c>
      <c r="C42" s="11">
        <v>45928.90418981481</v>
      </c>
      <c r="D42" s="179" t="s">
        <v>50</v>
      </c>
      <c r="E42" s="180" t="s">
        <v>4019</v>
      </c>
      <c r="F42" s="181"/>
      <c r="G42" s="179" t="s">
        <v>6752</v>
      </c>
      <c r="H42" s="186"/>
      <c r="I42" s="186"/>
      <c r="J42" s="187" t="s">
        <v>3825</v>
      </c>
      <c r="K42" s="187"/>
      <c r="L42" s="252" t="str">
        <f>IFERROR(__xludf.DUMMYFUNCTION("ifna(IF(and(D42=""Saída"",J42=""Sangria""),if(sum(QUERY(IMPORTRANGE(""https://docs.google.com/spreadsheets/d/1wBSFbIXYswW2S5SMKo44LPsdTG4P4kfP5VRdAS5E_4o"",""BD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'""&amp;YEAR(C42)&amp;""-""&amp;MONTH(C42)&amp;""-""&amp;DAY(C42)&amp;""'""))&gt;0,""Depositada"",if(sum(QUERY(IMPORTRANGE(""https://docs.google.com/spreadsheets/d/1wBSFbIXYswW2S5SMKo44LPsdTG4P4kfP5VRdAS5E_4o"",""BD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Sangria"")"),"")</f>
        <v/>
      </c>
      <c r="M42" s="185">
        <f>IFERROR(__xludf.DUMMYFUNCTION("ifna(VALUE(REGEXEXTRACT(E42,""[0-9.]+[,]+[0-9]+"")))"),117.0)</f>
        <v>117</v>
      </c>
      <c r="N42" s="108"/>
      <c r="R42" s="110"/>
    </row>
    <row r="43" ht="14.25" customHeight="1">
      <c r="A43" s="178"/>
      <c r="B43" s="10">
        <v>1708655.0</v>
      </c>
      <c r="C43" s="11">
        <v>45928.90891203703</v>
      </c>
      <c r="D43" s="179" t="s">
        <v>50</v>
      </c>
      <c r="E43" s="180" t="s">
        <v>4033</v>
      </c>
      <c r="F43" s="181"/>
      <c r="G43" s="179" t="s">
        <v>6754</v>
      </c>
      <c r="H43" s="189"/>
      <c r="I43" s="189"/>
      <c r="J43" s="187" t="s">
        <v>3746</v>
      </c>
      <c r="K43" s="187" t="s">
        <v>3168</v>
      </c>
      <c r="L43" s="252" t="str">
        <f>IFERROR(__xludf.DUMMYFUNCTION("ifna(IF(and(D43=""Saída"",J43=""Sangria""),if(sum(QUERY(IMPORTRANGE(""https://docs.google.com/spreadsheets/d/1wBSFbIXYswW2S5SMKo44LPsdTG4P4kfP5VRdAS5E_4o"",""BD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'""&amp;YEAR(C43)&amp;""-""&amp;MONTH(C43)&amp;""-""&amp;DAY(C43)&amp;""'""))&gt;0,""Depositada"",if(sum(QUERY(IMPORTRANGE(""https://docs.google.com/spreadsheets/d/1wBSFbIXYswW2S5SMKo44LPsdTG4P4kfP5VRdAS5E_4o"",""BD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Sangria"")"),"#REF!")</f>
        <v>#REF!</v>
      </c>
      <c r="M43" s="185">
        <f>IFERROR(__xludf.DUMMYFUNCTION("ifna(VALUE(REGEXEXTRACT(E43,""[0-9.]+[,]+[0-9]+"")))"),1650.0)</f>
        <v>1650</v>
      </c>
      <c r="N43" s="108"/>
      <c r="R43" s="110"/>
    </row>
    <row r="44" ht="14.25" customHeight="1">
      <c r="A44" s="178"/>
      <c r="B44" s="10">
        <v>1710125.0</v>
      </c>
      <c r="C44" s="11">
        <v>45929.71196759259</v>
      </c>
      <c r="D44" s="179" t="s">
        <v>50</v>
      </c>
      <c r="E44" s="180" t="s">
        <v>6757</v>
      </c>
      <c r="F44" s="181"/>
      <c r="G44" s="179" t="s">
        <v>6649</v>
      </c>
      <c r="H44" s="189"/>
      <c r="I44" s="189"/>
      <c r="J44" s="187" t="s">
        <v>3903</v>
      </c>
      <c r="K44" s="187"/>
      <c r="L44" s="252" t="str">
        <f>IFERROR(__xludf.DUMMYFUNCTION("ifna(IF(and(D44=""Saída"",J44=""Sangria""),if(sum(QUERY(IMPORTRANGE(""https://docs.google.com/spreadsheets/d/1wBSFbIXYswW2S5SMKo44LPsdTG4P4kfP5VRdAS5E_4o"",""BD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'""&amp;YEAR(C44)&amp;""-""&amp;MONTH(C44)&amp;""-""&amp;DAY(C44)&amp;""'""))&gt;0,""Depositada"",if(sum(QUERY(IMPORTRANGE(""https://docs.google.com/spreadsheets/d/1wBSFbIXYswW2S5SMKo44LPsdTG4P4kfP5VRdAS5E_4o"",""BD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Sangria"")"),"")</f>
        <v/>
      </c>
      <c r="M44" s="185">
        <f>IFERROR(__xludf.DUMMYFUNCTION("ifna(VALUE(REGEXEXTRACT(E44,""[0-9.]+[,]+[0-9]+"")))"),62.38)</f>
        <v>62.38</v>
      </c>
      <c r="N44" s="108"/>
      <c r="R44" s="110"/>
    </row>
    <row r="45" ht="14.25" customHeight="1">
      <c r="A45" s="178"/>
      <c r="B45" s="10">
        <v>1710391.0</v>
      </c>
      <c r="C45" s="11">
        <v>45929.78413194444</v>
      </c>
      <c r="D45" s="179" t="s">
        <v>50</v>
      </c>
      <c r="E45" s="180" t="s">
        <v>6761</v>
      </c>
      <c r="F45" s="181"/>
      <c r="G45" s="179" t="s">
        <v>6513</v>
      </c>
      <c r="H45" s="190"/>
      <c r="I45" s="190"/>
      <c r="J45" s="187" t="s">
        <v>3044</v>
      </c>
      <c r="K45" s="187" t="s">
        <v>3040</v>
      </c>
      <c r="L45" s="252" t="str">
        <f>IFERROR(__xludf.DUMMYFUNCTION("ifna(IF(and(D45=""Saída"",J45=""Sangria""),if(sum(QUERY(IMPORTRANGE(""https://docs.google.com/spreadsheets/d/1wBSFbIXYswW2S5SMKo44LPsdTG4P4kfP5VRdAS5E_4o"",""BD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'""&amp;YEAR(C45)&amp;""-""&amp;MONTH(C45)&amp;""-""&amp;DAY(C45)&amp;""'""))&gt;0,""Depositada"",if(sum(QUERY(IMPORTRANGE(""https://docs.google.com/spreadsheets/d/1wBSFbIXYswW2S5SMKo44LPsdTG4P4kfP5VRdAS5E_4o"",""BD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Sangria"")"),"")</f>
        <v/>
      </c>
      <c r="M45" s="185">
        <f>IFERROR(__xludf.DUMMYFUNCTION("ifna(VALUE(REGEXEXTRACT(E45,""[0-9.]+[,]+[0-9]+"")))"),30.9)</f>
        <v>30.9</v>
      </c>
      <c r="N45" s="108"/>
      <c r="R45" s="110"/>
    </row>
    <row r="46" ht="18.75" customHeight="1">
      <c r="A46" s="178"/>
      <c r="B46" s="10">
        <v>1710395.0</v>
      </c>
      <c r="C46" s="11">
        <v>45929.78440972222</v>
      </c>
      <c r="D46" s="179" t="s">
        <v>50</v>
      </c>
      <c r="E46" s="180" t="s">
        <v>157</v>
      </c>
      <c r="F46" s="181"/>
      <c r="G46" s="253" t="s">
        <v>6765</v>
      </c>
      <c r="H46" s="190"/>
      <c r="I46" s="190"/>
      <c r="J46" s="187" t="s">
        <v>3044</v>
      </c>
      <c r="K46" s="187" t="s">
        <v>6664</v>
      </c>
      <c r="L46" s="252" t="str">
        <f>IFERROR(__xludf.DUMMYFUNCTION("ifna(IF(and(D46=""Saída"",J46=""Sangria""),if(sum(QUERY(IMPORTRANGE(""https://docs.google.com/spreadsheets/d/1wBSFbIXYswW2S5SMKo44LPsdTG4P4kfP5VRdAS5E_4o"",""BD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'""&amp;YEAR(C46)&amp;""-""&amp;MONTH(C46)&amp;""-""&amp;DAY(C46)&amp;""'""))&gt;0,""Depositada"",if(sum(QUERY(IMPORTRANGE(""https://docs.google.com/spreadsheets/d/1wBSFbIXYswW2S5SMKo44LPsdTG4P4kfP5VRdAS5E_4o"",""BD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Sangria"")"),"")</f>
        <v/>
      </c>
      <c r="M46" s="185">
        <f>IFERROR(__xludf.DUMMYFUNCTION("ifna(VALUE(REGEXEXTRACT(E46,""[0-9.]+[,]+[0-9]+"")))"),5.0)</f>
        <v>5</v>
      </c>
      <c r="N46" s="108"/>
      <c r="R46" s="110"/>
    </row>
    <row r="47" ht="14.25" customHeight="1">
      <c r="A47" s="178"/>
      <c r="B47" s="10">
        <v>1710400.0</v>
      </c>
      <c r="C47" s="11">
        <v>45929.785578703704</v>
      </c>
      <c r="D47" s="179" t="s">
        <v>50</v>
      </c>
      <c r="E47" s="180" t="s">
        <v>494</v>
      </c>
      <c r="F47" s="181"/>
      <c r="G47" s="179" t="s">
        <v>6771</v>
      </c>
      <c r="H47" s="190"/>
      <c r="I47" s="190"/>
      <c r="J47" s="187"/>
      <c r="K47" s="187"/>
      <c r="L47" s="252" t="str">
        <f>IFERROR(__xludf.DUMMYFUNCTION("ifna(IF(and(D47=""Saída"",J47=""Sangria""),if(sum(QUERY(IMPORTRANGE(""https://docs.google.com/spreadsheets/d/1wBSFbIXYswW2S5SMKo44LPsdTG4P4kfP5VRdAS5E_4o"",""BD M Sangrias!a:i""),""select Col6 where Col7 = 'Depositada' and Col9 = '""&amp;K47&amp;""' and Col6 = """&amp;"&amp;M47&amp;"" and Col4 = date '""&amp;YEAR(C47)&amp;""-""&amp;MONTH(C47)&amp;""-""&amp;DAY(C47)&amp;""'""))&gt;0,""Depositada"",if(sum(QUERY(IMPORTRANGE(""https://docs.google.com/spreadsheets/d/1wBSFbIXYswW2S5SMKo44LPsdTG4P4kfP5VRdAS5E_4o"",""BD M Sangrias!a:i""),""select Col6 where Col7"&amp;" = 'Caixa Atendimento' and Col9 = '""&amp;K47&amp;""' and Col6 = ""&amp;M47&amp;"" and Col4 = date '""&amp;YEAR(C47)&amp;""-""&amp;MONTH(C47)&amp;""-""&amp;DAY(C47)&amp;""'""))&gt;0,""Caixa Atendimento"",""Caixa Sangria"")),""""),""Caixa Sangria"")"),"")</f>
        <v/>
      </c>
      <c r="M47" s="185">
        <f>IFERROR(__xludf.DUMMYFUNCTION("ifna(VALUE(REGEXEXTRACT(E47,""[0-9.]+[,]+[0-9]+"")))"),0.01)</f>
        <v>0.01</v>
      </c>
      <c r="R47" s="110"/>
    </row>
    <row r="48">
      <c r="A48" s="178"/>
      <c r="B48" s="10">
        <v>1710487.0</v>
      </c>
      <c r="C48" s="11">
        <v>45929.81476851852</v>
      </c>
      <c r="D48" s="179" t="s">
        <v>50</v>
      </c>
      <c r="E48" s="180" t="s">
        <v>6775</v>
      </c>
      <c r="F48" s="181"/>
      <c r="G48" s="179" t="s">
        <v>4690</v>
      </c>
      <c r="H48" s="190"/>
      <c r="I48" s="190"/>
      <c r="J48" s="187" t="s">
        <v>3044</v>
      </c>
      <c r="K48" s="187" t="s">
        <v>3168</v>
      </c>
      <c r="L48" s="252" t="str">
        <f>IFERROR(__xludf.DUMMYFUNCTION("ifna(IF(and(D48=""Saída"",J48=""Sangria""),if(sum(QUERY(IMPORTRANGE(""https://docs.google.com/spreadsheets/d/1wBSFbIXYswW2S5SMKo44LPsdTG4P4kfP5VRdAS5E_4o"",""BD M Sangrias!a:i""),""select Col6 where Col7 = 'Depositada' and Col9 = '""&amp;K48&amp;""' and Col6 = """&amp;"&amp;M48&amp;"" and Col4 = date '""&amp;YEAR(C48)&amp;""-""&amp;MONTH(C48)&amp;""-""&amp;DAY(C48)&amp;""'""))&gt;0,""Depositada"",if(sum(QUERY(IMPORTRANGE(""https://docs.google.com/spreadsheets/d/1wBSFbIXYswW2S5SMKo44LPsdTG4P4kfP5VRdAS5E_4o"",""BD M Sangrias!a:i""),""select Col6 where Col7"&amp;" = 'Caixa Atendimento' and Col9 = '""&amp;K48&amp;""'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IFERROR(__xludf.DUMMYFUNCTION("ifna(VALUE(REGEXEXTRACT(E48,""[0-9.]+[,]+[0-9]+"")))"),15.72)</f>
        <v>15.72</v>
      </c>
      <c r="N48" s="191" t="str">
        <f>B7</f>
        <v>Ana Carolina</v>
      </c>
      <c r="O48" s="106"/>
      <c r="P48" s="106"/>
      <c r="Q48" s="106"/>
      <c r="R48" s="110"/>
      <c r="S48" s="123" t="str">
        <f>B8</f>
        <v>Sabrine</v>
      </c>
      <c r="T48" s="106"/>
      <c r="U48" s="106"/>
      <c r="V48" s="124"/>
    </row>
    <row r="49" ht="21.0" customHeight="1">
      <c r="A49" s="178"/>
      <c r="B49" s="10">
        <v>1710931.0</v>
      </c>
      <c r="C49" s="11">
        <v>45929.920902777776</v>
      </c>
      <c r="D49" s="179" t="s">
        <v>50</v>
      </c>
      <c r="E49" s="180" t="s">
        <v>6779</v>
      </c>
      <c r="F49" s="181"/>
      <c r="G49" s="253" t="s">
        <v>6781</v>
      </c>
      <c r="H49" s="190"/>
      <c r="I49" s="190"/>
      <c r="J49" s="187" t="s">
        <v>3044</v>
      </c>
      <c r="K49" s="187" t="s">
        <v>3168</v>
      </c>
      <c r="L49" s="252" t="str">
        <f>IFERROR(__xludf.DUMMYFUNCTION("ifna(IF(and(D49=""Saída"",J49=""Sangria""),if(sum(QUERY(IMPORTRANGE(""https://docs.google.com/spreadsheets/d/1wBSFbIXYswW2S5SMKo44LPsdTG4P4kfP5VRdAS5E_4o"",""BD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'""&amp;YEAR(C49)&amp;""-""&amp;MONTH(C49)&amp;""-""&amp;DAY(C49)&amp;""'""))&gt;0,""Depositada"",if(sum(QUERY(IMPORTRANGE(""https://docs.google.com/spreadsheets/d/1wBSFbIXYswW2S5SMKo44LPsdTG4P4kfP5VRdAS5E_4o"",""BD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IFERROR(__xludf.DUMMYFUNCTION("ifna(VALUE(REGEXEXTRACT(E49,""[0-9.]+[,]+[0-9]+"")))"),41.92)</f>
        <v>41.92</v>
      </c>
      <c r="N49" s="45" t="str">
        <f>IFERROR(__xludf.DUMMYFUNCTION("query(C28:L504,""select Col1,Col3,Col8,Col9 where (Col8 = 'Adiantamento' or Col8 = 'Consumo') and Col9 = '""&amp;B7&amp;""'"",1)"),"Data")</f>
        <v>Data</v>
      </c>
      <c r="O49" s="46" t="str">
        <f>IFERROR(__xludf.DUMMYFUNCTION("""COMPUTED_VALUE"""),"Valor ")</f>
        <v>Valor </v>
      </c>
      <c r="P49" s="46" t="str">
        <f>IFERROR(__xludf.DUMMYFUNCTION("""COMPUTED_VALUE"""),"Tipo")</f>
        <v>Tipo</v>
      </c>
      <c r="Q49" s="46" t="str">
        <f>IFERROR(__xludf.DUMMYFUNCTION("""COMPUTED_VALUE"""),"Funcionário")</f>
        <v>Funcionário</v>
      </c>
      <c r="R49" s="48"/>
      <c r="S49" s="49" t="str">
        <f>IFERROR(__xludf.DUMMYFUNCTION("query(C28:L504,""select Col1,Col3,Col8,Col9 where (Col8 = 'Adiantamento' or Col8 = 'Consumo') and Col9 = '""&amp;B8&amp;""'"",1)"),"Data")</f>
        <v>Data</v>
      </c>
      <c r="T49" s="49" t="str">
        <f>IFERROR(__xludf.DUMMYFUNCTION("""COMPUTED_VALUE"""),"Valor ")</f>
        <v>Valor </v>
      </c>
      <c r="U49" s="49" t="str">
        <f>IFERROR(__xludf.DUMMYFUNCTION("""COMPUTED_VALUE"""),"Tipo")</f>
        <v>Tipo</v>
      </c>
      <c r="V49" s="50" t="str">
        <f>IFERROR(__xludf.DUMMYFUNCTION("""COMPUTED_VALUE"""),"Funcionário")</f>
        <v>Funcionário</v>
      </c>
    </row>
    <row r="50" ht="14.25" customHeight="1">
      <c r="A50" s="178"/>
      <c r="B50" s="10">
        <v>1710974.0</v>
      </c>
      <c r="C50" s="11">
        <v>45929.92549768519</v>
      </c>
      <c r="D50" s="179" t="s">
        <v>50</v>
      </c>
      <c r="E50" s="180" t="s">
        <v>4794</v>
      </c>
      <c r="F50" s="181"/>
      <c r="G50" s="179" t="s">
        <v>6784</v>
      </c>
      <c r="H50" s="190"/>
      <c r="I50" s="190"/>
      <c r="J50" s="187" t="s">
        <v>3746</v>
      </c>
      <c r="K50" s="187" t="s">
        <v>3168</v>
      </c>
      <c r="L50" s="252" t="str">
        <f>IFERROR(__xludf.DUMMYFUNCTION("ifna(IF(and(D50=""Saída"",J50=""Sangria""),if(sum(QUERY(IMPORTRANGE(""https://docs.google.com/spreadsheets/d/1wBSFbIXYswW2S5SMKo44LPsdTG4P4kfP5VRdAS5E_4o"",""BD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'""&amp;YEAR(C50)&amp;""-""&amp;MONTH(C50)&amp;""-""&amp;DAY(C50)&amp;""'""))&gt;0,""Depositada"",if(sum(QUERY(IMPORTRANGE(""https://docs.google.com/spreadsheets/d/1wBSFbIXYswW2S5SMKo44LPsdTG4P4kfP5VRdAS5E_4o"",""BD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Sangria"")"),"#REF!")</f>
        <v>#REF!</v>
      </c>
      <c r="M50" s="185">
        <f>IFERROR(__xludf.DUMMYFUNCTION("ifna(VALUE(REGEXEXTRACT(E50,""[0-9.]+[,]+[0-9]+"")))"),750.0)</f>
        <v>750</v>
      </c>
      <c r="N50" s="51">
        <f>IFERROR(__xludf.DUMMYFUNCTION("""COMPUTED_VALUE"""),45929.784409722226)</f>
        <v>45929.78441</v>
      </c>
      <c r="O50" s="52" t="str">
        <f>IFERROR(__xludf.DUMMYFUNCTION("""COMPUTED_VALUE"""),"R$ 5,00")</f>
        <v>R$ 5,00</v>
      </c>
      <c r="P50" s="52" t="str">
        <f>IFERROR(__xludf.DUMMYFUNCTION("""COMPUTED_VALUE"""),"Consumo")</f>
        <v>Consumo</v>
      </c>
      <c r="Q50" s="52" t="str">
        <f>IFERROR(__xludf.DUMMYFUNCTION("""COMPUTED_VALUE"""),"Ana Carolina")</f>
        <v>Ana Carolina</v>
      </c>
      <c r="R50" s="54"/>
      <c r="S50" s="55">
        <f>IFERROR(__xludf.DUMMYFUNCTION("""COMPUTED_VALUE"""),45929.81476851852)</f>
        <v>45929.81477</v>
      </c>
      <c r="T50" s="52" t="str">
        <f>IFERROR(__xludf.DUMMYFUNCTION("""COMPUTED_VALUE"""),"R$ 15,72")</f>
        <v>R$ 15,72</v>
      </c>
      <c r="U50" s="52" t="str">
        <f>IFERROR(__xludf.DUMMYFUNCTION("""COMPUTED_VALUE"""),"Consumo")</f>
        <v>Consumo</v>
      </c>
      <c r="V50" s="53" t="str">
        <f>IFERROR(__xludf.DUMMYFUNCTION("""COMPUTED_VALUE"""),"Sabrine")</f>
        <v>Sabrine</v>
      </c>
    </row>
    <row r="51" ht="24.75" customHeight="1">
      <c r="A51" s="178"/>
      <c r="B51" s="10">
        <v>1711373.0</v>
      </c>
      <c r="C51" s="11">
        <v>45930.53885416667</v>
      </c>
      <c r="D51" s="179" t="s">
        <v>50</v>
      </c>
      <c r="E51" s="180" t="s">
        <v>6789</v>
      </c>
      <c r="F51" s="181"/>
      <c r="G51" s="179" t="s">
        <v>6499</v>
      </c>
      <c r="H51" s="190"/>
      <c r="I51" s="190"/>
      <c r="J51" s="187" t="s">
        <v>3903</v>
      </c>
      <c r="K51" s="187"/>
      <c r="L51" s="252" t="str">
        <f>IFERROR(__xludf.DUMMYFUNCTION("ifna(IF(and(D51=""Saída"",J51=""Sangria""),if(sum(QUERY(IMPORTRANGE(""https://docs.google.com/spreadsheets/d/1wBSFbIXYswW2S5SMKo44LPsdTG4P4kfP5VRdAS5E_4o"",""BD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'""&amp;YEAR(C51)&amp;""-""&amp;MONTH(C51)&amp;""-""&amp;DAY(C51)&amp;""'""))&gt;0,""Depositada"",if(sum(QUERY(IMPORTRANGE(""https://docs.google.com/spreadsheets/d/1wBSFbIXYswW2S5SMKo44LPsdTG4P4kfP5VRdAS5E_4o"",""BD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Sangria"")"),"")</f>
        <v/>
      </c>
      <c r="M51" s="185">
        <f>IFERROR(__xludf.DUMMYFUNCTION("ifna(VALUE(REGEXEXTRACT(E51,""[0-9.]+[,]+[0-9]+"")))"),6.29)</f>
        <v>6.29</v>
      </c>
      <c r="N51" s="51">
        <f>IFERROR(__xludf.DUMMYFUNCTION("""COMPUTED_VALUE"""),45930.735393518524)</f>
        <v>45930.73539</v>
      </c>
      <c r="O51" s="52" t="str">
        <f>IFERROR(__xludf.DUMMYFUNCTION("""COMPUTED_VALUE"""),"R$ 10,00")</f>
        <v>R$ 10,00</v>
      </c>
      <c r="P51" s="52" t="str">
        <f>IFERROR(__xludf.DUMMYFUNCTION("""COMPUTED_VALUE"""),"Consumo")</f>
        <v>Consumo</v>
      </c>
      <c r="Q51" s="52" t="str">
        <f>IFERROR(__xludf.DUMMYFUNCTION("""COMPUTED_VALUE"""),"Ana Carolina")</f>
        <v>Ana Carolina</v>
      </c>
      <c r="R51" s="54"/>
      <c r="S51" s="55">
        <f>IFERROR(__xludf.DUMMYFUNCTION("""COMPUTED_VALUE"""),45929.920902777776)</f>
        <v>45929.9209</v>
      </c>
      <c r="T51" s="52" t="str">
        <f>IFERROR(__xludf.DUMMYFUNCTION("""COMPUTED_VALUE"""),"R$ 41,92")</f>
        <v>R$ 41,92</v>
      </c>
      <c r="U51" s="52" t="str">
        <f>IFERROR(__xludf.DUMMYFUNCTION("""COMPUTED_VALUE"""),"Consumo")</f>
        <v>Consumo</v>
      </c>
      <c r="V51" s="53" t="str">
        <f>IFERROR(__xludf.DUMMYFUNCTION("""COMPUTED_VALUE"""),"Sabrine")</f>
        <v>Sabrine</v>
      </c>
    </row>
    <row r="52" ht="14.25" customHeight="1">
      <c r="A52" s="178"/>
      <c r="B52" s="10">
        <v>1711383.0</v>
      </c>
      <c r="C52" s="11">
        <v>45930.546944444446</v>
      </c>
      <c r="D52" s="179" t="s">
        <v>227</v>
      </c>
      <c r="E52" s="180" t="s">
        <v>6794</v>
      </c>
      <c r="F52" s="181"/>
      <c r="G52" s="179" t="s">
        <v>6795</v>
      </c>
      <c r="H52" s="190"/>
      <c r="I52" s="190"/>
      <c r="J52" s="187" t="s">
        <v>4159</v>
      </c>
      <c r="K52" s="187"/>
      <c r="L52" s="252" t="str">
        <f>IFERROR(__xludf.DUMMYFUNCTION("ifna(IF(and(D52=""Saída"",J52=""Sangria""),if(sum(QUERY(IMPORTRANGE(""https://docs.google.com/spreadsheets/d/1wBSFbIXYswW2S5SMKo44LPsdTG4P4kfP5VRdAS5E_4o"",""BD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'""&amp;YEAR(C52)&amp;""-""&amp;MONTH(C52)&amp;""-""&amp;DAY(C52)&amp;""'""))&gt;0,""Depositada"",if(sum(QUERY(IMPORTRANGE(""https://docs.google.com/spreadsheets/d/1wBSFbIXYswW2S5SMKo44LPsdTG4P4kfP5VRdAS5E_4o"",""BD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IFERROR(__xludf.DUMMYFUNCTION("ifna(VALUE(REGEXEXTRACT(E52,""[0-9.]+[,]+[0-9]+"")))"),220.0)</f>
        <v>220</v>
      </c>
      <c r="N52" s="51">
        <f>IFERROR(__xludf.DUMMYFUNCTION("""COMPUTED_VALUE"""),45931.5584375)</f>
        <v>45931.55844</v>
      </c>
      <c r="O52" s="52" t="str">
        <f>IFERROR(__xludf.DUMMYFUNCTION("""COMPUTED_VALUE"""),"R$ 28,24")</f>
        <v>R$ 28,24</v>
      </c>
      <c r="P52" s="52" t="str">
        <f>IFERROR(__xludf.DUMMYFUNCTION("""COMPUTED_VALUE"""),"Consumo")</f>
        <v>Consumo</v>
      </c>
      <c r="Q52" s="52" t="str">
        <f>IFERROR(__xludf.DUMMYFUNCTION("""COMPUTED_VALUE"""),"Ana Carolina")</f>
        <v>Ana Carolina</v>
      </c>
      <c r="R52" s="54"/>
      <c r="S52" s="55">
        <f>IFERROR(__xludf.DUMMYFUNCTION("""COMPUTED_VALUE"""),45936.69275462963)</f>
        <v>45936.69275</v>
      </c>
      <c r="T52" s="52" t="str">
        <f>IFERROR(__xludf.DUMMYFUNCTION("""COMPUTED_VALUE"""),"R$ 54,19")</f>
        <v>R$ 54,19</v>
      </c>
      <c r="U52" s="52" t="str">
        <f>IFERROR(__xludf.DUMMYFUNCTION("""COMPUTED_VALUE"""),"Consumo")</f>
        <v>Consumo</v>
      </c>
      <c r="V52" s="53" t="str">
        <f>IFERROR(__xludf.DUMMYFUNCTION("""COMPUTED_VALUE"""),"Sabrine")</f>
        <v>Sabrine</v>
      </c>
    </row>
    <row r="53" ht="14.25" customHeight="1">
      <c r="A53" s="178"/>
      <c r="B53" s="10">
        <v>1711384.0</v>
      </c>
      <c r="C53" s="11">
        <v>45930.54712962963</v>
      </c>
      <c r="D53" s="179" t="s">
        <v>50</v>
      </c>
      <c r="E53" s="180" t="s">
        <v>6794</v>
      </c>
      <c r="F53" s="181"/>
      <c r="G53" s="179" t="s">
        <v>6720</v>
      </c>
      <c r="H53" s="190"/>
      <c r="I53" s="190"/>
      <c r="J53" s="187" t="s">
        <v>3903</v>
      </c>
      <c r="K53" s="187"/>
      <c r="L53" s="252" t="str">
        <f>IFERROR(__xludf.DUMMYFUNCTION("ifna(IF(and(D53=""Saída"",J53=""Sangria""),if(sum(QUERY(IMPORTRANGE(""https://docs.google.com/spreadsheets/d/1wBSFbIXYswW2S5SMKo44LPsdTG4P4kfP5VRdAS5E_4o"",""BD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'""&amp;YEAR(C53)&amp;""-""&amp;MONTH(C53)&amp;""-""&amp;DAY(C53)&amp;""'""))&gt;0,""Depositada"",if(sum(QUERY(IMPORTRANGE(""https://docs.google.com/spreadsheets/d/1wBSFbIXYswW2S5SMKo44LPsdTG4P4kfP5VRdAS5E_4o"",""BD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Sangria"")"),"")</f>
        <v/>
      </c>
      <c r="M53" s="185">
        <f>IFERROR(__xludf.DUMMYFUNCTION("ifna(VALUE(REGEXEXTRACT(E53,""[0-9.]+[,]+[0-9]+"")))"),220.0)</f>
        <v>220</v>
      </c>
      <c r="N53" s="51">
        <f>IFERROR(__xludf.DUMMYFUNCTION("""COMPUTED_VALUE"""),45931.70260416667)</f>
        <v>45931.7026</v>
      </c>
      <c r="O53" s="52" t="str">
        <f>IFERROR(__xludf.DUMMYFUNCTION("""COMPUTED_VALUE"""),"R$ 5,00")</f>
        <v>R$ 5,00</v>
      </c>
      <c r="P53" s="52" t="str">
        <f>IFERROR(__xludf.DUMMYFUNCTION("""COMPUTED_VALUE"""),"Consumo")</f>
        <v>Consumo</v>
      </c>
      <c r="Q53" s="52" t="str">
        <f>IFERROR(__xludf.DUMMYFUNCTION("""COMPUTED_VALUE"""),"Ana Carolina")</f>
        <v>Ana Carolina</v>
      </c>
      <c r="R53" s="54"/>
      <c r="S53" s="55">
        <f>IFERROR(__xludf.DUMMYFUNCTION("""COMPUTED_VALUE"""),45937.720185185186)</f>
        <v>45937.72019</v>
      </c>
      <c r="T53" s="52" t="str">
        <f>IFERROR(__xludf.DUMMYFUNCTION("""COMPUTED_VALUE"""),"R$ 42,74")</f>
        <v>R$ 42,74</v>
      </c>
      <c r="U53" s="52" t="str">
        <f>IFERROR(__xludf.DUMMYFUNCTION("""COMPUTED_VALUE"""),"Consumo")</f>
        <v>Consumo</v>
      </c>
      <c r="V53" s="53" t="str">
        <f>IFERROR(__xludf.DUMMYFUNCTION("""COMPUTED_VALUE"""),"Sabrine")</f>
        <v>Sabrine</v>
      </c>
    </row>
    <row r="54" ht="14.25" customHeight="1">
      <c r="A54" s="178"/>
      <c r="B54" s="10">
        <v>1711902.0</v>
      </c>
      <c r="C54" s="11">
        <v>45930.73539351852</v>
      </c>
      <c r="D54" s="179" t="s">
        <v>50</v>
      </c>
      <c r="E54" s="180" t="s">
        <v>205</v>
      </c>
      <c r="F54" s="181"/>
      <c r="G54" s="179" t="s">
        <v>6446</v>
      </c>
      <c r="H54" s="190"/>
      <c r="I54" s="190"/>
      <c r="J54" s="187" t="s">
        <v>3044</v>
      </c>
      <c r="K54" s="187" t="s">
        <v>6664</v>
      </c>
      <c r="L54" s="252" t="str">
        <f>IFERROR(__xludf.DUMMYFUNCTION("ifna(IF(and(D54=""Saída"",J54=""Sangria""),if(sum(QUERY(IMPORTRANGE(""https://docs.google.com/spreadsheets/d/1wBSFbIXYswW2S5SMKo44LPsdTG4P4kfP5VRdAS5E_4o"",""BD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'""&amp;YEAR(C54)&amp;""-""&amp;MONTH(C54)&amp;""-""&amp;DAY(C54)&amp;""'""))&gt;0,""Depositada"",if(sum(QUERY(IMPORTRANGE(""https://docs.google.com/spreadsheets/d/1wBSFbIXYswW2S5SMKo44LPsdTG4P4kfP5VRdAS5E_4o"",""BD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Sangria"")"),"")</f>
        <v/>
      </c>
      <c r="M54" s="185">
        <f>IFERROR(__xludf.DUMMYFUNCTION("ifna(VALUE(REGEXEXTRACT(E54,""[0-9.]+[,]+[0-9]+"")))"),10.0)</f>
        <v>10</v>
      </c>
      <c r="N54" s="51">
        <f>IFERROR(__xludf.DUMMYFUNCTION("""COMPUTED_VALUE"""),45931.78582175926)</f>
        <v>45931.78582</v>
      </c>
      <c r="O54" s="52" t="str">
        <f>IFERROR(__xludf.DUMMYFUNCTION("""COMPUTED_VALUE"""),"R$ 26,20")</f>
        <v>R$ 26,20</v>
      </c>
      <c r="P54" s="52" t="str">
        <f>IFERROR(__xludf.DUMMYFUNCTION("""COMPUTED_VALUE"""),"Consumo")</f>
        <v>Consumo</v>
      </c>
      <c r="Q54" s="52" t="str">
        <f>IFERROR(__xludf.DUMMYFUNCTION("""COMPUTED_VALUE"""),"Ana Carolina")</f>
        <v>Ana Carolina</v>
      </c>
      <c r="R54" s="54"/>
      <c r="S54" s="55">
        <f>IFERROR(__xludf.DUMMYFUNCTION("""COMPUTED_VALUE"""),45938.696608796294)</f>
        <v>45938.69661</v>
      </c>
      <c r="T54" s="52" t="str">
        <f>IFERROR(__xludf.DUMMYFUNCTION("""COMPUTED_VALUE"""),"R$ 12,00")</f>
        <v>R$ 12,00</v>
      </c>
      <c r="U54" s="52" t="str">
        <f>IFERROR(__xludf.DUMMYFUNCTION("""COMPUTED_VALUE"""),"Consumo")</f>
        <v>Consumo</v>
      </c>
      <c r="V54" s="53" t="str">
        <f>IFERROR(__xludf.DUMMYFUNCTION("""COMPUTED_VALUE"""),"Sabrine")</f>
        <v>Sabrine</v>
      </c>
    </row>
    <row r="55" ht="14.25" customHeight="1">
      <c r="A55" s="178"/>
      <c r="B55" s="10">
        <v>1712047.0</v>
      </c>
      <c r="C55" s="11">
        <v>45930.7746412037</v>
      </c>
      <c r="D55" s="179" t="s">
        <v>50</v>
      </c>
      <c r="E55" s="180" t="s">
        <v>6802</v>
      </c>
      <c r="F55" s="181"/>
      <c r="G55" s="179" t="s">
        <v>6803</v>
      </c>
      <c r="H55" s="190"/>
      <c r="I55" s="190"/>
      <c r="J55" s="187" t="s">
        <v>3903</v>
      </c>
      <c r="K55" s="187"/>
      <c r="L55" s="252" t="str">
        <f>IFERROR(__xludf.DUMMYFUNCTION("ifna(IF(and(D55=""Saída"",J55=""Sangria""),if(sum(QUERY(IMPORTRANGE(""https://docs.google.com/spreadsheets/d/1wBSFbIXYswW2S5SMKo44LPsdTG4P4kfP5VRdAS5E_4o"",""BD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'""&amp;YEAR(C55)&amp;""-""&amp;MONTH(C55)&amp;""-""&amp;DAY(C55)&amp;""'""))&gt;0,""Depositada"",if(sum(QUERY(IMPORTRANGE(""https://docs.google.com/spreadsheets/d/1wBSFbIXYswW2S5SMKo44LPsdTG4P4kfP5VRdAS5E_4o"",""BD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Sangria"")"),"")</f>
        <v/>
      </c>
      <c r="M55" s="185">
        <f>IFERROR(__xludf.DUMMYFUNCTION("ifna(VALUE(REGEXEXTRACT(E55,""[0-9.]+[,]+[0-9]+"")))"),48.52)</f>
        <v>48.52</v>
      </c>
      <c r="N55" s="51">
        <f>IFERROR(__xludf.DUMMYFUNCTION("""COMPUTED_VALUE"""),45933.76085648148)</f>
        <v>45933.76086</v>
      </c>
      <c r="O55" s="79" t="str">
        <f>IFERROR(__xludf.DUMMYFUNCTION("""COMPUTED_VALUE"""),"R$ 10,00")</f>
        <v>R$ 10,00</v>
      </c>
      <c r="P55" s="79" t="str">
        <f>IFERROR(__xludf.DUMMYFUNCTION("""COMPUTED_VALUE"""),"Consumo")</f>
        <v>Consumo</v>
      </c>
      <c r="Q55" s="79" t="str">
        <f>IFERROR(__xludf.DUMMYFUNCTION("""COMPUTED_VALUE"""),"Ana Carolina")</f>
        <v>Ana Carolina</v>
      </c>
      <c r="R55" s="81"/>
      <c r="S55" s="55">
        <f>IFERROR(__xludf.DUMMYFUNCTION("""COMPUTED_VALUE"""),45939.79181712963)</f>
        <v>45939.79182</v>
      </c>
      <c r="T55" s="79" t="str">
        <f>IFERROR(__xludf.DUMMYFUNCTION("""COMPUTED_VALUE"""),"R$ 13,80")</f>
        <v>R$ 13,80</v>
      </c>
      <c r="U55" s="79" t="str">
        <f>IFERROR(__xludf.DUMMYFUNCTION("""COMPUTED_VALUE"""),"Consumo")</f>
        <v>Consumo</v>
      </c>
      <c r="V55" s="80" t="str">
        <f>IFERROR(__xludf.DUMMYFUNCTION("""COMPUTED_VALUE"""),"Sabrine")</f>
        <v>Sabrine</v>
      </c>
    </row>
    <row r="56" ht="14.25" customHeight="1">
      <c r="A56" s="178"/>
      <c r="B56" s="10">
        <v>1712061.0</v>
      </c>
      <c r="C56" s="11">
        <v>45930.78178240741</v>
      </c>
      <c r="D56" s="179" t="s">
        <v>50</v>
      </c>
      <c r="E56" s="180" t="s">
        <v>708</v>
      </c>
      <c r="F56" s="181"/>
      <c r="G56" s="179" t="s">
        <v>6513</v>
      </c>
      <c r="H56" s="190"/>
      <c r="I56" s="190"/>
      <c r="J56" s="187" t="s">
        <v>3044</v>
      </c>
      <c r="K56" s="187" t="s">
        <v>3040</v>
      </c>
      <c r="L56" s="252" t="str">
        <f>IFERROR(__xludf.DUMMYFUNCTION("ifna(IF(and(D56=""Saída"",J56=""Sangria""),if(sum(QUERY(IMPORTRANGE(""https://docs.google.com/spreadsheets/d/1wBSFbIXYswW2S5SMKo44LPsdTG4P4kfP5VRdAS5E_4o"",""BD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'""&amp;YEAR(C56)&amp;""-""&amp;MONTH(C56)&amp;""-""&amp;DAY(C56)&amp;""'""))&gt;0,""Depositada"",if(sum(QUERY(IMPORTRANGE(""https://docs.google.com/spreadsheets/d/1wBSFbIXYswW2S5SMKo44LPsdTG4P4kfP5VRdAS5E_4o"",""BD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Sangria"")"),"")</f>
        <v/>
      </c>
      <c r="M56" s="185">
        <f>IFERROR(__xludf.DUMMYFUNCTION("ifna(VALUE(REGEXEXTRACT(E56,""[0-9.]+[,]+[0-9]+"")))"),8.0)</f>
        <v>8</v>
      </c>
      <c r="N56" s="247">
        <f>IFERROR(__xludf.DUMMYFUNCTION("""COMPUTED_VALUE"""),45935.83635416666)</f>
        <v>45935.83635</v>
      </c>
      <c r="O56" s="89" t="str">
        <f>IFERROR(__xludf.DUMMYFUNCTION("""COMPUTED_VALUE"""),"R$ 12,65")</f>
        <v>R$ 12,65</v>
      </c>
      <c r="P56" s="89" t="str">
        <f>IFERROR(__xludf.DUMMYFUNCTION("""COMPUTED_VALUE"""),"Consumo")</f>
        <v>Consumo</v>
      </c>
      <c r="Q56" s="89" t="str">
        <f>IFERROR(__xludf.DUMMYFUNCTION("""COMPUTED_VALUE"""),"Ana Carolina")</f>
        <v>Ana Carolina</v>
      </c>
      <c r="R56" s="91"/>
      <c r="S56" s="236">
        <f>IFERROR(__xludf.DUMMYFUNCTION("""COMPUTED_VALUE"""),45939.874189814815)</f>
        <v>45939.87419</v>
      </c>
      <c r="T56" s="89" t="str">
        <f>IFERROR(__xludf.DUMMYFUNCTION("""COMPUTED_VALUE"""),"R$ 4,00")</f>
        <v>R$ 4,00</v>
      </c>
      <c r="U56" s="89" t="str">
        <f>IFERROR(__xludf.DUMMYFUNCTION("""COMPUTED_VALUE"""),"Consumo")</f>
        <v>Consumo</v>
      </c>
      <c r="V56" s="90" t="str">
        <f>IFERROR(__xludf.DUMMYFUNCTION("""COMPUTED_VALUE"""),"Sabrine")</f>
        <v>Sabrine</v>
      </c>
    </row>
    <row r="57" ht="17.25" customHeight="1">
      <c r="A57" s="178"/>
      <c r="B57" s="10">
        <v>1712956.0</v>
      </c>
      <c r="C57" s="11">
        <v>45931.5584375</v>
      </c>
      <c r="D57" s="179" t="s">
        <v>50</v>
      </c>
      <c r="E57" s="180" t="s">
        <v>6807</v>
      </c>
      <c r="F57" s="181"/>
      <c r="G57" s="179" t="s">
        <v>6446</v>
      </c>
      <c r="H57" s="190"/>
      <c r="I57" s="190"/>
      <c r="J57" s="187" t="s">
        <v>3044</v>
      </c>
      <c r="K57" s="187" t="s">
        <v>6664</v>
      </c>
      <c r="L57" s="252" t="str">
        <f>IFERROR(__xludf.DUMMYFUNCTION("ifna(IF(and(D57=""Saída"",J57=""Sangria""),if(sum(QUERY(IMPORTRANGE(""https://docs.google.com/spreadsheets/d/1wBSFbIXYswW2S5SMKo44LPsdTG4P4kfP5VRdAS5E_4o"",""BD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'""&amp;YEAR(C57)&amp;""-""&amp;MONTH(C57)&amp;""-""&amp;DAY(C57)&amp;""'""))&gt;0,""Depositada"",if(sum(QUERY(IMPORTRANGE(""https://docs.google.com/spreadsheets/d/1wBSFbIXYswW2S5SMKo44LPsdTG4P4kfP5VRdAS5E_4o"",""BD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Sangria"")"),"")</f>
        <v/>
      </c>
      <c r="M57" s="185">
        <f>IFERROR(__xludf.DUMMYFUNCTION("ifna(VALUE(REGEXEXTRACT(E57,""[0-9.]+[,]+[0-9]+"")))"),28.24)</f>
        <v>28.24</v>
      </c>
      <c r="N57" s="247">
        <f>IFERROR(__xludf.DUMMYFUNCTION("""COMPUTED_VALUE"""),45936.69572916666)</f>
        <v>45936.69573</v>
      </c>
      <c r="O57" s="89" t="str">
        <f>IFERROR(__xludf.DUMMYFUNCTION("""COMPUTED_VALUE"""),"R$ 4,00")</f>
        <v>R$ 4,00</v>
      </c>
      <c r="P57" s="89" t="str">
        <f>IFERROR(__xludf.DUMMYFUNCTION("""COMPUTED_VALUE"""),"Consumo")</f>
        <v>Consumo</v>
      </c>
      <c r="Q57" s="89" t="str">
        <f>IFERROR(__xludf.DUMMYFUNCTION("""COMPUTED_VALUE"""),"Ana Carolina")</f>
        <v>Ana Carolina</v>
      </c>
      <c r="R57" s="91"/>
      <c r="S57" s="236">
        <f>IFERROR(__xludf.DUMMYFUNCTION("""COMPUTED_VALUE"""),45940.81134259259)</f>
        <v>45940.81134</v>
      </c>
      <c r="T57" s="89" t="str">
        <f>IFERROR(__xludf.DUMMYFUNCTION("""COMPUTED_VALUE"""),"R$ 4,00")</f>
        <v>R$ 4,00</v>
      </c>
      <c r="U57" s="89" t="str">
        <f>IFERROR(__xludf.DUMMYFUNCTION("""COMPUTED_VALUE"""),"Consumo")</f>
        <v>Consumo</v>
      </c>
      <c r="V57" s="90" t="str">
        <f>IFERROR(__xludf.DUMMYFUNCTION("""COMPUTED_VALUE"""),"Sabrine")</f>
        <v>Sabrine</v>
      </c>
    </row>
    <row r="58" ht="14.25" customHeight="1">
      <c r="A58" s="178"/>
      <c r="B58" s="10">
        <v>1713012.0</v>
      </c>
      <c r="C58" s="11">
        <v>45931.587118055555</v>
      </c>
      <c r="D58" s="179" t="s">
        <v>227</v>
      </c>
      <c r="E58" s="180" t="s">
        <v>3899</v>
      </c>
      <c r="F58" s="188"/>
      <c r="G58" s="179" t="s">
        <v>6812</v>
      </c>
      <c r="H58" s="190"/>
      <c r="I58" s="190"/>
      <c r="J58" s="187" t="s">
        <v>4159</v>
      </c>
      <c r="K58" s="187"/>
      <c r="L58" s="252" t="str">
        <f>IFERROR(__xludf.DUMMYFUNCTION("ifna(IF(and(D58=""Saída"",J58=""Sangria""),if(sum(QUERY(IMPORTRANGE(""https://docs.google.com/spreadsheets/d/1wBSFbIXYswW2S5SMKo44LPsdTG4P4kfP5VRdAS5E_4o"",""BD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'""&amp;YEAR(C58)&amp;""-""&amp;MONTH(C58)&amp;""-""&amp;DAY(C58)&amp;""'""))&gt;0,""Depositada"",if(sum(QUERY(IMPORTRANGE(""https://docs.google.com/spreadsheets/d/1wBSFbIXYswW2S5SMKo44LPsdTG4P4kfP5VRdAS5E_4o"",""BD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IFERROR(__xludf.DUMMYFUNCTION("ifna(VALUE(REGEXEXTRACT(E58,""[0-9.]+[,]+[0-9]+"")))"),1000.0)</f>
        <v>1000</v>
      </c>
      <c r="N58" s="247">
        <f>IFERROR(__xludf.DUMMYFUNCTION("""COMPUTED_VALUE"""),45937.76909722222)</f>
        <v>45937.7691</v>
      </c>
      <c r="O58" s="89" t="str">
        <f>IFERROR(__xludf.DUMMYFUNCTION("""COMPUTED_VALUE"""),"R$ 5,00")</f>
        <v>R$ 5,00</v>
      </c>
      <c r="P58" s="89" t="str">
        <f>IFERROR(__xludf.DUMMYFUNCTION("""COMPUTED_VALUE"""),"Consumo")</f>
        <v>Consumo</v>
      </c>
      <c r="Q58" s="89" t="str">
        <f>IFERROR(__xludf.DUMMYFUNCTION("""COMPUTED_VALUE"""),"Ana Carolina")</f>
        <v>Ana Carolina</v>
      </c>
      <c r="R58" s="91"/>
      <c r="S58" s="236">
        <f>IFERROR(__xludf.DUMMYFUNCTION("""COMPUTED_VALUE"""),45940.87400462963)</f>
        <v>45940.874</v>
      </c>
      <c r="T58" s="89" t="str">
        <f>IFERROR(__xludf.DUMMYFUNCTION("""COMPUTED_VALUE"""),"R$ 5,00")</f>
        <v>R$ 5,00</v>
      </c>
      <c r="U58" s="89" t="str">
        <f>IFERROR(__xludf.DUMMYFUNCTION("""COMPUTED_VALUE"""),"Consumo")</f>
        <v>Consumo</v>
      </c>
      <c r="V58" s="90" t="str">
        <f>IFERROR(__xludf.DUMMYFUNCTION("""COMPUTED_VALUE"""),"Sabrine")</f>
        <v>Sabrine</v>
      </c>
    </row>
    <row r="59" ht="14.25" customHeight="1">
      <c r="A59" s="178"/>
      <c r="B59" s="10">
        <v>1713013.0</v>
      </c>
      <c r="C59" s="11">
        <v>45931.58729166666</v>
      </c>
      <c r="D59" s="10" t="s">
        <v>50</v>
      </c>
      <c r="E59" s="10" t="s">
        <v>3899</v>
      </c>
      <c r="F59" s="13"/>
      <c r="G59" s="256" t="s">
        <v>6816</v>
      </c>
      <c r="H59" s="190"/>
      <c r="I59" s="190"/>
      <c r="J59" s="187" t="s">
        <v>3746</v>
      </c>
      <c r="K59" s="187" t="s">
        <v>2949</v>
      </c>
      <c r="L59" s="252" t="str">
        <f>IFERROR(__xludf.DUMMYFUNCTION("ifna(IF(and(D59=""Saída"",J59=""Sangria""),if(sum(QUERY(IMPORTRANGE(""https://docs.google.com/spreadsheets/d/1wBSFbIXYswW2S5SMKo44LPsdTG4P4kfP5VRdAS5E_4o"",""BD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'""&amp;YEAR(C59)&amp;""-""&amp;MONTH(C59)&amp;""-""&amp;DAY(C59)&amp;""'""))&gt;0,""Depositada"",if(sum(QUERY(IMPORTRANGE(""https://docs.google.com/spreadsheets/d/1wBSFbIXYswW2S5SMKo44LPsdTG4P4kfP5VRdAS5E_4o"",""BD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Sangria"")"),"#REF!")</f>
        <v>#REF!</v>
      </c>
      <c r="M59" s="185">
        <f>IFERROR(__xludf.DUMMYFUNCTION("ifna(VALUE(REGEXEXTRACT(E59,""[0-9.]+[,]+[0-9]+"")))"),1000.0)</f>
        <v>1000</v>
      </c>
      <c r="N59" s="247">
        <f>IFERROR(__xludf.DUMMYFUNCTION("""COMPUTED_VALUE"""),45938.743726851855)</f>
        <v>45938.74373</v>
      </c>
      <c r="O59" s="89" t="str">
        <f>IFERROR(__xludf.DUMMYFUNCTION("""COMPUTED_VALUE"""),"R$ 10,00")</f>
        <v>R$ 10,00</v>
      </c>
      <c r="P59" s="89" t="str">
        <f>IFERROR(__xludf.DUMMYFUNCTION("""COMPUTED_VALUE"""),"Consumo")</f>
        <v>Consumo</v>
      </c>
      <c r="Q59" s="89" t="str">
        <f>IFERROR(__xludf.DUMMYFUNCTION("""COMPUTED_VALUE"""),"Ana Carolina")</f>
        <v>Ana Carolina</v>
      </c>
      <c r="R59" s="91"/>
      <c r="S59" s="236">
        <f>IFERROR(__xludf.DUMMYFUNCTION("""COMPUTED_VALUE"""),45943.84446759259)</f>
        <v>45943.84447</v>
      </c>
      <c r="T59" s="89" t="str">
        <f>IFERROR(__xludf.DUMMYFUNCTION("""COMPUTED_VALUE"""),"R$ 4,00")</f>
        <v>R$ 4,00</v>
      </c>
      <c r="U59" s="89" t="str">
        <f>IFERROR(__xludf.DUMMYFUNCTION("""COMPUTED_VALUE"""),"Consumo")</f>
        <v>Consumo</v>
      </c>
      <c r="V59" s="90" t="str">
        <f>IFERROR(__xludf.DUMMYFUNCTION("""COMPUTED_VALUE"""),"Sabrine")</f>
        <v>Sabrine</v>
      </c>
    </row>
    <row r="60" ht="14.25" customHeight="1">
      <c r="A60" s="178"/>
      <c r="B60" s="10">
        <v>1713364.0</v>
      </c>
      <c r="C60" s="11">
        <v>45931.70190972222</v>
      </c>
      <c r="D60" s="179" t="s">
        <v>50</v>
      </c>
      <c r="E60" s="180" t="s">
        <v>6735</v>
      </c>
      <c r="F60" s="181"/>
      <c r="G60" s="179" t="s">
        <v>6513</v>
      </c>
      <c r="H60" s="190"/>
      <c r="I60" s="190"/>
      <c r="J60" s="187" t="s">
        <v>3044</v>
      </c>
      <c r="K60" s="187" t="s">
        <v>3040</v>
      </c>
      <c r="L60" s="252" t="str">
        <f>IFERROR(__xludf.DUMMYFUNCTION("ifna(IF(and(D60=""Saída"",J60=""Sangria""),if(sum(QUERY(IMPORTRANGE(""https://docs.google.com/spreadsheets/d/1wBSFbIXYswW2S5SMKo44LPsdTG4P4kfP5VRdAS5E_4o"",""BD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'""&amp;YEAR(C60)&amp;""-""&amp;MONTH(C60)&amp;""-""&amp;DAY(C60)&amp;""'""))&gt;0,""Depositada"",if(sum(QUERY(IMPORTRANGE(""https://docs.google.com/spreadsheets/d/1wBSFbIXYswW2S5SMKo44LPsdTG4P4kfP5VRdAS5E_4o"",""BD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Sangria"")"),"")</f>
        <v/>
      </c>
      <c r="M60" s="185">
        <f>IFERROR(__xludf.DUMMYFUNCTION("ifna(VALUE(REGEXEXTRACT(E60,""[0-9.]+[,]+[0-9]+"")))"),22.0)</f>
        <v>22</v>
      </c>
      <c r="N60" s="250">
        <f>IFERROR(__xludf.DUMMYFUNCTION("""COMPUTED_VALUE"""),45941.72886574074)</f>
        <v>45941.72887</v>
      </c>
      <c r="O60" s="193" t="str">
        <f>IFERROR(__xludf.DUMMYFUNCTION("""COMPUTED_VALUE"""),"R$ 8,69")</f>
        <v>R$ 8,69</v>
      </c>
      <c r="P60" s="194" t="str">
        <f>IFERROR(__xludf.DUMMYFUNCTION("""COMPUTED_VALUE"""),"Consumo")</f>
        <v>Consumo</v>
      </c>
      <c r="Q60" s="195" t="str">
        <f>IFERROR(__xludf.DUMMYFUNCTION("""COMPUTED_VALUE"""),"Ana Carolina")</f>
        <v>Ana Carolina</v>
      </c>
      <c r="R60" s="91"/>
      <c r="S60" s="236">
        <f>IFERROR(__xludf.DUMMYFUNCTION("""COMPUTED_VALUE"""),45944.688252314816)</f>
        <v>45944.68825</v>
      </c>
      <c r="T60" s="89" t="str">
        <f>IFERROR(__xludf.DUMMYFUNCTION("""COMPUTED_VALUE"""),"R$ 10,00")</f>
        <v>R$ 10,00</v>
      </c>
      <c r="U60" s="89" t="str">
        <f>IFERROR(__xludf.DUMMYFUNCTION("""COMPUTED_VALUE"""),"Consumo")</f>
        <v>Consumo</v>
      </c>
      <c r="V60" s="90" t="str">
        <f>IFERROR(__xludf.DUMMYFUNCTION("""COMPUTED_VALUE"""),"Sabrine")</f>
        <v>Sabrine</v>
      </c>
    </row>
    <row r="61">
      <c r="A61" s="178"/>
      <c r="B61" s="10">
        <v>1713366.0</v>
      </c>
      <c r="C61" s="11">
        <v>45931.70260416667</v>
      </c>
      <c r="D61" s="179" t="s">
        <v>50</v>
      </c>
      <c r="E61" s="180" t="s">
        <v>157</v>
      </c>
      <c r="F61" s="181"/>
      <c r="G61" s="179" t="s">
        <v>6446</v>
      </c>
      <c r="H61" s="190"/>
      <c r="I61" s="190"/>
      <c r="J61" s="187" t="s">
        <v>3044</v>
      </c>
      <c r="K61" s="187" t="s">
        <v>6664</v>
      </c>
      <c r="L61" s="252" t="str">
        <f>IFERROR(__xludf.DUMMYFUNCTION("ifna(IF(and(D61=""Saída"",J61=""Sangria""),if(sum(QUERY(IMPORTRANGE(""https://docs.google.com/spreadsheets/d/1wBSFbIXYswW2S5SMKo44LPsdTG4P4kfP5VRdAS5E_4o"",""BD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'""&amp;YEAR(C61)&amp;""-""&amp;MONTH(C61)&amp;""-""&amp;DAY(C61)&amp;""'""))&gt;0,""Depositada"",if(sum(QUERY(IMPORTRANGE(""https://docs.google.com/spreadsheets/d/1wBSFbIXYswW2S5SMKo44LPsdTG4P4kfP5VRdAS5E_4o"",""BD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IFERROR(__xludf.DUMMYFUNCTION("ifna(VALUE(REGEXEXTRACT(E61,""[0-9.]+[,]+[0-9]+"")))"),5.0)</f>
        <v>5</v>
      </c>
      <c r="N61" s="247">
        <f>IFERROR(__xludf.DUMMYFUNCTION("""COMPUTED_VALUE"""),45943.624456018515)</f>
        <v>45943.62446</v>
      </c>
      <c r="O61" s="89" t="str">
        <f>IFERROR(__xludf.DUMMYFUNCTION("""COMPUTED_VALUE"""),"R$ 10,00")</f>
        <v>R$ 10,00</v>
      </c>
      <c r="P61" s="89" t="str">
        <f>IFERROR(__xludf.DUMMYFUNCTION("""COMPUTED_VALUE"""),"Consumo")</f>
        <v>Consumo</v>
      </c>
      <c r="Q61" s="89" t="str">
        <f>IFERROR(__xludf.DUMMYFUNCTION("""COMPUTED_VALUE"""),"Ana Carolina")</f>
        <v>Ana Carolina</v>
      </c>
      <c r="R61" s="91"/>
      <c r="S61" s="236">
        <f>IFERROR(__xludf.DUMMYFUNCTION("""COMPUTED_VALUE"""),45946.65109953703)</f>
        <v>45946.6511</v>
      </c>
      <c r="T61" s="89" t="str">
        <f>IFERROR(__xludf.DUMMYFUNCTION("""COMPUTED_VALUE"""),"R$ 5,00")</f>
        <v>R$ 5,00</v>
      </c>
      <c r="U61" s="89" t="str">
        <f>IFERROR(__xludf.DUMMYFUNCTION("""COMPUTED_VALUE"""),"Consumo")</f>
        <v>Consumo</v>
      </c>
      <c r="V61" s="90" t="str">
        <f>IFERROR(__xludf.DUMMYFUNCTION("""COMPUTED_VALUE"""),"Sabrine")</f>
        <v>Sabrine</v>
      </c>
    </row>
    <row r="62" ht="14.25" customHeight="1">
      <c r="A62" s="178"/>
      <c r="B62" s="10">
        <v>1713404.0</v>
      </c>
      <c r="C62" s="11">
        <v>45931.71299768519</v>
      </c>
      <c r="D62" s="179" t="s">
        <v>50</v>
      </c>
      <c r="E62" s="180" t="s">
        <v>157</v>
      </c>
      <c r="F62" s="181"/>
      <c r="G62" s="179" t="s">
        <v>6826</v>
      </c>
      <c r="H62" s="190"/>
      <c r="I62" s="190"/>
      <c r="J62" s="187" t="s">
        <v>3044</v>
      </c>
      <c r="K62" s="187" t="s">
        <v>6340</v>
      </c>
      <c r="L62" s="252" t="str">
        <f>IFERROR(__xludf.DUMMYFUNCTION("ifna(IF(and(D62=""Saída"",J62=""Sangria""),if(sum(QUERY(IMPORTRANGE(""https://docs.google.com/spreadsheets/d/1wBSFbIXYswW2S5SMKo44LPsdTG4P4kfP5VRdAS5E_4o"",""BD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'""&amp;YEAR(C62)&amp;""-""&amp;MONTH(C62)&amp;""-""&amp;DAY(C62)&amp;""'""))&gt;0,""Depositada"",if(sum(QUERY(IMPORTRANGE(""https://docs.google.com/spreadsheets/d/1wBSFbIXYswW2S5SMKo44LPsdTG4P4kfP5VRdAS5E_4o"",""BD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Sangria"")"),"")</f>
        <v/>
      </c>
      <c r="M62" s="185">
        <f>IFERROR(__xludf.DUMMYFUNCTION("ifna(VALUE(REGEXEXTRACT(E62,""[0-9.]+[,]+[0-9]+"")))"),5.0)</f>
        <v>5</v>
      </c>
      <c r="N62" s="247">
        <f>IFERROR(__xludf.DUMMYFUNCTION("""COMPUTED_VALUE"""),45944.916597222225)</f>
        <v>45944.9166</v>
      </c>
      <c r="O62" s="89" t="str">
        <f>IFERROR(__xludf.DUMMYFUNCTION("""COMPUTED_VALUE"""),"R$ 5,00")</f>
        <v>R$ 5,00</v>
      </c>
      <c r="P62" s="89" t="str">
        <f>IFERROR(__xludf.DUMMYFUNCTION("""COMPUTED_VALUE"""),"Consumo")</f>
        <v>Consumo</v>
      </c>
      <c r="Q62" s="89" t="str">
        <f>IFERROR(__xludf.DUMMYFUNCTION("""COMPUTED_VALUE"""),"Ana Carolina")</f>
        <v>Ana Carolina</v>
      </c>
      <c r="R62" s="91"/>
      <c r="S62" s="236">
        <f>IFERROR(__xludf.DUMMYFUNCTION("""COMPUTED_VALUE"""),45947.79922453704)</f>
        <v>45947.79922</v>
      </c>
      <c r="T62" s="89" t="str">
        <f>IFERROR(__xludf.DUMMYFUNCTION("""COMPUTED_VALUE"""),"R$ 8,00")</f>
        <v>R$ 8,00</v>
      </c>
      <c r="U62" s="89" t="str">
        <f>IFERROR(__xludf.DUMMYFUNCTION("""COMPUTED_VALUE"""),"Consumo")</f>
        <v>Consumo</v>
      </c>
      <c r="V62" s="90" t="str">
        <f>IFERROR(__xludf.DUMMYFUNCTION("""COMPUTED_VALUE"""),"Sabrine")</f>
        <v>Sabrine</v>
      </c>
    </row>
    <row r="63" ht="14.25" customHeight="1">
      <c r="A63" s="178"/>
      <c r="B63" s="10">
        <v>1713630.0</v>
      </c>
      <c r="C63" s="11">
        <v>45931.766238425924</v>
      </c>
      <c r="D63" s="179" t="s">
        <v>50</v>
      </c>
      <c r="E63" s="180" t="s">
        <v>6828</v>
      </c>
      <c r="F63" s="181"/>
      <c r="G63" s="179" t="s">
        <v>6829</v>
      </c>
      <c r="H63" s="190"/>
      <c r="I63" s="190"/>
      <c r="J63" s="187" t="s">
        <v>3466</v>
      </c>
      <c r="K63" s="187"/>
      <c r="L63" s="252" t="str">
        <f>IFERROR(__xludf.DUMMYFUNCTION("ifna(IF(and(D63=""Saída"",J63=""Sangria""),if(sum(QUERY(IMPORTRANGE(""https://docs.google.com/spreadsheets/d/1wBSFbIXYswW2S5SMKo44LPsdTG4P4kfP5VRdAS5E_4o"",""BD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'""&amp;YEAR(C63)&amp;""-""&amp;MONTH(C63)&amp;""-""&amp;DAY(C63)&amp;""'""))&gt;0,""Depositada"",if(sum(QUERY(IMPORTRANGE(""https://docs.google.com/spreadsheets/d/1wBSFbIXYswW2S5SMKo44LPsdTG4P4kfP5VRdAS5E_4o"",""BD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Sangria"")"),"")</f>
        <v/>
      </c>
      <c r="M63" s="185">
        <f>IFERROR(__xludf.DUMMYFUNCTION("ifna(VALUE(REGEXEXTRACT(E63,""[0-9.]+[,]+[0-9]+"")))"),36.17)</f>
        <v>36.17</v>
      </c>
      <c r="N63" s="247">
        <f>IFERROR(__xludf.DUMMYFUNCTION("""COMPUTED_VALUE"""),45946.555127314816)</f>
        <v>45946.55513</v>
      </c>
      <c r="O63" s="109" t="str">
        <f>IFERROR(__xludf.DUMMYFUNCTION("""COMPUTED_VALUE"""),"R$ 5,00")</f>
        <v>R$ 5,00</v>
      </c>
      <c r="P63" s="109" t="str">
        <f>IFERROR(__xludf.DUMMYFUNCTION("""COMPUTED_VALUE"""),"Consumo")</f>
        <v>Consumo</v>
      </c>
      <c r="Q63" s="109" t="str">
        <f>IFERROR(__xludf.DUMMYFUNCTION("""COMPUTED_VALUE"""),"Ana Carolina")</f>
        <v>Ana Carolina</v>
      </c>
      <c r="R63" s="110"/>
      <c r="S63" s="236">
        <f>IFERROR(__xludf.DUMMYFUNCTION("""COMPUTED_VALUE"""),45949.92409722222)</f>
        <v>45949.9241</v>
      </c>
      <c r="T63" s="109" t="str">
        <f>IFERROR(__xludf.DUMMYFUNCTION("""COMPUTED_VALUE"""),"R$ 47,16")</f>
        <v>R$ 47,16</v>
      </c>
      <c r="U63" s="109" t="str">
        <f>IFERROR(__xludf.DUMMYFUNCTION("""COMPUTED_VALUE"""),"Consumo")</f>
        <v>Consumo</v>
      </c>
      <c r="V63" s="111" t="str">
        <f>IFERROR(__xludf.DUMMYFUNCTION("""COMPUTED_VALUE"""),"Sabrine")</f>
        <v>Sabrine</v>
      </c>
    </row>
    <row r="64" ht="14.25" customHeight="1">
      <c r="A64" s="178"/>
      <c r="B64" s="10">
        <v>1713638.0</v>
      </c>
      <c r="C64" s="11">
        <v>45931.76894675926</v>
      </c>
      <c r="D64" s="179" t="s">
        <v>50</v>
      </c>
      <c r="E64" s="180" t="s">
        <v>6479</v>
      </c>
      <c r="F64" s="181"/>
      <c r="G64" s="253" t="s">
        <v>6833</v>
      </c>
      <c r="H64" s="190"/>
      <c r="I64" s="190"/>
      <c r="J64" s="187" t="s">
        <v>3466</v>
      </c>
      <c r="K64" s="187"/>
      <c r="L64" s="252" t="str">
        <f>IFERROR(__xludf.DUMMYFUNCTION("ifna(IF(and(D64=""Saída"",J64=""Sangria""),if(sum(QUERY(IMPORTRANGE(""https://docs.google.com/spreadsheets/d/1wBSFbIXYswW2S5SMKo44LPsdTG4P4kfP5VRdAS5E_4o"",""BD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'""&amp;YEAR(C64)&amp;""-""&amp;MONTH(C64)&amp;""-""&amp;DAY(C64)&amp;""'""))&gt;0,""Depositada"",if(sum(QUERY(IMPORTRANGE(""https://docs.google.com/spreadsheets/d/1wBSFbIXYswW2S5SMKo44LPsdTG4P4kfP5VRdAS5E_4o"",""BD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IFERROR(__xludf.DUMMYFUNCTION("ifna(VALUE(REGEXEXTRACT(E64,""[0-9.]+[,]+[0-9]+"")))"),300.0)</f>
        <v>300</v>
      </c>
      <c r="N64" s="238">
        <f>IFERROR(__xludf.DUMMYFUNCTION("""COMPUTED_VALUE"""),45947.58012731481)</f>
        <v>45947.58013</v>
      </c>
      <c r="O64" s="239" t="str">
        <f>IFERROR(__xludf.DUMMYFUNCTION("""COMPUTED_VALUE"""),"R$ 5,00")</f>
        <v>R$ 5,00</v>
      </c>
      <c r="P64" s="239" t="str">
        <f>IFERROR(__xludf.DUMMYFUNCTION("""COMPUTED_VALUE"""),"Consumo")</f>
        <v>Consumo</v>
      </c>
      <c r="Q64" s="239" t="str">
        <f>IFERROR(__xludf.DUMMYFUNCTION("""COMPUTED_VALUE"""),"Ana Carolina")</f>
        <v>Ana Carolina</v>
      </c>
      <c r="R64" s="24"/>
    </row>
    <row r="65" ht="14.25" customHeight="1">
      <c r="A65" s="178"/>
      <c r="B65" s="10">
        <v>1713640.0</v>
      </c>
      <c r="C65" s="11">
        <v>45931.769780092596</v>
      </c>
      <c r="D65" s="179" t="s">
        <v>227</v>
      </c>
      <c r="E65" s="180" t="s">
        <v>494</v>
      </c>
      <c r="F65" s="181"/>
      <c r="G65" s="179" t="s">
        <v>6837</v>
      </c>
      <c r="H65" s="190"/>
      <c r="I65" s="190"/>
      <c r="J65" s="187" t="s">
        <v>4159</v>
      </c>
      <c r="K65" s="187"/>
      <c r="L65" s="252" t="str">
        <f>IFERROR(__xludf.DUMMYFUNCTION("ifna(IF(and(D65=""Saída"",J65=""Sangria""),if(sum(QUERY(IMPORTRANGE(""https://docs.google.com/spreadsheets/d/1wBSFbIXYswW2S5SMKo44LPsdTG4P4kfP5VRdAS5E_4o"",""BD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'""&amp;YEAR(C65)&amp;""-""&amp;MONTH(C65)&amp;""-""&amp;DAY(C65)&amp;""'""))&gt;0,""Depositada"",if(sum(QUERY(IMPORTRANGE(""https://docs.google.com/spreadsheets/d/1wBSFbIXYswW2S5SMKo44LPsdTG4P4kfP5VRdAS5E_4o"",""BD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Sangria"")"),"")</f>
        <v/>
      </c>
      <c r="M65" s="185">
        <f>IFERROR(__xludf.DUMMYFUNCTION("ifna(VALUE(REGEXEXTRACT(E65,""[0-9.]+[,]+[0-9]+"")))"),0.01)</f>
        <v>0.01</v>
      </c>
      <c r="N65" s="238">
        <f>IFERROR(__xludf.DUMMYFUNCTION("""COMPUTED_VALUE"""),45955.55584490741)</f>
        <v>45955.55584</v>
      </c>
      <c r="O65" s="239" t="str">
        <f>IFERROR(__xludf.DUMMYFUNCTION("""COMPUTED_VALUE"""),"R$ 8,82")</f>
        <v>R$ 8,82</v>
      </c>
      <c r="P65" s="239" t="str">
        <f>IFERROR(__xludf.DUMMYFUNCTION("""COMPUTED_VALUE"""),"Consumo")</f>
        <v>Consumo</v>
      </c>
      <c r="Q65" s="239" t="str">
        <f>IFERROR(__xludf.DUMMYFUNCTION("""COMPUTED_VALUE"""),"Ana Carolina")</f>
        <v>Ana Carolina</v>
      </c>
      <c r="R65" s="24"/>
    </row>
    <row r="66" ht="14.25" customHeight="1">
      <c r="A66" s="178"/>
      <c r="B66" s="10">
        <v>1713675.0</v>
      </c>
      <c r="C66" s="11">
        <v>45931.78582175926</v>
      </c>
      <c r="D66" s="179" t="s">
        <v>50</v>
      </c>
      <c r="E66" s="180" t="s">
        <v>6818</v>
      </c>
      <c r="F66" s="181"/>
      <c r="G66" s="253" t="s">
        <v>6593</v>
      </c>
      <c r="H66" s="190"/>
      <c r="I66" s="190"/>
      <c r="J66" s="187" t="s">
        <v>3044</v>
      </c>
      <c r="K66" s="187" t="s">
        <v>6664</v>
      </c>
      <c r="L66" s="252" t="str">
        <f>IFERROR(__xludf.DUMMYFUNCTION("ifna(IF(and(D66=""Saída"",J66=""Sangria""),if(sum(QUERY(IMPORTRANGE(""https://docs.google.com/spreadsheets/d/1wBSFbIXYswW2S5SMKo44LPsdTG4P4kfP5VRdAS5E_4o"",""BD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'""&amp;YEAR(C66)&amp;""-""&amp;MONTH(C66)&amp;""-""&amp;DAY(C66)&amp;""'""))&gt;0,""Depositada"",if(sum(QUERY(IMPORTRANGE(""https://docs.google.com/spreadsheets/d/1wBSFbIXYswW2S5SMKo44LPsdTG4P4kfP5VRdAS5E_4o"",""BD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IFERROR(__xludf.DUMMYFUNCTION("ifna(VALUE(REGEXEXTRACT(E66,""[0-9.]+[,]+[0-9]+"")))"),26.2)</f>
        <v>26.2</v>
      </c>
      <c r="P66" s="19"/>
      <c r="R66" s="258"/>
    </row>
    <row r="67" ht="14.25" customHeight="1">
      <c r="A67" s="178"/>
      <c r="B67" s="10">
        <v>1713678.0</v>
      </c>
      <c r="C67" s="11">
        <v>45931.786145833335</v>
      </c>
      <c r="D67" s="179" t="s">
        <v>50</v>
      </c>
      <c r="E67" s="180" t="s">
        <v>494</v>
      </c>
      <c r="F67" s="181"/>
      <c r="G67" s="179" t="s">
        <v>6842</v>
      </c>
      <c r="H67" s="190"/>
      <c r="I67" s="190"/>
      <c r="J67" s="187"/>
      <c r="K67" s="187"/>
      <c r="L67" s="252" t="str">
        <f>IFERROR(__xludf.DUMMYFUNCTION("ifna(IF(and(D67=""Saída"",J67=""Sangria""),if(sum(QUERY(IMPORTRANGE(""https://docs.google.com/spreadsheets/d/1wBSFbIXYswW2S5SMKo44LPsdTG4P4kfP5VRdAS5E_4o"",""BD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'""&amp;YEAR(C67)&amp;""-""&amp;MONTH(C67)&amp;""-""&amp;DAY(C67)&amp;""'""))&gt;0,""Depositada"",if(sum(QUERY(IMPORTRANGE(""https://docs.google.com/spreadsheets/d/1wBSFbIXYswW2S5SMKo44LPsdTG4P4kfP5VRdAS5E_4o"",""BD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IFERROR(__xludf.DUMMYFUNCTION("ifna(VALUE(REGEXEXTRACT(E67,""[0-9.]+[,]+[0-9]+"")))"),0.01)</f>
        <v>0.01</v>
      </c>
      <c r="R67" s="24"/>
    </row>
    <row r="68">
      <c r="A68" s="178"/>
      <c r="B68" s="10">
        <v>1715160.0</v>
      </c>
      <c r="C68" s="11">
        <v>45932.76224537037</v>
      </c>
      <c r="D68" s="179" t="s">
        <v>50</v>
      </c>
      <c r="E68" s="180" t="s">
        <v>6846</v>
      </c>
      <c r="F68" s="181"/>
      <c r="G68" s="179" t="s">
        <v>6513</v>
      </c>
      <c r="H68" s="190"/>
      <c r="I68" s="190"/>
      <c r="J68" s="187" t="s">
        <v>3044</v>
      </c>
      <c r="K68" s="187" t="s">
        <v>3040</v>
      </c>
      <c r="L68" s="252" t="str">
        <f>IFERROR(__xludf.DUMMYFUNCTION("ifna(IF(and(D68=""Saída"",J68=""Sangria""),if(sum(QUERY(IMPORTRANGE(""https://docs.google.com/spreadsheets/d/1wBSFbIXYswW2S5SMKo44LPsdTG4P4kfP5VRdAS5E_4o"",""BD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'""&amp;YEAR(C68)&amp;""-""&amp;MONTH(C68)&amp;""-""&amp;DAY(C68)&amp;""'""))&gt;0,""Depositada"",if(sum(QUERY(IMPORTRANGE(""https://docs.google.com/spreadsheets/d/1wBSFbIXYswW2S5SMKo44LPsdTG4P4kfP5VRdAS5E_4o"",""BD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Sangria"")"),"")</f>
        <v/>
      </c>
      <c r="M68" s="185">
        <f>IFERROR(__xludf.DUMMYFUNCTION("ifna(VALUE(REGEXEXTRACT(E68,""[0-9.]+[,]+[0-9]+"")))"),13.0)</f>
        <v>13</v>
      </c>
      <c r="N68" s="191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0">
        <v>1715603.0</v>
      </c>
      <c r="C69" s="11">
        <v>45932.91525462963</v>
      </c>
      <c r="D69" s="179" t="s">
        <v>50</v>
      </c>
      <c r="E69" s="180" t="s">
        <v>6851</v>
      </c>
      <c r="F69" s="181"/>
      <c r="G69" s="179" t="s">
        <v>6852</v>
      </c>
      <c r="H69" s="190"/>
      <c r="I69" s="190"/>
      <c r="J69" s="187" t="s">
        <v>3903</v>
      </c>
      <c r="K69" s="187"/>
      <c r="L69" s="252" t="str">
        <f>IFERROR(__xludf.DUMMYFUNCTION("ifna(IF(and(D69=""Saída"",J69=""Sangria""),if(sum(QUERY(IMPORTRANGE(""https://docs.google.com/spreadsheets/d/1wBSFbIXYswW2S5SMKo44LPsdTG4P4kfP5VRdAS5E_4o"",""BD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'""&amp;YEAR(C69)&amp;""-""&amp;MONTH(C69)&amp;""-""&amp;DAY(C69)&amp;""'""))&gt;0,""Depositada"",if(sum(QUERY(IMPORTRANGE(""https://docs.google.com/spreadsheets/d/1wBSFbIXYswW2S5SMKo44LPsdTG4P4kfP5VRdAS5E_4o"",""BD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Sangria"")"),"")</f>
        <v/>
      </c>
      <c r="M69" s="185">
        <f>IFERROR(__xludf.DUMMYFUNCTION("ifna(VALUE(REGEXEXTRACT(E69,""[0-9.]+[,]+[0-9]+"")))"),380.1)</f>
        <v>380.1</v>
      </c>
      <c r="N69" s="45" t="str">
        <f>IFERROR(__xludf.DUMMYFUNCTION("query(C28:L504,""select Col1,Col3,Col8,Col9 where (Col8 = 'Adiantamento' or Col8 = 'Consumo') and Col9 = '""&amp;A9&amp;""'"",1)"),"Data")</f>
        <v>Data</v>
      </c>
      <c r="O69" s="46" t="str">
        <f>IFERROR(__xludf.DUMMYFUNCTION("""COMPUTED_VALUE"""),"Valor ")</f>
        <v>Valor </v>
      </c>
      <c r="P69" s="46" t="str">
        <f>IFERROR(__xludf.DUMMYFUNCTION("""COMPUTED_VALUE"""),"Tipo")</f>
        <v>Tipo</v>
      </c>
      <c r="Q69" s="46" t="str">
        <f>IFERROR(__xludf.DUMMYFUNCTION("""COMPUTED_VALUE"""),"Funcionário")</f>
        <v>Funcionário</v>
      </c>
      <c r="R69" s="48"/>
      <c r="S69" s="49" t="str">
        <f>IFERROR(__xludf.DUMMYFUNCTION("query(C28:L504,""select Col1,Col3,Col8,Col9 where (Col8 = 'Adiantamento' or Col8 = 'Consumo') and Col9 = '""&amp;A10&amp;""'"",1)"),"Data")</f>
        <v>Data</v>
      </c>
      <c r="T69" s="49" t="str">
        <f>IFERROR(__xludf.DUMMYFUNCTION("""COMPUTED_VALUE"""),"Valor ")</f>
        <v>Valor </v>
      </c>
      <c r="U69" s="49" t="str">
        <f>IFERROR(__xludf.DUMMYFUNCTION("""COMPUTED_VALUE"""),"Tipo")</f>
        <v>Tipo</v>
      </c>
      <c r="V69" s="50" t="str">
        <f>IFERROR(__xludf.DUMMYFUNCTION("""COMPUTED_VALUE"""),"Funcionário")</f>
        <v>Funcionário</v>
      </c>
    </row>
    <row r="70">
      <c r="A70" s="178"/>
      <c r="B70" s="10">
        <v>1715604.0</v>
      </c>
      <c r="C70" s="11">
        <v>45932.91556712963</v>
      </c>
      <c r="D70" s="179" t="s">
        <v>50</v>
      </c>
      <c r="E70" s="180" t="s">
        <v>6858</v>
      </c>
      <c r="F70" s="181"/>
      <c r="G70" s="179" t="s">
        <v>6859</v>
      </c>
      <c r="H70" s="190"/>
      <c r="I70" s="190"/>
      <c r="J70" s="187" t="s">
        <v>3903</v>
      </c>
      <c r="K70" s="187"/>
      <c r="L70" s="252" t="str">
        <f>IFERROR(__xludf.DUMMYFUNCTION("ifna(IF(and(D70=""Saída"",J70=""Sangria""),if(sum(QUERY(IMPORTRANGE(""https://docs.google.com/spreadsheets/d/1wBSFbIXYswW2S5SMKo44LPsdTG4P4kfP5VRdAS5E_4o"",""BD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'""&amp;YEAR(C70)&amp;""-""&amp;MONTH(C70)&amp;""-""&amp;DAY(C70)&amp;""'""))&gt;0,""Depositada"",if(sum(QUERY(IMPORTRANGE(""https://docs.google.com/spreadsheets/d/1wBSFbIXYswW2S5SMKo44LPsdTG4P4kfP5VRdAS5E_4o"",""BD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Sangria"")"),"")</f>
        <v/>
      </c>
      <c r="M70" s="185">
        <f>IFERROR(__xludf.DUMMYFUNCTION("ifna(VALUE(REGEXEXTRACT(E70,""[0-9.]+[,]+[0-9]+"")))"),131.0)</f>
        <v>131</v>
      </c>
      <c r="N70" s="51"/>
      <c r="O70" s="52"/>
      <c r="P70" s="52"/>
      <c r="Q70" s="52"/>
      <c r="R70" s="54"/>
      <c r="S70" s="52"/>
      <c r="T70" s="52"/>
      <c r="U70" s="52"/>
      <c r="V70" s="53"/>
    </row>
    <row r="71" ht="14.25" customHeight="1">
      <c r="A71" s="178"/>
      <c r="B71" s="10">
        <v>1716488.0</v>
      </c>
      <c r="C71" s="11">
        <v>45933.688472222224</v>
      </c>
      <c r="D71" s="179" t="s">
        <v>50</v>
      </c>
      <c r="E71" s="180" t="s">
        <v>6862</v>
      </c>
      <c r="F71" s="181"/>
      <c r="G71" s="179" t="s">
        <v>6790</v>
      </c>
      <c r="H71" s="190"/>
      <c r="I71" s="190"/>
      <c r="J71" s="187" t="s">
        <v>3903</v>
      </c>
      <c r="K71" s="187"/>
      <c r="L71" s="252" t="str">
        <f>IFERROR(__xludf.DUMMYFUNCTION("ifna(IF(and(D71=""Saída"",J71=""Sangria""),if(sum(QUERY(IMPORTRANGE(""https://docs.google.com/spreadsheets/d/1wBSFbIXYswW2S5SMKo44LPsdTG4P4kfP5VRdAS5E_4o"",""BD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'""&amp;YEAR(C71)&amp;""-""&amp;MONTH(C71)&amp;""-""&amp;DAY(C71)&amp;""'""))&gt;0,""Depositada"",if(sum(QUERY(IMPORTRANGE(""https://docs.google.com/spreadsheets/d/1wBSFbIXYswW2S5SMKo44LPsdTG4P4kfP5VRdAS5E_4o"",""BD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IFERROR(__xludf.DUMMYFUNCTION("ifna(VALUE(REGEXEXTRACT(E71,""[0-9.]+[,]+[0-9]+"")))"),292.32)</f>
        <v>292.32</v>
      </c>
      <c r="N71" s="51"/>
      <c r="O71" s="52"/>
      <c r="P71" s="52"/>
      <c r="Q71" s="52"/>
      <c r="R71" s="54"/>
      <c r="S71" s="52"/>
      <c r="T71" s="52"/>
      <c r="U71" s="52"/>
      <c r="V71" s="53"/>
    </row>
    <row r="72" ht="14.25" customHeight="1">
      <c r="A72" s="178"/>
      <c r="B72" s="10">
        <v>1716619.0</v>
      </c>
      <c r="C72" s="11">
        <v>45933.71827546296</v>
      </c>
      <c r="D72" s="179" t="s">
        <v>50</v>
      </c>
      <c r="E72" s="180" t="s">
        <v>194</v>
      </c>
      <c r="F72" s="181"/>
      <c r="G72" s="179" t="s">
        <v>6866</v>
      </c>
      <c r="H72" s="190"/>
      <c r="I72" s="190"/>
      <c r="J72" s="187" t="s">
        <v>3903</v>
      </c>
      <c r="K72" s="187"/>
      <c r="L72" s="252" t="str">
        <f>IFERROR(__xludf.DUMMYFUNCTION("ifna(IF(and(D72=""Saída"",J72=""Sangria""),if(sum(QUERY(IMPORTRANGE(""https://docs.google.com/spreadsheets/d/1wBSFbIXYswW2S5SMKo44LPsdTG4P4kfP5VRdAS5E_4o"",""BD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'""&amp;YEAR(C72)&amp;""-""&amp;MONTH(C72)&amp;""-""&amp;DAY(C72)&amp;""'""))&gt;0,""Depositada"",if(sum(QUERY(IMPORTRANGE(""https://docs.google.com/spreadsheets/d/1wBSFbIXYswW2S5SMKo44LPsdTG4P4kfP5VRdAS5E_4o"",""BD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Sangria"")"),"")</f>
        <v/>
      </c>
      <c r="M72" s="185">
        <f>IFERROR(__xludf.DUMMYFUNCTION("ifna(VALUE(REGEXEXTRACT(E72,""[0-9.]+[,]+[0-9]+"")))"),250.0)</f>
        <v>250</v>
      </c>
      <c r="N72" s="51"/>
      <c r="O72" s="52"/>
      <c r="P72" s="52"/>
      <c r="Q72" s="52"/>
      <c r="R72" s="54"/>
      <c r="S72" s="52"/>
      <c r="T72" s="52"/>
      <c r="U72" s="52"/>
      <c r="V72" s="53"/>
    </row>
    <row r="73">
      <c r="A73" s="178"/>
      <c r="B73" s="10">
        <v>1716758.0</v>
      </c>
      <c r="C73" s="11">
        <v>45933.760405092595</v>
      </c>
      <c r="D73" s="179" t="s">
        <v>50</v>
      </c>
      <c r="E73" s="180" t="s">
        <v>157</v>
      </c>
      <c r="F73" s="181"/>
      <c r="G73" s="179" t="s">
        <v>4665</v>
      </c>
      <c r="H73" s="190"/>
      <c r="I73" s="190"/>
      <c r="J73" s="187" t="s">
        <v>3044</v>
      </c>
      <c r="K73" s="187" t="s">
        <v>3040</v>
      </c>
      <c r="L73" s="252" t="str">
        <f>IFERROR(__xludf.DUMMYFUNCTION("ifna(IF(and(D73=""Saída"",J73=""Sangria""),if(sum(QUERY(IMPORTRANGE(""https://docs.google.com/spreadsheets/d/1wBSFbIXYswW2S5SMKo44LPsdTG4P4kfP5VRdAS5E_4o"",""BD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'""&amp;YEAR(C73)&amp;""-""&amp;MONTH(C73)&amp;""-""&amp;DAY(C73)&amp;""'""))&gt;0,""Depositada"",if(sum(QUERY(IMPORTRANGE(""https://docs.google.com/spreadsheets/d/1wBSFbIXYswW2S5SMKo44LPsdTG4P4kfP5VRdAS5E_4o"",""BD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IFERROR(__xludf.DUMMYFUNCTION("ifna(VALUE(REGEXEXTRACT(E73,""[0-9.]+[,]+[0-9]+"")))"),5.0)</f>
        <v>5</v>
      </c>
      <c r="N73" s="51"/>
      <c r="O73" s="52"/>
      <c r="P73" s="52"/>
      <c r="Q73" s="52"/>
      <c r="R73" s="54"/>
      <c r="S73" s="52"/>
      <c r="T73" s="52"/>
      <c r="U73" s="52"/>
      <c r="V73" s="53"/>
    </row>
    <row r="74" ht="14.25" customHeight="1">
      <c r="A74" s="178"/>
      <c r="B74" s="10">
        <v>1716759.0</v>
      </c>
      <c r="C74" s="11">
        <v>45933.76085648148</v>
      </c>
      <c r="D74" s="179" t="s">
        <v>50</v>
      </c>
      <c r="E74" s="180" t="s">
        <v>205</v>
      </c>
      <c r="F74" s="181"/>
      <c r="G74" s="179" t="s">
        <v>4639</v>
      </c>
      <c r="H74" s="190"/>
      <c r="I74" s="190"/>
      <c r="J74" s="187" t="s">
        <v>3044</v>
      </c>
      <c r="K74" s="187" t="s">
        <v>6664</v>
      </c>
      <c r="L74" s="252" t="str">
        <f>IFERROR(__xludf.DUMMYFUNCTION("ifna(IF(and(D74=""Saída"",J74=""Sangria""),if(sum(QUERY(IMPORTRANGE(""https://docs.google.com/spreadsheets/d/1wBSFbIXYswW2S5SMKo44LPsdTG4P4kfP5VRdAS5E_4o"",""BD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'""&amp;YEAR(C74)&amp;""-""&amp;MONTH(C74)&amp;""-""&amp;DAY(C74)&amp;""'""))&gt;0,""Depositada"",if(sum(QUERY(IMPORTRANGE(""https://docs.google.com/spreadsheets/d/1wBSFbIXYswW2S5SMKo44LPsdTG4P4kfP5VRdAS5E_4o"",""BD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Sangria"")"),"")</f>
        <v/>
      </c>
      <c r="M74" s="185">
        <f>IFERROR(__xludf.DUMMYFUNCTION("ifna(VALUE(REGEXEXTRACT(E74,""[0-9.]+[,]+[0-9]+"")))"),10.0)</f>
        <v>10</v>
      </c>
      <c r="N74" s="51"/>
      <c r="O74" s="52"/>
      <c r="P74" s="52"/>
      <c r="Q74" s="52"/>
      <c r="R74" s="54"/>
      <c r="S74" s="52"/>
      <c r="T74" s="52"/>
      <c r="U74" s="52"/>
      <c r="V74" s="53"/>
    </row>
    <row r="75" ht="14.25" customHeight="1">
      <c r="A75" s="178"/>
      <c r="B75" s="10">
        <v>1716808.0</v>
      </c>
      <c r="C75" s="11">
        <v>45933.77417824074</v>
      </c>
      <c r="D75" s="179" t="s">
        <v>50</v>
      </c>
      <c r="E75" s="180" t="s">
        <v>6873</v>
      </c>
      <c r="F75" s="181"/>
      <c r="G75" s="179" t="s">
        <v>4665</v>
      </c>
      <c r="H75" s="190"/>
      <c r="I75" s="190"/>
      <c r="J75" s="187" t="s">
        <v>3044</v>
      </c>
      <c r="K75" s="187" t="s">
        <v>3040</v>
      </c>
      <c r="L75" s="252" t="str">
        <f>IFERROR(__xludf.DUMMYFUNCTION("ifna(IF(and(D75=""Saída"",J75=""Sangria""),if(sum(QUERY(IMPORTRANGE(""https://docs.google.com/spreadsheets/d/1wBSFbIXYswW2S5SMKo44LPsdTG4P4kfP5VRdAS5E_4o"",""BD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'""&amp;YEAR(C75)&amp;""-""&amp;MONTH(C75)&amp;""-""&amp;DAY(C75)&amp;""'""))&gt;0,""Depositada"",if(sum(QUERY(IMPORTRANGE(""https://docs.google.com/spreadsheets/d/1wBSFbIXYswW2S5SMKo44LPsdTG4P4kfP5VRdAS5E_4o"",""BD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IFERROR(__xludf.DUMMYFUNCTION("ifna(VALUE(REGEXEXTRACT(E75,""[0-9.]+[,]+[0-9]+"")))"),55.98)</f>
        <v>55.98</v>
      </c>
      <c r="N75" s="51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0">
        <v>1716917.0</v>
      </c>
      <c r="C76" s="11">
        <v>45933.81487268519</v>
      </c>
      <c r="D76" s="179" t="s">
        <v>50</v>
      </c>
      <c r="E76" s="180" t="s">
        <v>6877</v>
      </c>
      <c r="F76" s="181"/>
      <c r="G76" s="179" t="s">
        <v>6878</v>
      </c>
      <c r="H76" s="190"/>
      <c r="I76" s="190"/>
      <c r="J76" s="187" t="s">
        <v>3044</v>
      </c>
      <c r="K76" s="187" t="s">
        <v>6340</v>
      </c>
      <c r="L76" s="252" t="str">
        <f>IFERROR(__xludf.DUMMYFUNCTION("ifna(IF(and(D76=""Saída"",J76=""Sangria""),if(sum(QUERY(IMPORTRANGE(""https://docs.google.com/spreadsheets/d/1wBSFbIXYswW2S5SMKo44LPsdTG4P4kfP5VRdAS5E_4o"",""BD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'""&amp;YEAR(C76)&amp;""-""&amp;MONTH(C76)&amp;""-""&amp;DAY(C76)&amp;""'""))&gt;0,""Depositada"",if(sum(QUERY(IMPORTRANGE(""https://docs.google.com/spreadsheets/d/1wBSFbIXYswW2S5SMKo44LPsdTG4P4kfP5VRdAS5E_4o"",""BD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Sangria"")"),"")</f>
        <v/>
      </c>
      <c r="M76" s="185">
        <f>IFERROR(__xludf.DUMMYFUNCTION("ifna(VALUE(REGEXEXTRACT(E76,""[0-9.]+[,]+[0-9]+"")))"),17.38)</f>
        <v>17.38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0">
        <v>1717875.0</v>
      </c>
      <c r="C77" s="11">
        <v>45934.573969907404</v>
      </c>
      <c r="D77" s="179" t="s">
        <v>50</v>
      </c>
      <c r="E77" s="180" t="s">
        <v>1635</v>
      </c>
      <c r="F77" s="188"/>
      <c r="G77" s="179" t="s">
        <v>6882</v>
      </c>
      <c r="H77" s="190"/>
      <c r="I77" s="190"/>
      <c r="J77" s="187" t="s">
        <v>3903</v>
      </c>
      <c r="K77" s="187"/>
      <c r="L77" s="252" t="str">
        <f>IFERROR(__xludf.DUMMYFUNCTION("ifna(IF(and(D77=""Saída"",J77=""Sangria""),if(sum(QUERY(IMPORTRANGE(""https://docs.google.com/spreadsheets/d/1wBSFbIXYswW2S5SMKo44LPsdTG4P4kfP5VRdAS5E_4o"",""BD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'""&amp;YEAR(C77)&amp;""-""&amp;MONTH(C77)&amp;""-""&amp;DAY(C77)&amp;""'""))&gt;0,""Depositada"",if(sum(QUERY(IMPORTRANGE(""https://docs.google.com/spreadsheets/d/1wBSFbIXYswW2S5SMKo44LPsdTG4P4kfP5VRdAS5E_4o"",""BD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IFERROR(__xludf.DUMMYFUNCTION("ifna(VALUE(REGEXEXTRACT(E77,""[0-9.]+[,]+[0-9]+"")))"),18.28)</f>
        <v>18.28</v>
      </c>
      <c r="N77" s="192"/>
      <c r="O77" s="193"/>
      <c r="P77" s="194"/>
      <c r="Q77" s="195"/>
      <c r="R77" s="91"/>
      <c r="S77" s="89"/>
      <c r="T77" s="89"/>
      <c r="U77" s="89"/>
      <c r="V77" s="90"/>
    </row>
    <row r="78">
      <c r="A78" s="178"/>
      <c r="B78" s="10">
        <v>1719469.0</v>
      </c>
      <c r="C78" s="11">
        <v>45934.898125</v>
      </c>
      <c r="D78" s="179" t="s">
        <v>50</v>
      </c>
      <c r="E78" s="180" t="s">
        <v>6886</v>
      </c>
      <c r="F78" s="181"/>
      <c r="G78" s="179" t="s">
        <v>6513</v>
      </c>
      <c r="H78" s="190"/>
      <c r="I78" s="190"/>
      <c r="J78" s="187" t="s">
        <v>3044</v>
      </c>
      <c r="K78" s="187" t="s">
        <v>3040</v>
      </c>
      <c r="L78" s="252" t="str">
        <f>IFERROR(__xludf.DUMMYFUNCTION("ifna(IF(and(D78=""Saída"",J78=""Sangria""),if(sum(QUERY(IMPORTRANGE(""https://docs.google.com/spreadsheets/d/1wBSFbIXYswW2S5SMKo44LPsdTG4P4kfP5VRdAS5E_4o"",""BD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'""&amp;YEAR(C78)&amp;""-""&amp;MONTH(C78)&amp;""-""&amp;DAY(C78)&amp;""'""))&gt;0,""Depositada"",if(sum(QUERY(IMPORTRANGE(""https://docs.google.com/spreadsheets/d/1wBSFbIXYswW2S5SMKo44LPsdTG4P4kfP5VRdAS5E_4o"",""BD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IFERROR(__xludf.DUMMYFUNCTION("ifna(VALUE(REGEXEXTRACT(E78,""[0-9.]+[,]+[0-9]+"")))"),19.19)</f>
        <v>19.19</v>
      </c>
      <c r="N78" s="192"/>
      <c r="O78" s="193"/>
      <c r="P78" s="194"/>
      <c r="Q78" s="195"/>
      <c r="R78" s="91"/>
      <c r="S78" s="89"/>
      <c r="T78" s="89"/>
      <c r="U78" s="89"/>
      <c r="V78" s="90"/>
    </row>
    <row r="79" ht="14.25" customHeight="1">
      <c r="A79" s="178"/>
      <c r="B79" s="10">
        <v>1719863.0</v>
      </c>
      <c r="C79" s="11">
        <v>45934.9396412037</v>
      </c>
      <c r="D79" s="179" t="s">
        <v>50</v>
      </c>
      <c r="E79" s="180" t="s">
        <v>6889</v>
      </c>
      <c r="F79" s="181"/>
      <c r="G79" s="179" t="s">
        <v>6891</v>
      </c>
      <c r="H79" s="190"/>
      <c r="I79" s="190"/>
      <c r="J79" s="187" t="s">
        <v>3825</v>
      </c>
      <c r="K79" s="187"/>
      <c r="L79" s="252" t="str">
        <f>IFERROR(__xludf.DUMMYFUNCTION("ifna(IF(and(D79=""Saída"",J79=""Sangria""),if(sum(QUERY(IMPORTRANGE(""https://docs.google.com/spreadsheets/d/1wBSFbIXYswW2S5SMKo44LPsdTG4P4kfP5VRdAS5E_4o"",""BD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'""&amp;YEAR(C79)&amp;""-""&amp;MONTH(C79)&amp;""-""&amp;DAY(C79)&amp;""'""))&gt;0,""Depositada"",if(sum(QUERY(IMPORTRANGE(""https://docs.google.com/spreadsheets/d/1wBSFbIXYswW2S5SMKo44LPsdTG4P4kfP5VRdAS5E_4o"",""BD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IFERROR(__xludf.DUMMYFUNCTION("ifna(VALUE(REGEXEXTRACT(E79,""[0-9.]+[,]+[0-9]+"")))"),122.0)</f>
        <v>122</v>
      </c>
      <c r="N79" s="192"/>
      <c r="O79" s="193"/>
      <c r="P79" s="194"/>
      <c r="Q79" s="195"/>
      <c r="R79" s="91"/>
      <c r="S79" s="89"/>
      <c r="T79" s="89"/>
      <c r="U79" s="89"/>
      <c r="V79" s="90"/>
    </row>
    <row r="80" ht="14.25" customHeight="1">
      <c r="A80" s="178"/>
      <c r="B80" s="10">
        <v>1719876.0</v>
      </c>
      <c r="C80" s="11">
        <v>45934.94137731481</v>
      </c>
      <c r="D80" s="179" t="s">
        <v>50</v>
      </c>
      <c r="E80" s="180" t="s">
        <v>6612</v>
      </c>
      <c r="F80" s="181"/>
      <c r="G80" s="179" t="s">
        <v>6894</v>
      </c>
      <c r="H80" s="190"/>
      <c r="I80" s="190"/>
      <c r="J80" s="187" t="s">
        <v>3746</v>
      </c>
      <c r="K80" s="187" t="s">
        <v>3168</v>
      </c>
      <c r="L80" s="252" t="str">
        <f>IFERROR(__xludf.DUMMYFUNCTION("ifna(IF(and(D80=""Saída"",J80=""Sangria""),if(sum(QUERY(IMPORTRANGE(""https://docs.google.com/spreadsheets/d/1wBSFbIXYswW2S5SMKo44LPsdTG4P4kfP5VRdAS5E_4o"",""BD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'""&amp;YEAR(C80)&amp;""-""&amp;MONTH(C80)&amp;""-""&amp;DAY(C80)&amp;""'""))&gt;0,""Depositada"",if(sum(QUERY(IMPORTRANGE(""https://docs.google.com/spreadsheets/d/1wBSFbIXYswW2S5SMKo44LPsdTG4P4kfP5VRdAS5E_4o"",""BD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Sangria"")"),"#REF!")</f>
        <v>#REF!</v>
      </c>
      <c r="M80" s="185">
        <f>IFERROR(__xludf.DUMMYFUNCTION("ifna(VALUE(REGEXEXTRACT(E80,""[0-9.]+[,]+[0-9]+"")))"),2000.0)</f>
        <v>2000</v>
      </c>
      <c r="N80" s="192"/>
      <c r="O80" s="193"/>
      <c r="P80" s="194"/>
      <c r="Q80" s="195"/>
      <c r="R80" s="91"/>
      <c r="S80" s="89"/>
      <c r="T80" s="89"/>
      <c r="U80" s="89"/>
      <c r="V80" s="90"/>
    </row>
    <row r="81" ht="14.25" customHeight="1">
      <c r="A81" s="178"/>
      <c r="B81" s="10">
        <v>1719973.0</v>
      </c>
      <c r="C81" s="11">
        <v>45934.9546412037</v>
      </c>
      <c r="D81" s="179" t="s">
        <v>50</v>
      </c>
      <c r="E81" s="180" t="s">
        <v>6879</v>
      </c>
      <c r="F81" s="181"/>
      <c r="G81" s="179" t="s">
        <v>6896</v>
      </c>
      <c r="H81" s="190"/>
      <c r="I81" s="190"/>
      <c r="J81" s="187" t="s">
        <v>3825</v>
      </c>
      <c r="K81" s="187"/>
      <c r="L81" s="252" t="str">
        <f>IFERROR(__xludf.DUMMYFUNCTION("ifna(IF(and(D81=""Saída"",J81=""Sangria""),if(sum(QUERY(IMPORTRANGE(""https://docs.google.com/spreadsheets/d/1wBSFbIXYswW2S5SMKo44LPsdTG4P4kfP5VRdAS5E_4o"",""BD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'""&amp;YEAR(C81)&amp;""-""&amp;MONTH(C81)&amp;""-""&amp;DAY(C81)&amp;""'""))&gt;0,""Depositada"",if(sum(QUERY(IMPORTRANGE(""https://docs.google.com/spreadsheets/d/1wBSFbIXYswW2S5SMKo44LPsdTG4P4kfP5VRdAS5E_4o"",""BD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Sangria"")"),"")</f>
        <v/>
      </c>
      <c r="M81" s="185">
        <f>IFERROR(__xludf.DUMMYFUNCTION("ifna(VALUE(REGEXEXTRACT(E81,""[0-9.]+[,]+[0-9]+"")))"),80.0)</f>
        <v>80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0">
        <v>1722037.0</v>
      </c>
      <c r="C82" s="11">
        <v>45935.83635416667</v>
      </c>
      <c r="D82" s="179" t="s">
        <v>50</v>
      </c>
      <c r="E82" s="180" t="s">
        <v>6748</v>
      </c>
      <c r="F82" s="181"/>
      <c r="G82" s="179" t="s">
        <v>6446</v>
      </c>
      <c r="H82" s="190"/>
      <c r="I82" s="190"/>
      <c r="J82" s="187" t="s">
        <v>3044</v>
      </c>
      <c r="K82" s="187" t="s">
        <v>6664</v>
      </c>
      <c r="L82" s="252" t="str">
        <f>IFERROR(__xludf.DUMMYFUNCTION("ifna(IF(and(D82=""Saída"",J82=""Sangria""),if(sum(QUERY(IMPORTRANGE(""https://docs.google.com/spreadsheets/d/1wBSFbIXYswW2S5SMKo44LPsdTG4P4kfP5VRdAS5E_4o"",""BD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'""&amp;YEAR(C82)&amp;""-""&amp;MONTH(C82)&amp;""-""&amp;DAY(C82)&amp;""'""))&gt;0,""Depositada"",if(sum(QUERY(IMPORTRANGE(""https://docs.google.com/spreadsheets/d/1wBSFbIXYswW2S5SMKo44LPsdTG4P4kfP5VRdAS5E_4o"",""BD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Sangria"")"),"")</f>
        <v/>
      </c>
      <c r="M82" s="185">
        <f>IFERROR(__xludf.DUMMYFUNCTION("ifna(VALUE(REGEXEXTRACT(E82,""[0-9.]+[,]+[0-9]+"")))"),12.65)</f>
        <v>12.65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0">
        <v>1722938.0</v>
      </c>
      <c r="C83" s="11">
        <v>45935.926712962966</v>
      </c>
      <c r="D83" s="179" t="s">
        <v>50</v>
      </c>
      <c r="E83" s="180" t="s">
        <v>4080</v>
      </c>
      <c r="F83" s="181"/>
      <c r="G83" s="179" t="s">
        <v>6901</v>
      </c>
      <c r="H83" s="190"/>
      <c r="I83" s="190"/>
      <c r="J83" s="187" t="s">
        <v>3746</v>
      </c>
      <c r="K83" s="187" t="s">
        <v>3040</v>
      </c>
      <c r="L83" s="252" t="str">
        <f>IFERROR(__xludf.DUMMYFUNCTION("ifna(IF(and(D83=""Saída"",J83=""Sangria""),if(sum(QUERY(IMPORTRANGE(""https://docs.google.com/spreadsheets/d/1wBSFbIXYswW2S5SMKo44LPsdTG4P4kfP5VRdAS5E_4o"",""BD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'""&amp;YEAR(C83)&amp;""-""&amp;MONTH(C83)&amp;""-""&amp;DAY(C83)&amp;""'""))&gt;0,""Depositada"",if(sum(QUERY(IMPORTRANGE(""https://docs.google.com/spreadsheets/d/1wBSFbIXYswW2S5SMKo44LPsdTG4P4kfP5VRdAS5E_4o"",""BD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Sangria"")"),"#REF!")</f>
        <v>#REF!</v>
      </c>
      <c r="M83" s="185">
        <f>IFERROR(__xludf.DUMMYFUNCTION("ifna(VALUE(REGEXEXTRACT(E83,""[0-9.]+[,]+[0-9]+"")))"),1950.0)</f>
        <v>1950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0">
        <v>1722952.0</v>
      </c>
      <c r="C84" s="11">
        <v>45935.9271875</v>
      </c>
      <c r="D84" s="179" t="s">
        <v>50</v>
      </c>
      <c r="E84" s="180" t="s">
        <v>1238</v>
      </c>
      <c r="F84" s="181"/>
      <c r="G84" s="179" t="s">
        <v>6905</v>
      </c>
      <c r="H84" s="190"/>
      <c r="I84" s="190"/>
      <c r="J84" s="187" t="s">
        <v>3825</v>
      </c>
      <c r="K84" s="187"/>
      <c r="L84" s="252" t="str">
        <f>IFERROR(__xludf.DUMMYFUNCTION("ifna(IF(and(D84=""Saída"",J84=""Sangria""),if(sum(QUERY(IMPORTRANGE(""https://docs.google.com/spreadsheets/d/1wBSFbIXYswW2S5SMKo44LPsdTG4P4kfP5VRdAS5E_4o"",""BD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'""&amp;YEAR(C84)&amp;""-""&amp;MONTH(C84)&amp;""-""&amp;DAY(C84)&amp;""'""))&gt;0,""Depositada"",if(sum(QUERY(IMPORTRANGE(""https://docs.google.com/spreadsheets/d/1wBSFbIXYswW2S5SMKo44LPsdTG4P4kfP5VRdAS5E_4o"",""BD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IFERROR(__xludf.DUMMYFUNCTION("ifna(VALUE(REGEXEXTRACT(E84,""[0-9.]+[,]+[0-9]+"")))"),105.0)</f>
        <v>105</v>
      </c>
      <c r="N84" s="197"/>
      <c r="O84" s="198"/>
      <c r="P84" s="198"/>
      <c r="Q84" s="198"/>
      <c r="R84" s="91"/>
      <c r="S84" s="198"/>
      <c r="T84" s="198"/>
      <c r="U84" s="198"/>
      <c r="V84" s="199"/>
    </row>
    <row r="85" ht="14.25" customHeight="1">
      <c r="A85" s="178"/>
      <c r="B85" s="10">
        <v>1722963.0</v>
      </c>
      <c r="C85" s="11">
        <v>45935.92775462963</v>
      </c>
      <c r="D85" s="179" t="s">
        <v>50</v>
      </c>
      <c r="E85" s="180" t="s">
        <v>6906</v>
      </c>
      <c r="F85" s="181"/>
      <c r="G85" s="179" t="s">
        <v>6907</v>
      </c>
      <c r="H85" s="190"/>
      <c r="I85" s="190"/>
      <c r="J85" s="187" t="s">
        <v>3825</v>
      </c>
      <c r="K85" s="187"/>
      <c r="L85" s="252" t="str">
        <f>IFERROR(__xludf.DUMMYFUNCTION("ifna(IF(and(D85=""Saída"",J85=""Sangria""),if(sum(QUERY(IMPORTRANGE(""https://docs.google.com/spreadsheets/d/1wBSFbIXYswW2S5SMKo44LPsdTG4P4kfP5VRdAS5E_4o"",""BD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'""&amp;YEAR(C85)&amp;""-""&amp;MONTH(C85)&amp;""-""&amp;DAY(C85)&amp;""'""))&gt;0,""Depositada"",if(sum(QUERY(IMPORTRANGE(""https://docs.google.com/spreadsheets/d/1wBSFbIXYswW2S5SMKo44LPsdTG4P4kfP5VRdAS5E_4o"",""BD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IFERROR(__xludf.DUMMYFUNCTION("ifna(VALUE(REGEXEXTRACT(E85,""[0-9.]+[,]+[0-9]+"")))"),45.0)</f>
        <v>45</v>
      </c>
      <c r="N85" s="197"/>
      <c r="O85" s="198"/>
      <c r="P85" s="198"/>
      <c r="Q85" s="198"/>
      <c r="R85" s="91"/>
      <c r="S85" s="198"/>
      <c r="T85" s="198"/>
      <c r="U85" s="198"/>
      <c r="V85" s="199"/>
    </row>
    <row r="86" ht="14.25" customHeight="1">
      <c r="A86" s="178"/>
      <c r="B86" s="10">
        <v>1722973.0</v>
      </c>
      <c r="C86" s="11">
        <v>45935.92824074074</v>
      </c>
      <c r="D86" s="179" t="s">
        <v>50</v>
      </c>
      <c r="E86" s="180" t="s">
        <v>6909</v>
      </c>
      <c r="F86" s="181"/>
      <c r="G86" s="179" t="s">
        <v>6910</v>
      </c>
      <c r="H86" s="190"/>
      <c r="I86" s="190"/>
      <c r="J86" s="187" t="s">
        <v>3903</v>
      </c>
      <c r="K86" s="187"/>
      <c r="L86" s="252" t="str">
        <f>IFERROR(__xludf.DUMMYFUNCTION("ifna(IF(and(D86=""Saída"",J86=""Sangria""),if(sum(QUERY(IMPORTRANGE(""https://docs.google.com/spreadsheets/d/1wBSFbIXYswW2S5SMKo44LPsdTG4P4kfP5VRdAS5E_4o"",""BD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'""&amp;YEAR(C86)&amp;""-""&amp;MONTH(C86)&amp;""-""&amp;DAY(C86)&amp;""'""))&gt;0,""Depositada"",if(sum(QUERY(IMPORTRANGE(""https://docs.google.com/spreadsheets/d/1wBSFbIXYswW2S5SMKo44LPsdTG4P4kfP5VRdAS5E_4o"",""BD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IFERROR(__xludf.DUMMYFUNCTION("ifna(VALUE(REGEXEXTRACT(E86,""[0-9.]+[,]+[0-9]+"")))"),75.0)</f>
        <v>75</v>
      </c>
      <c r="N86" s="197"/>
      <c r="O86" s="198"/>
      <c r="P86" s="198"/>
      <c r="Q86" s="198"/>
      <c r="R86" s="91"/>
      <c r="S86" s="198"/>
      <c r="T86" s="198"/>
      <c r="U86" s="198"/>
      <c r="V86" s="199"/>
    </row>
    <row r="87" ht="14.25" customHeight="1">
      <c r="A87" s="178"/>
      <c r="B87" s="10">
        <v>1722990.0</v>
      </c>
      <c r="C87" s="11">
        <v>45935.928773148145</v>
      </c>
      <c r="D87" s="179" t="s">
        <v>50</v>
      </c>
      <c r="E87" s="180" t="s">
        <v>246</v>
      </c>
      <c r="F87" s="181"/>
      <c r="G87" s="179" t="s">
        <v>6513</v>
      </c>
      <c r="H87" s="190"/>
      <c r="I87" s="190"/>
      <c r="J87" s="187" t="s">
        <v>3044</v>
      </c>
      <c r="K87" s="187" t="s">
        <v>3040</v>
      </c>
      <c r="L87" s="252" t="str">
        <f>IFERROR(__xludf.DUMMYFUNCTION("ifna(IF(and(D87=""Saída"",J87=""Sangria""),if(sum(QUERY(IMPORTRANGE(""https://docs.google.com/spreadsheets/d/1wBSFbIXYswW2S5SMKo44LPsdTG4P4kfP5VRdAS5E_4o"",""BD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'""&amp;YEAR(C87)&amp;""-""&amp;MONTH(C87)&amp;""-""&amp;DAY(C87)&amp;""'""))&gt;0,""Depositada"",if(sum(QUERY(IMPORTRANGE(""https://docs.google.com/spreadsheets/d/1wBSFbIXYswW2S5SMKo44LPsdTG4P4kfP5VRdAS5E_4o"",""BD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Sangria"")"),"")</f>
        <v/>
      </c>
      <c r="M87" s="185">
        <f>IFERROR(__xludf.DUMMYFUNCTION("ifna(VALUE(REGEXEXTRACT(E87,""[0-9.]+[,]+[0-9]+"")))"),4.0)</f>
        <v>4</v>
      </c>
      <c r="N87" s="197"/>
      <c r="O87" s="198"/>
      <c r="P87" s="198"/>
      <c r="Q87" s="198"/>
      <c r="R87" s="91"/>
      <c r="S87" s="198"/>
      <c r="T87" s="198"/>
      <c r="U87" s="198"/>
      <c r="V87" s="199"/>
    </row>
    <row r="88" ht="14.25" customHeight="1">
      <c r="A88" s="178"/>
      <c r="B88" s="10">
        <v>1724241.0</v>
      </c>
      <c r="C88" s="11">
        <v>45936.63690972222</v>
      </c>
      <c r="D88" s="179" t="s">
        <v>50</v>
      </c>
      <c r="E88" s="180" t="s">
        <v>6794</v>
      </c>
      <c r="F88" s="181"/>
      <c r="G88" s="179" t="s">
        <v>6720</v>
      </c>
      <c r="H88" s="190"/>
      <c r="I88" s="190"/>
      <c r="J88" s="187" t="s">
        <v>3903</v>
      </c>
      <c r="K88" s="187"/>
      <c r="L88" s="252" t="str">
        <f>IFERROR(__xludf.DUMMYFUNCTION("ifna(IF(and(D88=""Saída"",J88=""Sangria""),if(sum(QUERY(IMPORTRANGE(""https://docs.google.com/spreadsheets/d/1wBSFbIXYswW2S5SMKo44LPsdTG4P4kfP5VRdAS5E_4o"",""BD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'""&amp;YEAR(C88)&amp;""-""&amp;MONTH(C88)&amp;""-""&amp;DAY(C88)&amp;""'""))&gt;0,""Depositada"",if(sum(QUERY(IMPORTRANGE(""https://docs.google.com/spreadsheets/d/1wBSFbIXYswW2S5SMKo44LPsdTG4P4kfP5VRdAS5E_4o"",""BD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Sangria"")"),"")</f>
        <v/>
      </c>
      <c r="M88" s="185">
        <f>IFERROR(__xludf.DUMMYFUNCTION("ifna(VALUE(REGEXEXTRACT(E88,""[0-9.]+[,]+[0-9]+"")))"),220.0)</f>
        <v>220</v>
      </c>
      <c r="N88" s="200"/>
      <c r="O88" s="201"/>
      <c r="P88" s="201"/>
      <c r="Q88" s="201"/>
      <c r="R88" s="202"/>
      <c r="S88" s="201"/>
      <c r="T88" s="201"/>
      <c r="U88" s="201"/>
      <c r="V88" s="203"/>
    </row>
    <row r="89" ht="14.25" customHeight="1">
      <c r="A89" s="178"/>
      <c r="B89" s="10">
        <v>1724263.0</v>
      </c>
      <c r="C89" s="11">
        <v>45936.6440162037</v>
      </c>
      <c r="D89" s="179" t="s">
        <v>227</v>
      </c>
      <c r="E89" s="180" t="s">
        <v>6693</v>
      </c>
      <c r="F89" s="181"/>
      <c r="G89" s="253" t="s">
        <v>6913</v>
      </c>
      <c r="H89" s="190"/>
      <c r="I89" s="190"/>
      <c r="J89" s="187"/>
      <c r="K89" s="187"/>
      <c r="L89" s="252" t="str">
        <f>IFERROR(__xludf.DUMMYFUNCTION("ifna(IF(and(D89=""Saída"",J89=""Sangria""),if(sum(QUERY(IMPORTRANGE(""https://docs.google.com/spreadsheets/d/1wBSFbIXYswW2S5SMKo44LPsdTG4P4kfP5VRdAS5E_4o"",""BD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'""&amp;YEAR(C89)&amp;""-""&amp;MONTH(C89)&amp;""-""&amp;DAY(C89)&amp;""'""))&gt;0,""Depositada"",if(sum(QUERY(IMPORTRANGE(""https://docs.google.com/spreadsheets/d/1wBSFbIXYswW2S5SMKo44LPsdTG4P4kfP5VRdAS5E_4o"",""BD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Sangria"")"),"")</f>
        <v/>
      </c>
      <c r="M89" s="185">
        <f>IFERROR(__xludf.DUMMYFUNCTION("ifna(VALUE(REGEXEXTRACT(E89,""[0-9.]+[,]+[0-9]+"")))"),550.0)</f>
        <v>550</v>
      </c>
      <c r="N89" s="24"/>
      <c r="O89" s="24"/>
      <c r="P89" s="24"/>
      <c r="Q89" s="24"/>
      <c r="R89" s="24"/>
      <c r="S89" s="24"/>
      <c r="T89" s="24"/>
      <c r="U89" s="24"/>
      <c r="V89" s="24"/>
    </row>
    <row r="90" ht="14.25" customHeight="1">
      <c r="A90" s="178"/>
      <c r="B90" s="10">
        <v>1724265.0</v>
      </c>
      <c r="C90" s="11">
        <v>45936.64449074074</v>
      </c>
      <c r="D90" s="179" t="s">
        <v>50</v>
      </c>
      <c r="E90" s="180" t="s">
        <v>6693</v>
      </c>
      <c r="F90" s="181"/>
      <c r="G90" s="263" t="s">
        <v>6916</v>
      </c>
      <c r="H90" s="190"/>
      <c r="I90" s="190"/>
      <c r="J90" s="187" t="s">
        <v>3746</v>
      </c>
      <c r="K90" s="187" t="s">
        <v>2949</v>
      </c>
      <c r="L90" s="252" t="str">
        <f>IFERROR(__xludf.DUMMYFUNCTION("ifna(IF(and(D90=""Saída"",J90=""Sangria""),if(sum(QUERY(IMPORTRANGE(""https://docs.google.com/spreadsheets/d/1wBSFbIXYswW2S5SMKo44LPsdTG4P4kfP5VRdAS5E_4o"",""BD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'""&amp;YEAR(C90)&amp;""-""&amp;MONTH(C90)&amp;""-""&amp;DAY(C90)&amp;""'""))&gt;0,""Depositada"",if(sum(QUERY(IMPORTRANGE(""https://docs.google.com/spreadsheets/d/1wBSFbIXYswW2S5SMKo44LPsdTG4P4kfP5VRdAS5E_4o"",""BD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Sangria"")"),"#REF!")</f>
        <v>#REF!</v>
      </c>
      <c r="M90" s="185">
        <f>IFERROR(__xludf.DUMMYFUNCTION("ifna(VALUE(REGEXEXTRACT(E90,""[0-9.]+[,]+[0-9]+"")))"),550.0)</f>
        <v>550</v>
      </c>
      <c r="N90" s="24"/>
      <c r="O90" s="24"/>
      <c r="P90" s="24"/>
      <c r="Q90" s="24"/>
      <c r="R90" s="24"/>
      <c r="S90" s="24"/>
      <c r="T90" s="24"/>
      <c r="U90" s="24"/>
      <c r="V90" s="24"/>
    </row>
    <row r="91" ht="14.25" customHeight="1">
      <c r="A91" s="178"/>
      <c r="B91" s="10">
        <v>1724446.0</v>
      </c>
      <c r="C91" s="11">
        <v>45936.69189814815</v>
      </c>
      <c r="D91" s="179" t="s">
        <v>227</v>
      </c>
      <c r="E91" s="180" t="s">
        <v>329</v>
      </c>
      <c r="F91" s="181"/>
      <c r="G91" s="179" t="s">
        <v>6795</v>
      </c>
      <c r="H91" s="190"/>
      <c r="I91" s="190"/>
      <c r="J91" s="187" t="s">
        <v>3903</v>
      </c>
      <c r="K91" s="187"/>
      <c r="L91" s="252" t="str">
        <f>IFERROR(__xludf.DUMMYFUNCTION("ifna(IF(and(D91=""Saída"",J91=""Sangria""),if(sum(QUERY(IMPORTRANGE(""https://docs.google.com/spreadsheets/d/1wBSFbIXYswW2S5SMKo44LPsdTG4P4kfP5VRdAS5E_4o"",""BD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'""&amp;YEAR(C91)&amp;""-""&amp;MONTH(C91)&amp;""-""&amp;DAY(C91)&amp;""'""))&gt;0,""Depositada"",if(sum(QUERY(IMPORTRANGE(""https://docs.google.com/spreadsheets/d/1wBSFbIXYswW2S5SMKo44LPsdTG4P4kfP5VRdAS5E_4o"",""BD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Sangria"")"),"")</f>
        <v/>
      </c>
      <c r="M91" s="185">
        <f>IFERROR(__xludf.DUMMYFUNCTION("ifna(VALUE(REGEXEXTRACT(E91,""[0-9.]+[,]+[0-9]+"")))"),200.0)</f>
        <v>200</v>
      </c>
      <c r="N91" s="24"/>
      <c r="O91" s="24"/>
      <c r="P91" s="24"/>
      <c r="Q91" s="24"/>
      <c r="R91" s="24"/>
      <c r="S91" s="24"/>
      <c r="T91" s="24"/>
      <c r="U91" s="24"/>
      <c r="V91" s="24"/>
    </row>
    <row r="92" ht="14.25" customHeight="1">
      <c r="A92" s="178"/>
      <c r="B92" s="10">
        <v>1724447.0</v>
      </c>
      <c r="C92" s="11">
        <v>45936.69275462963</v>
      </c>
      <c r="D92" s="179" t="s">
        <v>50</v>
      </c>
      <c r="E92" s="180" t="s">
        <v>6919</v>
      </c>
      <c r="F92" s="181"/>
      <c r="G92" s="179" t="s">
        <v>4960</v>
      </c>
      <c r="H92" s="190"/>
      <c r="I92" s="190"/>
      <c r="J92" s="187" t="s">
        <v>3044</v>
      </c>
      <c r="K92" s="187" t="s">
        <v>3168</v>
      </c>
      <c r="L92" s="252" t="str">
        <f>IFERROR(__xludf.DUMMYFUNCTION("ifna(IF(and(D92=""Saída"",J92=""Sangria""),if(sum(QUERY(IMPORTRANGE(""https://docs.google.com/spreadsheets/d/1wBSFbIXYswW2S5SMKo44LPsdTG4P4kfP5VRdAS5E_4o"",""BD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'""&amp;YEAR(C92)&amp;""-""&amp;MONTH(C92)&amp;""-""&amp;DAY(C92)&amp;""'""))&gt;0,""Depositada"",if(sum(QUERY(IMPORTRANGE(""https://docs.google.com/spreadsheets/d/1wBSFbIXYswW2S5SMKo44LPsdTG4P4kfP5VRdAS5E_4o"",""BD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Sangria"")"),"")</f>
        <v/>
      </c>
      <c r="M92" s="185">
        <f>IFERROR(__xludf.DUMMYFUNCTION("ifna(VALUE(REGEXEXTRACT(E92,""[0-9.]+[,]+[0-9]+"")))"),54.19)</f>
        <v>54.19</v>
      </c>
      <c r="N92" s="24"/>
      <c r="O92" s="24"/>
      <c r="P92" s="24"/>
      <c r="Q92" s="24"/>
      <c r="R92" s="24"/>
      <c r="S92" s="24"/>
      <c r="T92" s="185"/>
      <c r="U92" s="185"/>
      <c r="V92" s="185"/>
    </row>
    <row r="93" ht="14.25" customHeight="1">
      <c r="A93" s="178"/>
      <c r="B93" s="10">
        <v>1724461.0</v>
      </c>
      <c r="C93" s="11">
        <v>45936.69541666667</v>
      </c>
      <c r="D93" s="179" t="s">
        <v>50</v>
      </c>
      <c r="E93" s="180" t="s">
        <v>6921</v>
      </c>
      <c r="F93" s="181"/>
      <c r="G93" s="179" t="s">
        <v>6826</v>
      </c>
      <c r="H93" s="190"/>
      <c r="I93" s="190"/>
      <c r="J93" s="187" t="s">
        <v>3044</v>
      </c>
      <c r="K93" s="187" t="s">
        <v>6340</v>
      </c>
      <c r="L93" s="252" t="str">
        <f>IFERROR(__xludf.DUMMYFUNCTION("ifna(IF(and(D93=""Saída"",J93=""Sangria""),if(sum(QUERY(IMPORTRANGE(""https://docs.google.com/spreadsheets/d/1wBSFbIXYswW2S5SMKo44LPsdTG4P4kfP5VRdAS5E_4o"",""BD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'""&amp;YEAR(C93)&amp;""-""&amp;MONTH(C93)&amp;""-""&amp;DAY(C93)&amp;""'""))&gt;0,""Depositada"",if(sum(QUERY(IMPORTRANGE(""https://docs.google.com/spreadsheets/d/1wBSFbIXYswW2S5SMKo44LPsdTG4P4kfP5VRdAS5E_4o"",""BD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IFERROR(__xludf.DUMMYFUNCTION("ifna(VALUE(REGEXEXTRACT(E93,""[0-9.]+[,]+[0-9]+"")))"),35.65)</f>
        <v>35.65</v>
      </c>
      <c r="N93" s="204" t="s">
        <v>5033</v>
      </c>
      <c r="O93" s="205"/>
      <c r="P93" s="205"/>
      <c r="Q93" s="205"/>
      <c r="R93" s="205"/>
      <c r="S93" s="59"/>
      <c r="T93" s="185"/>
      <c r="U93" s="185"/>
      <c r="V93" s="185"/>
    </row>
    <row r="94" ht="14.25" customHeight="1">
      <c r="A94" s="178"/>
      <c r="B94" s="10">
        <v>1724462.0</v>
      </c>
      <c r="C94" s="11">
        <v>45936.69572916667</v>
      </c>
      <c r="D94" s="179" t="s">
        <v>50</v>
      </c>
      <c r="E94" s="180" t="s">
        <v>246</v>
      </c>
      <c r="F94" s="181"/>
      <c r="G94" s="179" t="s">
        <v>6446</v>
      </c>
      <c r="H94" s="190"/>
      <c r="I94" s="190"/>
      <c r="J94" s="187" t="s">
        <v>3044</v>
      </c>
      <c r="K94" s="187" t="s">
        <v>6664</v>
      </c>
      <c r="L94" s="252" t="str">
        <f>IFERROR(__xludf.DUMMYFUNCTION("ifna(IF(and(D94=""Saída"",J94=""Sangria""),if(sum(QUERY(IMPORTRANGE(""https://docs.google.com/spreadsheets/d/1wBSFbIXYswW2S5SMKo44LPsdTG4P4kfP5VRdAS5E_4o"",""BD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'""&amp;YEAR(C94)&amp;""-""&amp;MONTH(C94)&amp;""-""&amp;DAY(C94)&amp;""'""))&gt;0,""Depositada"",if(sum(QUERY(IMPORTRANGE(""https://docs.google.com/spreadsheets/d/1wBSFbIXYswW2S5SMKo44LPsdTG4P4kfP5VRdAS5E_4o"",""BD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Sangria"")"),"")</f>
        <v/>
      </c>
      <c r="M94" s="185">
        <f>IFERROR(__xludf.DUMMYFUNCTION("ifna(VALUE(REGEXEXTRACT(E94,""[0-9.]+[,]+[0-9]+"")))"),4.0)</f>
        <v>4</v>
      </c>
      <c r="N94" s="206"/>
      <c r="S94" s="207"/>
      <c r="T94" s="185"/>
      <c r="U94" s="185"/>
      <c r="V94" s="185"/>
    </row>
    <row r="95" ht="14.25" customHeight="1">
      <c r="A95" s="178"/>
      <c r="B95" s="10">
        <v>1724466.0</v>
      </c>
      <c r="C95" s="11">
        <v>45936.69627314815</v>
      </c>
      <c r="D95" s="179" t="s">
        <v>50</v>
      </c>
      <c r="E95" s="180" t="s">
        <v>6924</v>
      </c>
      <c r="F95" s="181"/>
      <c r="G95" s="179" t="s">
        <v>6826</v>
      </c>
      <c r="H95" s="190"/>
      <c r="I95" s="190"/>
      <c r="J95" s="187" t="s">
        <v>3044</v>
      </c>
      <c r="K95" s="187" t="s">
        <v>6340</v>
      </c>
      <c r="L95" s="252" t="str">
        <f>IFERROR(__xludf.DUMMYFUNCTION("ifna(IF(and(D95=""Saída"",J95=""Sangria""),if(sum(QUERY(IMPORTRANGE(""https://docs.google.com/spreadsheets/d/1wBSFbIXYswW2S5SMKo44LPsdTG4P4kfP5VRdAS5E_4o"",""BD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'""&amp;YEAR(C95)&amp;""-""&amp;MONTH(C95)&amp;""-""&amp;DAY(C95)&amp;""'""))&gt;0,""Depositada"",if(sum(QUERY(IMPORTRANGE(""https://docs.google.com/spreadsheets/d/1wBSFbIXYswW2S5SMKo44LPsdTG4P4kfP5VRdAS5E_4o"",""BD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>
        <f>IFERROR(__xludf.DUMMYFUNCTION("ifna(VALUE(REGEXEXTRACT(E95,""[0-9.]+[,]+[0-9]+"")))"),83.0)</f>
        <v>83</v>
      </c>
      <c r="N95" s="208" t="s">
        <v>4</v>
      </c>
      <c r="O95" s="209" t="s">
        <v>1</v>
      </c>
      <c r="P95" s="209" t="s">
        <v>5084</v>
      </c>
      <c r="Q95" s="209" t="s">
        <v>41</v>
      </c>
      <c r="R95" s="210" t="s">
        <v>17</v>
      </c>
      <c r="S95" s="207"/>
      <c r="T95" s="185"/>
      <c r="U95" s="185"/>
      <c r="V95" s="185"/>
    </row>
    <row r="96" ht="14.25" customHeight="1">
      <c r="A96" s="178"/>
      <c r="B96" s="10">
        <v>1724471.0</v>
      </c>
      <c r="C96" s="11">
        <v>45936.696851851855</v>
      </c>
      <c r="D96" s="179" t="s">
        <v>50</v>
      </c>
      <c r="E96" s="180" t="s">
        <v>6900</v>
      </c>
      <c r="F96" s="181"/>
      <c r="G96" s="179" t="s">
        <v>6925</v>
      </c>
      <c r="H96" s="190"/>
      <c r="I96" s="190"/>
      <c r="J96" s="187" t="s">
        <v>3903</v>
      </c>
      <c r="K96" s="187"/>
      <c r="L96" s="252" t="str">
        <f>IFERROR(__xludf.DUMMYFUNCTION("ifna(IF(and(D96=""Saída"",J96=""Sangria""),if(sum(QUERY(IMPORTRANGE(""https://docs.google.com/spreadsheets/d/1wBSFbIXYswW2S5SMKo44LPsdTG4P4kfP5VRdAS5E_4o"",""BD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'""&amp;YEAR(C96)&amp;""-""&amp;MONTH(C96)&amp;""-""&amp;DAY(C96)&amp;""'""))&gt;0,""Depositada"",if(sum(QUERY(IMPORTRANGE(""https://docs.google.com/spreadsheets/d/1wBSFbIXYswW2S5SMKo44LPsdTG4P4kfP5VRdAS5E_4o"",""BD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Sangria"")"),"")</f>
        <v/>
      </c>
      <c r="M96" s="185">
        <f>IFERROR(__xludf.DUMMYFUNCTION("ifna(VALUE(REGEXEXTRACT(E96,""[0-9.]+[,]+[0-9]+"")))"),121.2)</f>
        <v>121.2</v>
      </c>
      <c r="N96" s="211" t="s">
        <v>1686</v>
      </c>
      <c r="O96" s="193">
        <v>45944.0</v>
      </c>
      <c r="P96" s="12" t="s">
        <v>1183</v>
      </c>
      <c r="Q96" s="194">
        <v>500.0</v>
      </c>
      <c r="R96" s="212"/>
      <c r="S96" s="264" t="str">
        <f t="shared" ref="S96:S116" si="1">IFERROR(VLOOKUP(P96, $A$4:$B$11, 2, FALSE), "")</f>
        <v>Rayana</v>
      </c>
      <c r="T96" s="185"/>
      <c r="U96" s="185"/>
      <c r="V96" s="185"/>
    </row>
    <row r="97" ht="14.25" customHeight="1">
      <c r="A97" s="178"/>
      <c r="B97" s="10">
        <v>1725974.0</v>
      </c>
      <c r="C97" s="11">
        <v>45937.6075462963</v>
      </c>
      <c r="D97" s="179" t="s">
        <v>50</v>
      </c>
      <c r="E97" s="180" t="s">
        <v>6928</v>
      </c>
      <c r="F97" s="181"/>
      <c r="G97" s="179" t="s">
        <v>6790</v>
      </c>
      <c r="H97" s="190"/>
      <c r="I97" s="190"/>
      <c r="J97" s="187" t="s">
        <v>3903</v>
      </c>
      <c r="K97" s="187"/>
      <c r="L97" s="252" t="str">
        <f>IFERROR(__xludf.DUMMYFUNCTION("ifna(IF(and(D97=""Saída"",J97=""Sangria""),if(sum(QUERY(IMPORTRANGE(""https://docs.google.com/spreadsheets/d/1wBSFbIXYswW2S5SMKo44LPsdTG4P4kfP5VRdAS5E_4o"",""BD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'""&amp;YEAR(C97)&amp;""-""&amp;MONTH(C97)&amp;""-""&amp;DAY(C97)&amp;""'""))&gt;0,""Depositada"",if(sum(QUERY(IMPORTRANGE(""https://docs.google.com/spreadsheets/d/1wBSFbIXYswW2S5SMKo44LPsdTG4P4kfP5VRdAS5E_4o"",""BD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Sangria"")"),"")</f>
        <v/>
      </c>
      <c r="M97" s="185">
        <f>IFERROR(__xludf.DUMMYFUNCTION("ifna(VALUE(REGEXEXTRACT(E97,""[0-9.]+[,]+[0-9]+"")))"),355.98)</f>
        <v>355.98</v>
      </c>
      <c r="N97" s="211" t="s">
        <v>1707</v>
      </c>
      <c r="O97" s="193">
        <v>45950.0</v>
      </c>
      <c r="P97" s="194" t="s">
        <v>62</v>
      </c>
      <c r="Q97" s="194">
        <v>100.0</v>
      </c>
      <c r="R97" s="214"/>
      <c r="S97" s="264" t="str">
        <f t="shared" si="1"/>
        <v>Ana Carolina</v>
      </c>
      <c r="T97" s="185"/>
      <c r="U97" s="185"/>
      <c r="V97" s="185"/>
    </row>
    <row r="98" ht="14.25" customHeight="1">
      <c r="A98" s="178"/>
      <c r="B98" s="10">
        <v>1725975.0</v>
      </c>
      <c r="C98" s="11">
        <v>45937.607777777775</v>
      </c>
      <c r="D98" s="179" t="s">
        <v>227</v>
      </c>
      <c r="E98" s="180" t="s">
        <v>6731</v>
      </c>
      <c r="F98" s="181"/>
      <c r="G98" s="179" t="s">
        <v>4131</v>
      </c>
      <c r="H98" s="190"/>
      <c r="I98" s="190"/>
      <c r="J98" s="187" t="s">
        <v>3903</v>
      </c>
      <c r="K98" s="187"/>
      <c r="L98" s="252" t="str">
        <f>IFERROR(__xludf.DUMMYFUNCTION("ifna(IF(and(D98=""Saída"",J98=""Sangria""),if(sum(QUERY(IMPORTRANGE(""https://docs.google.com/spreadsheets/d/1wBSFbIXYswW2S5SMKo44LPsdTG4P4kfP5VRdAS5E_4o"",""BD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'""&amp;YEAR(C98)&amp;""-""&amp;MONTH(C98)&amp;""-""&amp;DAY(C98)&amp;""'""))&gt;0,""Depositada"",if(sum(QUERY(IMPORTRANGE(""https://docs.google.com/spreadsheets/d/1wBSFbIXYswW2S5SMKo44LPsdTG4P4kfP5VRdAS5E_4o"",""BD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Sangria"")"),"")</f>
        <v/>
      </c>
      <c r="M98" s="185">
        <f>IFERROR(__xludf.DUMMYFUNCTION("ifna(VALUE(REGEXEXTRACT(E98,""[0-9.]+[,]+[0-9]+"")))"),100.0)</f>
        <v>100</v>
      </c>
      <c r="N98" s="211" t="s">
        <v>1724</v>
      </c>
      <c r="O98" s="193">
        <v>45958.0</v>
      </c>
      <c r="P98" s="194" t="s">
        <v>78</v>
      </c>
      <c r="Q98" s="195">
        <v>80.0</v>
      </c>
      <c r="R98" s="215"/>
      <c r="S98" s="264" t="str">
        <f t="shared" si="1"/>
        <v>Sabrine</v>
      </c>
      <c r="T98" s="185"/>
      <c r="U98" s="185"/>
      <c r="V98" s="185"/>
    </row>
    <row r="99" ht="14.25" customHeight="1">
      <c r="A99" s="178"/>
      <c r="B99" s="10">
        <v>1726016.0</v>
      </c>
      <c r="C99" s="11">
        <v>45937.6246875</v>
      </c>
      <c r="D99" s="179" t="s">
        <v>227</v>
      </c>
      <c r="E99" s="180" t="s">
        <v>494</v>
      </c>
      <c r="F99" s="181"/>
      <c r="G99" s="179" t="s">
        <v>6933</v>
      </c>
      <c r="H99" s="190"/>
      <c r="I99" s="190"/>
      <c r="J99" s="187"/>
      <c r="K99" s="187"/>
      <c r="L99" s="252" t="str">
        <f>IFERROR(__xludf.DUMMYFUNCTION("ifna(IF(and(D99=""Saída"",J99=""Sangria""),if(sum(QUERY(IMPORTRANGE(""https://docs.google.com/spreadsheets/d/1wBSFbIXYswW2S5SMKo44LPsdTG4P4kfP5VRdAS5E_4o"",""BD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'""&amp;YEAR(C99)&amp;""-""&amp;MONTH(C99)&amp;""-""&amp;DAY(C99)&amp;""'""))&gt;0,""Depositada"",if(sum(QUERY(IMPORTRANGE(""https://docs.google.com/spreadsheets/d/1wBSFbIXYswW2S5SMKo44LPsdTG4P4kfP5VRdAS5E_4o"",""BD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Sangria"")"),"")</f>
        <v/>
      </c>
      <c r="M99" s="185">
        <f>IFERROR(__xludf.DUMMYFUNCTION("ifna(VALUE(REGEXEXTRACT(E99,""[0-9.]+[,]+[0-9]+"")))"),0.01)</f>
        <v>0.01</v>
      </c>
      <c r="N99" s="211"/>
      <c r="O99" s="193"/>
      <c r="P99" s="194"/>
      <c r="Q99" s="195"/>
      <c r="R99" s="216"/>
      <c r="S99" s="264" t="str">
        <f t="shared" si="1"/>
        <v/>
      </c>
      <c r="T99" s="185"/>
      <c r="U99" s="185"/>
      <c r="V99" s="185"/>
    </row>
    <row r="100" ht="14.25" customHeight="1">
      <c r="A100" s="178"/>
      <c r="B100" s="10">
        <v>1726312.0</v>
      </c>
      <c r="C100" s="11">
        <v>45937.720185185186</v>
      </c>
      <c r="D100" s="179" t="s">
        <v>50</v>
      </c>
      <c r="E100" s="180" t="s">
        <v>6935</v>
      </c>
      <c r="F100" s="181"/>
      <c r="G100" s="179" t="s">
        <v>4960</v>
      </c>
      <c r="H100" s="190"/>
      <c r="I100" s="190"/>
      <c r="J100" s="187" t="s">
        <v>3044</v>
      </c>
      <c r="K100" s="187" t="s">
        <v>3168</v>
      </c>
      <c r="L100" s="252" t="str">
        <f>IFERROR(__xludf.DUMMYFUNCTION("ifna(IF(and(D100=""Saída"",J100=""Sangria""),if(sum(QUERY(IMPORTRANGE(""https://docs.google.com/spreadsheets/d/1wBSFbIXYswW2S5SMKo44LPsdTG4P4kfP5VRdAS5E_4o"",""BD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'""&amp;YEAR(C100)&amp;""-""&amp;MONTH(C100)&amp;""-""&amp;DAY(C100)&amp;""'""))&gt;0,""Depositada"",if(sum(QUERY(IMPORTRANGE(""https://docs.google.com/spreadsheets/d/1wBSFbIXYswW2S5SMKo44LPsdTG4P4kfP5VRdAS5E_4o"",""BD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IFERROR(__xludf.DUMMYFUNCTION("ifna(VALUE(REGEXEXTRACT(E100,""[0-9.]+[,]+[0-9]+"")))"),42.74)</f>
        <v>42.74</v>
      </c>
      <c r="N100" s="211"/>
      <c r="O100" s="193"/>
      <c r="P100" s="194"/>
      <c r="Q100" s="195"/>
      <c r="R100" s="215"/>
      <c r="S100" s="264" t="str">
        <f t="shared" si="1"/>
        <v/>
      </c>
      <c r="T100" s="185"/>
      <c r="U100" s="185"/>
      <c r="V100" s="185"/>
    </row>
    <row r="101" ht="14.25" customHeight="1">
      <c r="A101" s="178"/>
      <c r="B101" s="10">
        <v>1726471.0</v>
      </c>
      <c r="C101" s="11">
        <v>45937.767847222225</v>
      </c>
      <c r="D101" s="179" t="s">
        <v>50</v>
      </c>
      <c r="E101" s="180" t="s">
        <v>157</v>
      </c>
      <c r="F101" s="181"/>
      <c r="G101" s="179" t="s">
        <v>6513</v>
      </c>
      <c r="H101" s="190"/>
      <c r="I101" s="190"/>
      <c r="J101" s="187" t="s">
        <v>3044</v>
      </c>
      <c r="K101" s="187" t="s">
        <v>3040</v>
      </c>
      <c r="L101" s="252" t="str">
        <f>IFERROR(__xludf.DUMMYFUNCTION("ifna(IF(and(D101=""Saída"",J101=""Sangria""),if(sum(QUERY(IMPORTRANGE(""https://docs.google.com/spreadsheets/d/1wBSFbIXYswW2S5SMKo44LPsdTG4P4kfP5VRdAS5E_4o"",""BD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'""&amp;YEAR(C101)&amp;""-""&amp;MONTH(C101)&amp;""-""&amp;DAY(C101)&amp;""'""))&gt;0,""Depositada"",if(sum(QUERY(IMPORTRANGE(""https://docs.google.com/spreadsheets/d/1wBSFbIXYswW2S5SMKo44LPsdTG4P4kfP5VRdAS5E_4o"",""BD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Sangria"")"),"")</f>
        <v/>
      </c>
      <c r="M101" s="185">
        <f>IFERROR(__xludf.DUMMYFUNCTION("ifna(VALUE(REGEXEXTRACT(E101,""[0-9.]+[,]+[0-9]+"")))"),5.0)</f>
        <v>5</v>
      </c>
      <c r="N101" s="217"/>
      <c r="O101" s="218"/>
      <c r="P101" s="219"/>
      <c r="Q101" s="220"/>
      <c r="R101" s="216"/>
      <c r="S101" s="264" t="str">
        <f t="shared" si="1"/>
        <v/>
      </c>
      <c r="T101" s="185"/>
      <c r="U101" s="185"/>
      <c r="V101" s="185"/>
    </row>
    <row r="102" ht="17.25" customHeight="1">
      <c r="A102" s="178"/>
      <c r="B102" s="10">
        <v>1726475.0</v>
      </c>
      <c r="C102" s="11">
        <v>45937.76909722222</v>
      </c>
      <c r="D102" s="179" t="s">
        <v>50</v>
      </c>
      <c r="E102" s="180" t="s">
        <v>157</v>
      </c>
      <c r="F102" s="181"/>
      <c r="G102" s="179" t="s">
        <v>6446</v>
      </c>
      <c r="H102" s="190"/>
      <c r="I102" s="190"/>
      <c r="J102" s="187" t="s">
        <v>3044</v>
      </c>
      <c r="K102" s="187" t="s">
        <v>6664</v>
      </c>
      <c r="L102" s="252" t="str">
        <f>IFERROR(__xludf.DUMMYFUNCTION("ifna(IF(and(D102=""Saída"",J102=""Sangria""),if(sum(QUERY(IMPORTRANGE(""https://docs.google.com/spreadsheets/d/1wBSFbIXYswW2S5SMKo44LPsdTG4P4kfP5VRdAS5E_4o"",""BD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'""&amp;YEAR(C102)&amp;""-""&amp;MONTH(C102)&amp;""-""&amp;DAY(C102)&amp;""'""))&gt;0,""Depositada"",if(sum(QUERY(IMPORTRANGE(""https://docs.google.com/spreadsheets/d/1wBSFbIXYswW2S5SMKo44LPsdTG4P4kfP5VRdAS5E_4o"",""BD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Sangria"")"),"")</f>
        <v/>
      </c>
      <c r="M102" s="185">
        <f>IFERROR(__xludf.DUMMYFUNCTION("ifna(VALUE(REGEXEXTRACT(E102,""[0-9.]+[,]+[0-9]+"")))"),5.0)</f>
        <v>5</v>
      </c>
      <c r="N102" s="221"/>
      <c r="O102" s="222"/>
      <c r="P102" s="215"/>
      <c r="Q102" s="223" t="str">
        <f t="shared" ref="Q102:Q138" si="2">IFERROR(VLOOKUP(P102, $B$4:$C$18, 2, FALSE), "")</f>
        <v/>
      </c>
      <c r="R102" s="215" t="str">
        <f t="shared" ref="R102:R138" si="3">IFERROR(VLOOKUP(P102, $A$4:$B$18, 2, FALSE), "")</f>
        <v/>
      </c>
      <c r="S102" s="264" t="str">
        <f t="shared" si="1"/>
        <v/>
      </c>
      <c r="T102" s="185"/>
      <c r="U102" s="185"/>
      <c r="V102" s="185"/>
    </row>
    <row r="103" ht="14.25" customHeight="1">
      <c r="A103" s="178"/>
      <c r="B103" s="10">
        <v>1726584.0</v>
      </c>
      <c r="C103" s="11">
        <v>45937.81574074074</v>
      </c>
      <c r="D103" s="179" t="s">
        <v>50</v>
      </c>
      <c r="E103" s="180" t="s">
        <v>205</v>
      </c>
      <c r="F103" s="181"/>
      <c r="G103" s="179" t="s">
        <v>6826</v>
      </c>
      <c r="H103" s="190"/>
      <c r="I103" s="190"/>
      <c r="J103" s="187" t="s">
        <v>3044</v>
      </c>
      <c r="K103" s="187" t="s">
        <v>6340</v>
      </c>
      <c r="L103" s="252" t="str">
        <f>IFERROR(__xludf.DUMMYFUNCTION("ifna(IF(and(D103=""Saída"",J103=""Sangria""),if(sum(QUERY(IMPORTRANGE(""https://docs.google.com/spreadsheets/d/1wBSFbIXYswW2S5SMKo44LPsdTG4P4kfP5VRdAS5E_4o"",""BD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'""&amp;YEAR(C103)&amp;""-""&amp;MONTH(C103)&amp;""-""&amp;DAY(C103)&amp;""'""))&gt;0,""Depositada"",if(sum(QUERY(IMPORTRANGE(""https://docs.google.com/spreadsheets/d/1wBSFbIXYswW2S5SMKo44LPsdTG4P4kfP5VRdAS5E_4o"",""BD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Sangria"")"),"")</f>
        <v/>
      </c>
      <c r="M103" s="185">
        <f>IFERROR(__xludf.DUMMYFUNCTION("ifna(VALUE(REGEXEXTRACT(E103,""[0-9.]+[,]+[0-9]+"")))"),10.0)</f>
        <v>10</v>
      </c>
      <c r="N103" s="224"/>
      <c r="O103" s="225"/>
      <c r="P103" s="216"/>
      <c r="Q103" s="226" t="str">
        <f t="shared" si="2"/>
        <v/>
      </c>
      <c r="R103" s="216" t="str">
        <f t="shared" si="3"/>
        <v/>
      </c>
      <c r="S103" s="264" t="str">
        <f t="shared" si="1"/>
        <v/>
      </c>
      <c r="T103" s="185"/>
      <c r="U103" s="185"/>
      <c r="V103" s="185"/>
    </row>
    <row r="104" ht="14.25" customHeight="1">
      <c r="A104" s="178"/>
      <c r="B104" s="10">
        <v>1727399.0</v>
      </c>
      <c r="C104" s="11">
        <v>45938.5834837963</v>
      </c>
      <c r="D104" s="179" t="s">
        <v>50</v>
      </c>
      <c r="E104" s="180" t="s">
        <v>329</v>
      </c>
      <c r="F104" s="188"/>
      <c r="G104" s="179" t="s">
        <v>6940</v>
      </c>
      <c r="H104" s="190"/>
      <c r="I104" s="190"/>
      <c r="J104" s="187" t="s">
        <v>4159</v>
      </c>
      <c r="K104" s="187"/>
      <c r="L104" s="252" t="str">
        <f>IFERROR(__xludf.DUMMYFUNCTION("ifna(IF(and(D104=""Saída"",J104=""Sangria""),if(sum(QUERY(IMPORTRANGE(""https://docs.google.com/spreadsheets/d/1wBSFbIXYswW2S5SMKo44LPsdTG4P4kfP5VRdAS5E_4o"",""BD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'""&amp;YEAR(C104)&amp;""-""&amp;MONTH(C104)&amp;""-""&amp;DAY(C104)&amp;""'""))&gt;0,""Depositada"",if(sum(QUERY(IMPORTRANGE(""https://docs.google.com/spreadsheets/d/1wBSFbIXYswW2S5SMKo44LPsdTG4P4kfP5VRdAS5E_4o"",""BD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Sangria"")"),"")</f>
        <v/>
      </c>
      <c r="M104" s="185">
        <f>IFERROR(__xludf.DUMMYFUNCTION("ifna(VALUE(REGEXEXTRACT(E104,""[0-9.]+[,]+[0-9]+"")))"),200.0)</f>
        <v>200</v>
      </c>
      <c r="N104" s="221"/>
      <c r="O104" s="222"/>
      <c r="P104" s="215"/>
      <c r="Q104" s="223" t="str">
        <f t="shared" si="2"/>
        <v/>
      </c>
      <c r="R104" s="215" t="str">
        <f t="shared" si="3"/>
        <v/>
      </c>
      <c r="S104" s="264" t="str">
        <f t="shared" si="1"/>
        <v/>
      </c>
      <c r="T104" s="185"/>
      <c r="U104" s="185"/>
      <c r="V104" s="185"/>
    </row>
    <row r="105" ht="14.25" customHeight="1">
      <c r="A105" s="178"/>
      <c r="B105" s="10">
        <v>1727400.0</v>
      </c>
      <c r="C105" s="11">
        <v>45938.584027777775</v>
      </c>
      <c r="D105" s="179" t="s">
        <v>227</v>
      </c>
      <c r="E105" s="180" t="s">
        <v>494</v>
      </c>
      <c r="F105" s="181"/>
      <c r="G105" s="253" t="s">
        <v>6941</v>
      </c>
      <c r="H105" s="190"/>
      <c r="I105" s="190"/>
      <c r="J105" s="187"/>
      <c r="K105" s="187"/>
      <c r="L105" s="252" t="str">
        <f>IFERROR(__xludf.DUMMYFUNCTION("ifna(IF(and(D105=""Saída"",J105=""Sangria""),if(sum(QUERY(IMPORTRANGE(""https://docs.google.com/spreadsheets/d/1wBSFbIXYswW2S5SMKo44LPsdTG4P4kfP5VRdAS5E_4o"",""BD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'""&amp;YEAR(C105)&amp;""-""&amp;MONTH(C105)&amp;""-""&amp;DAY(C105)&amp;""'""))&gt;0,""Depositada"",if(sum(QUERY(IMPORTRANGE(""https://docs.google.com/spreadsheets/d/1wBSFbIXYswW2S5SMKo44LPsdTG4P4kfP5VRdAS5E_4o"",""BD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Sangria"")"),"")</f>
        <v/>
      </c>
      <c r="M105" s="185">
        <f>IFERROR(__xludf.DUMMYFUNCTION("ifna(VALUE(REGEXEXTRACT(E105,""[0-9.]+[,]+[0-9]+"")))"),0.01)</f>
        <v>0.01</v>
      </c>
      <c r="N105" s="224"/>
      <c r="O105" s="225"/>
      <c r="P105" s="216"/>
      <c r="Q105" s="226" t="str">
        <f t="shared" si="2"/>
        <v/>
      </c>
      <c r="R105" s="216" t="str">
        <f t="shared" si="3"/>
        <v/>
      </c>
      <c r="S105" s="264" t="str">
        <f t="shared" si="1"/>
        <v/>
      </c>
      <c r="T105" s="185"/>
      <c r="U105" s="185"/>
      <c r="V105" s="185"/>
    </row>
    <row r="106" ht="14.25" customHeight="1">
      <c r="A106" s="178"/>
      <c r="B106" s="10">
        <v>1727708.0</v>
      </c>
      <c r="C106" s="11">
        <v>45938.696608796294</v>
      </c>
      <c r="D106" s="179" t="s">
        <v>50</v>
      </c>
      <c r="E106" s="180" t="s">
        <v>943</v>
      </c>
      <c r="F106" s="181"/>
      <c r="G106" s="179" t="s">
        <v>4960</v>
      </c>
      <c r="H106" s="190"/>
      <c r="I106" s="190"/>
      <c r="J106" s="187" t="s">
        <v>3044</v>
      </c>
      <c r="K106" s="187" t="s">
        <v>3168</v>
      </c>
      <c r="L106" s="252" t="str">
        <f>IFERROR(__xludf.DUMMYFUNCTION("ifna(IF(and(D106=""Saída"",J106=""Sangria""),if(sum(QUERY(IMPORTRANGE(""https://docs.google.com/spreadsheets/d/1wBSFbIXYswW2S5SMKo44LPsdTG4P4kfP5VRdAS5E_4o"",""BD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'""&amp;YEAR(C106)&amp;""-""&amp;MONTH(C106)&amp;""-""&amp;DAY(C106)&amp;""'""))&gt;0,""Depositada"",if(sum(QUERY(IMPORTRANGE(""https://docs.google.com/spreadsheets/d/1wBSFbIXYswW2S5SMKo44LPsdTG4P4kfP5VRdAS5E_4o"",""BD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Sangria"")"),"")</f>
        <v/>
      </c>
      <c r="M106" s="185">
        <f>IFERROR(__xludf.DUMMYFUNCTION("ifna(VALUE(REGEXEXTRACT(E106,""[0-9.]+[,]+[0-9]+"")))"),12.0)</f>
        <v>12</v>
      </c>
      <c r="N106" s="221"/>
      <c r="O106" s="222"/>
      <c r="P106" s="215"/>
      <c r="Q106" s="223" t="str">
        <f t="shared" si="2"/>
        <v/>
      </c>
      <c r="R106" s="215" t="str">
        <f t="shared" si="3"/>
        <v/>
      </c>
      <c r="S106" s="264" t="str">
        <f t="shared" si="1"/>
        <v/>
      </c>
      <c r="T106" s="185"/>
      <c r="U106" s="185"/>
      <c r="V106" s="185"/>
    </row>
    <row r="107" ht="18.75" customHeight="1">
      <c r="A107" s="178"/>
      <c r="B107" s="10">
        <v>1727778.0</v>
      </c>
      <c r="C107" s="11">
        <v>45938.71597222222</v>
      </c>
      <c r="D107" s="179" t="s">
        <v>50</v>
      </c>
      <c r="E107" s="180" t="s">
        <v>6945</v>
      </c>
      <c r="F107" s="181"/>
      <c r="G107" s="253" t="s">
        <v>6946</v>
      </c>
      <c r="H107" s="190"/>
      <c r="I107" s="190"/>
      <c r="J107" s="187" t="s">
        <v>3903</v>
      </c>
      <c r="K107" s="187"/>
      <c r="L107" s="252" t="str">
        <f>IFERROR(__xludf.DUMMYFUNCTION("ifna(IF(and(D107=""Saída"",J107=""Sangria""),if(sum(QUERY(IMPORTRANGE(""https://docs.google.com/spreadsheets/d/1wBSFbIXYswW2S5SMKo44LPsdTG4P4kfP5VRdAS5E_4o"",""BD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'""&amp;YEAR(C107)&amp;""-""&amp;MONTH(C107)&amp;""-""&amp;DAY(C107)&amp;""'""))&gt;0,""Depositada"",if(sum(QUERY(IMPORTRANGE(""https://docs.google.com/spreadsheets/d/1wBSFbIXYswW2S5SMKo44LPsdTG4P4kfP5VRdAS5E_4o"",""BD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Sangria"")"),"")</f>
        <v/>
      </c>
      <c r="M107" s="185">
        <f>IFERROR(__xludf.DUMMYFUNCTION("ifna(VALUE(REGEXEXTRACT(E107,""[0-9.]+[,]+[0-9]+"")))"),34.98)</f>
        <v>34.98</v>
      </c>
      <c r="N107" s="224"/>
      <c r="O107" s="216"/>
      <c r="P107" s="216"/>
      <c r="Q107" s="226" t="str">
        <f t="shared" si="2"/>
        <v/>
      </c>
      <c r="R107" s="216" t="str">
        <f t="shared" si="3"/>
        <v/>
      </c>
      <c r="S107" s="264" t="str">
        <f t="shared" si="1"/>
        <v/>
      </c>
      <c r="T107" s="185"/>
      <c r="U107" s="185"/>
      <c r="V107" s="185"/>
    </row>
    <row r="108" ht="14.25" customHeight="1">
      <c r="A108" s="178"/>
      <c r="B108" s="10">
        <v>1727788.0</v>
      </c>
      <c r="C108" s="11">
        <v>45938.71836805555</v>
      </c>
      <c r="D108" s="179" t="s">
        <v>50</v>
      </c>
      <c r="E108" s="180" t="s">
        <v>6949</v>
      </c>
      <c r="F108" s="181"/>
      <c r="G108" s="253" t="s">
        <v>6946</v>
      </c>
      <c r="H108" s="190"/>
      <c r="I108" s="190"/>
      <c r="J108" s="187" t="s">
        <v>3903</v>
      </c>
      <c r="K108" s="187"/>
      <c r="L108" s="252" t="str">
        <f>IFERROR(__xludf.DUMMYFUNCTION("ifna(IF(and(D108=""Saída"",J108=""Sangria""),if(sum(QUERY(IMPORTRANGE(""https://docs.google.com/spreadsheets/d/1wBSFbIXYswW2S5SMKo44LPsdTG4P4kfP5VRdAS5E_4o"",""BD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'""&amp;YEAR(C108)&amp;""-""&amp;MONTH(C108)&amp;""-""&amp;DAY(C108)&amp;""'""))&gt;0,""Depositada"",if(sum(QUERY(IMPORTRANGE(""https://docs.google.com/spreadsheets/d/1wBSFbIXYswW2S5SMKo44LPsdTG4P4kfP5VRdAS5E_4o"",""BD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Sangria"")"),"")</f>
        <v/>
      </c>
      <c r="M108" s="185">
        <f>IFERROR(__xludf.DUMMYFUNCTION("ifna(VALUE(REGEXEXTRACT(E108,""[0-9.]+[,]+[0-9]+"")))"),15.98)</f>
        <v>15.98</v>
      </c>
      <c r="N108" s="221"/>
      <c r="O108" s="215"/>
      <c r="P108" s="215"/>
      <c r="Q108" s="223" t="str">
        <f t="shared" si="2"/>
        <v/>
      </c>
      <c r="R108" s="215" t="str">
        <f t="shared" si="3"/>
        <v/>
      </c>
      <c r="S108" s="264" t="str">
        <f t="shared" si="1"/>
        <v/>
      </c>
      <c r="T108" s="185"/>
      <c r="U108" s="185"/>
      <c r="V108" s="185"/>
    </row>
    <row r="109" ht="15.75" customHeight="1">
      <c r="A109" s="178"/>
      <c r="B109" s="10">
        <v>1727860.0</v>
      </c>
      <c r="C109" s="11">
        <v>45938.74321759259</v>
      </c>
      <c r="D109" s="179" t="s">
        <v>50</v>
      </c>
      <c r="E109" s="180" t="s">
        <v>6846</v>
      </c>
      <c r="F109" s="181"/>
      <c r="G109" s="179" t="s">
        <v>6513</v>
      </c>
      <c r="H109" s="190"/>
      <c r="I109" s="190"/>
      <c r="J109" s="187" t="s">
        <v>3044</v>
      </c>
      <c r="K109" s="187" t="s">
        <v>3040</v>
      </c>
      <c r="L109" s="252" t="str">
        <f>IFERROR(__xludf.DUMMYFUNCTION("ifna(IF(and(D109=""Saída"",J109=""Sangria""),if(sum(QUERY(IMPORTRANGE(""https://docs.google.com/spreadsheets/d/1wBSFbIXYswW2S5SMKo44LPsdTG4P4kfP5VRdAS5E_4o"",""BD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'""&amp;YEAR(C109)&amp;""-""&amp;MONTH(C109)&amp;""-""&amp;DAY(C109)&amp;""'""))&gt;0,""Depositada"",if(sum(QUERY(IMPORTRANGE(""https://docs.google.com/spreadsheets/d/1wBSFbIXYswW2S5SMKo44LPsdTG4P4kfP5VRdAS5E_4o"",""BD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>
        <f>IFERROR(__xludf.DUMMYFUNCTION("ifna(VALUE(REGEXEXTRACT(E109,""[0-9.]+[,]+[0-9]+"")))"),13.0)</f>
        <v>13</v>
      </c>
      <c r="N109" s="224"/>
      <c r="O109" s="216"/>
      <c r="P109" s="216"/>
      <c r="Q109" s="226" t="str">
        <f t="shared" si="2"/>
        <v/>
      </c>
      <c r="R109" s="216" t="str">
        <f t="shared" si="3"/>
        <v/>
      </c>
      <c r="S109" s="264" t="str">
        <f t="shared" si="1"/>
        <v/>
      </c>
      <c r="T109" s="185"/>
      <c r="U109" s="185"/>
      <c r="V109" s="185"/>
    </row>
    <row r="110" ht="14.25" customHeight="1">
      <c r="A110" s="178"/>
      <c r="B110" s="10">
        <v>1727861.0</v>
      </c>
      <c r="C110" s="11">
        <v>45938.743726851855</v>
      </c>
      <c r="D110" s="179" t="s">
        <v>50</v>
      </c>
      <c r="E110" s="180" t="s">
        <v>205</v>
      </c>
      <c r="F110" s="181"/>
      <c r="G110" s="179" t="s">
        <v>6446</v>
      </c>
      <c r="H110" s="190"/>
      <c r="I110" s="190"/>
      <c r="J110" s="187" t="s">
        <v>3044</v>
      </c>
      <c r="K110" s="187" t="s">
        <v>6664</v>
      </c>
      <c r="L110" s="252" t="str">
        <f>IFERROR(__xludf.DUMMYFUNCTION("ifna(IF(and(D110=""Saída"",J110=""Sangria""),if(sum(QUERY(IMPORTRANGE(""https://docs.google.com/spreadsheets/d/1wBSFbIXYswW2S5SMKo44LPsdTG4P4kfP5VRdAS5E_4o"",""BD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'""&amp;YEAR(C110)&amp;""-""&amp;MONTH(C110)&amp;""-""&amp;DAY(C110)&amp;""'""))&gt;0,""Depositada"",if(sum(QUERY(IMPORTRANGE(""https://docs.google.com/spreadsheets/d/1wBSFbIXYswW2S5SMKo44LPsdTG4P4kfP5VRdAS5E_4o"",""BD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Sangria"")"),"")</f>
        <v/>
      </c>
      <c r="M110" s="185">
        <f>IFERROR(__xludf.DUMMYFUNCTION("ifna(VALUE(REGEXEXTRACT(E110,""[0-9.]+[,]+[0-9]+"")))"),10.0)</f>
        <v>10</v>
      </c>
      <c r="N110" s="221"/>
      <c r="O110" s="215"/>
      <c r="P110" s="215"/>
      <c r="Q110" s="223" t="str">
        <f t="shared" si="2"/>
        <v/>
      </c>
      <c r="R110" s="215" t="str">
        <f t="shared" si="3"/>
        <v/>
      </c>
      <c r="S110" s="264" t="str">
        <f t="shared" si="1"/>
        <v/>
      </c>
      <c r="T110" s="185"/>
      <c r="U110" s="185"/>
      <c r="V110" s="185"/>
    </row>
    <row r="111" ht="17.25" customHeight="1">
      <c r="A111" s="178"/>
      <c r="B111" s="10">
        <v>1727866.0</v>
      </c>
      <c r="C111" s="11">
        <v>45938.74513888889</v>
      </c>
      <c r="D111" s="179" t="s">
        <v>50</v>
      </c>
      <c r="E111" s="180" t="s">
        <v>6955</v>
      </c>
      <c r="F111" s="181"/>
      <c r="G111" s="253" t="s">
        <v>6593</v>
      </c>
      <c r="H111" s="190"/>
      <c r="I111" s="190"/>
      <c r="J111" s="187" t="s">
        <v>3044</v>
      </c>
      <c r="K111" s="187" t="s">
        <v>3040</v>
      </c>
      <c r="L111" s="252" t="str">
        <f>IFERROR(__xludf.DUMMYFUNCTION("ifna(IF(and(D111=""Saída"",J111=""Sangria""),if(sum(QUERY(IMPORTRANGE(""https://docs.google.com/spreadsheets/d/1wBSFbIXYswW2S5SMKo44LPsdTG4P4kfP5VRdAS5E_4o"",""BD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'""&amp;YEAR(C111)&amp;""-""&amp;MONTH(C111)&amp;""-""&amp;DAY(C111)&amp;""'""))&gt;0,""Depositada"",if(sum(QUERY(IMPORTRANGE(""https://docs.google.com/spreadsheets/d/1wBSFbIXYswW2S5SMKo44LPsdTG4P4kfP5VRdAS5E_4o"",""BD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>
        <f>IFERROR(__xludf.DUMMYFUNCTION("ifna(VALUE(REGEXEXTRACT(E111,""[0-9.]+[,]+[0-9]+"")))"),5.37)</f>
        <v>5.37</v>
      </c>
      <c r="N111" s="224"/>
      <c r="O111" s="216"/>
      <c r="P111" s="216"/>
      <c r="Q111" s="226" t="str">
        <f t="shared" si="2"/>
        <v/>
      </c>
      <c r="R111" s="216" t="str">
        <f t="shared" si="3"/>
        <v/>
      </c>
      <c r="S111" s="264" t="str">
        <f t="shared" si="1"/>
        <v/>
      </c>
      <c r="T111" s="185"/>
      <c r="U111" s="185"/>
      <c r="V111" s="185"/>
    </row>
    <row r="112" ht="14.25" customHeight="1">
      <c r="A112" s="178"/>
      <c r="B112" s="10">
        <v>1727869.0</v>
      </c>
      <c r="C112" s="11">
        <v>45938.74627314815</v>
      </c>
      <c r="D112" s="179" t="s">
        <v>50</v>
      </c>
      <c r="E112" s="180" t="s">
        <v>494</v>
      </c>
      <c r="F112" s="181"/>
      <c r="G112" s="253" t="s">
        <v>6957</v>
      </c>
      <c r="H112" s="190"/>
      <c r="I112" s="190"/>
      <c r="J112" s="187"/>
      <c r="K112" s="187"/>
      <c r="L112" s="252" t="str">
        <f>IFERROR(__xludf.DUMMYFUNCTION("ifna(IF(and(D112=""Saída"",J112=""Sangria""),if(sum(QUERY(IMPORTRANGE(""https://docs.google.com/spreadsheets/d/1wBSFbIXYswW2S5SMKo44LPsdTG4P4kfP5VRdAS5E_4o"",""BD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'""&amp;YEAR(C112)&amp;""-""&amp;MONTH(C112)&amp;""-""&amp;DAY(C112)&amp;""'""))&gt;0,""Depositada"",if(sum(QUERY(IMPORTRANGE(""https://docs.google.com/spreadsheets/d/1wBSFbIXYswW2S5SMKo44LPsdTG4P4kfP5VRdAS5E_4o"",""BD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IFERROR(__xludf.DUMMYFUNCTION("ifna(VALUE(REGEXEXTRACT(E112,""[0-9.]+[,]+[0-9]+"")))"),0.01)</f>
        <v>0.01</v>
      </c>
      <c r="N112" s="221"/>
      <c r="O112" s="215"/>
      <c r="P112" s="215"/>
      <c r="Q112" s="223" t="str">
        <f t="shared" si="2"/>
        <v/>
      </c>
      <c r="R112" s="215" t="str">
        <f t="shared" si="3"/>
        <v/>
      </c>
      <c r="S112" s="264" t="str">
        <f t="shared" si="1"/>
        <v/>
      </c>
      <c r="T112" s="185"/>
      <c r="U112" s="185"/>
      <c r="V112" s="185"/>
    </row>
    <row r="113" ht="14.25" customHeight="1">
      <c r="A113" s="178"/>
      <c r="B113" s="10">
        <v>1727960.0</v>
      </c>
      <c r="C113" s="11">
        <v>45938.78292824074</v>
      </c>
      <c r="D113" s="179" t="s">
        <v>50</v>
      </c>
      <c r="E113" s="180" t="s">
        <v>6960</v>
      </c>
      <c r="F113" s="181"/>
      <c r="G113" s="179" t="s">
        <v>6961</v>
      </c>
      <c r="H113" s="190"/>
      <c r="I113" s="190"/>
      <c r="J113" s="187" t="s">
        <v>3825</v>
      </c>
      <c r="K113" s="187"/>
      <c r="L113" s="252" t="str">
        <f>IFERROR(__xludf.DUMMYFUNCTION("ifna(IF(and(D113=""Saída"",J113=""Sangria""),if(sum(QUERY(IMPORTRANGE(""https://docs.google.com/spreadsheets/d/1wBSFbIXYswW2S5SMKo44LPsdTG4P4kfP5VRdAS5E_4o"",""BD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'""&amp;YEAR(C113)&amp;""-""&amp;MONTH(C113)&amp;""-""&amp;DAY(C113)&amp;""'""))&gt;0,""Depositada"",if(sum(QUERY(IMPORTRANGE(""https://docs.google.com/spreadsheets/d/1wBSFbIXYswW2S5SMKo44LPsdTG4P4kfP5VRdAS5E_4o"",""BD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>
        <f>IFERROR(__xludf.DUMMYFUNCTION("ifna(VALUE(REGEXEXTRACT(E113,""[0-9.]+[,]+[0-9]+"")))"),97.0)</f>
        <v>97</v>
      </c>
      <c r="N113" s="224"/>
      <c r="O113" s="216"/>
      <c r="P113" s="216"/>
      <c r="Q113" s="226" t="str">
        <f t="shared" si="2"/>
        <v/>
      </c>
      <c r="R113" s="216" t="str">
        <f t="shared" si="3"/>
        <v/>
      </c>
      <c r="S113" s="264" t="str">
        <f t="shared" si="1"/>
        <v/>
      </c>
      <c r="T113" s="185"/>
      <c r="U113" s="185"/>
      <c r="V113" s="185"/>
    </row>
    <row r="114" ht="14.25" customHeight="1">
      <c r="A114" s="178"/>
      <c r="B114" s="10">
        <v>1728026.0</v>
      </c>
      <c r="C114" s="11">
        <v>45938.80756944444</v>
      </c>
      <c r="D114" s="179" t="s">
        <v>50</v>
      </c>
      <c r="E114" s="180" t="s">
        <v>871</v>
      </c>
      <c r="F114" s="181"/>
      <c r="G114" s="179" t="s">
        <v>6513</v>
      </c>
      <c r="H114" s="190"/>
      <c r="I114" s="190"/>
      <c r="J114" s="187" t="s">
        <v>3044</v>
      </c>
      <c r="K114" s="187" t="s">
        <v>3040</v>
      </c>
      <c r="L114" s="252" t="str">
        <f>IFERROR(__xludf.DUMMYFUNCTION("ifna(IF(and(D114=""Saída"",J114=""Sangria""),if(sum(QUERY(IMPORTRANGE(""https://docs.google.com/spreadsheets/d/1wBSFbIXYswW2S5SMKo44LPsdTG4P4kfP5VRdAS5E_4o"",""BD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'""&amp;YEAR(C114)&amp;""-""&amp;MONTH(C114)&amp;""-""&amp;DAY(C114)&amp;""'""))&gt;0,""Depositada"",if(sum(QUERY(IMPORTRANGE(""https://docs.google.com/spreadsheets/d/1wBSFbIXYswW2S5SMKo44LPsdTG4P4kfP5VRdAS5E_4o"",""BD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>
        <f>IFERROR(__xludf.DUMMYFUNCTION("ifna(VALUE(REGEXEXTRACT(E114,""[0-9.]+[,]+[0-9]+"")))"),9.0)</f>
        <v>9</v>
      </c>
      <c r="N114" s="221"/>
      <c r="O114" s="215"/>
      <c r="P114" s="215"/>
      <c r="Q114" s="223" t="str">
        <f t="shared" si="2"/>
        <v/>
      </c>
      <c r="R114" s="215" t="str">
        <f t="shared" si="3"/>
        <v/>
      </c>
      <c r="S114" s="264" t="str">
        <f t="shared" si="1"/>
        <v/>
      </c>
      <c r="T114" s="185"/>
      <c r="U114" s="185"/>
      <c r="V114" s="185"/>
    </row>
    <row r="115" ht="14.25" customHeight="1">
      <c r="A115" s="178"/>
      <c r="B115" s="10">
        <v>1728050.0</v>
      </c>
      <c r="C115" s="11">
        <v>45938.819710648146</v>
      </c>
      <c r="D115" s="179" t="s">
        <v>50</v>
      </c>
      <c r="E115" s="180" t="s">
        <v>246</v>
      </c>
      <c r="F115" s="181"/>
      <c r="G115" s="179" t="s">
        <v>6826</v>
      </c>
      <c r="H115" s="190"/>
      <c r="I115" s="190"/>
      <c r="J115" s="187" t="s">
        <v>3044</v>
      </c>
      <c r="K115" s="187" t="s">
        <v>6340</v>
      </c>
      <c r="L115" s="252" t="str">
        <f>IFERROR(__xludf.DUMMYFUNCTION("ifna(IF(and(D115=""Saída"",J115=""Sangria""),if(sum(QUERY(IMPORTRANGE(""https://docs.google.com/spreadsheets/d/1wBSFbIXYswW2S5SMKo44LPsdTG4P4kfP5VRdAS5E_4o"",""BD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'""&amp;YEAR(C115)&amp;""-""&amp;MONTH(C115)&amp;""-""&amp;DAY(C115)&amp;""'""))&gt;0,""Depositada"",if(sum(QUERY(IMPORTRANGE(""https://docs.google.com/spreadsheets/d/1wBSFbIXYswW2S5SMKo44LPsdTG4P4kfP5VRdAS5E_4o"",""BD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>
        <f>IFERROR(__xludf.DUMMYFUNCTION("ifna(VALUE(REGEXEXTRACT(E115,""[0-9.]+[,]+[0-9]+"")))"),4.0)</f>
        <v>4</v>
      </c>
      <c r="N115" s="224"/>
      <c r="O115" s="216"/>
      <c r="P115" s="216"/>
      <c r="Q115" s="226" t="str">
        <f t="shared" si="2"/>
        <v/>
      </c>
      <c r="R115" s="216" t="str">
        <f t="shared" si="3"/>
        <v/>
      </c>
      <c r="S115" s="264" t="str">
        <f t="shared" si="1"/>
        <v/>
      </c>
      <c r="T115" s="185"/>
      <c r="U115" s="185"/>
      <c r="V115" s="185"/>
    </row>
    <row r="116" ht="14.25" customHeight="1">
      <c r="A116" s="178"/>
      <c r="B116" s="10">
        <v>1728431.0</v>
      </c>
      <c r="C116" s="11">
        <v>45938.93208333333</v>
      </c>
      <c r="D116" s="179" t="s">
        <v>50</v>
      </c>
      <c r="E116" s="180" t="s">
        <v>6965</v>
      </c>
      <c r="F116" s="181"/>
      <c r="G116" s="179" t="s">
        <v>6826</v>
      </c>
      <c r="H116" s="190"/>
      <c r="I116" s="190"/>
      <c r="J116" s="187" t="s">
        <v>3044</v>
      </c>
      <c r="K116" s="187" t="s">
        <v>6340</v>
      </c>
      <c r="L116" s="252" t="str">
        <f>IFERROR(__xludf.DUMMYFUNCTION("ifna(IF(and(D116=""Saída"",J116=""Sangria""),if(sum(QUERY(IMPORTRANGE(""https://docs.google.com/spreadsheets/d/1wBSFbIXYswW2S5SMKo44LPsdTG4P4kfP5VRdAS5E_4o"",""BD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'""&amp;YEAR(C116)&amp;""-""&amp;MONTH(C116)&amp;""-""&amp;DAY(C116)&amp;""'""))&gt;0,""Depositada"",if(sum(QUERY(IMPORTRANGE(""https://docs.google.com/spreadsheets/d/1wBSFbIXYswW2S5SMKo44LPsdTG4P4kfP5VRdAS5E_4o"",""BD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Sangria"")"),"")</f>
        <v/>
      </c>
      <c r="M116" s="185">
        <f>IFERROR(__xludf.DUMMYFUNCTION("ifna(VALUE(REGEXEXTRACT(E116,""[0-9.]+[,]+[0-9]+"")))"),20.9)</f>
        <v>20.9</v>
      </c>
      <c r="N116" s="221"/>
      <c r="O116" s="215"/>
      <c r="P116" s="215"/>
      <c r="Q116" s="223" t="str">
        <f t="shared" si="2"/>
        <v/>
      </c>
      <c r="R116" s="215" t="str">
        <f t="shared" si="3"/>
        <v/>
      </c>
      <c r="S116" s="264" t="str">
        <f t="shared" si="1"/>
        <v/>
      </c>
      <c r="T116" s="185"/>
      <c r="U116" s="185"/>
      <c r="V116" s="185"/>
    </row>
    <row r="117" ht="14.25" customHeight="1">
      <c r="A117" s="178"/>
      <c r="B117" s="10">
        <v>1728717.0</v>
      </c>
      <c r="C117" s="11">
        <v>45939.55505787037</v>
      </c>
      <c r="D117" s="179" t="s">
        <v>50</v>
      </c>
      <c r="E117" s="180" t="s">
        <v>6968</v>
      </c>
      <c r="F117" s="188"/>
      <c r="G117" s="179" t="s">
        <v>6969</v>
      </c>
      <c r="H117" s="190"/>
      <c r="I117" s="190"/>
      <c r="J117" s="187" t="s">
        <v>3044</v>
      </c>
      <c r="K117" s="187" t="s">
        <v>6340</v>
      </c>
      <c r="L117" s="252" t="str">
        <f>IFERROR(__xludf.DUMMYFUNCTION("ifna(IF(and(D117=""Saída"",J117=""Sangria""),if(sum(QUERY(IMPORTRANGE(""https://docs.google.com/spreadsheets/d/1wBSFbIXYswW2S5SMKo44LPsdTG4P4kfP5VRdAS5E_4o"",""BD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'""&amp;YEAR(C117)&amp;""-""&amp;MONTH(C117)&amp;""-""&amp;DAY(C117)&amp;""'""))&gt;0,""Depositada"",if(sum(QUERY(IMPORTRANGE(""https://docs.google.com/spreadsheets/d/1wBSFbIXYswW2S5SMKo44LPsdTG4P4kfP5VRdAS5E_4o"",""BD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>
        <f>IFERROR(__xludf.DUMMYFUNCTION("ifna(VALUE(REGEXEXTRACT(E117,""[0-9.]+[,]+[0-9]+"")))"),17.0)</f>
        <v>17</v>
      </c>
      <c r="N117" s="224"/>
      <c r="O117" s="216"/>
      <c r="P117" s="216"/>
      <c r="Q117" s="226" t="str">
        <f t="shared" si="2"/>
        <v/>
      </c>
      <c r="R117" s="216" t="str">
        <f t="shared" si="3"/>
        <v/>
      </c>
      <c r="S117" s="265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0">
        <v>1729074.0</v>
      </c>
      <c r="C118" s="11">
        <v>45939.70690972222</v>
      </c>
      <c r="D118" s="179" t="s">
        <v>50</v>
      </c>
      <c r="E118" s="180" t="s">
        <v>6972</v>
      </c>
      <c r="F118" s="181"/>
      <c r="G118" s="179" t="s">
        <v>6973</v>
      </c>
      <c r="H118" s="190"/>
      <c r="I118" s="190"/>
      <c r="J118" s="187" t="s">
        <v>3903</v>
      </c>
      <c r="K118" s="187"/>
      <c r="L118" s="252" t="str">
        <f>IFERROR(__xludf.DUMMYFUNCTION("ifna(IF(and(D118=""Saída"",J118=""Sangria""),if(sum(QUERY(IMPORTRANGE(""https://docs.google.com/spreadsheets/d/1wBSFbIXYswW2S5SMKo44LPsdTG4P4kfP5VRdAS5E_4o"",""BD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'""&amp;YEAR(C118)&amp;""-""&amp;MONTH(C118)&amp;""-""&amp;DAY(C118)&amp;""'""))&gt;0,""Depositada"",if(sum(QUERY(IMPORTRANGE(""https://docs.google.com/spreadsheets/d/1wBSFbIXYswW2S5SMKo44LPsdTG4P4kfP5VRdAS5E_4o"",""BD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Sangria"")"),"")</f>
        <v/>
      </c>
      <c r="M118" s="185">
        <f>IFERROR(__xludf.DUMMYFUNCTION("ifna(VALUE(REGEXEXTRACT(E118,""[0-9.]+[,]+[0-9]+"")))"),317.25)</f>
        <v>317.25</v>
      </c>
      <c r="N118" s="221"/>
      <c r="O118" s="215"/>
      <c r="P118" s="215"/>
      <c r="Q118" s="223" t="str">
        <f t="shared" si="2"/>
        <v/>
      </c>
      <c r="R118" s="215" t="str">
        <f t="shared" si="3"/>
        <v/>
      </c>
      <c r="S118" s="265" t="str">
        <f t="shared" si="4"/>
        <v/>
      </c>
      <c r="T118" s="185"/>
      <c r="U118" s="185"/>
      <c r="V118" s="185"/>
    </row>
    <row r="119" ht="14.25" customHeight="1">
      <c r="A119" s="178"/>
      <c r="B119" s="10">
        <v>1729077.0</v>
      </c>
      <c r="C119" s="11">
        <v>45939.70747685185</v>
      </c>
      <c r="D119" s="179" t="s">
        <v>50</v>
      </c>
      <c r="E119" s="180" t="s">
        <v>6976</v>
      </c>
      <c r="F119" s="181"/>
      <c r="G119" s="179" t="s">
        <v>6977</v>
      </c>
      <c r="H119" s="190"/>
      <c r="I119" s="190"/>
      <c r="J119" s="187" t="s">
        <v>3903</v>
      </c>
      <c r="K119" s="187"/>
      <c r="L119" s="252" t="str">
        <f>IFERROR(__xludf.DUMMYFUNCTION("ifna(IF(and(D119=""Saída"",J119=""Sangria""),if(sum(QUERY(IMPORTRANGE(""https://docs.google.com/spreadsheets/d/1wBSFbIXYswW2S5SMKo44LPsdTG4P4kfP5VRdAS5E_4o"",""BD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'""&amp;YEAR(C119)&amp;""-""&amp;MONTH(C119)&amp;""-""&amp;DAY(C119)&amp;""'""))&gt;0,""Depositada"",if(sum(QUERY(IMPORTRANGE(""https://docs.google.com/spreadsheets/d/1wBSFbIXYswW2S5SMKo44LPsdTG4P4kfP5VRdAS5E_4o"",""BD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>
        <f>IFERROR(__xludf.DUMMYFUNCTION("ifna(VALUE(REGEXEXTRACT(E119,""[0-9.]+[,]+[0-9]+"")))"),8.2)</f>
        <v>8.2</v>
      </c>
      <c r="N119" s="224"/>
      <c r="O119" s="216"/>
      <c r="P119" s="216"/>
      <c r="Q119" s="226" t="str">
        <f t="shared" si="2"/>
        <v/>
      </c>
      <c r="R119" s="216" t="str">
        <f t="shared" si="3"/>
        <v/>
      </c>
      <c r="S119" s="265" t="str">
        <f t="shared" si="4"/>
        <v/>
      </c>
      <c r="T119" s="185"/>
      <c r="U119" s="185"/>
      <c r="V119" s="185"/>
    </row>
    <row r="120" ht="14.25" customHeight="1">
      <c r="A120" s="178"/>
      <c r="B120" s="10">
        <v>1729078.0</v>
      </c>
      <c r="C120" s="11">
        <v>45939.707719907405</v>
      </c>
      <c r="D120" s="179" t="s">
        <v>50</v>
      </c>
      <c r="E120" s="180" t="s">
        <v>6978</v>
      </c>
      <c r="F120" s="181"/>
      <c r="G120" s="179" t="s">
        <v>6499</v>
      </c>
      <c r="H120" s="190"/>
      <c r="I120" s="190"/>
      <c r="J120" s="187" t="s">
        <v>3903</v>
      </c>
      <c r="K120" s="187"/>
      <c r="L120" s="252" t="str">
        <f>IFERROR(__xludf.DUMMYFUNCTION("ifna(IF(and(D120=""Saída"",J120=""Sangria""),if(sum(QUERY(IMPORTRANGE(""https://docs.google.com/spreadsheets/d/1wBSFbIXYswW2S5SMKo44LPsdTG4P4kfP5VRdAS5E_4o"",""BD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'""&amp;YEAR(C120)&amp;""-""&amp;MONTH(C120)&amp;""-""&amp;DAY(C120)&amp;""'""))&gt;0,""Depositada"",if(sum(QUERY(IMPORTRANGE(""https://docs.google.com/spreadsheets/d/1wBSFbIXYswW2S5SMKo44LPsdTG4P4kfP5VRdAS5E_4o"",""BD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Sangria"")"),"")</f>
        <v/>
      </c>
      <c r="M120" s="185">
        <f>IFERROR(__xludf.DUMMYFUNCTION("ifna(VALUE(REGEXEXTRACT(E120,""[0-9.]+[,]+[0-9]+"")))"),9.25)</f>
        <v>9.25</v>
      </c>
      <c r="N120" s="221"/>
      <c r="O120" s="215"/>
      <c r="P120" s="215"/>
      <c r="Q120" s="223" t="str">
        <f t="shared" si="2"/>
        <v/>
      </c>
      <c r="R120" s="215" t="str">
        <f t="shared" si="3"/>
        <v/>
      </c>
      <c r="S120" s="265" t="str">
        <f t="shared" si="4"/>
        <v/>
      </c>
      <c r="T120" s="185"/>
      <c r="U120" s="185"/>
      <c r="V120" s="185"/>
    </row>
    <row r="121" ht="14.25" customHeight="1">
      <c r="A121" s="178"/>
      <c r="B121" s="10">
        <v>1729081.0</v>
      </c>
      <c r="C121" s="11">
        <v>45939.70827546297</v>
      </c>
      <c r="D121" s="179" t="s">
        <v>50</v>
      </c>
      <c r="E121" s="180" t="s">
        <v>6979</v>
      </c>
      <c r="F121" s="188"/>
      <c r="G121" s="179" t="s">
        <v>6499</v>
      </c>
      <c r="H121" s="190"/>
      <c r="I121" s="190"/>
      <c r="J121" s="187" t="s">
        <v>3903</v>
      </c>
      <c r="K121" s="187"/>
      <c r="L121" s="252" t="str">
        <f>IFERROR(__xludf.DUMMYFUNCTION("ifna(IF(and(D121=""Saída"",J121=""Sangria""),if(sum(QUERY(IMPORTRANGE(""https://docs.google.com/spreadsheets/d/1wBSFbIXYswW2S5SMKo44LPsdTG4P4kfP5VRdAS5E_4o"",""BD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'""&amp;YEAR(C121)&amp;""-""&amp;MONTH(C121)&amp;""-""&amp;DAY(C121)&amp;""'""))&gt;0,""Depositada"",if(sum(QUERY(IMPORTRANGE(""https://docs.google.com/spreadsheets/d/1wBSFbIXYswW2S5SMKo44LPsdTG4P4kfP5VRdAS5E_4o"",""BD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>
        <f>IFERROR(__xludf.DUMMYFUNCTION("ifna(VALUE(REGEXEXTRACT(E121,""[0-9.]+[,]+[0-9]+"")))"),24.1)</f>
        <v>24.1</v>
      </c>
      <c r="N121" s="224"/>
      <c r="O121" s="216"/>
      <c r="P121" s="216"/>
      <c r="Q121" s="226" t="str">
        <f t="shared" si="2"/>
        <v/>
      </c>
      <c r="R121" s="216" t="str">
        <f t="shared" si="3"/>
        <v/>
      </c>
      <c r="S121" s="265" t="str">
        <f t="shared" si="4"/>
        <v/>
      </c>
      <c r="T121" s="185"/>
      <c r="U121" s="185"/>
      <c r="V121" s="185"/>
    </row>
    <row r="122" ht="14.25" customHeight="1">
      <c r="A122" s="178"/>
      <c r="B122" s="10">
        <v>1729214.0</v>
      </c>
      <c r="C122" s="11">
        <v>45939.7546875</v>
      </c>
      <c r="D122" s="179" t="s">
        <v>50</v>
      </c>
      <c r="E122" s="180" t="s">
        <v>6981</v>
      </c>
      <c r="F122" s="181"/>
      <c r="G122" s="179" t="s">
        <v>6513</v>
      </c>
      <c r="H122" s="190"/>
      <c r="I122" s="190"/>
      <c r="J122" s="187" t="s">
        <v>3044</v>
      </c>
      <c r="K122" s="187" t="s">
        <v>3040</v>
      </c>
      <c r="L122" s="252" t="str">
        <f>IFERROR(__xludf.DUMMYFUNCTION("ifna(IF(and(D122=""Saída"",J122=""Sangria""),if(sum(QUERY(IMPORTRANGE(""https://docs.google.com/spreadsheets/d/1wBSFbIXYswW2S5SMKo44LPsdTG4P4kfP5VRdAS5E_4o"",""BD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'""&amp;YEAR(C122)&amp;""-""&amp;MONTH(C122)&amp;""-""&amp;DAY(C122)&amp;""'""))&gt;0,""Depositada"",if(sum(QUERY(IMPORTRANGE(""https://docs.google.com/spreadsheets/d/1wBSFbIXYswW2S5SMKo44LPsdTG4P4kfP5VRdAS5E_4o"",""BD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Sangria"")"),"")</f>
        <v/>
      </c>
      <c r="M122" s="185">
        <f>IFERROR(__xludf.DUMMYFUNCTION("ifna(VALUE(REGEXEXTRACT(E122,""[0-9.]+[,]+[0-9]+"")))"),21.1)</f>
        <v>21.1</v>
      </c>
      <c r="N122" s="221"/>
      <c r="O122" s="215"/>
      <c r="P122" s="215"/>
      <c r="Q122" s="223" t="str">
        <f t="shared" si="2"/>
        <v/>
      </c>
      <c r="R122" s="215" t="str">
        <f t="shared" si="3"/>
        <v/>
      </c>
      <c r="S122" s="265" t="str">
        <f t="shared" si="4"/>
        <v/>
      </c>
      <c r="T122" s="185"/>
      <c r="U122" s="185"/>
      <c r="V122" s="185"/>
    </row>
    <row r="123" ht="14.25" customHeight="1">
      <c r="A123" s="178"/>
      <c r="B123" s="10">
        <v>1729288.0</v>
      </c>
      <c r="C123" s="11">
        <v>45939.78030092592</v>
      </c>
      <c r="D123" s="179" t="s">
        <v>50</v>
      </c>
      <c r="E123" s="180" t="s">
        <v>6983</v>
      </c>
      <c r="F123" s="181"/>
      <c r="G123" s="179" t="s">
        <v>6513</v>
      </c>
      <c r="H123" s="190"/>
      <c r="I123" s="190"/>
      <c r="J123" s="187" t="s">
        <v>3044</v>
      </c>
      <c r="K123" s="187" t="s">
        <v>3040</v>
      </c>
      <c r="L123" s="252" t="str">
        <f>IFERROR(__xludf.DUMMYFUNCTION("ifna(IF(and(D123=""Saída"",J123=""Sangria""),if(sum(QUERY(IMPORTRANGE(""https://docs.google.com/spreadsheets/d/1wBSFbIXYswW2S5SMKo44LPsdTG4P4kfP5VRdAS5E_4o"",""BD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'""&amp;YEAR(C123)&amp;""-""&amp;MONTH(C123)&amp;""-""&amp;DAY(C123)&amp;""'""))&gt;0,""Depositada"",if(sum(QUERY(IMPORTRANGE(""https://docs.google.com/spreadsheets/d/1wBSFbIXYswW2S5SMKo44LPsdTG4P4kfP5VRdAS5E_4o"",""BD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Sangria"")"),"")</f>
        <v/>
      </c>
      <c r="M123" s="185">
        <f>IFERROR(__xludf.DUMMYFUNCTION("ifna(VALUE(REGEXEXTRACT(E123,""[0-9.]+[,]+[0-9]+"")))"),4.09)</f>
        <v>4.09</v>
      </c>
      <c r="N123" s="224"/>
      <c r="O123" s="216"/>
      <c r="P123" s="216"/>
      <c r="Q123" s="226" t="str">
        <f t="shared" si="2"/>
        <v/>
      </c>
      <c r="R123" s="216" t="str">
        <f t="shared" si="3"/>
        <v/>
      </c>
      <c r="S123" s="265" t="str">
        <f t="shared" si="4"/>
        <v/>
      </c>
      <c r="T123" s="185"/>
      <c r="U123" s="185"/>
      <c r="V123" s="185"/>
    </row>
    <row r="124" ht="14.25" customHeight="1">
      <c r="A124" s="178"/>
      <c r="B124" s="10">
        <v>1729293.0</v>
      </c>
      <c r="C124" s="11">
        <v>45939.78418981482</v>
      </c>
      <c r="D124" s="179" t="s">
        <v>50</v>
      </c>
      <c r="E124" s="180" t="s">
        <v>6985</v>
      </c>
      <c r="F124" s="181"/>
      <c r="G124" s="179" t="s">
        <v>6986</v>
      </c>
      <c r="H124" s="190"/>
      <c r="I124" s="190"/>
      <c r="J124" s="187" t="s">
        <v>3903</v>
      </c>
      <c r="K124" s="187"/>
      <c r="L124" s="252" t="str">
        <f>IFERROR(__xludf.DUMMYFUNCTION("ifna(IF(and(D124=""Saída"",J124=""Sangria""),if(sum(QUERY(IMPORTRANGE(""https://docs.google.com/spreadsheets/d/1wBSFbIXYswW2S5SMKo44LPsdTG4P4kfP5VRdAS5E_4o"",""BD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'""&amp;YEAR(C124)&amp;""-""&amp;MONTH(C124)&amp;""-""&amp;DAY(C124)&amp;""'""))&gt;0,""Depositada"",if(sum(QUERY(IMPORTRANGE(""https://docs.google.com/spreadsheets/d/1wBSFbIXYswW2S5SMKo44LPsdTG4P4kfP5VRdAS5E_4o"",""BD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Sangria"")"),"")</f>
        <v/>
      </c>
      <c r="M124" s="185">
        <f>IFERROR(__xludf.DUMMYFUNCTION("ifna(VALUE(REGEXEXTRACT(E124,""[0-9.]+[,]+[0-9]+"")))"),263.93)</f>
        <v>263.93</v>
      </c>
      <c r="N124" s="221"/>
      <c r="O124" s="215"/>
      <c r="P124" s="215"/>
      <c r="Q124" s="223" t="str">
        <f t="shared" si="2"/>
        <v/>
      </c>
      <c r="R124" s="215" t="str">
        <f t="shared" si="3"/>
        <v/>
      </c>
      <c r="S124" s="265" t="str">
        <f t="shared" si="4"/>
        <v/>
      </c>
      <c r="T124" s="185"/>
      <c r="U124" s="185"/>
      <c r="V124" s="185"/>
    </row>
    <row r="125" ht="14.25" customHeight="1">
      <c r="A125" s="178"/>
      <c r="B125" s="10">
        <v>1729297.0</v>
      </c>
      <c r="C125" s="11">
        <v>45939.78587962963</v>
      </c>
      <c r="D125" s="179" t="s">
        <v>50</v>
      </c>
      <c r="E125" s="180" t="s">
        <v>6987</v>
      </c>
      <c r="F125" s="181"/>
      <c r="G125" s="179" t="s">
        <v>6513</v>
      </c>
      <c r="H125" s="190"/>
      <c r="I125" s="190"/>
      <c r="J125" s="187" t="s">
        <v>3044</v>
      </c>
      <c r="K125" s="187" t="s">
        <v>3040</v>
      </c>
      <c r="L125" s="252" t="str">
        <f>IFERROR(__xludf.DUMMYFUNCTION("ifna(IF(and(D125=""Saída"",J125=""Sangria""),if(sum(QUERY(IMPORTRANGE(""https://docs.google.com/spreadsheets/d/1wBSFbIXYswW2S5SMKo44LPsdTG4P4kfP5VRdAS5E_4o"",""BD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'""&amp;YEAR(C125)&amp;""-""&amp;MONTH(C125)&amp;""-""&amp;DAY(C125)&amp;""'""))&gt;0,""Depositada"",if(sum(QUERY(IMPORTRANGE(""https://docs.google.com/spreadsheets/d/1wBSFbIXYswW2S5SMKo44LPsdTG4P4kfP5VRdAS5E_4o"",""BD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>
        <f>IFERROR(__xludf.DUMMYFUNCTION("ifna(VALUE(REGEXEXTRACT(E125,""[0-9.]+[,]+[0-9]+"")))"),37.7)</f>
        <v>37.7</v>
      </c>
      <c r="N125" s="224"/>
      <c r="O125" s="216"/>
      <c r="P125" s="216"/>
      <c r="Q125" s="226" t="str">
        <f t="shared" si="2"/>
        <v/>
      </c>
      <c r="R125" s="216" t="str">
        <f t="shared" si="3"/>
        <v/>
      </c>
      <c r="S125" s="265" t="str">
        <f t="shared" si="4"/>
        <v/>
      </c>
      <c r="T125" s="185"/>
      <c r="U125" s="185"/>
      <c r="V125" s="185"/>
    </row>
    <row r="126" ht="16.5" customHeight="1">
      <c r="A126" s="178"/>
      <c r="B126" s="10">
        <v>1729314.0</v>
      </c>
      <c r="C126" s="11">
        <v>45939.791817129626</v>
      </c>
      <c r="D126" s="179" t="s">
        <v>50</v>
      </c>
      <c r="E126" s="180" t="s">
        <v>6988</v>
      </c>
      <c r="F126" s="181"/>
      <c r="G126" s="179" t="s">
        <v>4960</v>
      </c>
      <c r="H126" s="190"/>
      <c r="I126" s="190"/>
      <c r="J126" s="187" t="s">
        <v>3044</v>
      </c>
      <c r="K126" s="187" t="s">
        <v>3168</v>
      </c>
      <c r="L126" s="252" t="str">
        <f>IFERROR(__xludf.DUMMYFUNCTION("ifna(IF(and(D126=""Saída"",J126=""Sangria""),if(sum(QUERY(IMPORTRANGE(""https://docs.google.com/spreadsheets/d/1wBSFbIXYswW2S5SMKo44LPsdTG4P4kfP5VRdAS5E_4o"",""BD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'""&amp;YEAR(C126)&amp;""-""&amp;MONTH(C126)&amp;""-""&amp;DAY(C126)&amp;""'""))&gt;0,""Depositada"",if(sum(QUERY(IMPORTRANGE(""https://docs.google.com/spreadsheets/d/1wBSFbIXYswW2S5SMKo44LPsdTG4P4kfP5VRdAS5E_4o"",""BD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>
        <f>IFERROR(__xludf.DUMMYFUNCTION("ifna(VALUE(REGEXEXTRACT(E126,""[0-9.]+[,]+[0-9]+"")))"),13.8)</f>
        <v>13.8</v>
      </c>
      <c r="N126" s="221"/>
      <c r="O126" s="215"/>
      <c r="P126" s="215"/>
      <c r="Q126" s="223" t="str">
        <f t="shared" si="2"/>
        <v/>
      </c>
      <c r="R126" s="215" t="str">
        <f t="shared" si="3"/>
        <v/>
      </c>
      <c r="S126" s="265" t="str">
        <f t="shared" si="4"/>
        <v/>
      </c>
      <c r="T126" s="185"/>
      <c r="U126" s="185"/>
      <c r="V126" s="185"/>
    </row>
    <row r="127" ht="18.75" customHeight="1">
      <c r="A127" s="178"/>
      <c r="B127" s="10">
        <v>1729482.0</v>
      </c>
      <c r="C127" s="11">
        <v>45939.874189814815</v>
      </c>
      <c r="D127" s="179" t="s">
        <v>50</v>
      </c>
      <c r="E127" s="180" t="s">
        <v>246</v>
      </c>
      <c r="F127" s="181"/>
      <c r="G127" s="179" t="s">
        <v>4960</v>
      </c>
      <c r="H127" s="190"/>
      <c r="I127" s="190"/>
      <c r="J127" s="187" t="s">
        <v>3044</v>
      </c>
      <c r="K127" s="187" t="s">
        <v>3168</v>
      </c>
      <c r="L127" s="252" t="str">
        <f>IFERROR(__xludf.DUMMYFUNCTION("ifna(IF(and(D127=""Saída"",J127=""Sangria""),if(sum(QUERY(IMPORTRANGE(""https://docs.google.com/spreadsheets/d/1wBSFbIXYswW2S5SMKo44LPsdTG4P4kfP5VRdAS5E_4o"",""BD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'""&amp;YEAR(C127)&amp;""-""&amp;MONTH(C127)&amp;""-""&amp;DAY(C127)&amp;""'""))&gt;0,""Depositada"",if(sum(QUERY(IMPORTRANGE(""https://docs.google.com/spreadsheets/d/1wBSFbIXYswW2S5SMKo44LPsdTG4P4kfP5VRdAS5E_4o"",""BD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>
        <f>IFERROR(__xludf.DUMMYFUNCTION("ifna(VALUE(REGEXEXTRACT(E127,""[0-9.]+[,]+[0-9]+"")))"),4.0)</f>
        <v>4</v>
      </c>
      <c r="N127" s="224"/>
      <c r="O127" s="216"/>
      <c r="P127" s="216"/>
      <c r="Q127" s="226" t="str">
        <f t="shared" si="2"/>
        <v/>
      </c>
      <c r="R127" s="216" t="str">
        <f t="shared" si="3"/>
        <v/>
      </c>
      <c r="S127" s="265" t="str">
        <f t="shared" si="4"/>
        <v/>
      </c>
      <c r="T127" s="185"/>
      <c r="U127" s="185"/>
      <c r="V127" s="185"/>
    </row>
    <row r="128" ht="17.25" customHeight="1">
      <c r="A128" s="178"/>
      <c r="B128" s="10">
        <v>1730280.0</v>
      </c>
      <c r="C128" s="11">
        <v>45940.641388888886</v>
      </c>
      <c r="D128" s="179" t="s">
        <v>50</v>
      </c>
      <c r="E128" s="180" t="s">
        <v>6990</v>
      </c>
      <c r="F128" s="181"/>
      <c r="G128" s="179" t="s">
        <v>6826</v>
      </c>
      <c r="H128" s="190"/>
      <c r="I128" s="190"/>
      <c r="J128" s="187" t="s">
        <v>3044</v>
      </c>
      <c r="K128" s="187" t="s">
        <v>6340</v>
      </c>
      <c r="L128" s="252" t="str">
        <f>IFERROR(__xludf.DUMMYFUNCTION("ifna(IF(and(D128=""Saída"",J128=""Sangria""),if(sum(QUERY(IMPORTRANGE(""https://docs.google.com/spreadsheets/d/1wBSFbIXYswW2S5SMKo44LPsdTG4P4kfP5VRdAS5E_4o"",""BD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'""&amp;YEAR(C128)&amp;""-""&amp;MONTH(C128)&amp;""-""&amp;DAY(C128)&amp;""'""))&gt;0,""Depositada"",if(sum(QUERY(IMPORTRANGE(""https://docs.google.com/spreadsheets/d/1wBSFbIXYswW2S5SMKo44LPsdTG4P4kfP5VRdAS5E_4o"",""BD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>
        <f>IFERROR(__xludf.DUMMYFUNCTION("ifna(VALUE(REGEXEXTRACT(E128,""[0-9.]+[,]+[0-9]+"")))"),38.47)</f>
        <v>38.47</v>
      </c>
      <c r="N128" s="221"/>
      <c r="O128" s="215"/>
      <c r="P128" s="215"/>
      <c r="Q128" s="223" t="str">
        <f t="shared" si="2"/>
        <v/>
      </c>
      <c r="R128" s="215" t="str">
        <f t="shared" si="3"/>
        <v/>
      </c>
      <c r="S128" s="265" t="str">
        <f t="shared" si="4"/>
        <v/>
      </c>
      <c r="T128" s="185"/>
      <c r="U128" s="185"/>
      <c r="V128" s="185"/>
    </row>
    <row r="129" ht="17.25" customHeight="1">
      <c r="A129" s="178"/>
      <c r="B129" s="10">
        <v>1730283.0</v>
      </c>
      <c r="C129" s="11">
        <v>45940.64200231482</v>
      </c>
      <c r="D129" s="179" t="s">
        <v>50</v>
      </c>
      <c r="E129" s="180" t="s">
        <v>6735</v>
      </c>
      <c r="F129" s="181"/>
      <c r="G129" s="179" t="s">
        <v>6513</v>
      </c>
      <c r="H129" s="190"/>
      <c r="I129" s="190"/>
      <c r="J129" s="187" t="s">
        <v>3044</v>
      </c>
      <c r="K129" s="187" t="s">
        <v>3040</v>
      </c>
      <c r="L129" s="252" t="str">
        <f>IFERROR(__xludf.DUMMYFUNCTION("ifna(IF(and(D129=""Saída"",J129=""Sangria""),if(sum(QUERY(IMPORTRANGE(""https://docs.google.com/spreadsheets/d/1wBSFbIXYswW2S5SMKo44LPsdTG4P4kfP5VRdAS5E_4o"",""BD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'""&amp;YEAR(C129)&amp;""-""&amp;MONTH(C129)&amp;""-""&amp;DAY(C129)&amp;""'""))&gt;0,""Depositada"",if(sum(QUERY(IMPORTRANGE(""https://docs.google.com/spreadsheets/d/1wBSFbIXYswW2S5SMKo44LPsdTG4P4kfP5VRdAS5E_4o"",""BD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>
        <f>IFERROR(__xludf.DUMMYFUNCTION("ifna(VALUE(REGEXEXTRACT(E129,""[0-9.]+[,]+[0-9]+"")))"),22.0)</f>
        <v>22</v>
      </c>
      <c r="N129" s="224"/>
      <c r="O129" s="216"/>
      <c r="P129" s="216"/>
      <c r="Q129" s="226" t="str">
        <f t="shared" si="2"/>
        <v/>
      </c>
      <c r="R129" s="216" t="str">
        <f t="shared" si="3"/>
        <v/>
      </c>
      <c r="S129" s="265" t="str">
        <f t="shared" si="4"/>
        <v/>
      </c>
      <c r="T129" s="185"/>
      <c r="U129" s="185"/>
      <c r="V129" s="185"/>
    </row>
    <row r="130" ht="14.25" customHeight="1">
      <c r="A130" s="178"/>
      <c r="B130" s="10">
        <v>1730898.0</v>
      </c>
      <c r="C130" s="11">
        <v>45940.80486111111</v>
      </c>
      <c r="D130" s="179" t="s">
        <v>50</v>
      </c>
      <c r="E130" s="180" t="s">
        <v>494</v>
      </c>
      <c r="F130" s="181"/>
      <c r="G130" s="179" t="s">
        <v>6995</v>
      </c>
      <c r="H130" s="190"/>
      <c r="I130" s="190"/>
      <c r="J130" s="187"/>
      <c r="K130" s="187"/>
      <c r="L130" s="252" t="str">
        <f>IFERROR(__xludf.DUMMYFUNCTION("ifna(IF(and(D130=""Saída"",J130=""Sangria""),if(sum(QUERY(IMPORTRANGE(""https://docs.google.com/spreadsheets/d/1wBSFbIXYswW2S5SMKo44LPsdTG4P4kfP5VRdAS5E_4o"",""BD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'""&amp;YEAR(C130)&amp;""-""&amp;MONTH(C130)&amp;""-""&amp;DAY(C130)&amp;""'""))&gt;0,""Depositada"",if(sum(QUERY(IMPORTRANGE(""https://docs.google.com/spreadsheets/d/1wBSFbIXYswW2S5SMKo44LPsdTG4P4kfP5VRdAS5E_4o"",""BD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>
        <f>IFERROR(__xludf.DUMMYFUNCTION("ifna(VALUE(REGEXEXTRACT(E130,""[0-9.]+[,]+[0-9]+"")))"),0.01)</f>
        <v>0.01</v>
      </c>
      <c r="N130" s="221"/>
      <c r="O130" s="215"/>
      <c r="P130" s="215"/>
      <c r="Q130" s="223" t="str">
        <f t="shared" si="2"/>
        <v/>
      </c>
      <c r="R130" s="215" t="str">
        <f t="shared" si="3"/>
        <v/>
      </c>
      <c r="S130" s="265" t="str">
        <f t="shared" si="4"/>
        <v/>
      </c>
      <c r="T130" s="185"/>
      <c r="U130" s="185"/>
      <c r="V130" s="185"/>
    </row>
    <row r="131" ht="14.25" customHeight="1">
      <c r="A131" s="178"/>
      <c r="B131" s="10">
        <v>1730914.0</v>
      </c>
      <c r="C131" s="11">
        <v>45940.81134259259</v>
      </c>
      <c r="D131" s="179" t="s">
        <v>50</v>
      </c>
      <c r="E131" s="180" t="s">
        <v>246</v>
      </c>
      <c r="F131" s="181"/>
      <c r="G131" s="179" t="s">
        <v>4960</v>
      </c>
      <c r="H131" s="190"/>
      <c r="I131" s="190"/>
      <c r="J131" s="187" t="s">
        <v>3044</v>
      </c>
      <c r="K131" s="187" t="s">
        <v>3168</v>
      </c>
      <c r="L131" s="252" t="str">
        <f>IFERROR(__xludf.DUMMYFUNCTION("ifna(IF(and(D131=""Saída"",J131=""Sangria""),if(sum(QUERY(IMPORTRANGE(""https://docs.google.com/spreadsheets/d/1wBSFbIXYswW2S5SMKo44LPsdTG4P4kfP5VRdAS5E_4o"",""BD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'""&amp;YEAR(C131)&amp;""-""&amp;MONTH(C131)&amp;""-""&amp;DAY(C131)&amp;""'""))&gt;0,""Depositada"",if(sum(QUERY(IMPORTRANGE(""https://docs.google.com/spreadsheets/d/1wBSFbIXYswW2S5SMKo44LPsdTG4P4kfP5VRdAS5E_4o"",""BD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>
        <f>IFERROR(__xludf.DUMMYFUNCTION("ifna(VALUE(REGEXEXTRACT(E131,""[0-9.]+[,]+[0-9]+"")))"),4.0)</f>
        <v>4</v>
      </c>
      <c r="N131" s="224"/>
      <c r="O131" s="216"/>
      <c r="P131" s="216"/>
      <c r="Q131" s="226" t="str">
        <f t="shared" si="2"/>
        <v/>
      </c>
      <c r="R131" s="216" t="str">
        <f t="shared" si="3"/>
        <v/>
      </c>
      <c r="S131" s="265" t="str">
        <f t="shared" si="4"/>
        <v/>
      </c>
      <c r="T131" s="185"/>
      <c r="U131" s="185"/>
      <c r="V131" s="185"/>
    </row>
    <row r="132" ht="14.25" customHeight="1">
      <c r="A132" s="178"/>
      <c r="B132" s="10">
        <v>1731055.0</v>
      </c>
      <c r="C132" s="11">
        <v>45940.87400462963</v>
      </c>
      <c r="D132" s="179" t="s">
        <v>50</v>
      </c>
      <c r="E132" s="180" t="s">
        <v>157</v>
      </c>
      <c r="F132" s="188"/>
      <c r="G132" s="179" t="s">
        <v>6826</v>
      </c>
      <c r="H132" s="190"/>
      <c r="I132" s="190"/>
      <c r="J132" s="187" t="s">
        <v>3044</v>
      </c>
      <c r="K132" s="187" t="s">
        <v>3168</v>
      </c>
      <c r="L132" s="252" t="str">
        <f>IFERROR(__xludf.DUMMYFUNCTION("ifna(IF(and(D132=""Saída"",J132=""Sangria""),if(sum(QUERY(IMPORTRANGE(""https://docs.google.com/spreadsheets/d/1wBSFbIXYswW2S5SMKo44LPsdTG4P4kfP5VRdAS5E_4o"",""BD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'""&amp;YEAR(C132)&amp;""-""&amp;MONTH(C132)&amp;""-""&amp;DAY(C132)&amp;""'""))&gt;0,""Depositada"",if(sum(QUERY(IMPORTRANGE(""https://docs.google.com/spreadsheets/d/1wBSFbIXYswW2S5SMKo44LPsdTG4P4kfP5VRdAS5E_4o"",""BD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Sangria"")"),"")</f>
        <v/>
      </c>
      <c r="M132" s="185">
        <f>IFERROR(__xludf.DUMMYFUNCTION("ifna(VALUE(REGEXEXTRACT(E132,""[0-9.]+[,]+[0-9]+"")))"),5.0)</f>
        <v>5</v>
      </c>
      <c r="N132" s="221"/>
      <c r="O132" s="215"/>
      <c r="P132" s="215"/>
      <c r="Q132" s="223" t="str">
        <f t="shared" si="2"/>
        <v/>
      </c>
      <c r="R132" s="215" t="str">
        <f t="shared" si="3"/>
        <v/>
      </c>
      <c r="S132" s="265" t="str">
        <f t="shared" si="4"/>
        <v/>
      </c>
      <c r="T132" s="185"/>
      <c r="U132" s="185"/>
      <c r="V132" s="185"/>
    </row>
    <row r="133" ht="14.25" customHeight="1">
      <c r="A133" s="178"/>
      <c r="B133" s="10">
        <v>1731261.0</v>
      </c>
      <c r="C133" s="11">
        <v>45940.91846064815</v>
      </c>
      <c r="D133" s="179" t="s">
        <v>50</v>
      </c>
      <c r="E133" s="180" t="s">
        <v>6998</v>
      </c>
      <c r="F133" s="181"/>
      <c r="G133" s="179" t="s">
        <v>6999</v>
      </c>
      <c r="H133" s="190"/>
      <c r="I133" s="190"/>
      <c r="J133" s="187" t="s">
        <v>3903</v>
      </c>
      <c r="K133" s="187"/>
      <c r="L133" s="252" t="str">
        <f>IFERROR(__xludf.DUMMYFUNCTION("ifna(IF(and(D133=""Saída"",J133=""Sangria""),if(sum(QUERY(IMPORTRANGE(""https://docs.google.com/spreadsheets/d/1wBSFbIXYswW2S5SMKo44LPsdTG4P4kfP5VRdAS5E_4o"",""BD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'""&amp;YEAR(C133)&amp;""-""&amp;MONTH(C133)&amp;""-""&amp;DAY(C133)&amp;""'""))&gt;0,""Depositada"",if(sum(QUERY(IMPORTRANGE(""https://docs.google.com/spreadsheets/d/1wBSFbIXYswW2S5SMKo44LPsdTG4P4kfP5VRdAS5E_4o"",""BD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>
        <f>IFERROR(__xludf.DUMMYFUNCTION("ifna(VALUE(REGEXEXTRACT(E133,""[0-9.]+[,]+[0-9]+"")))"),230.0)</f>
        <v>230</v>
      </c>
      <c r="N133" s="229"/>
      <c r="O133" s="230"/>
      <c r="P133" s="230"/>
      <c r="Q133" s="231" t="str">
        <f t="shared" si="2"/>
        <v/>
      </c>
      <c r="R133" s="230" t="str">
        <f t="shared" si="3"/>
        <v/>
      </c>
      <c r="S133" s="265" t="str">
        <f t="shared" si="4"/>
        <v/>
      </c>
      <c r="T133" s="185"/>
      <c r="U133" s="185"/>
      <c r="V133" s="185"/>
    </row>
    <row r="134" ht="14.25" customHeight="1">
      <c r="A134" s="178"/>
      <c r="B134" s="10">
        <v>1731263.0</v>
      </c>
      <c r="C134" s="11">
        <v>45940.91846064815</v>
      </c>
      <c r="D134" s="179" t="s">
        <v>50</v>
      </c>
      <c r="E134" s="180" t="s">
        <v>494</v>
      </c>
      <c r="F134" s="181"/>
      <c r="G134" s="253" t="s">
        <v>7001</v>
      </c>
      <c r="H134" s="190"/>
      <c r="I134" s="190"/>
      <c r="J134" s="187"/>
      <c r="K134" s="187"/>
      <c r="L134" s="252" t="str">
        <f>IFERROR(__xludf.DUMMYFUNCTION("ifna(IF(and(D134=""Saída"",J134=""Sangria""),if(sum(QUERY(IMPORTRANGE(""https://docs.google.com/spreadsheets/d/1wBSFbIXYswW2S5SMKo44LPsdTG4P4kfP5VRdAS5E_4o"",""BD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'""&amp;YEAR(C134)&amp;""-""&amp;MONTH(C134)&amp;""-""&amp;DAY(C134)&amp;""'""))&gt;0,""Depositada"",if(sum(QUERY(IMPORTRANGE(""https://docs.google.com/spreadsheets/d/1wBSFbIXYswW2S5SMKo44LPsdTG4P4kfP5VRdAS5E_4o"",""BD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>
        <f>IFERROR(__xludf.DUMMYFUNCTION("ifna(VALUE(REGEXEXTRACT(E134,""[0-9.]+[,]+[0-9]+"")))"),0.01)</f>
        <v>0.01</v>
      </c>
      <c r="N134" s="229"/>
      <c r="O134" s="230"/>
      <c r="P134" s="230"/>
      <c r="Q134" s="231" t="str">
        <f t="shared" si="2"/>
        <v/>
      </c>
      <c r="R134" s="230" t="str">
        <f t="shared" si="3"/>
        <v/>
      </c>
      <c r="S134" s="265" t="str">
        <f t="shared" si="4"/>
        <v/>
      </c>
      <c r="T134" s="185"/>
      <c r="U134" s="185"/>
      <c r="V134" s="185"/>
    </row>
    <row r="135" ht="14.25" customHeight="1">
      <c r="A135" s="178"/>
      <c r="B135" s="10">
        <v>1732498.0</v>
      </c>
      <c r="C135" s="11">
        <v>45941.72886574074</v>
      </c>
      <c r="D135" s="179" t="s">
        <v>50</v>
      </c>
      <c r="E135" s="180" t="s">
        <v>7003</v>
      </c>
      <c r="F135" s="181"/>
      <c r="G135" s="179" t="s">
        <v>6446</v>
      </c>
      <c r="H135" s="190"/>
      <c r="I135" s="190"/>
      <c r="J135" s="187" t="s">
        <v>3044</v>
      </c>
      <c r="K135" s="187" t="s">
        <v>6664</v>
      </c>
      <c r="L135" s="252" t="str">
        <f>IFERROR(__xludf.DUMMYFUNCTION("ifna(IF(and(D135=""Saída"",J135=""Sangria""),if(sum(QUERY(IMPORTRANGE(""https://docs.google.com/spreadsheets/d/1wBSFbIXYswW2S5SMKo44LPsdTG4P4kfP5VRdAS5E_4o"",""BD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'""&amp;YEAR(C135)&amp;""-""&amp;MONTH(C135)&amp;""-""&amp;DAY(C135)&amp;""'""))&gt;0,""Depositada"",if(sum(QUERY(IMPORTRANGE(""https://docs.google.com/spreadsheets/d/1wBSFbIXYswW2S5SMKo44LPsdTG4P4kfP5VRdAS5E_4o"",""BD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Sangria"")"),"")</f>
        <v/>
      </c>
      <c r="M135" s="185">
        <f>IFERROR(__xludf.DUMMYFUNCTION("ifna(VALUE(REGEXEXTRACT(E135,""[0-9.]+[,]+[0-9]+"")))"),8.69)</f>
        <v>8.69</v>
      </c>
      <c r="N135" s="229"/>
      <c r="O135" s="230"/>
      <c r="P135" s="230"/>
      <c r="Q135" s="231" t="str">
        <f t="shared" si="2"/>
        <v/>
      </c>
      <c r="R135" s="230" t="str">
        <f t="shared" si="3"/>
        <v/>
      </c>
      <c r="S135" s="265" t="str">
        <f t="shared" si="4"/>
        <v/>
      </c>
      <c r="T135" s="185"/>
      <c r="U135" s="185"/>
      <c r="V135" s="185"/>
    </row>
    <row r="136" ht="14.25" customHeight="1">
      <c r="A136" s="178"/>
      <c r="B136" s="10">
        <v>1732770.0</v>
      </c>
      <c r="C136" s="11">
        <v>45941.78125</v>
      </c>
      <c r="D136" s="179" t="s">
        <v>50</v>
      </c>
      <c r="E136" s="180" t="s">
        <v>6711</v>
      </c>
      <c r="F136" s="181"/>
      <c r="G136" s="253" t="s">
        <v>7006</v>
      </c>
      <c r="H136" s="190"/>
      <c r="I136" s="190"/>
      <c r="J136" s="187" t="s">
        <v>3467</v>
      </c>
      <c r="K136" s="187"/>
      <c r="L136" s="252" t="str">
        <f>IFERROR(__xludf.DUMMYFUNCTION("ifna(IF(and(D136=""Saída"",J136=""Sangria""),if(sum(QUERY(IMPORTRANGE(""https://docs.google.com/spreadsheets/d/1wBSFbIXYswW2S5SMKo44LPsdTG4P4kfP5VRdAS5E_4o"",""BD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'""&amp;YEAR(C136)&amp;""-""&amp;MONTH(C136)&amp;""-""&amp;DAY(C136)&amp;""'""))&gt;0,""Depositada"",if(sum(QUERY(IMPORTRANGE(""https://docs.google.com/spreadsheets/d/1wBSFbIXYswW2S5SMKo44LPsdTG4P4kfP5VRdAS5E_4o"",""BD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Sangria"")"),"")</f>
        <v/>
      </c>
      <c r="M136" s="185">
        <f>IFERROR(__xludf.DUMMYFUNCTION("ifna(VALUE(REGEXEXTRACT(E136,""[0-9.]+[,]+[0-9]+"")))"),30.45)</f>
        <v>30.45</v>
      </c>
      <c r="N136" s="229"/>
      <c r="O136" s="230"/>
      <c r="P136" s="230"/>
      <c r="Q136" s="231" t="str">
        <f t="shared" si="2"/>
        <v/>
      </c>
      <c r="R136" s="230" t="str">
        <f t="shared" si="3"/>
        <v/>
      </c>
      <c r="S136" s="265" t="str">
        <f t="shared" si="4"/>
        <v/>
      </c>
      <c r="T136" s="185"/>
      <c r="U136" s="185"/>
      <c r="V136" s="185"/>
    </row>
    <row r="137" ht="14.25" customHeight="1">
      <c r="A137" s="178"/>
      <c r="B137" s="10">
        <v>1733276.0</v>
      </c>
      <c r="C137" s="11">
        <v>45941.89115740741</v>
      </c>
      <c r="D137" s="179" t="s">
        <v>50</v>
      </c>
      <c r="E137" s="180" t="s">
        <v>1238</v>
      </c>
      <c r="F137" s="181"/>
      <c r="G137" s="179" t="s">
        <v>7008</v>
      </c>
      <c r="H137" s="190"/>
      <c r="I137" s="190"/>
      <c r="J137" s="187" t="s">
        <v>3825</v>
      </c>
      <c r="K137" s="187"/>
      <c r="L137" s="252" t="str">
        <f>IFERROR(__xludf.DUMMYFUNCTION("ifna(IF(and(D137=""Saída"",J137=""Sangria""),if(sum(QUERY(IMPORTRANGE(""https://docs.google.com/spreadsheets/d/1wBSFbIXYswW2S5SMKo44LPsdTG4P4kfP5VRdAS5E_4o"",""BD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'""&amp;YEAR(C137)&amp;""-""&amp;MONTH(C137)&amp;""-""&amp;DAY(C137)&amp;""'""))&gt;0,""Depositada"",if(sum(QUERY(IMPORTRANGE(""https://docs.google.com/spreadsheets/d/1wBSFbIXYswW2S5SMKo44LPsdTG4P4kfP5VRdAS5E_4o"",""BD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>
        <f>IFERROR(__xludf.DUMMYFUNCTION("ifna(VALUE(REGEXEXTRACT(E137,""[0-9.]+[,]+[0-9]+"")))"),105.0)</f>
        <v>105</v>
      </c>
      <c r="N137" s="229"/>
      <c r="O137" s="230"/>
      <c r="P137" s="230"/>
      <c r="Q137" s="231" t="str">
        <f t="shared" si="2"/>
        <v/>
      </c>
      <c r="R137" s="230" t="str">
        <f t="shared" si="3"/>
        <v/>
      </c>
      <c r="S137" s="265" t="str">
        <f t="shared" si="4"/>
        <v/>
      </c>
      <c r="T137" s="185"/>
      <c r="U137" s="185"/>
      <c r="V137" s="185"/>
    </row>
    <row r="138" ht="14.25" customHeight="1">
      <c r="A138" s="178"/>
      <c r="B138" s="10">
        <v>1733277.0</v>
      </c>
      <c r="C138" s="11">
        <v>45941.891597222224</v>
      </c>
      <c r="D138" s="179" t="s">
        <v>50</v>
      </c>
      <c r="E138" s="180" t="s">
        <v>1238</v>
      </c>
      <c r="F138" s="181"/>
      <c r="G138" s="179" t="s">
        <v>7011</v>
      </c>
      <c r="H138" s="190"/>
      <c r="I138" s="190"/>
      <c r="J138" s="187" t="s">
        <v>3825</v>
      </c>
      <c r="K138" s="187"/>
      <c r="L138" s="252" t="str">
        <f>IFERROR(__xludf.DUMMYFUNCTION("ifna(IF(and(D138=""Saída"",J138=""Sangria""),if(sum(QUERY(IMPORTRANGE(""https://docs.google.com/spreadsheets/d/1wBSFbIXYswW2S5SMKo44LPsdTG4P4kfP5VRdAS5E_4o"",""BD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'""&amp;YEAR(C138)&amp;""-""&amp;MONTH(C138)&amp;""-""&amp;DAY(C138)&amp;""'""))&gt;0,""Depositada"",if(sum(QUERY(IMPORTRANGE(""https://docs.google.com/spreadsheets/d/1wBSFbIXYswW2S5SMKo44LPsdTG4P4kfP5VRdAS5E_4o"",""BD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Sangria"")"),"")</f>
        <v/>
      </c>
      <c r="M138" s="185">
        <f>IFERROR(__xludf.DUMMYFUNCTION("ifna(VALUE(REGEXEXTRACT(E138,""[0-9.]+[,]+[0-9]+"")))"),105.0)</f>
        <v>105</v>
      </c>
      <c r="N138" s="232"/>
      <c r="O138" s="233"/>
      <c r="P138" s="233"/>
      <c r="Q138" s="234" t="str">
        <f t="shared" si="2"/>
        <v/>
      </c>
      <c r="R138" s="233" t="str">
        <f t="shared" si="3"/>
        <v/>
      </c>
      <c r="S138" s="266" t="str">
        <f t="shared" si="4"/>
        <v/>
      </c>
      <c r="T138" s="185"/>
      <c r="U138" s="185"/>
      <c r="V138" s="185"/>
    </row>
    <row r="139" ht="14.25" customHeight="1">
      <c r="A139" s="178"/>
      <c r="B139" s="10">
        <v>1733436.0</v>
      </c>
      <c r="C139" s="11">
        <v>45941.91306712963</v>
      </c>
      <c r="D139" s="179" t="s">
        <v>50</v>
      </c>
      <c r="E139" s="180" t="s">
        <v>7012</v>
      </c>
      <c r="F139" s="181"/>
      <c r="G139" s="179" t="s">
        <v>6513</v>
      </c>
      <c r="H139" s="190"/>
      <c r="I139" s="190"/>
      <c r="J139" s="187" t="s">
        <v>3044</v>
      </c>
      <c r="K139" s="187" t="s">
        <v>3040</v>
      </c>
      <c r="L139" s="252" t="str">
        <f>IFERROR(__xludf.DUMMYFUNCTION("ifna(IF(and(D139=""Saída"",J139=""Sangria""),if(sum(QUERY(IMPORTRANGE(""https://docs.google.com/spreadsheets/d/1wBSFbIXYswW2S5SMKo44LPsdTG4P4kfP5VRdAS5E_4o"",""BD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'""&amp;YEAR(C139)&amp;""-""&amp;MONTH(C139)&amp;""-""&amp;DAY(C139)&amp;""'""))&gt;0,""Depositada"",if(sum(QUERY(IMPORTRANGE(""https://docs.google.com/spreadsheets/d/1wBSFbIXYswW2S5SMKo44LPsdTG4P4kfP5VRdAS5E_4o"",""BD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>
        <f>IFERROR(__xludf.DUMMYFUNCTION("ifna(VALUE(REGEXEXTRACT(E139,""[0-9.]+[,]+[0-9]+"")))"),25.09)</f>
        <v>25.09</v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0">
        <v>1733632.0</v>
      </c>
      <c r="C140" s="11">
        <v>45941.92928240741</v>
      </c>
      <c r="D140" s="179" t="s">
        <v>50</v>
      </c>
      <c r="E140" s="180" t="s">
        <v>7013</v>
      </c>
      <c r="F140" s="181"/>
      <c r="G140" s="179" t="s">
        <v>7014</v>
      </c>
      <c r="H140" s="190"/>
      <c r="I140" s="190"/>
      <c r="J140" s="187" t="s">
        <v>3903</v>
      </c>
      <c r="K140" s="187"/>
      <c r="L140" s="252" t="str">
        <f>IFERROR(__xludf.DUMMYFUNCTION("ifna(IF(and(D140=""Saída"",J140=""Sangria""),if(sum(QUERY(IMPORTRANGE(""https://docs.google.com/spreadsheets/d/1wBSFbIXYswW2S5SMKo44LPsdTG4P4kfP5VRdAS5E_4o"",""BD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'""&amp;YEAR(C140)&amp;""-""&amp;MONTH(C140)&amp;""-""&amp;DAY(C140)&amp;""'""))&gt;0,""Depositada"",if(sum(QUERY(IMPORTRANGE(""https://docs.google.com/spreadsheets/d/1wBSFbIXYswW2S5SMKo44LPsdTG4P4kfP5VRdAS5E_4o"",""BD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Sangria"")"),"")</f>
        <v/>
      </c>
      <c r="M140" s="185">
        <f>IFERROR(__xludf.DUMMYFUNCTION("ifna(VALUE(REGEXEXTRACT(E140,""[0-9.]+[,]+[0-9]+"")))"),361.23)</f>
        <v>361.23</v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0">
        <v>1733661.0</v>
      </c>
      <c r="C141" s="11">
        <v>45941.931435185186</v>
      </c>
      <c r="D141" s="179" t="s">
        <v>50</v>
      </c>
      <c r="E141" s="180" t="s">
        <v>494</v>
      </c>
      <c r="F141" s="181"/>
      <c r="G141" s="253" t="s">
        <v>7015</v>
      </c>
      <c r="H141" s="190"/>
      <c r="I141" s="190"/>
      <c r="J141" s="187"/>
      <c r="K141" s="187"/>
      <c r="L141" s="252" t="str">
        <f>IFERROR(__xludf.DUMMYFUNCTION("ifna(IF(and(D141=""Saída"",J141=""Sangria""),if(sum(QUERY(IMPORTRANGE(""https://docs.google.com/spreadsheets/d/1wBSFbIXYswW2S5SMKo44LPsdTG4P4kfP5VRdAS5E_4o"",""BD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'""&amp;YEAR(C141)&amp;""-""&amp;MONTH(C141)&amp;""-""&amp;DAY(C141)&amp;""'""))&gt;0,""Depositada"",if(sum(QUERY(IMPORTRANGE(""https://docs.google.com/spreadsheets/d/1wBSFbIXYswW2S5SMKo44LPsdTG4P4kfP5VRdAS5E_4o"",""BD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>
        <f>IFERROR(__xludf.DUMMYFUNCTION("ifna(VALUE(REGEXEXTRACT(E141,""[0-9.]+[,]+[0-9]+"")))"),0.01)</f>
        <v>0.01</v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0">
        <v>1733669.0</v>
      </c>
      <c r="C142" s="11">
        <v>45941.932175925926</v>
      </c>
      <c r="D142" s="179" t="s">
        <v>50</v>
      </c>
      <c r="E142" s="180" t="s">
        <v>7016</v>
      </c>
      <c r="F142" s="181"/>
      <c r="G142" s="179" t="s">
        <v>7017</v>
      </c>
      <c r="H142" s="190"/>
      <c r="I142" s="190"/>
      <c r="J142" s="187" t="s">
        <v>3903</v>
      </c>
      <c r="K142" s="187"/>
      <c r="L142" s="252" t="str">
        <f>IFERROR(__xludf.DUMMYFUNCTION("ifna(IF(and(D142=""Saída"",J142=""Sangria""),if(sum(QUERY(IMPORTRANGE(""https://docs.google.com/spreadsheets/d/1wBSFbIXYswW2S5SMKo44LPsdTG4P4kfP5VRdAS5E_4o"",""BD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'""&amp;YEAR(C142)&amp;""-""&amp;MONTH(C142)&amp;""-""&amp;DAY(C142)&amp;""'""))&gt;0,""Depositada"",if(sum(QUERY(IMPORTRANGE(""https://docs.google.com/spreadsheets/d/1wBSFbIXYswW2S5SMKo44LPsdTG4P4kfP5VRdAS5E_4o"",""BD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Sangria"")"),"")</f>
        <v/>
      </c>
      <c r="M142" s="185">
        <f>IFERROR(__xludf.DUMMYFUNCTION("ifna(VALUE(REGEXEXTRACT(E142,""[0-9.]+[,]+[0-9]+"")))"),69.76)</f>
        <v>69.76</v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0">
        <v>1733671.0</v>
      </c>
      <c r="C143" s="11">
        <v>45941.932662037034</v>
      </c>
      <c r="D143" s="179" t="s">
        <v>50</v>
      </c>
      <c r="E143" s="180" t="s">
        <v>7018</v>
      </c>
      <c r="F143" s="181"/>
      <c r="G143" s="179" t="s">
        <v>7019</v>
      </c>
      <c r="H143" s="190"/>
      <c r="I143" s="190"/>
      <c r="J143" s="187" t="s">
        <v>3903</v>
      </c>
      <c r="K143" s="187"/>
      <c r="L143" s="252" t="str">
        <f>IFERROR(__xludf.DUMMYFUNCTION("ifna(IF(and(D143=""Saída"",J143=""Sangria""),if(sum(QUERY(IMPORTRANGE(""https://docs.google.com/spreadsheets/d/1wBSFbIXYswW2S5SMKo44LPsdTG4P4kfP5VRdAS5E_4o"",""BD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'""&amp;YEAR(C143)&amp;""-""&amp;MONTH(C143)&amp;""-""&amp;DAY(C143)&amp;""'""))&gt;0,""Depositada"",if(sum(QUERY(IMPORTRANGE(""https://docs.google.com/spreadsheets/d/1wBSFbIXYswW2S5SMKo44LPsdTG4P4kfP5VRdAS5E_4o"",""BD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>
        <f>IFERROR(__xludf.DUMMYFUNCTION("ifna(VALUE(REGEXEXTRACT(E143,""[0-9.]+[,]+[0-9]+"")))"),23.07)</f>
        <v>23.07</v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0">
        <v>1733743.0</v>
      </c>
      <c r="C144" s="11">
        <v>45941.94016203703</v>
      </c>
      <c r="D144" s="179" t="s">
        <v>50</v>
      </c>
      <c r="E144" s="180" t="s">
        <v>4794</v>
      </c>
      <c r="F144" s="181"/>
      <c r="G144" s="179" t="s">
        <v>7020</v>
      </c>
      <c r="H144" s="190"/>
      <c r="I144" s="190"/>
      <c r="J144" s="187" t="s">
        <v>3746</v>
      </c>
      <c r="K144" s="187" t="s">
        <v>3040</v>
      </c>
      <c r="L144" s="252" t="str">
        <f>IFERROR(__xludf.DUMMYFUNCTION("ifna(IF(and(D144=""Saída"",J144=""Sangria""),if(sum(QUERY(IMPORTRANGE(""https://docs.google.com/spreadsheets/d/1wBSFbIXYswW2S5SMKo44LPsdTG4P4kfP5VRdAS5E_4o"",""BD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'""&amp;YEAR(C144)&amp;""-""&amp;MONTH(C144)&amp;""-""&amp;DAY(C144)&amp;""'""))&gt;0,""Depositada"",if(sum(QUERY(IMPORTRANGE(""https://docs.google.com/spreadsheets/d/1wBSFbIXYswW2S5SMKo44LPsdTG4P4kfP5VRdAS5E_4o"",""BD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Sangria"")"),"#REF!")</f>
        <v>#REF!</v>
      </c>
      <c r="M144" s="185">
        <f>IFERROR(__xludf.DUMMYFUNCTION("ifna(VALUE(REGEXEXTRACT(E144,""[0-9.]+[,]+[0-9]+"")))"),750.0)</f>
        <v>750</v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0">
        <v>1733785.0</v>
      </c>
      <c r="C145" s="11">
        <v>45941.94636574074</v>
      </c>
      <c r="D145" s="179" t="s">
        <v>50</v>
      </c>
      <c r="E145" s="180" t="s">
        <v>1228</v>
      </c>
      <c r="F145" s="181"/>
      <c r="G145" s="253" t="s">
        <v>7021</v>
      </c>
      <c r="H145" s="190"/>
      <c r="I145" s="190"/>
      <c r="J145" s="187" t="s">
        <v>3903</v>
      </c>
      <c r="K145" s="187"/>
      <c r="L145" s="252" t="str">
        <f>IFERROR(__xludf.DUMMYFUNCTION("ifna(IF(and(D145=""Saída"",J145=""Sangria""),if(sum(QUERY(IMPORTRANGE(""https://docs.google.com/spreadsheets/d/1wBSFbIXYswW2S5SMKo44LPsdTG4P4kfP5VRdAS5E_4o"",""BD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'""&amp;YEAR(C145)&amp;""-""&amp;MONTH(C145)&amp;""-""&amp;DAY(C145)&amp;""'""))&gt;0,""Depositada"",if(sum(QUERY(IMPORTRANGE(""https://docs.google.com/spreadsheets/d/1wBSFbIXYswW2S5SMKo44LPsdTG4P4kfP5VRdAS5E_4o"",""BD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>
        <f>IFERROR(__xludf.DUMMYFUNCTION("ifna(VALUE(REGEXEXTRACT(E145,""[0-9.]+[,]+[0-9]+"")))"),450.0)</f>
        <v>450</v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6.5" customHeight="1">
      <c r="A146" s="178"/>
      <c r="B146" s="10">
        <v>1733880.0</v>
      </c>
      <c r="C146" s="11">
        <v>45941.95814814815</v>
      </c>
      <c r="D146" s="179" t="s">
        <v>50</v>
      </c>
      <c r="E146" s="180" t="s">
        <v>7022</v>
      </c>
      <c r="F146" s="181"/>
      <c r="G146" s="179" t="s">
        <v>7023</v>
      </c>
      <c r="H146" s="190"/>
      <c r="I146" s="190"/>
      <c r="J146" s="187" t="s">
        <v>3903</v>
      </c>
      <c r="K146" s="187"/>
      <c r="L146" s="252" t="str">
        <f>IFERROR(__xludf.DUMMYFUNCTION("ifna(IF(and(D146=""Saída"",J146=""Sangria""),if(sum(QUERY(IMPORTRANGE(""https://docs.google.com/spreadsheets/d/1wBSFbIXYswW2S5SMKo44LPsdTG4P4kfP5VRdAS5E_4o"",""BD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'""&amp;YEAR(C146)&amp;""-""&amp;MONTH(C146)&amp;""-""&amp;DAY(C146)&amp;""'""))&gt;0,""Depositada"",if(sum(QUERY(IMPORTRANGE(""https://docs.google.com/spreadsheets/d/1wBSFbIXYswW2S5SMKo44LPsdTG4P4kfP5VRdAS5E_4o"",""BD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>
        <f>IFERROR(__xludf.DUMMYFUNCTION("ifna(VALUE(REGEXEXTRACT(E146,""[0-9.]+[,]+[0-9]+"")))"),28.6)</f>
        <v>28.6</v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0">
        <v>1734666.0</v>
      </c>
      <c r="C147" s="11">
        <v>45942.678460648145</v>
      </c>
      <c r="D147" s="179" t="s">
        <v>50</v>
      </c>
      <c r="E147" s="180" t="s">
        <v>1129</v>
      </c>
      <c r="F147" s="181"/>
      <c r="G147" s="253" t="s">
        <v>6804</v>
      </c>
      <c r="H147" s="190"/>
      <c r="I147" s="190"/>
      <c r="J147" s="187" t="s">
        <v>4159</v>
      </c>
      <c r="K147" s="187"/>
      <c r="L147" s="252" t="str">
        <f>IFERROR(__xludf.DUMMYFUNCTION("ifna(IF(and(D147=""Saída"",J147=""Sangria""),if(sum(QUERY(IMPORTRANGE(""https://docs.google.com/spreadsheets/d/1wBSFbIXYswW2S5SMKo44LPsdTG4P4kfP5VRdAS5E_4o"",""BD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'""&amp;YEAR(C147)&amp;""-""&amp;MONTH(C147)&amp;""-""&amp;DAY(C147)&amp;""'""))&gt;0,""Depositada"",if(sum(QUERY(IMPORTRANGE(""https://docs.google.com/spreadsheets/d/1wBSFbIXYswW2S5SMKo44LPsdTG4P4kfP5VRdAS5E_4o"",""BD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>
        <f>IFERROR(__xludf.DUMMYFUNCTION("ifna(VALUE(REGEXEXTRACT(E147,""[0-9.]+[,]+[0-9]+"")))"),120.0)</f>
        <v>120</v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0">
        <v>1734668.0</v>
      </c>
      <c r="C148" s="11">
        <v>45942.67900462963</v>
      </c>
      <c r="D148" s="179" t="s">
        <v>227</v>
      </c>
      <c r="E148" s="180" t="s">
        <v>494</v>
      </c>
      <c r="F148" s="188"/>
      <c r="G148" s="179" t="s">
        <v>7024</v>
      </c>
      <c r="H148" s="190"/>
      <c r="I148" s="190"/>
      <c r="J148" s="187"/>
      <c r="K148" s="187"/>
      <c r="L148" s="252" t="str">
        <f>IFERROR(__xludf.DUMMYFUNCTION("ifna(IF(and(D148=""Saída"",J148=""Sangria""),if(sum(QUERY(IMPORTRANGE(""https://docs.google.com/spreadsheets/d/1wBSFbIXYswW2S5SMKo44LPsdTG4P4kfP5VRdAS5E_4o"",""BD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'""&amp;YEAR(C148)&amp;""-""&amp;MONTH(C148)&amp;""-""&amp;DAY(C148)&amp;""'""))&gt;0,""Depositada"",if(sum(QUERY(IMPORTRANGE(""https://docs.google.com/spreadsheets/d/1wBSFbIXYswW2S5SMKo44LPsdTG4P4kfP5VRdAS5E_4o"",""BD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Sangria"")"),"")</f>
        <v/>
      </c>
      <c r="M148" s="185">
        <f>IFERROR(__xludf.DUMMYFUNCTION("ifna(VALUE(REGEXEXTRACT(E148,""[0-9.]+[,]+[0-9]+"")))"),0.01)</f>
        <v>0.01</v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0">
        <v>1734670.0</v>
      </c>
      <c r="C149" s="11">
        <v>45942.68011574074</v>
      </c>
      <c r="D149" s="179" t="s">
        <v>50</v>
      </c>
      <c r="E149" s="180" t="s">
        <v>166</v>
      </c>
      <c r="F149" s="181"/>
      <c r="G149" s="253" t="s">
        <v>6593</v>
      </c>
      <c r="H149" s="190"/>
      <c r="I149" s="190"/>
      <c r="J149" s="187" t="s">
        <v>3466</v>
      </c>
      <c r="K149" s="187"/>
      <c r="L149" s="252" t="str">
        <f>IFERROR(__xludf.DUMMYFUNCTION("ifna(IF(and(D149=""Saída"",J149=""Sangria""),if(sum(QUERY(IMPORTRANGE(""https://docs.google.com/spreadsheets/d/1wBSFbIXYswW2S5SMKo44LPsdTG4P4kfP5VRdAS5E_4o"",""BD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'""&amp;YEAR(C149)&amp;""-""&amp;MONTH(C149)&amp;""-""&amp;DAY(C149)&amp;""'""))&gt;0,""Depositada"",if(sum(QUERY(IMPORTRANGE(""https://docs.google.com/spreadsheets/d/1wBSFbIXYswW2S5SMKo44LPsdTG4P4kfP5VRdAS5E_4o"",""BD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>
        <f>IFERROR(__xludf.DUMMYFUNCTION("ifna(VALUE(REGEXEXTRACT(E149,""[0-9.]+[,]+[0-9]+"")))"),26.33)</f>
        <v>26.33</v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0">
        <v>1734672.0</v>
      </c>
      <c r="C150" s="11">
        <v>45942.68071759259</v>
      </c>
      <c r="D150" s="179" t="s">
        <v>50</v>
      </c>
      <c r="E150" s="180" t="s">
        <v>7025</v>
      </c>
      <c r="F150" s="181"/>
      <c r="G150" s="179" t="s">
        <v>7026</v>
      </c>
      <c r="H150" s="190"/>
      <c r="I150" s="190"/>
      <c r="J150" s="187"/>
      <c r="K150" s="187"/>
      <c r="L150" s="252" t="str">
        <f>IFERROR(__xludf.DUMMYFUNCTION("ifna(IF(and(D150=""Saída"",J150=""Sangria""),if(sum(QUERY(IMPORTRANGE(""https://docs.google.com/spreadsheets/d/1wBSFbIXYswW2S5SMKo44LPsdTG4P4kfP5VRdAS5E_4o"",""BD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'""&amp;YEAR(C150)&amp;""-""&amp;MONTH(C150)&amp;""-""&amp;DAY(C150)&amp;""'""))&gt;0,""Depositada"",if(sum(QUERY(IMPORTRANGE(""https://docs.google.com/spreadsheets/d/1wBSFbIXYswW2S5SMKo44LPsdTG4P4kfP5VRdAS5E_4o"",""BD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>
        <f>IFERROR(__xludf.DUMMYFUNCTION("ifna(VALUE(REGEXEXTRACT(E150,""[0-9.]+[,]+[0-9]+"")))"),24.15)</f>
        <v>24.15</v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0">
        <v>1734679.0</v>
      </c>
      <c r="C151" s="11">
        <v>45942.68200231482</v>
      </c>
      <c r="D151" s="179" t="s">
        <v>50</v>
      </c>
      <c r="E151" s="180" t="s">
        <v>494</v>
      </c>
      <c r="F151" s="181"/>
      <c r="G151" s="179" t="s">
        <v>7027</v>
      </c>
      <c r="H151" s="190"/>
      <c r="I151" s="190"/>
      <c r="J151" s="187"/>
      <c r="K151" s="187"/>
      <c r="L151" s="252" t="str">
        <f>IFERROR(__xludf.DUMMYFUNCTION("ifna(IF(and(D151=""Saída"",J151=""Sangria""),if(sum(QUERY(IMPORTRANGE(""https://docs.google.com/spreadsheets/d/1wBSFbIXYswW2S5SMKo44LPsdTG4P4kfP5VRdAS5E_4o"",""BD M Sangrias!a:i""),""select Col6 where Col7 = 'Depositada' and Col9 = '""&amp;K151&amp;""' and Col6 ="&amp;" ""&amp;M151&amp;"" and Col4 = date '""&amp;YEAR(C151)&amp;""-""&amp;MONTH(C151)&amp;""-""&amp;DAY(C151)&amp;""'""))&gt;0,""Depositada"",if(sum(QUERY(IMPORTRANGE(""https://docs.google.com/spreadsheets/d/1wBSFbIXYswW2S5SMKo44LPsdTG4P4kfP5VRdAS5E_4o"",""BD M Sangrias!a:i""),""select Col6 whe"&amp;"re Col7 = 'Caixa Atendimento' and Col9 = '""&amp;K151&amp;""' and Col6 = ""&amp;M151&amp;"" and Col4 = date '""&amp;YEAR(C151)&amp;""-""&amp;MONTH(C151)&amp;""-""&amp;DAY(C151)&amp;""'""))&gt;0,""Caixa Atendimento"",""Caixa Sangria"")),""""),""Caixa Sangria"")"),"")</f>
        <v/>
      </c>
      <c r="M151" s="185">
        <f>IFERROR(__xludf.DUMMYFUNCTION("ifna(VALUE(REGEXEXTRACT(E151,""[0-9.]+[,]+[0-9]+"")))"),0.01)</f>
        <v>0.01</v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0">
        <v>1735994.0</v>
      </c>
      <c r="C152" s="11">
        <v>45942.906863425924</v>
      </c>
      <c r="D152" s="179" t="s">
        <v>50</v>
      </c>
      <c r="E152" s="180" t="s">
        <v>7028</v>
      </c>
      <c r="F152" s="181"/>
      <c r="G152" s="179" t="s">
        <v>6593</v>
      </c>
      <c r="H152" s="190"/>
      <c r="I152" s="190"/>
      <c r="J152" s="187" t="s">
        <v>3044</v>
      </c>
      <c r="K152" s="187" t="s">
        <v>6340</v>
      </c>
      <c r="L152" s="252" t="str">
        <f>IFERROR(__xludf.DUMMYFUNCTION("ifna(IF(and(D152=""Saída"",J152=""Sangria""),if(sum(QUERY(IMPORTRANGE(""https://docs.google.com/spreadsheets/d/1wBSFbIXYswW2S5SMKo44LPsdTG4P4kfP5VRdAS5E_4o"",""BD M Sangrias!a:i""),""select Col6 where Col7 = 'Depositada' and Col9 = '""&amp;K152&amp;""' and Col6 ="&amp;" ""&amp;M152&amp;"" and Col4 = date '""&amp;YEAR(C152)&amp;""-""&amp;MONTH(C152)&amp;""-""&amp;DAY(C152)&amp;""'""))&gt;0,""Depositada"",if(sum(QUERY(IMPORTRANGE(""https://docs.google.com/spreadsheets/d/1wBSFbIXYswW2S5SMKo44LPsdTG4P4kfP5VRdAS5E_4o"",""BD M Sangrias!a:i""),""select Col6 whe"&amp;"re Col7 = 'Caixa Atendimento' and Col9 = '""&amp;K152&amp;""' and Col6 = ""&amp;M152&amp;"" and Col4 = date '""&amp;YEAR(C152)&amp;""-""&amp;MONTH(C152)&amp;""-""&amp;DAY(C152)&amp;""'""))&gt;0,""Caixa Atendimento"",""Caixa Sangria"")),""""),""Caixa Sangria"")"),"")</f>
        <v/>
      </c>
      <c r="M152" s="185">
        <f>IFERROR(__xludf.DUMMYFUNCTION("ifna(VALUE(REGEXEXTRACT(E152,""[0-9.]+[,]+[0-9]+"")))"),51.37)</f>
        <v>51.37</v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0">
        <v>1736003.0</v>
      </c>
      <c r="C153" s="11">
        <v>45942.907546296294</v>
      </c>
      <c r="D153" s="179" t="s">
        <v>50</v>
      </c>
      <c r="E153" s="180" t="s">
        <v>7029</v>
      </c>
      <c r="F153" s="181"/>
      <c r="G153" s="179" t="s">
        <v>6826</v>
      </c>
      <c r="H153" s="190"/>
      <c r="I153" s="190"/>
      <c r="J153" s="187" t="s">
        <v>3044</v>
      </c>
      <c r="K153" s="187" t="s">
        <v>6340</v>
      </c>
      <c r="L153" s="252" t="str">
        <f>IFERROR(__xludf.DUMMYFUNCTION("ifna(IF(and(D153=""Saída"",J153=""Sangria""),if(sum(QUERY(IMPORTRANGE(""https://docs.google.com/spreadsheets/d/1wBSFbIXYswW2S5SMKo44LPsdTG4P4kfP5VRdAS5E_4o"",""BD M Sangrias!a:i""),""select Col6 where Col7 = 'Depositada' and Col9 = '""&amp;K153&amp;""' and Col6 ="&amp;" ""&amp;M153&amp;"" and Col4 = date '""&amp;YEAR(C153)&amp;""-""&amp;MONTH(C153)&amp;""-""&amp;DAY(C153)&amp;""'""))&gt;0,""Depositada"",if(sum(QUERY(IMPORTRANGE(""https://docs.google.com/spreadsheets/d/1wBSFbIXYswW2S5SMKo44LPsdTG4P4kfP5VRdAS5E_4o"",""BD M Sangrias!a:i""),""select Col6 whe"&amp;"re Col7 = 'Caixa Atendimento' and Col9 = '""&amp;K153&amp;""' and Col6 = ""&amp;M153&amp;"" and Col4 = date '""&amp;YEAR(C153)&amp;""-""&amp;MONTH(C153)&amp;""-""&amp;DAY(C153)&amp;""'""))&gt;0,""Caixa Atendimento"",""Caixa Sangria"")),""""),""Caixa Sangria"")"),"")</f>
        <v/>
      </c>
      <c r="M153" s="185">
        <f>IFERROR(__xludf.DUMMYFUNCTION("ifna(VALUE(REGEXEXTRACT(E153,""[0-9.]+[,]+[0-9]+"")))"),32.59)</f>
        <v>32.59</v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0">
        <v>1736011.0</v>
      </c>
      <c r="C154" s="11">
        <v>45942.90813657407</v>
      </c>
      <c r="D154" s="179" t="s">
        <v>50</v>
      </c>
      <c r="E154" s="180" t="s">
        <v>494</v>
      </c>
      <c r="F154" s="181"/>
      <c r="G154" s="179" t="s">
        <v>7030</v>
      </c>
      <c r="H154" s="190"/>
      <c r="I154" s="190"/>
      <c r="J154" s="187"/>
      <c r="K154" s="187"/>
      <c r="L154" s="252" t="str">
        <f>IFERROR(__xludf.DUMMYFUNCTION("ifna(IF(and(D154=""Saída"",J154=""Sangria""),if(sum(QUERY(IMPORTRANGE(""https://docs.google.com/spreadsheets/d/1wBSFbIXYswW2S5SMKo44LPsdTG4P4kfP5VRdAS5E_4o"",""BD M Sangrias!a:i""),""select Col6 where Col7 = 'Depositada' and Col9 = '""&amp;K154&amp;""' and Col6 ="&amp;" ""&amp;M154&amp;"" and Col4 = date '""&amp;YEAR(C154)&amp;""-""&amp;MONTH(C154)&amp;""-""&amp;DAY(C154)&amp;""'""))&gt;0,""Depositada"",if(sum(QUERY(IMPORTRANGE(""https://docs.google.com/spreadsheets/d/1wBSFbIXYswW2S5SMKo44LPsdTG4P4kfP5VRdAS5E_4o"",""BD M Sangrias!a:i""),""select Col6 whe"&amp;"re Col7 = 'Caixa Atendimento' and Col9 = '""&amp;K154&amp;""' and Col6 = ""&amp;M154&amp;"" and Col4 = date '""&amp;YEAR(C154)&amp;""-""&amp;MONTH(C154)&amp;""-""&amp;DAY(C154)&amp;""'""))&gt;0,""Caixa Atendimento"",""Caixa Sangria"")),""""),""Caixa Sangria"")"),"")</f>
        <v/>
      </c>
      <c r="M154" s="185">
        <f>IFERROR(__xludf.DUMMYFUNCTION("ifna(VALUE(REGEXEXTRACT(E154,""[0-9.]+[,]+[0-9]+"")))"),0.01)</f>
        <v>0.01</v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0">
        <v>1736140.0</v>
      </c>
      <c r="C155" s="11">
        <v>45942.918703703705</v>
      </c>
      <c r="D155" s="179" t="s">
        <v>50</v>
      </c>
      <c r="E155" s="180" t="s">
        <v>1158</v>
      </c>
      <c r="F155" s="181"/>
      <c r="G155" s="179" t="s">
        <v>7031</v>
      </c>
      <c r="H155" s="190"/>
      <c r="I155" s="190"/>
      <c r="J155" s="187" t="s">
        <v>3746</v>
      </c>
      <c r="K155" s="187" t="s">
        <v>3168</v>
      </c>
      <c r="L155" s="252" t="str">
        <f>IFERROR(__xludf.DUMMYFUNCTION("ifna(IF(and(D155=""Saída"",J155=""Sangria""),if(sum(QUERY(IMPORTRANGE(""https://docs.google.com/spreadsheets/d/1wBSFbIXYswW2S5SMKo44LPsdTG4P4kfP5VRdAS5E_4o"",""BD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'""&amp;YEAR(C155)&amp;""-""&amp;MONTH(C155)&amp;""-""&amp;DAY(C155)&amp;""'""))&gt;0,""Depositada"",if(sum(QUERY(IMPORTRANGE(""https://docs.google.com/spreadsheets/d/1wBSFbIXYswW2S5SMKo44LPsdTG4P4kfP5VRdAS5E_4o"",""BD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Sangria"")"),"#REF!")</f>
        <v>#REF!</v>
      </c>
      <c r="M155" s="185">
        <f>IFERROR(__xludf.DUMMYFUNCTION("ifna(VALUE(REGEXEXTRACT(E155,""[0-9.]+[,]+[0-9]+"")))"),800.0)</f>
        <v>800</v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0">
        <v>1737087.0</v>
      </c>
      <c r="C156" s="11">
        <v>45943.618368055555</v>
      </c>
      <c r="D156" s="179" t="s">
        <v>227</v>
      </c>
      <c r="E156" s="180" t="s">
        <v>7032</v>
      </c>
      <c r="F156" s="181"/>
      <c r="G156" s="179" t="s">
        <v>7033</v>
      </c>
      <c r="H156" s="190"/>
      <c r="I156" s="190"/>
      <c r="J156" s="187" t="s">
        <v>4159</v>
      </c>
      <c r="K156" s="187"/>
      <c r="L156" s="252" t="str">
        <f>IFERROR(__xludf.DUMMYFUNCTION("ifna(IF(and(D156=""Saída"",J156=""Sangria""),if(sum(QUERY(IMPORTRANGE(""https://docs.google.com/spreadsheets/d/1wBSFbIXYswW2S5SMKo44LPsdTG4P4kfP5VRdAS5E_4o"",""BD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'""&amp;YEAR(C156)&amp;""-""&amp;MONTH(C156)&amp;""-""&amp;DAY(C156)&amp;""'""))&gt;0,""Depositada"",if(sum(QUERY(IMPORTRANGE(""https://docs.google.com/spreadsheets/d/1wBSFbIXYswW2S5SMKo44LPsdTG4P4kfP5VRdAS5E_4o"",""BD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Sangria"")"),"")</f>
        <v/>
      </c>
      <c r="M156" s="185">
        <f>IFERROR(__xludf.DUMMYFUNCTION("ifna(VALUE(REGEXEXTRACT(E156,""[0-9.]+[,]+[0-9]+"")))"),380.0)</f>
        <v>380</v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0">
        <v>1737091.0</v>
      </c>
      <c r="C157" s="11">
        <v>45943.6187037037</v>
      </c>
      <c r="D157" s="179" t="s">
        <v>50</v>
      </c>
      <c r="E157" s="180" t="s">
        <v>6700</v>
      </c>
      <c r="F157" s="181"/>
      <c r="G157" s="179" t="s">
        <v>7034</v>
      </c>
      <c r="H157" s="190"/>
      <c r="I157" s="190"/>
      <c r="J157" s="187" t="s">
        <v>4159</v>
      </c>
      <c r="K157" s="187"/>
      <c r="L157" s="252" t="str">
        <f>IFERROR(__xludf.DUMMYFUNCTION("ifna(IF(and(D157=""Saída"",J157=""Sangria""),if(sum(QUERY(IMPORTRANGE(""https://docs.google.com/spreadsheets/d/1wBSFbIXYswW2S5SMKo44LPsdTG4P4kfP5VRdAS5E_4o"",""BD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'""&amp;YEAR(C157)&amp;""-""&amp;MONTH(C157)&amp;""-""&amp;DAY(C157)&amp;""'""))&gt;0,""Depositada"",if(sum(QUERY(IMPORTRANGE(""https://docs.google.com/spreadsheets/d/1wBSFbIXYswW2S5SMKo44LPsdTG4P4kfP5VRdAS5E_4o"",""BD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>
        <f>IFERROR(__xludf.DUMMYFUNCTION("ifna(VALUE(REGEXEXTRACT(E157,""[0-9.]+[,]+[0-9]+"")))"),400.0)</f>
        <v>400</v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37.5" customHeight="1">
      <c r="A158" s="178"/>
      <c r="B158" s="10">
        <v>1737098.0</v>
      </c>
      <c r="C158" s="11">
        <v>45943.62304398148</v>
      </c>
      <c r="D158" s="179" t="s">
        <v>227</v>
      </c>
      <c r="E158" s="180" t="s">
        <v>494</v>
      </c>
      <c r="F158" s="188"/>
      <c r="G158" s="179" t="s">
        <v>7035</v>
      </c>
      <c r="H158" s="190"/>
      <c r="I158" s="190"/>
      <c r="J158" s="187" t="s">
        <v>4159</v>
      </c>
      <c r="K158" s="187"/>
      <c r="L158" s="252" t="str">
        <f>IFERROR(__xludf.DUMMYFUNCTION("ifna(IF(and(D158=""Saída"",J158=""Sangria""),if(sum(QUERY(IMPORTRANGE(""https://docs.google.com/spreadsheets/d/1wBSFbIXYswW2S5SMKo44LPsdTG4P4kfP5VRdAS5E_4o"",""BD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'""&amp;YEAR(C158)&amp;""-""&amp;MONTH(C158)&amp;""-""&amp;DAY(C158)&amp;""'""))&gt;0,""Depositada"",if(sum(QUERY(IMPORTRANGE(""https://docs.google.com/spreadsheets/d/1wBSFbIXYswW2S5SMKo44LPsdTG4P4kfP5VRdAS5E_4o"",""BD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>
        <f>IFERROR(__xludf.DUMMYFUNCTION("ifna(VALUE(REGEXEXTRACT(E158,""[0-9.]+[,]+[0-9]+"")))"),0.01)</f>
        <v>0.01</v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8.75" customHeight="1">
      <c r="A159" s="178"/>
      <c r="B159" s="10">
        <v>1737103.0</v>
      </c>
      <c r="C159" s="11">
        <v>45943.624456018515</v>
      </c>
      <c r="D159" s="179" t="s">
        <v>50</v>
      </c>
      <c r="E159" s="180" t="s">
        <v>205</v>
      </c>
      <c r="F159" s="181"/>
      <c r="G159" s="179" t="s">
        <v>6446</v>
      </c>
      <c r="H159" s="190"/>
      <c r="I159" s="190"/>
      <c r="J159" s="187" t="s">
        <v>3044</v>
      </c>
      <c r="K159" s="187" t="s">
        <v>6664</v>
      </c>
      <c r="L159" s="252" t="str">
        <f>IFERROR(__xludf.DUMMYFUNCTION("ifna(IF(and(D159=""Saída"",J159=""Sangria""),if(sum(QUERY(IMPORTRANGE(""https://docs.google.com/spreadsheets/d/1wBSFbIXYswW2S5SMKo44LPsdTG4P4kfP5VRdAS5E_4o"",""BD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'""&amp;YEAR(C159)&amp;""-""&amp;MONTH(C159)&amp;""-""&amp;DAY(C159)&amp;""'""))&gt;0,""Depositada"",if(sum(QUERY(IMPORTRANGE(""https://docs.google.com/spreadsheets/d/1wBSFbIXYswW2S5SMKo44LPsdTG4P4kfP5VRdAS5E_4o"",""BD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>
        <f>IFERROR(__xludf.DUMMYFUNCTION("ifna(VALUE(REGEXEXTRACT(E159,""[0-9.]+[,]+[0-9]+"")))"),10.0)</f>
        <v>10</v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6.5" customHeight="1">
      <c r="A160" s="178"/>
      <c r="B160" s="10">
        <v>1737105.0</v>
      </c>
      <c r="C160" s="11">
        <v>45943.62467592592</v>
      </c>
      <c r="D160" s="179" t="s">
        <v>50</v>
      </c>
      <c r="E160" s="180" t="s">
        <v>6561</v>
      </c>
      <c r="F160" s="181"/>
      <c r="G160" s="179" t="s">
        <v>6696</v>
      </c>
      <c r="H160" s="190"/>
      <c r="I160" s="190"/>
      <c r="J160" s="187" t="s">
        <v>3044</v>
      </c>
      <c r="K160" s="187" t="s">
        <v>3040</v>
      </c>
      <c r="L160" s="252" t="str">
        <f>IFERROR(__xludf.DUMMYFUNCTION("ifna(IF(and(D160=""Saída"",J160=""Sangria""),if(sum(QUERY(IMPORTRANGE(""https://docs.google.com/spreadsheets/d/1wBSFbIXYswW2S5SMKo44LPsdTG4P4kfP5VRdAS5E_4o"",""BD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'""&amp;YEAR(C160)&amp;""-""&amp;MONTH(C160)&amp;""-""&amp;DAY(C160)&amp;""'""))&gt;0,""Depositada"",if(sum(QUERY(IMPORTRANGE(""https://docs.google.com/spreadsheets/d/1wBSFbIXYswW2S5SMKo44LPsdTG4P4kfP5VRdAS5E_4o"",""BD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>
        <f>IFERROR(__xludf.DUMMYFUNCTION("ifna(VALUE(REGEXEXTRACT(E160,""[0-9.]+[,]+[0-9]+"")))"),6.0)</f>
        <v>6</v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6.5" customHeight="1">
      <c r="A161" s="178"/>
      <c r="B161" s="10">
        <v>1737270.0</v>
      </c>
      <c r="C161" s="11">
        <v>45943.683391203704</v>
      </c>
      <c r="D161" s="179" t="s">
        <v>50</v>
      </c>
      <c r="E161" s="180" t="s">
        <v>7036</v>
      </c>
      <c r="F161" s="181"/>
      <c r="G161" s="179" t="s">
        <v>7037</v>
      </c>
      <c r="H161" s="190"/>
      <c r="I161" s="190"/>
      <c r="J161" s="187" t="s">
        <v>3466</v>
      </c>
      <c r="K161" s="187"/>
      <c r="L161" s="252" t="str">
        <f>IFERROR(__xludf.DUMMYFUNCTION("ifna(IF(and(D161=""Saída"",J161=""Sangria""),if(sum(QUERY(IMPORTRANGE(""https://docs.google.com/spreadsheets/d/1wBSFbIXYswW2S5SMKo44LPsdTG4P4kfP5VRdAS5E_4o"",""BD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'""&amp;YEAR(C161)&amp;""-""&amp;MONTH(C161)&amp;""-""&amp;DAY(C161)&amp;""'""))&gt;0,""Depositada"",if(sum(QUERY(IMPORTRANGE(""https://docs.google.com/spreadsheets/d/1wBSFbIXYswW2S5SMKo44LPsdTG4P4kfP5VRdAS5E_4o"",""BD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>
        <f>IFERROR(__xludf.DUMMYFUNCTION("ifna(VALUE(REGEXEXTRACT(E161,""[0-9.]+[,]+[0-9]+"")))"),49.08)</f>
        <v>49.08</v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0">
        <v>1737800.0</v>
      </c>
      <c r="C162" s="11">
        <v>45943.84446759259</v>
      </c>
      <c r="D162" s="179" t="s">
        <v>50</v>
      </c>
      <c r="E162" s="180" t="s">
        <v>246</v>
      </c>
      <c r="F162" s="181"/>
      <c r="G162" s="179" t="s">
        <v>4960</v>
      </c>
      <c r="H162" s="190"/>
      <c r="I162" s="190"/>
      <c r="J162" s="187" t="s">
        <v>3044</v>
      </c>
      <c r="K162" s="187" t="s">
        <v>3168</v>
      </c>
      <c r="L162" s="252" t="str">
        <f>IFERROR(__xludf.DUMMYFUNCTION("ifna(IF(and(D162=""Saída"",J162=""Sangria""),if(sum(QUERY(IMPORTRANGE(""https://docs.google.com/spreadsheets/d/1wBSFbIXYswW2S5SMKo44LPsdTG4P4kfP5VRdAS5E_4o"",""BD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'""&amp;YEAR(C162)&amp;""-""&amp;MONTH(C162)&amp;""-""&amp;DAY(C162)&amp;""'""))&gt;0,""Depositada"",if(sum(QUERY(IMPORTRANGE(""https://docs.google.com/spreadsheets/d/1wBSFbIXYswW2S5SMKo44LPsdTG4P4kfP5VRdAS5E_4o"",""BD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>
        <f>IFERROR(__xludf.DUMMYFUNCTION("ifna(VALUE(REGEXEXTRACT(E162,""[0-9.]+[,]+[0-9]+"")))"),4.0)</f>
        <v>4</v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0">
        <v>1737871.0</v>
      </c>
      <c r="C163" s="11">
        <v>45943.87023148148</v>
      </c>
      <c r="D163" s="179" t="s">
        <v>50</v>
      </c>
      <c r="E163" s="180" t="s">
        <v>157</v>
      </c>
      <c r="F163" s="181"/>
      <c r="G163" s="179" t="s">
        <v>6826</v>
      </c>
      <c r="H163" s="190"/>
      <c r="I163" s="190"/>
      <c r="J163" s="187" t="s">
        <v>3044</v>
      </c>
      <c r="K163" s="187" t="s">
        <v>6340</v>
      </c>
      <c r="L163" s="252" t="str">
        <f>IFERROR(__xludf.DUMMYFUNCTION("ifna(IF(and(D163=""Saída"",J163=""Sangria""),if(sum(QUERY(IMPORTRANGE(""https://docs.google.com/spreadsheets/d/1wBSFbIXYswW2S5SMKo44LPsdTG4P4kfP5VRdAS5E_4o"",""BD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'""&amp;YEAR(C163)&amp;""-""&amp;MONTH(C163)&amp;""-""&amp;DAY(C163)&amp;""'""))&gt;0,""Depositada"",if(sum(QUERY(IMPORTRANGE(""https://docs.google.com/spreadsheets/d/1wBSFbIXYswW2S5SMKo44LPsdTG4P4kfP5VRdAS5E_4o"",""BD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>
        <f>IFERROR(__xludf.DUMMYFUNCTION("ifna(VALUE(REGEXEXTRACT(E163,""[0-9.]+[,]+[0-9]+"")))"),5.0)</f>
        <v>5</v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0">
        <v>1738145.0</v>
      </c>
      <c r="C164" s="11">
        <v>45943.924212962964</v>
      </c>
      <c r="D164" s="179" t="s">
        <v>50</v>
      </c>
      <c r="E164" s="180" t="s">
        <v>7038</v>
      </c>
      <c r="F164" s="181"/>
      <c r="G164" s="253" t="s">
        <v>6593</v>
      </c>
      <c r="H164" s="190"/>
      <c r="I164" s="190"/>
      <c r="J164" s="187"/>
      <c r="K164" s="187"/>
      <c r="L164" s="252" t="str">
        <f>IFERROR(__xludf.DUMMYFUNCTION("ifna(IF(and(D164=""Saída"",J164=""Sangria""),if(sum(QUERY(IMPORTRANGE(""https://docs.google.com/spreadsheets/d/1wBSFbIXYswW2S5SMKo44LPsdTG4P4kfP5VRdAS5E_4o"",""BD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'""&amp;YEAR(C164)&amp;""-""&amp;MONTH(C164)&amp;""-""&amp;DAY(C164)&amp;""'""))&gt;0,""Depositada"",if(sum(QUERY(IMPORTRANGE(""https://docs.google.com/spreadsheets/d/1wBSFbIXYswW2S5SMKo44LPsdTG4P4kfP5VRdAS5E_4o"",""BD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>
        <f>IFERROR(__xludf.DUMMYFUNCTION("ifna(VALUE(REGEXEXTRACT(E164,""[0-9.]+[,]+[0-9]+"")))"),2.9)</f>
        <v>2.9</v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0">
        <v>1738170.0</v>
      </c>
      <c r="C165" s="11">
        <v>45943.9269212963</v>
      </c>
      <c r="D165" s="179" t="s">
        <v>50</v>
      </c>
      <c r="E165" s="180" t="s">
        <v>494</v>
      </c>
      <c r="F165" s="188"/>
      <c r="G165" s="253" t="s">
        <v>7039</v>
      </c>
      <c r="H165" s="190"/>
      <c r="I165" s="190"/>
      <c r="J165" s="187"/>
      <c r="K165" s="187"/>
      <c r="L165" s="252" t="str">
        <f>IFERROR(__xludf.DUMMYFUNCTION("ifna(IF(and(D165=""Saída"",J165=""Sangria""),if(sum(QUERY(IMPORTRANGE(""https://docs.google.com/spreadsheets/d/1wBSFbIXYswW2S5SMKo44LPsdTG4P4kfP5VRdAS5E_4o"",""BD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'""&amp;YEAR(C165)&amp;""-""&amp;MONTH(C165)&amp;""-""&amp;DAY(C165)&amp;""'""))&gt;0,""Depositada"",if(sum(QUERY(IMPORTRANGE(""https://docs.google.com/spreadsheets/d/1wBSFbIXYswW2S5SMKo44LPsdTG4P4kfP5VRdAS5E_4o"",""BD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>
        <f>IFERROR(__xludf.DUMMYFUNCTION("ifna(VALUE(REGEXEXTRACT(E165,""[0-9.]+[,]+[0-9]+"")))"),0.01)</f>
        <v>0.01</v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0">
        <v>1738175.0</v>
      </c>
      <c r="C166" s="11">
        <v>45943.927719907406</v>
      </c>
      <c r="D166" s="179" t="s">
        <v>50</v>
      </c>
      <c r="E166" s="180" t="s">
        <v>7040</v>
      </c>
      <c r="F166" s="181"/>
      <c r="G166" s="179" t="s">
        <v>7041</v>
      </c>
      <c r="H166" s="190"/>
      <c r="I166" s="190"/>
      <c r="J166" s="187" t="s">
        <v>3903</v>
      </c>
      <c r="K166" s="187"/>
      <c r="L166" s="252" t="str">
        <f>IFERROR(__xludf.DUMMYFUNCTION("ifna(IF(and(D166=""Saída"",J166=""Sangria""),if(sum(QUERY(IMPORTRANGE(""https://docs.google.com/spreadsheets/d/1wBSFbIXYswW2S5SMKo44LPsdTG4P4kfP5VRdAS5E_4o"",""BD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'""&amp;YEAR(C166)&amp;""-""&amp;MONTH(C166)&amp;""-""&amp;DAY(C166)&amp;""'""))&gt;0,""Depositada"",if(sum(QUERY(IMPORTRANGE(""https://docs.google.com/spreadsheets/d/1wBSFbIXYswW2S5SMKo44LPsdTG4P4kfP5VRdAS5E_4o"",""BD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>
        <f>IFERROR(__xludf.DUMMYFUNCTION("ifna(VALUE(REGEXEXTRACT(E166,""[0-9.]+[,]+[0-9]+"")))"),290.0)</f>
        <v>290</v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0">
        <v>1738185.0</v>
      </c>
      <c r="C167" s="11">
        <v>45943.92870370371</v>
      </c>
      <c r="D167" s="179" t="s">
        <v>50</v>
      </c>
      <c r="E167" s="180" t="s">
        <v>991</v>
      </c>
      <c r="F167" s="181"/>
      <c r="G167" s="179" t="s">
        <v>7042</v>
      </c>
      <c r="H167" s="190"/>
      <c r="I167" s="190"/>
      <c r="J167" s="187" t="s">
        <v>3746</v>
      </c>
      <c r="K167" s="187" t="s">
        <v>3168</v>
      </c>
      <c r="L167" s="252" t="str">
        <f>IFERROR(__xludf.DUMMYFUNCTION("ifna(IF(and(D167=""Saída"",J167=""Sangria""),if(sum(QUERY(IMPORTRANGE(""https://docs.google.com/spreadsheets/d/1wBSFbIXYswW2S5SMKo44LPsdTG4P4kfP5VRdAS5E_4o"",""BD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'""&amp;YEAR(C167)&amp;""-""&amp;MONTH(C167)&amp;""-""&amp;DAY(C167)&amp;""'""))&gt;0,""Depositada"",if(sum(QUERY(IMPORTRANGE(""https://docs.google.com/spreadsheets/d/1wBSFbIXYswW2S5SMKo44LPsdTG4P4kfP5VRdAS5E_4o"",""BD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Sangria"")"),"#REF!")</f>
        <v>#REF!</v>
      </c>
      <c r="M167" s="185">
        <f>IFERROR(__xludf.DUMMYFUNCTION("ifna(VALUE(REGEXEXTRACT(E167,""[0-9.]+[,]+[0-9]+"")))"),700.0)</f>
        <v>700</v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0">
        <v>1738822.0</v>
      </c>
      <c r="C168" s="11">
        <v>45944.688252314816</v>
      </c>
      <c r="D168" s="179" t="s">
        <v>50</v>
      </c>
      <c r="E168" s="180" t="s">
        <v>205</v>
      </c>
      <c r="F168" s="181"/>
      <c r="G168" s="179" t="s">
        <v>4960</v>
      </c>
      <c r="H168" s="190"/>
      <c r="I168" s="190"/>
      <c r="J168" s="187" t="s">
        <v>3044</v>
      </c>
      <c r="K168" s="187" t="s">
        <v>3168</v>
      </c>
      <c r="L168" s="252" t="str">
        <f>IFERROR(__xludf.DUMMYFUNCTION("ifna(IF(and(D168=""Saída"",J168=""Sangria""),if(sum(QUERY(IMPORTRANGE(""https://docs.google.com/spreadsheets/d/1wBSFbIXYswW2S5SMKo44LPsdTG4P4kfP5VRdAS5E_4o"",""BD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'""&amp;YEAR(C168)&amp;""-""&amp;MONTH(C168)&amp;""-""&amp;DAY(C168)&amp;""'""))&gt;0,""Depositada"",if(sum(QUERY(IMPORTRANGE(""https://docs.google.com/spreadsheets/d/1wBSFbIXYswW2S5SMKo44LPsdTG4P4kfP5VRdAS5E_4o"",""BD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>
        <f>IFERROR(__xludf.DUMMYFUNCTION("ifna(VALUE(REGEXEXTRACT(E168,""[0-9.]+[,]+[0-9]+"")))"),10.0)</f>
        <v>10</v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0">
        <v>1739329.0</v>
      </c>
      <c r="C169" s="11">
        <v>45944.80585648148</v>
      </c>
      <c r="D169" s="179" t="s">
        <v>50</v>
      </c>
      <c r="E169" s="180" t="s">
        <v>7043</v>
      </c>
      <c r="F169" s="188"/>
      <c r="G169" s="179" t="s">
        <v>6946</v>
      </c>
      <c r="H169" s="190"/>
      <c r="I169" s="190"/>
      <c r="J169" s="187" t="s">
        <v>3903</v>
      </c>
      <c r="K169" s="187"/>
      <c r="L169" s="252" t="str">
        <f>IFERROR(__xludf.DUMMYFUNCTION("ifna(IF(and(D169=""Saída"",J169=""Sangria""),if(sum(QUERY(IMPORTRANGE(""https://docs.google.com/spreadsheets/d/1wBSFbIXYswW2S5SMKo44LPsdTG4P4kfP5VRdAS5E_4o"",""BD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'""&amp;YEAR(C169)&amp;""-""&amp;MONTH(C169)&amp;""-""&amp;DAY(C169)&amp;""'""))&gt;0,""Depositada"",if(sum(QUERY(IMPORTRANGE(""https://docs.google.com/spreadsheets/d/1wBSFbIXYswW2S5SMKo44LPsdTG4P4kfP5VRdAS5E_4o"",""BD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>
        <f>IFERROR(__xludf.DUMMYFUNCTION("ifna(VALUE(REGEXEXTRACT(E169,""[0-9.]+[,]+[0-9]+"")))"),230.9)</f>
        <v>230.9</v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0">
        <v>1739330.0</v>
      </c>
      <c r="C170" s="11">
        <v>45944.80621527778</v>
      </c>
      <c r="D170" s="179" t="s">
        <v>50</v>
      </c>
      <c r="E170" s="180" t="s">
        <v>7044</v>
      </c>
      <c r="F170" s="181"/>
      <c r="G170" s="179" t="s">
        <v>7046</v>
      </c>
      <c r="H170" s="190"/>
      <c r="I170" s="190"/>
      <c r="J170" s="187" t="s">
        <v>3903</v>
      </c>
      <c r="K170" s="187"/>
      <c r="L170" s="252" t="str">
        <f>IFERROR(__xludf.DUMMYFUNCTION("ifna(IF(and(D170=""Saída"",J170=""Sangria""),if(sum(QUERY(IMPORTRANGE(""https://docs.google.com/spreadsheets/d/1wBSFbIXYswW2S5SMKo44LPsdTG4P4kfP5VRdAS5E_4o"",""BD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'""&amp;YEAR(C170)&amp;""-""&amp;MONTH(C170)&amp;""-""&amp;DAY(C170)&amp;""'""))&gt;0,""Depositada"",if(sum(QUERY(IMPORTRANGE(""https://docs.google.com/spreadsheets/d/1wBSFbIXYswW2S5SMKo44LPsdTG4P4kfP5VRdAS5E_4o"",""BD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>
        <f>IFERROR(__xludf.DUMMYFUNCTION("ifna(VALUE(REGEXEXTRACT(E170,""[0-9.]+[,]+[0-9]+"")))"),393.24)</f>
        <v>393.24</v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0">
        <v>1739367.0</v>
      </c>
      <c r="C171" s="11">
        <v>45944.828043981484</v>
      </c>
      <c r="D171" s="179" t="s">
        <v>50</v>
      </c>
      <c r="E171" s="180" t="s">
        <v>7047</v>
      </c>
      <c r="F171" s="181"/>
      <c r="G171" s="179" t="s">
        <v>7048</v>
      </c>
      <c r="H171" s="190"/>
      <c r="I171" s="190"/>
      <c r="J171" s="187" t="s">
        <v>4159</v>
      </c>
      <c r="K171" s="187"/>
      <c r="L171" s="252" t="str">
        <f>IFERROR(__xludf.DUMMYFUNCTION("ifna(IF(and(D171=""Saída"",J171=""Sangria""),if(sum(QUERY(IMPORTRANGE(""https://docs.google.com/spreadsheets/d/1wBSFbIXYswW2S5SMKo44LPsdTG4P4kfP5VRdAS5E_4o"",""BD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'""&amp;YEAR(C171)&amp;""-""&amp;MONTH(C171)&amp;""-""&amp;DAY(C171)&amp;""'""))&gt;0,""Depositada"",if(sum(QUERY(IMPORTRANGE(""https://docs.google.com/spreadsheets/d/1wBSFbIXYswW2S5SMKo44LPsdTG4P4kfP5VRdAS5E_4o"",""BD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>
        <f>IFERROR(__xludf.DUMMYFUNCTION("ifna(VALUE(REGEXEXTRACT(E171,""[0-9.]+[,]+[0-9]+"")))"),267.72)</f>
        <v>267.72</v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0">
        <v>1739369.0</v>
      </c>
      <c r="C172" s="11">
        <v>45944.82850694445</v>
      </c>
      <c r="D172" s="179" t="s">
        <v>227</v>
      </c>
      <c r="E172" s="180" t="s">
        <v>7047</v>
      </c>
      <c r="F172" s="181"/>
      <c r="G172" s="179" t="s">
        <v>7049</v>
      </c>
      <c r="H172" s="190"/>
      <c r="I172" s="190"/>
      <c r="J172" s="187" t="s">
        <v>4159</v>
      </c>
      <c r="K172" s="187"/>
      <c r="L172" s="252" t="str">
        <f>IFERROR(__xludf.DUMMYFUNCTION("ifna(IF(and(D172=""Saída"",J172=""Sangria""),if(sum(QUERY(IMPORTRANGE(""https://docs.google.com/spreadsheets/d/1wBSFbIXYswW2S5SMKo44LPsdTG4P4kfP5VRdAS5E_4o"",""BD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'""&amp;YEAR(C172)&amp;""-""&amp;MONTH(C172)&amp;""-""&amp;DAY(C172)&amp;""'""))&gt;0,""Depositada"",if(sum(QUERY(IMPORTRANGE(""https://docs.google.com/spreadsheets/d/1wBSFbIXYswW2S5SMKo44LPsdTG4P4kfP5VRdAS5E_4o"",""BD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>
        <f>IFERROR(__xludf.DUMMYFUNCTION("ifna(VALUE(REGEXEXTRACT(E172,""[0-9.]+[,]+[0-9]+"")))"),267.72)</f>
        <v>267.72</v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0">
        <v>1739391.0</v>
      </c>
      <c r="C173" s="11">
        <v>45944.83856481482</v>
      </c>
      <c r="D173" s="179" t="s">
        <v>50</v>
      </c>
      <c r="E173" s="180" t="s">
        <v>157</v>
      </c>
      <c r="F173" s="181"/>
      <c r="G173" s="179" t="s">
        <v>6826</v>
      </c>
      <c r="H173" s="190"/>
      <c r="I173" s="190"/>
      <c r="J173" s="187" t="s">
        <v>3044</v>
      </c>
      <c r="K173" s="187" t="s">
        <v>6340</v>
      </c>
      <c r="L173" s="252" t="str">
        <f>IFERROR(__xludf.DUMMYFUNCTION("ifna(IF(and(D173=""Saída"",J173=""Sangria""),if(sum(QUERY(IMPORTRANGE(""https://docs.google.com/spreadsheets/d/1wBSFbIXYswW2S5SMKo44LPsdTG4P4kfP5VRdAS5E_4o"",""BD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'""&amp;YEAR(C173)&amp;""-""&amp;MONTH(C173)&amp;""-""&amp;DAY(C173)&amp;""'""))&gt;0,""Depositada"",if(sum(QUERY(IMPORTRANGE(""https://docs.google.com/spreadsheets/d/1wBSFbIXYswW2S5SMKo44LPsdTG4P4kfP5VRdAS5E_4o"",""BD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>
        <f>IFERROR(__xludf.DUMMYFUNCTION("ifna(VALUE(REGEXEXTRACT(E173,""[0-9.]+[,]+[0-9]+"")))"),5.0)</f>
        <v>5</v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0">
        <v>1739730.0</v>
      </c>
      <c r="C174" s="11">
        <v>45944.916597222225</v>
      </c>
      <c r="D174" s="179" t="s">
        <v>50</v>
      </c>
      <c r="E174" s="180" t="s">
        <v>157</v>
      </c>
      <c r="F174" s="181"/>
      <c r="G174" s="179" t="s">
        <v>6446</v>
      </c>
      <c r="H174" s="190"/>
      <c r="I174" s="190"/>
      <c r="J174" s="187" t="s">
        <v>3044</v>
      </c>
      <c r="K174" s="187" t="s">
        <v>6664</v>
      </c>
      <c r="L174" s="252" t="str">
        <f>IFERROR(__xludf.DUMMYFUNCTION("ifna(IF(and(D174=""Saída"",J174=""Sangria""),if(sum(QUERY(IMPORTRANGE(""https://docs.google.com/spreadsheets/d/1wBSFbIXYswW2S5SMKo44LPsdTG4P4kfP5VRdAS5E_4o"",""BD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'""&amp;YEAR(C174)&amp;""-""&amp;MONTH(C174)&amp;""-""&amp;DAY(C174)&amp;""'""))&gt;0,""Depositada"",if(sum(QUERY(IMPORTRANGE(""https://docs.google.com/spreadsheets/d/1wBSFbIXYswW2S5SMKo44LPsdTG4P4kfP5VRdAS5E_4o"",""BD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>
        <f>IFERROR(__xludf.DUMMYFUNCTION("ifna(VALUE(REGEXEXTRACT(E174,""[0-9.]+[,]+[0-9]+"")))"),5.0)</f>
        <v>5</v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0">
        <v>1740439.0</v>
      </c>
      <c r="C175" s="11">
        <v>45945.62383101852</v>
      </c>
      <c r="D175" s="179" t="s">
        <v>50</v>
      </c>
      <c r="E175" s="180" t="s">
        <v>6719</v>
      </c>
      <c r="F175" s="181"/>
      <c r="G175" s="179" t="s">
        <v>6720</v>
      </c>
      <c r="H175" s="190"/>
      <c r="I175" s="190"/>
      <c r="J175" s="187" t="s">
        <v>3903</v>
      </c>
      <c r="K175" s="187"/>
      <c r="L175" s="252" t="str">
        <f>IFERROR(__xludf.DUMMYFUNCTION("ifna(IF(and(D175=""Saída"",J175=""Sangria""),if(sum(QUERY(IMPORTRANGE(""https://docs.google.com/spreadsheets/d/1wBSFbIXYswW2S5SMKo44LPsdTG4P4kfP5VRdAS5E_4o"",""BD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'""&amp;YEAR(C175)&amp;""-""&amp;MONTH(C175)&amp;""-""&amp;DAY(C175)&amp;""'""))&gt;0,""Depositada"",if(sum(QUERY(IMPORTRANGE(""https://docs.google.com/spreadsheets/d/1wBSFbIXYswW2S5SMKo44LPsdTG4P4kfP5VRdAS5E_4o"",""BD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>
        <f>IFERROR(__xludf.DUMMYFUNCTION("ifna(VALUE(REGEXEXTRACT(E175,""[0-9.]+[,]+[0-9]+"")))"),330.0)</f>
        <v>330</v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0">
        <v>1740441.0</v>
      </c>
      <c r="C176" s="11">
        <v>45945.624236111114</v>
      </c>
      <c r="D176" s="179" t="s">
        <v>227</v>
      </c>
      <c r="E176" s="180" t="s">
        <v>6731</v>
      </c>
      <c r="F176" s="181"/>
      <c r="G176" s="179" t="s">
        <v>7050</v>
      </c>
      <c r="H176" s="190"/>
      <c r="I176" s="190"/>
      <c r="J176" s="187" t="s">
        <v>4159</v>
      </c>
      <c r="K176" s="187"/>
      <c r="L176" s="252" t="str">
        <f>IFERROR(__xludf.DUMMYFUNCTION("ifna(IF(and(D176=""Saída"",J176=""Sangria""),if(sum(QUERY(IMPORTRANGE(""https://docs.google.com/spreadsheets/d/1wBSFbIXYswW2S5SMKo44LPsdTG4P4kfP5VRdAS5E_4o"",""BD M Sangrias!a:i""),""select Col6 where Col7 = 'Depositada' and Col9 = '""&amp;K176&amp;""' and Col6 ="&amp;" ""&amp;M176&amp;"" and Col4 = date '""&amp;YEAR(C176)&amp;""-""&amp;MONTH(C176)&amp;""-""&amp;DAY(C176)&amp;""'""))&gt;0,""Depositada"",if(sum(QUERY(IMPORTRANGE(""https://docs.google.com/spreadsheets/d/1wBSFbIXYswW2S5SMKo44LPsdTG4P4kfP5VRdAS5E_4o"",""BD M Sangrias!a:i""),""select Col6 whe"&amp;"re Col7 = 'Caixa Atendimento' and Col9 = '""&amp;K176&amp;""' and Col6 = ""&amp;M176&amp;"" and Col4 = date '""&amp;YEAR(C176)&amp;""-""&amp;MONTH(C176)&amp;""-""&amp;DAY(C176)&amp;""'""))&gt;0,""Caixa Atendimento"",""Caixa Sangria"")),""""),""Caixa Sangria"")"),"")</f>
        <v/>
      </c>
      <c r="M176" s="185">
        <f>IFERROR(__xludf.DUMMYFUNCTION("ifna(VALUE(REGEXEXTRACT(E176,""[0-9.]+[,]+[0-9]+"")))"),100.0)</f>
        <v>100</v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0">
        <v>1740449.0</v>
      </c>
      <c r="C177" s="11">
        <v>45945.62577546296</v>
      </c>
      <c r="D177" s="179" t="s">
        <v>50</v>
      </c>
      <c r="E177" s="180" t="s">
        <v>6479</v>
      </c>
      <c r="F177" s="188"/>
      <c r="G177" s="253" t="s">
        <v>7051</v>
      </c>
      <c r="H177" s="190"/>
      <c r="I177" s="190"/>
      <c r="J177" s="187" t="s">
        <v>3903</v>
      </c>
      <c r="K177" s="187"/>
      <c r="L177" s="252" t="str">
        <f>IFERROR(__xludf.DUMMYFUNCTION("ifna(IF(and(D177=""Saída"",J177=""Sangria""),if(sum(QUERY(IMPORTRANGE(""https://docs.google.com/spreadsheets/d/1wBSFbIXYswW2S5SMKo44LPsdTG4P4kfP5VRdAS5E_4o"",""BD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'""&amp;YEAR(C177)&amp;""-""&amp;MONTH(C177)&amp;""-""&amp;DAY(C177)&amp;""'""))&gt;0,""Depositada"",if(sum(QUERY(IMPORTRANGE(""https://docs.google.com/spreadsheets/d/1wBSFbIXYswW2S5SMKo44LPsdTG4P4kfP5VRdAS5E_4o"",""BD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>
        <f>IFERROR(__xludf.DUMMYFUNCTION("ifna(VALUE(REGEXEXTRACT(E177,""[0-9.]+[,]+[0-9]+"")))"),300.0)</f>
        <v>300</v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0">
        <v>1740776.0</v>
      </c>
      <c r="C178" s="11">
        <v>45945.6977662037</v>
      </c>
      <c r="D178" s="179" t="s">
        <v>50</v>
      </c>
      <c r="E178" s="180" t="s">
        <v>329</v>
      </c>
      <c r="F178" s="181"/>
      <c r="G178" s="179" t="s">
        <v>7053</v>
      </c>
      <c r="H178" s="190"/>
      <c r="I178" s="190"/>
      <c r="J178" s="187" t="s">
        <v>4159</v>
      </c>
      <c r="K178" s="187"/>
      <c r="L178" s="252" t="str">
        <f>IFERROR(__xludf.DUMMYFUNCTION("ifna(IF(and(D178=""Saída"",J178=""Sangria""),if(sum(QUERY(IMPORTRANGE(""https://docs.google.com/spreadsheets/d/1wBSFbIXYswW2S5SMKo44LPsdTG4P4kfP5VRdAS5E_4o"",""BD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'""&amp;YEAR(C178)&amp;""-""&amp;MONTH(C178)&amp;""-""&amp;DAY(C178)&amp;""'""))&gt;0,""Depositada"",if(sum(QUERY(IMPORTRANGE(""https://docs.google.com/spreadsheets/d/1wBSFbIXYswW2S5SMKo44LPsdTG4P4kfP5VRdAS5E_4o"",""BD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>
        <f>IFERROR(__xludf.DUMMYFUNCTION("ifna(VALUE(REGEXEXTRACT(E178,""[0-9.]+[,]+[0-9]+"")))"),200.0)</f>
        <v>200</v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33.75" customHeight="1">
      <c r="A179" s="178"/>
      <c r="B179" s="10">
        <v>1740780.0</v>
      </c>
      <c r="C179" s="11">
        <v>45945.6983912037</v>
      </c>
      <c r="D179" s="179" t="s">
        <v>227</v>
      </c>
      <c r="E179" s="180" t="s">
        <v>494</v>
      </c>
      <c r="F179" s="181"/>
      <c r="G179" s="179" t="s">
        <v>7054</v>
      </c>
      <c r="H179" s="190"/>
      <c r="I179" s="190"/>
      <c r="J179" s="187" t="s">
        <v>4159</v>
      </c>
      <c r="K179" s="187"/>
      <c r="L179" s="252" t="str">
        <f>IFERROR(__xludf.DUMMYFUNCTION("ifna(IF(and(D179=""Saída"",J179=""Sangria""),if(sum(QUERY(IMPORTRANGE(""https://docs.google.com/spreadsheets/d/1wBSFbIXYswW2S5SMKo44LPsdTG4P4kfP5VRdAS5E_4o"",""BD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'""&amp;YEAR(C179)&amp;""-""&amp;MONTH(C179)&amp;""-""&amp;DAY(C179)&amp;""'""))&gt;0,""Depositada"",if(sum(QUERY(IMPORTRANGE(""https://docs.google.com/spreadsheets/d/1wBSFbIXYswW2S5SMKo44LPsdTG4P4kfP5VRdAS5E_4o"",""BD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>
        <f>IFERROR(__xludf.DUMMYFUNCTION("ifna(VALUE(REGEXEXTRACT(E179,""[0-9.]+[,]+[0-9]+"")))"),0.01)</f>
        <v>0.01</v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0">
        <v>1741131.0</v>
      </c>
      <c r="C180" s="11">
        <v>45945.77038194444</v>
      </c>
      <c r="D180" s="179" t="s">
        <v>50</v>
      </c>
      <c r="E180" s="180" t="s">
        <v>7055</v>
      </c>
      <c r="F180" s="181"/>
      <c r="G180" s="179" t="s">
        <v>7056</v>
      </c>
      <c r="H180" s="190"/>
      <c r="I180" s="190"/>
      <c r="J180" s="187" t="s">
        <v>3466</v>
      </c>
      <c r="K180" s="187"/>
      <c r="L180" s="252" t="str">
        <f>IFERROR(__xludf.DUMMYFUNCTION("ifna(IF(and(D180=""Saída"",J180=""Sangria""),if(sum(QUERY(IMPORTRANGE(""https://docs.google.com/spreadsheets/d/1wBSFbIXYswW2S5SMKo44LPsdTG4P4kfP5VRdAS5E_4o"",""BD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'""&amp;YEAR(C180)&amp;""-""&amp;MONTH(C180)&amp;""-""&amp;DAY(C180)&amp;""'""))&gt;0,""Depositada"",if(sum(QUERY(IMPORTRANGE(""https://docs.google.com/spreadsheets/d/1wBSFbIXYswW2S5SMKo44LPsdTG4P4kfP5VRdAS5E_4o"",""BD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>
        <f>IFERROR(__xludf.DUMMYFUNCTION("ifna(VALUE(REGEXEXTRACT(E180,""[0-9.]+[,]+[0-9]+"")))"),14.06)</f>
        <v>14.06</v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0">
        <v>1741725.0</v>
      </c>
      <c r="C181" s="11">
        <v>45945.920115740744</v>
      </c>
      <c r="D181" s="179" t="s">
        <v>50</v>
      </c>
      <c r="E181" s="180" t="s">
        <v>1228</v>
      </c>
      <c r="F181" s="181"/>
      <c r="G181" s="179" t="s">
        <v>7057</v>
      </c>
      <c r="H181" s="190"/>
      <c r="I181" s="190"/>
      <c r="J181" s="187" t="s">
        <v>3746</v>
      </c>
      <c r="K181" s="187" t="s">
        <v>3168</v>
      </c>
      <c r="L181" s="252" t="str">
        <f>IFERROR(__xludf.DUMMYFUNCTION("ifna(IF(and(D181=""Saída"",J181=""Sangria""),if(sum(QUERY(IMPORTRANGE(""https://docs.google.com/spreadsheets/d/1wBSFbIXYswW2S5SMKo44LPsdTG4P4kfP5VRdAS5E_4o"",""BD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'""&amp;YEAR(C181)&amp;""-""&amp;MONTH(C181)&amp;""-""&amp;DAY(C181)&amp;""'""))&gt;0,""Depositada"",if(sum(QUERY(IMPORTRANGE(""https://docs.google.com/spreadsheets/d/1wBSFbIXYswW2S5SMKo44LPsdTG4P4kfP5VRdAS5E_4o"",""BD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Sangria"")"),"#REF!")</f>
        <v>#REF!</v>
      </c>
      <c r="M181" s="185">
        <f>IFERROR(__xludf.DUMMYFUNCTION("ifna(VALUE(REGEXEXTRACT(E181,""[0-9.]+[,]+[0-9]+"")))"),450.0)</f>
        <v>450</v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0">
        <v>1742243.0</v>
      </c>
      <c r="C182" s="11">
        <v>45946.555127314816</v>
      </c>
      <c r="D182" s="179" t="s">
        <v>50</v>
      </c>
      <c r="E182" s="180" t="s">
        <v>157</v>
      </c>
      <c r="F182" s="181"/>
      <c r="G182" s="179" t="s">
        <v>6446</v>
      </c>
      <c r="H182" s="190"/>
      <c r="I182" s="190"/>
      <c r="J182" s="187" t="s">
        <v>3044</v>
      </c>
      <c r="K182" s="187" t="s">
        <v>6664</v>
      </c>
      <c r="L182" s="252" t="str">
        <f>IFERROR(__xludf.DUMMYFUNCTION("ifna(IF(and(D182=""Saída"",J182=""Sangria""),if(sum(QUERY(IMPORTRANGE(""https://docs.google.com/spreadsheets/d/1wBSFbIXYswW2S5SMKo44LPsdTG4P4kfP5VRdAS5E_4o"",""BD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'""&amp;YEAR(C182)&amp;""-""&amp;MONTH(C182)&amp;""-""&amp;DAY(C182)&amp;""'""))&gt;0,""Depositada"",if(sum(QUERY(IMPORTRANGE(""https://docs.google.com/spreadsheets/d/1wBSFbIXYswW2S5SMKo44LPsdTG4P4kfP5VRdAS5E_4o"",""BD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>
        <f>IFERROR(__xludf.DUMMYFUNCTION("ifna(VALUE(REGEXEXTRACT(E182,""[0-9.]+[,]+[0-9]+"")))"),5.0)</f>
        <v>5</v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0">
        <v>1742502.0</v>
      </c>
      <c r="C183" s="11">
        <v>45946.65109953703</v>
      </c>
      <c r="D183" s="179" t="s">
        <v>50</v>
      </c>
      <c r="E183" s="180" t="s">
        <v>157</v>
      </c>
      <c r="F183" s="181"/>
      <c r="G183" s="179" t="s">
        <v>4960</v>
      </c>
      <c r="H183" s="190"/>
      <c r="I183" s="190"/>
      <c r="J183" s="187" t="s">
        <v>3044</v>
      </c>
      <c r="K183" s="187" t="s">
        <v>3168</v>
      </c>
      <c r="L183" s="252" t="str">
        <f>IFERROR(__xludf.DUMMYFUNCTION("ifna(IF(and(D183=""Saída"",J183=""Sangria""),if(sum(QUERY(IMPORTRANGE(""https://docs.google.com/spreadsheets/d/1wBSFbIXYswW2S5SMKo44LPsdTG4P4kfP5VRdAS5E_4o"",""BD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'""&amp;YEAR(C183)&amp;""-""&amp;MONTH(C183)&amp;""-""&amp;DAY(C183)&amp;""'""))&gt;0,""Depositada"",if(sum(QUERY(IMPORTRANGE(""https://docs.google.com/spreadsheets/d/1wBSFbIXYswW2S5SMKo44LPsdTG4P4kfP5VRdAS5E_4o"",""BD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>
        <f>IFERROR(__xludf.DUMMYFUNCTION("ifna(VALUE(REGEXEXTRACT(E183,""[0-9.]+[,]+[0-9]+"")))"),5.0)</f>
        <v>5</v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0">
        <v>1744009.0</v>
      </c>
      <c r="C184" s="11">
        <v>45947.58012731482</v>
      </c>
      <c r="D184" s="179" t="s">
        <v>50</v>
      </c>
      <c r="E184" s="180" t="s">
        <v>157</v>
      </c>
      <c r="F184" s="181"/>
      <c r="G184" s="179" t="s">
        <v>6446</v>
      </c>
      <c r="H184" s="190"/>
      <c r="I184" s="190"/>
      <c r="J184" s="187" t="s">
        <v>3044</v>
      </c>
      <c r="K184" s="187" t="s">
        <v>6664</v>
      </c>
      <c r="L184" s="252" t="str">
        <f>IFERROR(__xludf.DUMMYFUNCTION("ifna(IF(and(D184=""Saída"",J184=""Sangria""),if(sum(QUERY(IMPORTRANGE(""https://docs.google.com/spreadsheets/d/1wBSFbIXYswW2S5SMKo44LPsdTG4P4kfP5VRdAS5E_4o"",""BD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'""&amp;YEAR(C184)&amp;""-""&amp;MONTH(C184)&amp;""-""&amp;DAY(C184)&amp;""'""))&gt;0,""Depositada"",if(sum(QUERY(IMPORTRANGE(""https://docs.google.com/spreadsheets/d/1wBSFbIXYswW2S5SMKo44LPsdTG4P4kfP5VRdAS5E_4o"",""BD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>
        <f>IFERROR(__xludf.DUMMYFUNCTION("ifna(VALUE(REGEXEXTRACT(E184,""[0-9.]+[,]+[0-9]+"")))"),5.0)</f>
        <v>5</v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29.25" customHeight="1">
      <c r="A185" s="178"/>
      <c r="B185" s="10">
        <v>1744015.0</v>
      </c>
      <c r="C185" s="11">
        <v>45947.581145833334</v>
      </c>
      <c r="D185" s="179" t="s">
        <v>227</v>
      </c>
      <c r="E185" s="180" t="s">
        <v>1228</v>
      </c>
      <c r="F185" s="181"/>
      <c r="G185" s="263" t="s">
        <v>7059</v>
      </c>
      <c r="H185" s="190"/>
      <c r="I185" s="190"/>
      <c r="J185" s="187" t="s">
        <v>3746</v>
      </c>
      <c r="K185" s="187"/>
      <c r="L185" s="252" t="str">
        <f>IFERROR(__xludf.DUMMYFUNCTION("ifna(IF(and(D185=""Saída"",J185=""Sangria""),if(sum(QUERY(IMPORTRANGE(""https://docs.google.com/spreadsheets/d/1wBSFbIXYswW2S5SMKo44LPsdTG4P4kfP5VRdAS5E_4o"",""BD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'""&amp;YEAR(C185)&amp;""-""&amp;MONTH(C185)&amp;""-""&amp;DAY(C185)&amp;""'""))&gt;0,""Depositada"",if(sum(QUERY(IMPORTRANGE(""https://docs.google.com/spreadsheets/d/1wBSFbIXYswW2S5SMKo44LPsdTG4P4kfP5VRdAS5E_4o"",""BD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>
        <f>IFERROR(__xludf.DUMMYFUNCTION("ifna(VALUE(REGEXEXTRACT(E185,""[0-9.]+[,]+[0-9]+"")))"),450.0)</f>
        <v>450</v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0">
        <v>1744017.0</v>
      </c>
      <c r="C186" s="11">
        <v>45947.581828703704</v>
      </c>
      <c r="D186" s="179" t="s">
        <v>50</v>
      </c>
      <c r="E186" s="180" t="s">
        <v>7060</v>
      </c>
      <c r="F186" s="181"/>
      <c r="G186" s="179" t="s">
        <v>7061</v>
      </c>
      <c r="H186" s="190"/>
      <c r="I186" s="190"/>
      <c r="J186" s="187" t="s">
        <v>3903</v>
      </c>
      <c r="K186" s="187"/>
      <c r="L186" s="252" t="str">
        <f>IFERROR(__xludf.DUMMYFUNCTION("ifna(IF(and(D186=""Saída"",J186=""Sangria""),if(sum(QUERY(IMPORTRANGE(""https://docs.google.com/spreadsheets/d/1wBSFbIXYswW2S5SMKo44LPsdTG4P4kfP5VRdAS5E_4o"",""BD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'""&amp;YEAR(C186)&amp;""-""&amp;MONTH(C186)&amp;""-""&amp;DAY(C186)&amp;""'""))&gt;0,""Depositada"",if(sum(QUERY(IMPORTRANGE(""https://docs.google.com/spreadsheets/d/1wBSFbIXYswW2S5SMKo44LPsdTG4P4kfP5VRdAS5E_4o"",""BD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>
        <f>IFERROR(__xludf.DUMMYFUNCTION("ifna(VALUE(REGEXEXTRACT(E186,""[0-9.]+[,]+[0-9]+"")))"),81.69)</f>
        <v>81.69</v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0">
        <v>1744019.0</v>
      </c>
      <c r="C187" s="11">
        <v>45947.58241898148</v>
      </c>
      <c r="D187" s="179" t="s">
        <v>50</v>
      </c>
      <c r="E187" s="180" t="s">
        <v>7062</v>
      </c>
      <c r="F187" s="188"/>
      <c r="G187" s="179" t="s">
        <v>7063</v>
      </c>
      <c r="H187" s="190"/>
      <c r="I187" s="190"/>
      <c r="J187" s="187" t="s">
        <v>3903</v>
      </c>
      <c r="K187" s="187"/>
      <c r="L187" s="252" t="str">
        <f>IFERROR(__xludf.DUMMYFUNCTION("ifna(IF(and(D187=""Saída"",J187=""Sangria""),if(sum(QUERY(IMPORTRANGE(""https://docs.google.com/spreadsheets/d/1wBSFbIXYswW2S5SMKo44LPsdTG4P4kfP5VRdAS5E_4o"",""BD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'""&amp;YEAR(C187)&amp;""-""&amp;MONTH(C187)&amp;""-""&amp;DAY(C187)&amp;""'""))&gt;0,""Depositada"",if(sum(QUERY(IMPORTRANGE(""https://docs.google.com/spreadsheets/d/1wBSFbIXYswW2S5SMKo44LPsdTG4P4kfP5VRdAS5E_4o"",""BD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>
        <f>IFERROR(__xludf.DUMMYFUNCTION("ifna(VALUE(REGEXEXTRACT(E187,""[0-9.]+[,]+[0-9]+"")))"),158.3)</f>
        <v>158.3</v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28.5" customHeight="1">
      <c r="A188" s="178"/>
      <c r="B188" s="10">
        <v>1744025.0</v>
      </c>
      <c r="C188" s="11">
        <v>45947.584872685184</v>
      </c>
      <c r="D188" s="179" t="s">
        <v>50</v>
      </c>
      <c r="E188" s="180" t="s">
        <v>494</v>
      </c>
      <c r="F188" s="181"/>
      <c r="G188" s="179" t="s">
        <v>7064</v>
      </c>
      <c r="H188" s="190"/>
      <c r="I188" s="190"/>
      <c r="J188" s="187"/>
      <c r="K188" s="187"/>
      <c r="L188" s="252" t="str">
        <f>IFERROR(__xludf.DUMMYFUNCTION("ifna(IF(and(D188=""Saída"",J188=""Sangria""),if(sum(QUERY(IMPORTRANGE(""https://docs.google.com/spreadsheets/d/1wBSFbIXYswW2S5SMKo44LPsdTG4P4kfP5VRdAS5E_4o"",""BD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'""&amp;YEAR(C188)&amp;""-""&amp;MONTH(C188)&amp;""-""&amp;DAY(C188)&amp;""'""))&gt;0,""Depositada"",if(sum(QUERY(IMPORTRANGE(""https://docs.google.com/spreadsheets/d/1wBSFbIXYswW2S5SMKo44LPsdTG4P4kfP5VRdAS5E_4o"",""BD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>
        <f>IFERROR(__xludf.DUMMYFUNCTION("ifna(VALUE(REGEXEXTRACT(E188,""[0-9.]+[,]+[0-9]+"")))"),0.01)</f>
        <v>0.01</v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0">
        <v>1744030.0</v>
      </c>
      <c r="C189" s="11">
        <v>45947.58563657408</v>
      </c>
      <c r="D189" s="179" t="s">
        <v>50</v>
      </c>
      <c r="E189" s="180" t="s">
        <v>494</v>
      </c>
      <c r="F189" s="181"/>
      <c r="G189" s="179" t="s">
        <v>7065</v>
      </c>
      <c r="H189" s="190"/>
      <c r="I189" s="190"/>
      <c r="J189" s="187"/>
      <c r="K189" s="187"/>
      <c r="L189" s="252" t="str">
        <f>IFERROR(__xludf.DUMMYFUNCTION("ifna(IF(and(D189=""Saída"",J189=""Sangria""),if(sum(QUERY(IMPORTRANGE(""https://docs.google.com/spreadsheets/d/1wBSFbIXYswW2S5SMKo44LPsdTG4P4kfP5VRdAS5E_4o"",""BD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'""&amp;YEAR(C189)&amp;""-""&amp;MONTH(C189)&amp;""-""&amp;DAY(C189)&amp;""'""))&gt;0,""Depositada"",if(sum(QUERY(IMPORTRANGE(""https://docs.google.com/spreadsheets/d/1wBSFbIXYswW2S5SMKo44LPsdTG4P4kfP5VRdAS5E_4o"",""BD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>
        <f>IFERROR(__xludf.DUMMYFUNCTION("ifna(VALUE(REGEXEXTRACT(E189,""[0-9.]+[,]+[0-9]+"")))"),0.01)</f>
        <v>0.01</v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0">
        <v>1744033.0</v>
      </c>
      <c r="C190" s="11">
        <v>45947.586180555554</v>
      </c>
      <c r="D190" s="179" t="s">
        <v>50</v>
      </c>
      <c r="E190" s="180" t="s">
        <v>7066</v>
      </c>
      <c r="F190" s="181"/>
      <c r="G190" s="179" t="s">
        <v>7067</v>
      </c>
      <c r="H190" s="190"/>
      <c r="I190" s="190"/>
      <c r="J190" s="187" t="s">
        <v>3903</v>
      </c>
      <c r="K190" s="187"/>
      <c r="L190" s="252" t="str">
        <f>IFERROR(__xludf.DUMMYFUNCTION("ifna(IF(and(D190=""Saída"",J190=""Sangria""),if(sum(QUERY(IMPORTRANGE(""https://docs.google.com/spreadsheets/d/1wBSFbIXYswW2S5SMKo44LPsdTG4P4kfP5VRdAS5E_4o"",""BD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'""&amp;YEAR(C190)&amp;""-""&amp;MONTH(C190)&amp;""-""&amp;DAY(C190)&amp;""'""))&gt;0,""Depositada"",if(sum(QUERY(IMPORTRANGE(""https://docs.google.com/spreadsheets/d/1wBSFbIXYswW2S5SMKo44LPsdTG4P4kfP5VRdAS5E_4o"",""BD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>
        <f>IFERROR(__xludf.DUMMYFUNCTION("ifna(VALUE(REGEXEXTRACT(E190,""[0-9.]+[,]+[0-9]+"")))"),18.93)</f>
        <v>18.93</v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0">
        <v>1744038.0</v>
      </c>
      <c r="C191" s="11">
        <v>45947.58695601852</v>
      </c>
      <c r="D191" s="179" t="s">
        <v>50</v>
      </c>
      <c r="E191" s="180" t="s">
        <v>7068</v>
      </c>
      <c r="F191" s="181"/>
      <c r="G191" s="179" t="s">
        <v>7069</v>
      </c>
      <c r="H191" s="190"/>
      <c r="I191" s="190"/>
      <c r="J191" s="187" t="s">
        <v>3903</v>
      </c>
      <c r="K191" s="187"/>
      <c r="L191" s="252" t="str">
        <f>IFERROR(__xludf.DUMMYFUNCTION("ifna(IF(and(D191=""Saída"",J191=""Sangria""),if(sum(QUERY(IMPORTRANGE(""https://docs.google.com/spreadsheets/d/1wBSFbIXYswW2S5SMKo44LPsdTG4P4kfP5VRdAS5E_4o"",""BD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'""&amp;YEAR(C191)&amp;""-""&amp;MONTH(C191)&amp;""-""&amp;DAY(C191)&amp;""'""))&gt;0,""Depositada"",if(sum(QUERY(IMPORTRANGE(""https://docs.google.com/spreadsheets/d/1wBSFbIXYswW2S5SMKo44LPsdTG4P4kfP5VRdAS5E_4o"",""BD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>
        <f>IFERROR(__xludf.DUMMYFUNCTION("ifna(VALUE(REGEXEXTRACT(E191,""[0-9.]+[,]+[0-9]+"")))"),103.0)</f>
        <v>103</v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0">
        <v>1744790.0</v>
      </c>
      <c r="C192" s="11">
        <v>45947.79922453704</v>
      </c>
      <c r="D192" s="179" t="s">
        <v>50</v>
      </c>
      <c r="E192" s="180" t="s">
        <v>708</v>
      </c>
      <c r="F192" s="181"/>
      <c r="G192" s="179" t="s">
        <v>4960</v>
      </c>
      <c r="H192" s="190"/>
      <c r="I192" s="190"/>
      <c r="J192" s="187" t="s">
        <v>3044</v>
      </c>
      <c r="K192" s="187" t="s">
        <v>3168</v>
      </c>
      <c r="L192" s="252" t="str">
        <f>IFERROR(__xludf.DUMMYFUNCTION("ifna(IF(and(D192=""Saída"",J192=""Sangria""),if(sum(QUERY(IMPORTRANGE(""https://docs.google.com/spreadsheets/d/1wBSFbIXYswW2S5SMKo44LPsdTG4P4kfP5VRdAS5E_4o"",""BD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'""&amp;YEAR(C192)&amp;""-""&amp;MONTH(C192)&amp;""-""&amp;DAY(C192)&amp;""'""))&gt;0,""Depositada"",if(sum(QUERY(IMPORTRANGE(""https://docs.google.com/spreadsheets/d/1wBSFbIXYswW2S5SMKo44LPsdTG4P4kfP5VRdAS5E_4o"",""BD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>
        <f>IFERROR(__xludf.DUMMYFUNCTION("ifna(VALUE(REGEXEXTRACT(E192,""[0-9.]+[,]+[0-9]+"")))"),8.0)</f>
        <v>8</v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0">
        <v>1745228.0</v>
      </c>
      <c r="C193" s="11">
        <v>45947.91769675926</v>
      </c>
      <c r="D193" s="179" t="s">
        <v>50</v>
      </c>
      <c r="E193" s="180" t="s">
        <v>6739</v>
      </c>
      <c r="F193" s="188"/>
      <c r="G193" s="179" t="s">
        <v>7070</v>
      </c>
      <c r="H193" s="190"/>
      <c r="I193" s="190"/>
      <c r="J193" s="187" t="s">
        <v>3746</v>
      </c>
      <c r="K193" s="187" t="s">
        <v>3168</v>
      </c>
      <c r="L193" s="252" t="str">
        <f>IFERROR(__xludf.DUMMYFUNCTION("ifna(IF(and(D193=""Saída"",J193=""Sangria""),if(sum(QUERY(IMPORTRANGE(""https://docs.google.com/spreadsheets/d/1wBSFbIXYswW2S5SMKo44LPsdTG4P4kfP5VRdAS5E_4o"",""BD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'""&amp;YEAR(C193)&amp;""-""&amp;MONTH(C193)&amp;""-""&amp;DAY(C193)&amp;""'""))&gt;0,""Depositada"",if(sum(QUERY(IMPORTRANGE(""https://docs.google.com/spreadsheets/d/1wBSFbIXYswW2S5SMKo44LPsdTG4P4kfP5VRdAS5E_4o"",""BD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Sangria"")"),"#REF!")</f>
        <v>#REF!</v>
      </c>
      <c r="M193" s="185">
        <f>IFERROR(__xludf.DUMMYFUNCTION("ifna(VALUE(REGEXEXTRACT(E193,""[0-9.]+[,]+[0-9]+"")))"),350.0)</f>
        <v>350</v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0">
        <v>1747093.0</v>
      </c>
      <c r="C194" s="11">
        <v>45948.92710648148</v>
      </c>
      <c r="D194" s="179" t="s">
        <v>50</v>
      </c>
      <c r="E194" s="180" t="s">
        <v>991</v>
      </c>
      <c r="F194" s="181"/>
      <c r="G194" s="179" t="s">
        <v>7071</v>
      </c>
      <c r="H194" s="190"/>
      <c r="I194" s="190"/>
      <c r="J194" s="187" t="s">
        <v>3746</v>
      </c>
      <c r="K194" s="187" t="s">
        <v>3168</v>
      </c>
      <c r="L194" s="252" t="str">
        <f>IFERROR(__xludf.DUMMYFUNCTION("ifna(IF(and(D194=""Saída"",J194=""Sangria""),if(sum(QUERY(IMPORTRANGE(""https://docs.google.com/spreadsheets/d/1wBSFbIXYswW2S5SMKo44LPsdTG4P4kfP5VRdAS5E_4o"",""BD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'""&amp;YEAR(C194)&amp;""-""&amp;MONTH(C194)&amp;""-""&amp;DAY(C194)&amp;""'""))&gt;0,""Depositada"",if(sum(QUERY(IMPORTRANGE(""https://docs.google.com/spreadsheets/d/1wBSFbIXYswW2S5SMKo44LPsdTG4P4kfP5VRdAS5E_4o"",""BD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Sangria"")"),"#REF!")</f>
        <v>#REF!</v>
      </c>
      <c r="M194" s="185">
        <f>IFERROR(__xludf.DUMMYFUNCTION("ifna(VALUE(REGEXEXTRACT(E194,""[0-9.]+[,]+[0-9]+"")))"),700.0)</f>
        <v>700</v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0">
        <v>1748157.0</v>
      </c>
      <c r="C195" s="11">
        <v>45949.71803240741</v>
      </c>
      <c r="D195" s="179" t="s">
        <v>50</v>
      </c>
      <c r="E195" s="180" t="s">
        <v>6899</v>
      </c>
      <c r="F195" s="181"/>
      <c r="G195" s="179" t="s">
        <v>7072</v>
      </c>
      <c r="H195" s="190"/>
      <c r="I195" s="190"/>
      <c r="J195" s="187" t="s">
        <v>3466</v>
      </c>
      <c r="K195" s="187"/>
      <c r="L195" s="252" t="str">
        <f>IFERROR(__xludf.DUMMYFUNCTION("ifna(IF(and(D195=""Saída"",J195=""Sangria""),if(sum(QUERY(IMPORTRANGE(""https://docs.google.com/spreadsheets/d/1wBSFbIXYswW2S5SMKo44LPsdTG4P4kfP5VRdAS5E_4o"",""BD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'""&amp;YEAR(C195)&amp;""-""&amp;MONTH(C195)&amp;""-""&amp;DAY(C195)&amp;""'""))&gt;0,""Depositada"",if(sum(QUERY(IMPORTRANGE(""https://docs.google.com/spreadsheets/d/1wBSFbIXYswW2S5SMKo44LPsdTG4P4kfP5VRdAS5E_4o"",""BD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>
        <f>IFERROR(__xludf.DUMMYFUNCTION("ifna(VALUE(REGEXEXTRACT(E195,""[0-9.]+[,]+[0-9]+"")))"),38.72)</f>
        <v>38.72</v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0">
        <v>1748235.0</v>
      </c>
      <c r="C196" s="11">
        <v>45949.733831018515</v>
      </c>
      <c r="D196" s="179" t="s">
        <v>50</v>
      </c>
      <c r="E196" s="180" t="s">
        <v>329</v>
      </c>
      <c r="F196" s="181"/>
      <c r="G196" s="179" t="s">
        <v>7073</v>
      </c>
      <c r="H196" s="190"/>
      <c r="I196" s="190"/>
      <c r="J196" s="187" t="s">
        <v>3466</v>
      </c>
      <c r="K196" s="187"/>
      <c r="L196" s="252" t="str">
        <f>IFERROR(__xludf.DUMMYFUNCTION("ifna(IF(and(D196=""Saída"",J196=""Sangria""),if(sum(QUERY(IMPORTRANGE(""https://docs.google.com/spreadsheets/d/1wBSFbIXYswW2S5SMKo44LPsdTG4P4kfP5VRdAS5E_4o"",""BD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'""&amp;YEAR(C196)&amp;""-""&amp;MONTH(C196)&amp;""-""&amp;DAY(C196)&amp;""'""))&gt;0,""Depositada"",if(sum(QUERY(IMPORTRANGE(""https://docs.google.com/spreadsheets/d/1wBSFbIXYswW2S5SMKo44LPsdTG4P4kfP5VRdAS5E_4o"",""BD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>
        <f>IFERROR(__xludf.DUMMYFUNCTION("ifna(VALUE(REGEXEXTRACT(E196,""[0-9.]+[,]+[0-9]+"")))"),200.0)</f>
        <v>200</v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0">
        <v>1749358.0</v>
      </c>
      <c r="C197" s="11">
        <v>45949.918078703704</v>
      </c>
      <c r="D197" s="179" t="s">
        <v>50</v>
      </c>
      <c r="E197" s="180" t="s">
        <v>7074</v>
      </c>
      <c r="F197" s="181"/>
      <c r="G197" s="179" t="s">
        <v>7075</v>
      </c>
      <c r="H197" s="190"/>
      <c r="I197" s="190"/>
      <c r="J197" s="187" t="s">
        <v>3903</v>
      </c>
      <c r="K197" s="187"/>
      <c r="L197" s="252" t="str">
        <f>IFERROR(__xludf.DUMMYFUNCTION("ifna(IF(and(D197=""Saída"",J197=""Sangria""),if(sum(QUERY(IMPORTRANGE(""https://docs.google.com/spreadsheets/d/1wBSFbIXYswW2S5SMKo44LPsdTG4P4kfP5VRdAS5E_4o"",""BD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'""&amp;YEAR(C197)&amp;""-""&amp;MONTH(C197)&amp;""-""&amp;DAY(C197)&amp;""'""))&gt;0,""Depositada"",if(sum(QUERY(IMPORTRANGE(""https://docs.google.com/spreadsheets/d/1wBSFbIXYswW2S5SMKo44LPsdTG4P4kfP5VRdAS5E_4o"",""BD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>
        <f>IFERROR(__xludf.DUMMYFUNCTION("ifna(VALUE(REGEXEXTRACT(E197,""[0-9.]+[,]+[0-9]+"")))"),4.56)</f>
        <v>4.56</v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0">
        <v>1749371.0</v>
      </c>
      <c r="C198" s="11">
        <v>45949.91878472222</v>
      </c>
      <c r="D198" s="179" t="s">
        <v>50</v>
      </c>
      <c r="E198" s="180" t="s">
        <v>7077</v>
      </c>
      <c r="F198" s="181"/>
      <c r="G198" s="179" t="s">
        <v>7078</v>
      </c>
      <c r="H198" s="190"/>
      <c r="I198" s="190"/>
      <c r="J198" s="187" t="s">
        <v>3903</v>
      </c>
      <c r="K198" s="187"/>
      <c r="L198" s="252" t="str">
        <f>IFERROR(__xludf.DUMMYFUNCTION("ifna(IF(and(D198=""Saída"",J198=""Sangria""),if(sum(QUERY(IMPORTRANGE(""https://docs.google.com/spreadsheets/d/1wBSFbIXYswW2S5SMKo44LPsdTG4P4kfP5VRdAS5E_4o"",""BD M Sangrias!a:i""),""select Col6 where Col7 = 'Depositada' and Col9 = '""&amp;K198&amp;""' and Col6 ="&amp;" ""&amp;M198&amp;"" and Col4 = date '""&amp;YEAR(C198)&amp;""-""&amp;MONTH(C198)&amp;""-""&amp;DAY(C198)&amp;""'""))&gt;0,""Depositada"",if(sum(QUERY(IMPORTRANGE(""https://docs.google.com/spreadsheets/d/1wBSFbIXYswW2S5SMKo44LPsdTG4P4kfP5VRdAS5E_4o"",""BD M Sangrias!a:i""),""select Col6 whe"&amp;"re Col7 = 'Caixa Atendimento' and Col9 = '""&amp;K198&amp;""' and Col6 = ""&amp;M198&amp;"" and Col4 = date '""&amp;YEAR(C198)&amp;""-""&amp;MONTH(C198)&amp;""-""&amp;DAY(C198)&amp;""'""))&gt;0,""Caixa Atendimento"",""Caixa Sangria"")),""""),""Caixa Sangria"")"),"")</f>
        <v/>
      </c>
      <c r="M198" s="185">
        <f>IFERROR(__xludf.DUMMYFUNCTION("ifna(VALUE(REGEXEXTRACT(E198,""[0-9.]+[,]+[0-9]+"")))"),24.39)</f>
        <v>24.39</v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0">
        <v>1749382.0</v>
      </c>
      <c r="C199" s="11">
        <v>45949.91947916667</v>
      </c>
      <c r="D199" s="179" t="s">
        <v>50</v>
      </c>
      <c r="E199" s="180" t="s">
        <v>7079</v>
      </c>
      <c r="F199" s="181"/>
      <c r="G199" s="179" t="s">
        <v>7080</v>
      </c>
      <c r="H199" s="190"/>
      <c r="I199" s="190"/>
      <c r="J199" s="187" t="s">
        <v>3903</v>
      </c>
      <c r="K199" s="187"/>
      <c r="L199" s="252" t="str">
        <f>IFERROR(__xludf.DUMMYFUNCTION("ifna(IF(and(D199=""Saída"",J199=""Sangria""),if(sum(QUERY(IMPORTRANGE(""https://docs.google.com/spreadsheets/d/1wBSFbIXYswW2S5SMKo44LPsdTG4P4kfP5VRdAS5E_4o"",""BD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'""&amp;YEAR(C199)&amp;""-""&amp;MONTH(C199)&amp;""-""&amp;DAY(C199)&amp;""'""))&gt;0,""Depositada"",if(sum(QUERY(IMPORTRANGE(""https://docs.google.com/spreadsheets/d/1wBSFbIXYswW2S5SMKo44LPsdTG4P4kfP5VRdAS5E_4o"",""BD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>
        <f>IFERROR(__xludf.DUMMYFUNCTION("ifna(VALUE(REGEXEXTRACT(E199,""[0-9.]+[,]+[0-9]+"")))"),377.55)</f>
        <v>377.55</v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0">
        <v>1749449.0</v>
      </c>
      <c r="C200" s="11">
        <v>45949.924097222225</v>
      </c>
      <c r="D200" s="179" t="s">
        <v>50</v>
      </c>
      <c r="E200" s="180" t="s">
        <v>6430</v>
      </c>
      <c r="F200" s="181"/>
      <c r="G200" s="179" t="s">
        <v>4960</v>
      </c>
      <c r="H200" s="190"/>
      <c r="I200" s="190"/>
      <c r="J200" s="187" t="s">
        <v>3044</v>
      </c>
      <c r="K200" s="187" t="s">
        <v>3168</v>
      </c>
      <c r="L200" s="252" t="str">
        <f>IFERROR(__xludf.DUMMYFUNCTION("ifna(IF(and(D200=""Saída"",J200=""Sangria""),if(sum(QUERY(IMPORTRANGE(""https://docs.google.com/spreadsheets/d/1wBSFbIXYswW2S5SMKo44LPsdTG4P4kfP5VRdAS5E_4o"",""BD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'""&amp;YEAR(C200)&amp;""-""&amp;MONTH(C200)&amp;""-""&amp;DAY(C200)&amp;""'""))&gt;0,""Depositada"",if(sum(QUERY(IMPORTRANGE(""https://docs.google.com/spreadsheets/d/1wBSFbIXYswW2S5SMKo44LPsdTG4P4kfP5VRdAS5E_4o"",""BD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>
        <f>IFERROR(__xludf.DUMMYFUNCTION("ifna(VALUE(REGEXEXTRACT(E200,""[0-9.]+[,]+[0-9]+"")))"),47.16)</f>
        <v>47.16</v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0">
        <v>1749457.0</v>
      </c>
      <c r="C201" s="11">
        <v>45949.92459490741</v>
      </c>
      <c r="D201" s="179" t="s">
        <v>50</v>
      </c>
      <c r="E201" s="180" t="s">
        <v>7081</v>
      </c>
      <c r="F201" s="181"/>
      <c r="G201" s="179" t="s">
        <v>7082</v>
      </c>
      <c r="H201" s="190"/>
      <c r="I201" s="190"/>
      <c r="J201" s="187" t="s">
        <v>3825</v>
      </c>
      <c r="K201" s="187"/>
      <c r="L201" s="252" t="str">
        <f>IFERROR(__xludf.DUMMYFUNCTION("ifna(IF(and(D201=""Saída"",J201=""Sangria""),if(sum(QUERY(IMPORTRANGE(""https://docs.google.com/spreadsheets/d/1wBSFbIXYswW2S5SMKo44LPsdTG4P4kfP5VRdAS5E_4o"",""BD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'""&amp;YEAR(C201)&amp;""-""&amp;MONTH(C201)&amp;""-""&amp;DAY(C201)&amp;""'""))&gt;0,""Depositada"",if(sum(QUERY(IMPORTRANGE(""https://docs.google.com/spreadsheets/d/1wBSFbIXYswW2S5SMKo44LPsdTG4P4kfP5VRdAS5E_4o"",""BD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>
        <f>IFERROR(__xludf.DUMMYFUNCTION("ifna(VALUE(REGEXEXTRACT(E201,""[0-9.]+[,]+[0-9]+"")))"),40.0)</f>
        <v>40</v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0">
        <v>1749541.0</v>
      </c>
      <c r="C202" s="11">
        <v>45949.93111111111</v>
      </c>
      <c r="D202" s="179" t="s">
        <v>50</v>
      </c>
      <c r="E202" s="180" t="s">
        <v>6392</v>
      </c>
      <c r="F202" s="181"/>
      <c r="G202" s="179" t="s">
        <v>7083</v>
      </c>
      <c r="H202" s="190"/>
      <c r="I202" s="190"/>
      <c r="J202" s="187" t="s">
        <v>3746</v>
      </c>
      <c r="K202" s="187" t="s">
        <v>3040</v>
      </c>
      <c r="L202" s="252" t="str">
        <f>IFERROR(__xludf.DUMMYFUNCTION("ifna(IF(and(D202=""Saída"",J202=""Sangria""),if(sum(QUERY(IMPORTRANGE(""https://docs.google.com/spreadsheets/d/1wBSFbIXYswW2S5SMKo44LPsdTG4P4kfP5VRdAS5E_4o"",""BD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'""&amp;YEAR(C202)&amp;""-""&amp;MONTH(C202)&amp;""-""&amp;DAY(C202)&amp;""'""))&gt;0,""Depositada"",if(sum(QUERY(IMPORTRANGE(""https://docs.google.com/spreadsheets/d/1wBSFbIXYswW2S5SMKo44LPsdTG4P4kfP5VRdAS5E_4o"",""BD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Sangria"")"),"#REF!")</f>
        <v>#REF!</v>
      </c>
      <c r="M202" s="185">
        <f>IFERROR(__xludf.DUMMYFUNCTION("ifna(VALUE(REGEXEXTRACT(E202,""[0-9.]+[,]+[0-9]+"")))"),1300.0)</f>
        <v>1300</v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0">
        <v>1751651.0</v>
      </c>
      <c r="C203" s="11">
        <v>45951.654490740744</v>
      </c>
      <c r="D203" s="179" t="s">
        <v>50</v>
      </c>
      <c r="E203" s="180" t="s">
        <v>329</v>
      </c>
      <c r="F203" s="188"/>
      <c r="G203" s="179" t="s">
        <v>7084</v>
      </c>
      <c r="H203" s="190"/>
      <c r="I203" s="190"/>
      <c r="J203" s="187" t="s">
        <v>4159</v>
      </c>
      <c r="K203" s="187"/>
      <c r="L203" s="252" t="str">
        <f>IFERROR(__xludf.DUMMYFUNCTION("ifna(IF(and(D203=""Saída"",J203=""Sangria""),if(sum(QUERY(IMPORTRANGE(""https://docs.google.com/spreadsheets/d/1wBSFbIXYswW2S5SMKo44LPsdTG4P4kfP5VRdAS5E_4o"",""BD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'""&amp;YEAR(C203)&amp;""-""&amp;MONTH(C203)&amp;""-""&amp;DAY(C203)&amp;""'""))&gt;0,""Depositada"",if(sum(QUERY(IMPORTRANGE(""https://docs.google.com/spreadsheets/d/1wBSFbIXYswW2S5SMKo44LPsdTG4P4kfP5VRdAS5E_4o"",""BD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>
        <f>IFERROR(__xludf.DUMMYFUNCTION("ifna(VALUE(REGEXEXTRACT(E203,""[0-9.]+[,]+[0-9]+"")))"),200.0)</f>
        <v>200</v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0">
        <v>1751655.0</v>
      </c>
      <c r="C204" s="11">
        <v>45951.65515046296</v>
      </c>
      <c r="D204" s="179" t="s">
        <v>227</v>
      </c>
      <c r="E204" s="180" t="s">
        <v>494</v>
      </c>
      <c r="F204" s="181"/>
      <c r="G204" s="179" t="s">
        <v>7085</v>
      </c>
      <c r="H204" s="190"/>
      <c r="I204" s="190"/>
      <c r="J204" s="187" t="s">
        <v>4159</v>
      </c>
      <c r="K204" s="187"/>
      <c r="L204" s="252" t="str">
        <f>IFERROR(__xludf.DUMMYFUNCTION("ifna(IF(and(D204=""Saída"",J204=""Sangria""),if(sum(QUERY(IMPORTRANGE(""https://docs.google.com/spreadsheets/d/1wBSFbIXYswW2S5SMKo44LPsdTG4P4kfP5VRdAS5E_4o"",""BD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'""&amp;YEAR(C204)&amp;""-""&amp;MONTH(C204)&amp;""-""&amp;DAY(C204)&amp;""'""))&gt;0,""Depositada"",if(sum(QUERY(IMPORTRANGE(""https://docs.google.com/spreadsheets/d/1wBSFbIXYswW2S5SMKo44LPsdTG4P4kfP5VRdAS5E_4o"",""BD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>
        <f>IFERROR(__xludf.DUMMYFUNCTION("ifna(VALUE(REGEXEXTRACT(E204,""[0-9.]+[,]+[0-9]+"")))"),0.01)</f>
        <v>0.01</v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0">
        <v>1751740.0</v>
      </c>
      <c r="C205" s="11">
        <v>45951.68509259259</v>
      </c>
      <c r="D205" s="179" t="s">
        <v>50</v>
      </c>
      <c r="E205" s="180" t="s">
        <v>7086</v>
      </c>
      <c r="F205" s="188"/>
      <c r="G205" s="179" t="s">
        <v>7087</v>
      </c>
      <c r="H205" s="190"/>
      <c r="I205" s="190"/>
      <c r="J205" s="187" t="s">
        <v>3903</v>
      </c>
      <c r="K205" s="187"/>
      <c r="L205" s="252" t="str">
        <f>IFERROR(__xludf.DUMMYFUNCTION("ifna(IF(and(D205=""Saída"",J205=""Sangria""),if(sum(QUERY(IMPORTRANGE(""https://docs.google.com/spreadsheets/d/1wBSFbIXYswW2S5SMKo44LPsdTG4P4kfP5VRdAS5E_4o"",""BD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'""&amp;YEAR(C205)&amp;""-""&amp;MONTH(C205)&amp;""-""&amp;DAY(C205)&amp;""'""))&gt;0,""Depositada"",if(sum(QUERY(IMPORTRANGE(""https://docs.google.com/spreadsheets/d/1wBSFbIXYswW2S5SMKo44LPsdTG4P4kfP5VRdAS5E_4o"",""BD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>
        <f>IFERROR(__xludf.DUMMYFUNCTION("ifna(VALUE(REGEXEXTRACT(E205,""[0-9.]+[,]+[0-9]+"")))"),63.0)</f>
        <v>63</v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38.25" customHeight="1">
      <c r="A206" s="178"/>
      <c r="B206" s="10">
        <v>1751756.0</v>
      </c>
      <c r="C206" s="11">
        <v>45951.68965277778</v>
      </c>
      <c r="D206" s="179" t="s">
        <v>50</v>
      </c>
      <c r="E206" s="180" t="s">
        <v>7088</v>
      </c>
      <c r="F206" s="181"/>
      <c r="G206" s="179" t="s">
        <v>7089</v>
      </c>
      <c r="H206" s="190"/>
      <c r="I206" s="190"/>
      <c r="J206" s="187" t="s">
        <v>3903</v>
      </c>
      <c r="K206" s="187"/>
      <c r="L206" s="252" t="str">
        <f>IFERROR(__xludf.DUMMYFUNCTION("ifna(IF(and(D206=""Saída"",J206=""Sangria""),if(sum(QUERY(IMPORTRANGE(""https://docs.google.com/spreadsheets/d/1wBSFbIXYswW2S5SMKo44LPsdTG4P4kfP5VRdAS5E_4o"",""BD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'""&amp;YEAR(C206)&amp;""-""&amp;MONTH(C206)&amp;""-""&amp;DAY(C206)&amp;""'""))&gt;0,""Depositada"",if(sum(QUERY(IMPORTRANGE(""https://docs.google.com/spreadsheets/d/1wBSFbIXYswW2S5SMKo44LPsdTG4P4kfP5VRdAS5E_4o"",""BD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>
        <f>IFERROR(__xludf.DUMMYFUNCTION("ifna(VALUE(REGEXEXTRACT(E206,""[0-9.]+[,]+[0-9]+"")))"),138.53)</f>
        <v>138.53</v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0">
        <v>1752034.0</v>
      </c>
      <c r="C207" s="11">
        <v>45951.767060185186</v>
      </c>
      <c r="D207" s="179" t="s">
        <v>50</v>
      </c>
      <c r="E207" s="180" t="s">
        <v>6456</v>
      </c>
      <c r="F207" s="181"/>
      <c r="G207" s="179" t="s">
        <v>7090</v>
      </c>
      <c r="H207" s="190"/>
      <c r="I207" s="190"/>
      <c r="J207" s="187" t="s">
        <v>3467</v>
      </c>
      <c r="K207" s="187"/>
      <c r="L207" s="252" t="str">
        <f>IFERROR(__xludf.DUMMYFUNCTION("ifna(IF(and(D207=""Saída"",J207=""Sangria""),if(sum(QUERY(IMPORTRANGE(""https://docs.google.com/spreadsheets/d/1wBSFbIXYswW2S5SMKo44LPsdTG4P4kfP5VRdAS5E_4o"",""BD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'""&amp;YEAR(C207)&amp;""-""&amp;MONTH(C207)&amp;""-""&amp;DAY(C207)&amp;""'""))&gt;0,""Depositada"",if(sum(QUERY(IMPORTRANGE(""https://docs.google.com/spreadsheets/d/1wBSFbIXYswW2S5SMKo44LPsdTG4P4kfP5VRdAS5E_4o"",""BD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>
        <f>IFERROR(__xludf.DUMMYFUNCTION("ifna(VALUE(REGEXEXTRACT(E207,""[0-9.]+[,]+[0-9]+"")))"),20.06)</f>
        <v>20.06</v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0">
        <v>1753400.0</v>
      </c>
      <c r="C208" s="11">
        <v>45952.731469907405</v>
      </c>
      <c r="D208" s="179" t="s">
        <v>50</v>
      </c>
      <c r="E208" s="180" t="s">
        <v>7091</v>
      </c>
      <c r="F208" s="181"/>
      <c r="G208" s="179" t="s">
        <v>7092</v>
      </c>
      <c r="H208" s="190"/>
      <c r="I208" s="190"/>
      <c r="J208" s="187" t="s">
        <v>3903</v>
      </c>
      <c r="K208" s="187"/>
      <c r="L208" s="252" t="str">
        <f>IFERROR(__xludf.DUMMYFUNCTION("ifna(IF(and(D208=""Saída"",J208=""Sangria""),if(sum(QUERY(IMPORTRANGE(""https://docs.google.com/spreadsheets/d/1wBSFbIXYswW2S5SMKo44LPsdTG4P4kfP5VRdAS5E_4o"",""BD M Sangrias!a:i""),""select Col6 where Col7 = 'Depositada' and Col9 = '""&amp;K208&amp;""' and Col6 ="&amp;" ""&amp;M208&amp;"" and Col4 = date '""&amp;YEAR(C208)&amp;""-""&amp;MONTH(C208)&amp;""-""&amp;DAY(C208)&amp;""'""))&gt;0,""Depositada"",if(sum(QUERY(IMPORTRANGE(""https://docs.google.com/spreadsheets/d/1wBSFbIXYswW2S5SMKo44LPsdTG4P4kfP5VRdAS5E_4o"",""BD M Sangrias!a:i""),""select Col6 whe"&amp;"re Col7 = 'Caixa Atendimento' and Col9 = '""&amp;K208&amp;""' and Col6 = ""&amp;M208&amp;"" and Col4 = date '""&amp;YEAR(C208)&amp;""-""&amp;MONTH(C208)&amp;""-""&amp;DAY(C208)&amp;""'""))&gt;0,""Caixa Atendimento"",""Caixa Sangria"")),""""),""Caixa Sangria"")"),"")</f>
        <v/>
      </c>
      <c r="M208" s="185">
        <f>IFERROR(__xludf.DUMMYFUNCTION("ifna(VALUE(REGEXEXTRACT(E208,""[0-9.]+[,]+[0-9]+"")))"),28.9)</f>
        <v>28.9</v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0">
        <v>1753473.0</v>
      </c>
      <c r="C209" s="11">
        <v>45952.75226851852</v>
      </c>
      <c r="D209" s="179" t="s">
        <v>50</v>
      </c>
      <c r="E209" s="180" t="s">
        <v>7091</v>
      </c>
      <c r="F209" s="181"/>
      <c r="G209" s="179" t="s">
        <v>7093</v>
      </c>
      <c r="H209" s="190"/>
      <c r="I209" s="190"/>
      <c r="J209" s="187"/>
      <c r="K209" s="187"/>
      <c r="L209" s="252" t="str">
        <f>IFERROR(__xludf.DUMMYFUNCTION("ifna(IF(and(D209=""Saída"",J209=""Sangria""),if(sum(QUERY(IMPORTRANGE(""https://docs.google.com/spreadsheets/d/1wBSFbIXYswW2S5SMKo44LPsdTG4P4kfP5VRdAS5E_4o"",""BD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'""&amp;YEAR(C209)&amp;""-""&amp;MONTH(C209)&amp;""-""&amp;DAY(C209)&amp;""'""))&gt;0,""Depositada"",if(sum(QUERY(IMPORTRANGE(""https://docs.google.com/spreadsheets/d/1wBSFbIXYswW2S5SMKo44LPsdTG4P4kfP5VRdAS5E_4o"",""BD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>
        <f>IFERROR(__xludf.DUMMYFUNCTION("ifna(VALUE(REGEXEXTRACT(E209,""[0-9.]+[,]+[0-9]+"")))"),28.9)</f>
        <v>28.9</v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0">
        <v>1753478.0</v>
      </c>
      <c r="C210" s="11">
        <v>45952.753912037035</v>
      </c>
      <c r="D210" s="179" t="s">
        <v>50</v>
      </c>
      <c r="E210" s="180" t="s">
        <v>494</v>
      </c>
      <c r="F210" s="181"/>
      <c r="G210" s="179" t="s">
        <v>7094</v>
      </c>
      <c r="H210" s="190"/>
      <c r="I210" s="190"/>
      <c r="J210" s="187"/>
      <c r="K210" s="187"/>
      <c r="L210" s="252" t="str">
        <f>IFERROR(__xludf.DUMMYFUNCTION("ifna(IF(and(D210=""Saída"",J210=""Sangria""),if(sum(QUERY(IMPORTRANGE(""https://docs.google.com/spreadsheets/d/1wBSFbIXYswW2S5SMKo44LPsdTG4P4kfP5VRdAS5E_4o"",""BD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'""&amp;YEAR(C210)&amp;""-""&amp;MONTH(C210)&amp;""-""&amp;DAY(C210)&amp;""'""))&gt;0,""Depositada"",if(sum(QUERY(IMPORTRANGE(""https://docs.google.com/spreadsheets/d/1wBSFbIXYswW2S5SMKo44LPsdTG4P4kfP5VRdAS5E_4o"",""BD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>
        <f>IFERROR(__xludf.DUMMYFUNCTION("ifna(VALUE(REGEXEXTRACT(E210,""[0-9.]+[,]+[0-9]+"")))"),0.01)</f>
        <v>0.01</v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0">
        <v>1753539.0</v>
      </c>
      <c r="C211" s="11">
        <v>45952.77340277778</v>
      </c>
      <c r="D211" s="179" t="s">
        <v>50</v>
      </c>
      <c r="E211" s="180" t="s">
        <v>7095</v>
      </c>
      <c r="F211" s="181"/>
      <c r="G211" s="179" t="s">
        <v>6826</v>
      </c>
      <c r="H211" s="190"/>
      <c r="I211" s="190"/>
      <c r="J211" s="187" t="s">
        <v>3044</v>
      </c>
      <c r="K211" s="187" t="s">
        <v>6340</v>
      </c>
      <c r="L211" s="252" t="str">
        <f>IFERROR(__xludf.DUMMYFUNCTION("ifna(IF(and(D211=""Saída"",J211=""Sangria""),if(sum(QUERY(IMPORTRANGE(""https://docs.google.com/spreadsheets/d/1wBSFbIXYswW2S5SMKo44LPsdTG4P4kfP5VRdAS5E_4o"",""BD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'""&amp;YEAR(C211)&amp;""-""&amp;MONTH(C211)&amp;""-""&amp;DAY(C211)&amp;""'""))&gt;0,""Depositada"",if(sum(QUERY(IMPORTRANGE(""https://docs.google.com/spreadsheets/d/1wBSFbIXYswW2S5SMKo44LPsdTG4P4kfP5VRdAS5E_4o"",""BD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>
        <f>IFERROR(__xludf.DUMMYFUNCTION("ifna(VALUE(REGEXEXTRACT(E211,""[0-9.]+[,]+[0-9]+"")))"),34.51)</f>
        <v>34.51</v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0">
        <v>1754046.0</v>
      </c>
      <c r="C212" s="11">
        <v>45952.9275462963</v>
      </c>
      <c r="D212" s="179" t="s">
        <v>50</v>
      </c>
      <c r="E212" s="180" t="s">
        <v>1279</v>
      </c>
      <c r="F212" s="181"/>
      <c r="G212" s="179" t="s">
        <v>7096</v>
      </c>
      <c r="H212" s="190"/>
      <c r="I212" s="190"/>
      <c r="J212" s="187" t="s">
        <v>3746</v>
      </c>
      <c r="K212" s="187" t="s">
        <v>3168</v>
      </c>
      <c r="L212" s="252" t="str">
        <f>IFERROR(__xludf.DUMMYFUNCTION("ifna(IF(and(D212=""Saída"",J212=""Sangria""),if(sum(QUERY(IMPORTRANGE(""https://docs.google.com/spreadsheets/d/1wBSFbIXYswW2S5SMKo44LPsdTG4P4kfP5VRdAS5E_4o"",""BD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'""&amp;YEAR(C212)&amp;""-""&amp;MONTH(C212)&amp;""-""&amp;DAY(C212)&amp;""'""))&gt;0,""Depositada"",if(sum(QUERY(IMPORTRANGE(""https://docs.google.com/spreadsheets/d/1wBSFbIXYswW2S5SMKo44LPsdTG4P4kfP5VRdAS5E_4o"",""BD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Sangria"")"),"#REF!")</f>
        <v>#REF!</v>
      </c>
      <c r="M212" s="185">
        <f>IFERROR(__xludf.DUMMYFUNCTION("ifna(VALUE(REGEXEXTRACT(E212,""[0-9.]+[,]+[0-9]+"")))"),600.0)</f>
        <v>600</v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0">
        <v>1754970.0</v>
      </c>
      <c r="C213" s="11">
        <v>45953.74376157407</v>
      </c>
      <c r="D213" s="179" t="s">
        <v>50</v>
      </c>
      <c r="E213" s="180" t="s">
        <v>7097</v>
      </c>
      <c r="F213" s="181"/>
      <c r="G213" s="179" t="s">
        <v>7098</v>
      </c>
      <c r="H213" s="190"/>
      <c r="I213" s="190"/>
      <c r="J213" s="187" t="s">
        <v>3903</v>
      </c>
      <c r="K213" s="187"/>
      <c r="L213" s="252" t="str">
        <f>IFERROR(__xludf.DUMMYFUNCTION("ifna(IF(and(D213=""Saída"",J213=""Sangria""),if(sum(QUERY(IMPORTRANGE(""https://docs.google.com/spreadsheets/d/1wBSFbIXYswW2S5SMKo44LPsdTG4P4kfP5VRdAS5E_4o"",""BD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'""&amp;YEAR(C213)&amp;""-""&amp;MONTH(C213)&amp;""-""&amp;DAY(C213)&amp;""'""))&gt;0,""Depositada"",if(sum(QUERY(IMPORTRANGE(""https://docs.google.com/spreadsheets/d/1wBSFbIXYswW2S5SMKo44LPsdTG4P4kfP5VRdAS5E_4o"",""BD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>
        <f>IFERROR(__xludf.DUMMYFUNCTION("ifna(VALUE(REGEXEXTRACT(E213,""[0-9.]+[,]+[0-9]+"")))"),584.95)</f>
        <v>584.95</v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0">
        <v>1754975.0</v>
      </c>
      <c r="C214" s="11">
        <v>45953.7443287037</v>
      </c>
      <c r="D214" s="179" t="s">
        <v>50</v>
      </c>
      <c r="E214" s="180" t="s">
        <v>7099</v>
      </c>
      <c r="F214" s="181"/>
      <c r="G214" s="179" t="s">
        <v>7100</v>
      </c>
      <c r="H214" s="190"/>
      <c r="I214" s="190"/>
      <c r="J214" s="187" t="s">
        <v>3903</v>
      </c>
      <c r="K214" s="187"/>
      <c r="L214" s="252" t="str">
        <f>IFERROR(__xludf.DUMMYFUNCTION("ifna(IF(and(D214=""Saída"",J214=""Sangria""),if(sum(QUERY(IMPORTRANGE(""https://docs.google.com/spreadsheets/d/1wBSFbIXYswW2S5SMKo44LPsdTG4P4kfP5VRdAS5E_4o"",""BD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'""&amp;YEAR(C214)&amp;""-""&amp;MONTH(C214)&amp;""-""&amp;DAY(C214)&amp;""'""))&gt;0,""Depositada"",if(sum(QUERY(IMPORTRANGE(""https://docs.google.com/spreadsheets/d/1wBSFbIXYswW2S5SMKo44LPsdTG4P4kfP5VRdAS5E_4o"",""BD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>
        <f>IFERROR(__xludf.DUMMYFUNCTION("ifna(VALUE(REGEXEXTRACT(E214,""[0-9.]+[,]+[0-9]+"")))"),83.76)</f>
        <v>83.76</v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0">
        <v>1755970.0</v>
      </c>
      <c r="C215" s="11">
        <v>45954.52334490741</v>
      </c>
      <c r="D215" s="179" t="s">
        <v>50</v>
      </c>
      <c r="E215" s="180" t="s">
        <v>6794</v>
      </c>
      <c r="F215" s="181"/>
      <c r="G215" s="179" t="s">
        <v>1037</v>
      </c>
      <c r="H215" s="190"/>
      <c r="I215" s="190"/>
      <c r="J215" s="187" t="s">
        <v>3903</v>
      </c>
      <c r="K215" s="187"/>
      <c r="L215" s="252" t="str">
        <f>IFERROR(__xludf.DUMMYFUNCTION("ifna(IF(and(D215=""Saída"",J215=""Sangria""),if(sum(QUERY(IMPORTRANGE(""https://docs.google.com/spreadsheets/d/1wBSFbIXYswW2S5SMKo44LPsdTG4P4kfP5VRdAS5E_4o"",""BD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'""&amp;YEAR(C215)&amp;""-""&amp;MONTH(C215)&amp;""-""&amp;DAY(C215)&amp;""'""))&gt;0,""Depositada"",if(sum(QUERY(IMPORTRANGE(""https://docs.google.com/spreadsheets/d/1wBSFbIXYswW2S5SMKo44LPsdTG4P4kfP5VRdAS5E_4o"",""BD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>
        <f>IFERROR(__xludf.DUMMYFUNCTION("ifna(VALUE(REGEXEXTRACT(E215,""[0-9.]+[,]+[0-9]+"")))"),220.0)</f>
        <v>220</v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36.0" customHeight="1">
      <c r="A216" s="178"/>
      <c r="B216" s="10">
        <v>1755974.0</v>
      </c>
      <c r="C216" s="11">
        <v>45954.52511574074</v>
      </c>
      <c r="D216" s="179" t="s">
        <v>227</v>
      </c>
      <c r="E216" s="180" t="s">
        <v>6739</v>
      </c>
      <c r="F216" s="188"/>
      <c r="G216" s="278" t="s">
        <v>7101</v>
      </c>
      <c r="H216" s="190"/>
      <c r="I216" s="190"/>
      <c r="J216" s="187" t="s">
        <v>4159</v>
      </c>
      <c r="K216" s="187"/>
      <c r="L216" s="252" t="str">
        <f>IFERROR(__xludf.DUMMYFUNCTION("ifna(IF(and(D216=""Saída"",J216=""Sangria""),if(sum(QUERY(IMPORTRANGE(""https://docs.google.com/spreadsheets/d/1wBSFbIXYswW2S5SMKo44LPsdTG4P4kfP5VRdAS5E_4o"",""BD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'""&amp;YEAR(C216)&amp;""-""&amp;MONTH(C216)&amp;""-""&amp;DAY(C216)&amp;""'""))&gt;0,""Depositada"",if(sum(QUERY(IMPORTRANGE(""https://docs.google.com/spreadsheets/d/1wBSFbIXYswW2S5SMKo44LPsdTG4P4kfP5VRdAS5E_4o"",""BD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>
        <f>IFERROR(__xludf.DUMMYFUNCTION("ifna(VALUE(REGEXEXTRACT(E216,""[0-9.]+[,]+[0-9]+"")))"),350.0)</f>
        <v>350</v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0">
        <v>1756523.0</v>
      </c>
      <c r="C217" s="11">
        <v>45954.69731481482</v>
      </c>
      <c r="D217" s="179" t="s">
        <v>50</v>
      </c>
      <c r="E217" s="180" t="s">
        <v>166</v>
      </c>
      <c r="F217" s="181"/>
      <c r="G217" s="179" t="s">
        <v>7103</v>
      </c>
      <c r="H217" s="190"/>
      <c r="I217" s="190"/>
      <c r="J217" s="187" t="s">
        <v>3467</v>
      </c>
      <c r="K217" s="187"/>
      <c r="L217" s="252" t="str">
        <f>IFERROR(__xludf.DUMMYFUNCTION("ifna(IF(and(D217=""Saída"",J217=""Sangria""),if(sum(QUERY(IMPORTRANGE(""https://docs.google.com/spreadsheets/d/1wBSFbIXYswW2S5SMKo44LPsdTG4P4kfP5VRdAS5E_4o"",""BD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'""&amp;YEAR(C217)&amp;""-""&amp;MONTH(C217)&amp;""-""&amp;DAY(C217)&amp;""'""))&gt;0,""Depositada"",if(sum(QUERY(IMPORTRANGE(""https://docs.google.com/spreadsheets/d/1wBSFbIXYswW2S5SMKo44LPsdTG4P4kfP5VRdAS5E_4o"",""BD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>
        <f>IFERROR(__xludf.DUMMYFUNCTION("ifna(VALUE(REGEXEXTRACT(E217,""[0-9.]+[,]+[0-9]+"")))"),26.33)</f>
        <v>26.33</v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0">
        <v>1756911.0</v>
      </c>
      <c r="C218" s="11">
        <v>45954.787986111114</v>
      </c>
      <c r="D218" s="179" t="s">
        <v>50</v>
      </c>
      <c r="E218" s="180" t="s">
        <v>6794</v>
      </c>
      <c r="F218" s="181"/>
      <c r="G218" s="179" t="s">
        <v>7104</v>
      </c>
      <c r="H218" s="190"/>
      <c r="I218" s="190"/>
      <c r="J218" s="187" t="s">
        <v>3903</v>
      </c>
      <c r="K218" s="187"/>
      <c r="L218" s="252" t="str">
        <f>IFERROR(__xludf.DUMMYFUNCTION("ifna(IF(and(D218=""Saída"",J218=""Sangria""),if(sum(QUERY(IMPORTRANGE(""https://docs.google.com/spreadsheets/d/1wBSFbIXYswW2S5SMKo44LPsdTG4P4kfP5VRdAS5E_4o"",""BD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'""&amp;YEAR(C218)&amp;""-""&amp;MONTH(C218)&amp;""-""&amp;DAY(C218)&amp;""'""))&gt;0,""Depositada"",if(sum(QUERY(IMPORTRANGE(""https://docs.google.com/spreadsheets/d/1wBSFbIXYswW2S5SMKo44LPsdTG4P4kfP5VRdAS5E_4o"",""BD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>
        <f>IFERROR(__xludf.DUMMYFUNCTION("ifna(VALUE(REGEXEXTRACT(E218,""[0-9.]+[,]+[0-9]+"")))"),220.0)</f>
        <v>220</v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0">
        <v>1756912.0</v>
      </c>
      <c r="C219" s="11">
        <v>45954.78836805555</v>
      </c>
      <c r="D219" s="179" t="s">
        <v>50</v>
      </c>
      <c r="E219" s="180" t="s">
        <v>236</v>
      </c>
      <c r="F219" s="181"/>
      <c r="G219" s="179" t="s">
        <v>7106</v>
      </c>
      <c r="H219" s="190"/>
      <c r="I219" s="190"/>
      <c r="J219" s="187" t="s">
        <v>3903</v>
      </c>
      <c r="K219" s="187"/>
      <c r="L219" s="252" t="str">
        <f>IFERROR(__xludf.DUMMYFUNCTION("ifna(IF(and(D219=""Saída"",J219=""Sangria""),if(sum(QUERY(IMPORTRANGE(""https://docs.google.com/spreadsheets/d/1wBSFbIXYswW2S5SMKo44LPsdTG4P4kfP5VRdAS5E_4o"",""BD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'""&amp;YEAR(C219)&amp;""-""&amp;MONTH(C219)&amp;""-""&amp;DAY(C219)&amp;""'""))&gt;0,""Depositada"",if(sum(QUERY(IMPORTRANGE(""https://docs.google.com/spreadsheets/d/1wBSFbIXYswW2S5SMKo44LPsdTG4P4kfP5VRdAS5E_4o"",""BD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>
        <f>IFERROR(__xludf.DUMMYFUNCTION("ifna(VALUE(REGEXEXTRACT(E219,""[0-9.]+[,]+[0-9]+"")))"),30.0)</f>
        <v>30</v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0">
        <v>1756924.0</v>
      </c>
      <c r="C220" s="11">
        <v>45954.79210648148</v>
      </c>
      <c r="D220" s="179" t="s">
        <v>50</v>
      </c>
      <c r="E220" s="180" t="s">
        <v>7108</v>
      </c>
      <c r="F220" s="181"/>
      <c r="G220" s="179" t="s">
        <v>7109</v>
      </c>
      <c r="H220" s="190"/>
      <c r="I220" s="190"/>
      <c r="J220" s="187" t="s">
        <v>4159</v>
      </c>
      <c r="K220" s="187"/>
      <c r="L220" s="252" t="str">
        <f>IFERROR(__xludf.DUMMYFUNCTION("ifna(IF(and(D220=""Saída"",J220=""Sangria""),if(sum(QUERY(IMPORTRANGE(""https://docs.google.com/spreadsheets/d/1wBSFbIXYswW2S5SMKo44LPsdTG4P4kfP5VRdAS5E_4o"",""BD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'""&amp;YEAR(C220)&amp;""-""&amp;MONTH(C220)&amp;""-""&amp;DAY(C220)&amp;""'""))&gt;0,""Depositada"",if(sum(QUERY(IMPORTRANGE(""https://docs.google.com/spreadsheets/d/1wBSFbIXYswW2S5SMKo44LPsdTG4P4kfP5VRdAS5E_4o"",""BD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>
        <f>IFERROR(__xludf.DUMMYFUNCTION("ifna(VALUE(REGEXEXTRACT(E220,""[0-9.]+[,]+[0-9]+"")))"),125.0)</f>
        <v>125</v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0">
        <v>1756929.0</v>
      </c>
      <c r="C221" s="11">
        <v>45954.79278935185</v>
      </c>
      <c r="D221" s="179" t="s">
        <v>227</v>
      </c>
      <c r="E221" s="180" t="s">
        <v>494</v>
      </c>
      <c r="F221" s="181"/>
      <c r="G221" s="179" t="s">
        <v>7110</v>
      </c>
      <c r="H221" s="190"/>
      <c r="I221" s="190"/>
      <c r="J221" s="187" t="s">
        <v>4159</v>
      </c>
      <c r="K221" s="187"/>
      <c r="L221" s="252" t="str">
        <f>IFERROR(__xludf.DUMMYFUNCTION("ifna(IF(and(D221=""Saída"",J221=""Sangria""),if(sum(QUERY(IMPORTRANGE(""https://docs.google.com/spreadsheets/d/1wBSFbIXYswW2S5SMKo44LPsdTG4P4kfP5VRdAS5E_4o"",""BD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'""&amp;YEAR(C221)&amp;""-""&amp;MONTH(C221)&amp;""-""&amp;DAY(C221)&amp;""'""))&gt;0,""Depositada"",if(sum(QUERY(IMPORTRANGE(""https://docs.google.com/spreadsheets/d/1wBSFbIXYswW2S5SMKo44LPsdTG4P4kfP5VRdAS5E_4o"",""BD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>
        <f>IFERROR(__xludf.DUMMYFUNCTION("ifna(VALUE(REGEXEXTRACT(E221,""[0-9.]+[,]+[0-9]+"")))"),0.01)</f>
        <v>0.01</v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0">
        <v>1757428.0</v>
      </c>
      <c r="C222" s="11">
        <v>45954.92019675926</v>
      </c>
      <c r="D222" s="179" t="s">
        <v>50</v>
      </c>
      <c r="E222" s="180" t="s">
        <v>6693</v>
      </c>
      <c r="F222" s="188"/>
      <c r="G222" s="179" t="s">
        <v>7112</v>
      </c>
      <c r="H222" s="190"/>
      <c r="I222" s="190"/>
      <c r="J222" s="187" t="s">
        <v>3746</v>
      </c>
      <c r="K222" s="187" t="s">
        <v>3168</v>
      </c>
      <c r="L222" s="252" t="str">
        <f>IFERROR(__xludf.DUMMYFUNCTION("ifna(IF(and(D222=""Saída"",J222=""Sangria""),if(sum(QUERY(IMPORTRANGE(""https://docs.google.com/spreadsheets/d/1wBSFbIXYswW2S5SMKo44LPsdTG4P4kfP5VRdAS5E_4o"",""BD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'""&amp;YEAR(C222)&amp;""-""&amp;MONTH(C222)&amp;""-""&amp;DAY(C222)&amp;""'""))&gt;0,""Depositada"",if(sum(QUERY(IMPORTRANGE(""https://docs.google.com/spreadsheets/d/1wBSFbIXYswW2S5SMKo44LPsdTG4P4kfP5VRdAS5E_4o"",""BD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Sangria"")"),"#REF!")</f>
        <v>#REF!</v>
      </c>
      <c r="M222" s="185">
        <f>IFERROR(__xludf.DUMMYFUNCTION("ifna(VALUE(REGEXEXTRACT(E222,""[0-9.]+[,]+[0-9]+"")))"),550.0)</f>
        <v>550</v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0">
        <v>1757982.0</v>
      </c>
      <c r="C223" s="11">
        <v>45955.55584490741</v>
      </c>
      <c r="D223" s="179" t="s">
        <v>50</v>
      </c>
      <c r="E223" s="180" t="s">
        <v>1058</v>
      </c>
      <c r="F223" s="181"/>
      <c r="G223" s="179" t="s">
        <v>6446</v>
      </c>
      <c r="H223" s="190"/>
      <c r="I223" s="190"/>
      <c r="J223" s="187" t="s">
        <v>3044</v>
      </c>
      <c r="K223" s="187" t="s">
        <v>6664</v>
      </c>
      <c r="L223" s="252" t="str">
        <f>IFERROR(__xludf.DUMMYFUNCTION("ifna(IF(and(D223=""Saída"",J223=""Sangria""),if(sum(QUERY(IMPORTRANGE(""https://docs.google.com/spreadsheets/d/1wBSFbIXYswW2S5SMKo44LPsdTG4P4kfP5VRdAS5E_4o"",""BD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'""&amp;YEAR(C223)&amp;""-""&amp;MONTH(C223)&amp;""-""&amp;DAY(C223)&amp;""'""))&gt;0,""Depositada"",if(sum(QUERY(IMPORTRANGE(""https://docs.google.com/spreadsheets/d/1wBSFbIXYswW2S5SMKo44LPsdTG4P4kfP5VRdAS5E_4o"",""BD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>
        <f>IFERROR(__xludf.DUMMYFUNCTION("ifna(VALUE(REGEXEXTRACT(E223,""[0-9.]+[,]+[0-9]+"")))"),8.82)</f>
        <v>8.82</v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0">
        <v>1759668.0</v>
      </c>
      <c r="C224" s="11">
        <v>45955.90759259259</v>
      </c>
      <c r="D224" s="179" t="s">
        <v>50</v>
      </c>
      <c r="E224" s="180" t="s">
        <v>4449</v>
      </c>
      <c r="F224" s="181"/>
      <c r="G224" s="179" t="s">
        <v>7115</v>
      </c>
      <c r="H224" s="190"/>
      <c r="I224" s="190"/>
      <c r="J224" s="187" t="s">
        <v>3825</v>
      </c>
      <c r="K224" s="187"/>
      <c r="L224" s="252" t="str">
        <f>IFERROR(__xludf.DUMMYFUNCTION("ifna(IF(and(D224=""Saída"",J224=""Sangria""),if(sum(QUERY(IMPORTRANGE(""https://docs.google.com/spreadsheets/d/1wBSFbIXYswW2S5SMKo44LPsdTG4P4kfP5VRdAS5E_4o"",""BD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'""&amp;YEAR(C224)&amp;""-""&amp;MONTH(C224)&amp;""-""&amp;DAY(C224)&amp;""'""))&gt;0,""Depositada"",if(sum(QUERY(IMPORTRANGE(""https://docs.google.com/spreadsheets/d/1wBSFbIXYswW2S5SMKo44LPsdTG4P4kfP5VRdAS5E_4o"",""BD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>
        <f>IFERROR(__xludf.DUMMYFUNCTION("ifna(VALUE(REGEXEXTRACT(E224,""[0-9.]+[,]+[0-9]+"")))"),124.0)</f>
        <v>124</v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0">
        <v>1759670.0</v>
      </c>
      <c r="C225" s="11">
        <v>45955.90803240741</v>
      </c>
      <c r="D225" s="179" t="s">
        <v>50</v>
      </c>
      <c r="E225" s="180" t="s">
        <v>4019</v>
      </c>
      <c r="F225" s="181"/>
      <c r="G225" s="179" t="s">
        <v>7117</v>
      </c>
      <c r="H225" s="190"/>
      <c r="I225" s="190"/>
      <c r="J225" s="187" t="s">
        <v>3825</v>
      </c>
      <c r="K225" s="189"/>
      <c r="L225" s="252" t="str">
        <f>IFERROR(__xludf.DUMMYFUNCTION("ifna(IF(and(D225=""Saída"",J225=""Sangria""),if(sum(QUERY(IMPORTRANGE(""https://docs.google.com/spreadsheets/d/1wBSFbIXYswW2S5SMKo44LPsdTG4P4kfP5VRdAS5E_4o"",""BD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'""&amp;YEAR(C225)&amp;""-""&amp;MONTH(C225)&amp;""-""&amp;DAY(C225)&amp;""'""))&gt;0,""Depositada"",if(sum(QUERY(IMPORTRANGE(""https://docs.google.com/spreadsheets/d/1wBSFbIXYswW2S5SMKo44LPsdTG4P4kfP5VRdAS5E_4o"",""BD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>
        <f>IFERROR(__xludf.DUMMYFUNCTION("ifna(VALUE(REGEXEXTRACT(E225,""[0-9.]+[,]+[0-9]+"")))"),117.0)</f>
        <v>117</v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0">
        <v>1759682.0</v>
      </c>
      <c r="C226" s="11">
        <v>45955.909421296295</v>
      </c>
      <c r="D226" s="179" t="s">
        <v>50</v>
      </c>
      <c r="E226" s="180" t="s">
        <v>7119</v>
      </c>
      <c r="F226" s="181"/>
      <c r="G226" s="179" t="s">
        <v>7120</v>
      </c>
      <c r="H226" s="190"/>
      <c r="I226" s="190"/>
      <c r="J226" s="187" t="s">
        <v>3746</v>
      </c>
      <c r="K226" s="187" t="s">
        <v>2949</v>
      </c>
      <c r="L226" s="252" t="str">
        <f>IFERROR(__xludf.DUMMYFUNCTION("ifna(IF(and(D226=""Saída"",J226=""Sangria""),if(sum(QUERY(IMPORTRANGE(""https://docs.google.com/spreadsheets/d/1wBSFbIXYswW2S5SMKo44LPsdTG4P4kfP5VRdAS5E_4o"",""BD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'""&amp;YEAR(C226)&amp;""-""&amp;MONTH(C226)&amp;""-""&amp;DAY(C226)&amp;""'""))&gt;0,""Depositada"",if(sum(QUERY(IMPORTRANGE(""https://docs.google.com/spreadsheets/d/1wBSFbIXYswW2S5SMKo44LPsdTG4P4kfP5VRdAS5E_4o"",""BD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Sangria"")"),"#REF!")</f>
        <v>#REF!</v>
      </c>
      <c r="M226" s="185">
        <f>IFERROR(__xludf.DUMMYFUNCTION("ifna(VALUE(REGEXEXTRACT(E226,""[0-9.]+[,]+[0-9]+"")))"),1050.0)</f>
        <v>1050</v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0">
        <v>1761552.0</v>
      </c>
      <c r="C227" s="11">
        <v>45956.799525462964</v>
      </c>
      <c r="D227" s="179" t="s">
        <v>50</v>
      </c>
      <c r="E227" s="180" t="s">
        <v>6951</v>
      </c>
      <c r="F227" s="181"/>
      <c r="G227" s="179" t="s">
        <v>7123</v>
      </c>
      <c r="H227" s="190"/>
      <c r="I227" s="190"/>
      <c r="J227" s="187" t="s">
        <v>3825</v>
      </c>
      <c r="K227" s="187"/>
      <c r="L227" s="252" t="str">
        <f>IFERROR(__xludf.DUMMYFUNCTION("ifna(IF(and(D227=""Saída"",J227=""Sangria""),if(sum(QUERY(IMPORTRANGE(""https://docs.google.com/spreadsheets/d/1wBSFbIXYswW2S5SMKo44LPsdTG4P4kfP5VRdAS5E_4o"",""BD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'""&amp;YEAR(C227)&amp;""-""&amp;MONTH(C227)&amp;""-""&amp;DAY(C227)&amp;""'""))&gt;0,""Depositada"",if(sum(QUERY(IMPORTRANGE(""https://docs.google.com/spreadsheets/d/1wBSFbIXYswW2S5SMKo44LPsdTG4P4kfP5VRdAS5E_4o"",""BD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>
        <f>IFERROR(__xludf.DUMMYFUNCTION("ifna(VALUE(REGEXEXTRACT(E227,""[0-9.]+[,]+[0-9]+"")))"),59.0)</f>
        <v>59</v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0">
        <v>1762254.0</v>
      </c>
      <c r="C228" s="11">
        <v>45956.91233796296</v>
      </c>
      <c r="D228" s="179" t="s">
        <v>50</v>
      </c>
      <c r="E228" s="180" t="s">
        <v>7125</v>
      </c>
      <c r="F228" s="181"/>
      <c r="G228" s="179" t="s">
        <v>7126</v>
      </c>
      <c r="H228" s="190"/>
      <c r="I228" s="190"/>
      <c r="J228" s="187" t="s">
        <v>3746</v>
      </c>
      <c r="K228" s="187" t="s">
        <v>3168</v>
      </c>
      <c r="L228" s="252" t="str">
        <f>IFERROR(__xludf.DUMMYFUNCTION("ifna(IF(and(D228=""Saída"",J228=""Sangria""),if(sum(QUERY(IMPORTRANGE(""https://docs.google.com/spreadsheets/d/1wBSFbIXYswW2S5SMKo44LPsdTG4P4kfP5VRdAS5E_4o"",""BD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'""&amp;YEAR(C228)&amp;""-""&amp;MONTH(C228)&amp;""-""&amp;DAY(C228)&amp;""'""))&gt;0,""Depositada"",if(sum(QUERY(IMPORTRANGE(""https://docs.google.com/spreadsheets/d/1wBSFbIXYswW2S5SMKo44LPsdTG4P4kfP5VRdAS5E_4o"",""BD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Sangria"")"),"#REF!")</f>
        <v>#REF!</v>
      </c>
      <c r="M228" s="185">
        <f>IFERROR(__xludf.DUMMYFUNCTION("ifna(VALUE(REGEXEXTRACT(E228,""[0-9.]+[,]+[0-9]+"")))"),1800.0)</f>
        <v>1800</v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L229" s="252" t="str">
        <f>IFERROR(__xludf.DUMMYFUNCTION("ifna(IF(and('NOVEMBRO 2025'!D29=""Saída"",'NOVEMBRO 2025'!J29=""Sangria""),if(sum(QUERY(IMPORTRANGE(""https://docs.google.com/spreadsheets/d/1wBSFbIXYswW2S5SMKo44LPsdTG4P4kfP5VRdAS5E_4o"",""BD M Sangrias!a:i""),""select Col6 where Col7 = 'Depositada' and "&amp;"Col9 = '""&amp;'NOVEMBRO 2025'!K29&amp;""' and Col6 = ""&amp;M229&amp;"" and Col4 = date '""&amp;YEAR('NOVEMBRO 2025'!C29)&amp;""-""&amp;MONTH('NOVEMBRO 2025'!C29)&amp;""-""&amp;DAY('NOVEMBRO 2025'!C29)&amp;""'""))&gt;0,""Depositada"",if(sum(QUERY(IMPORTRANGE(""https://docs.google.com/spreadsheets"&amp;"/d/1wBSFbIXYswW2S5SMKo44LPsdTG4P4kfP5VRdAS5E_4o"",""BD M Sangrias!a:i""),""select Col6 where Col7 = 'Caixa Atendimento' and Col9 = '""&amp;'NOVEMBRO 2025'!K29&amp;""' and Col6 = ""&amp;M229&amp;"" and Col4 = date '""&amp;YEAR('NOVEMBRO 2025'!C29)&amp;""-""&amp;MONTH('NOVEMBRO 2025'!"&amp;"C29)&amp;""-""&amp;DAY('NOVEMBRO 2025'!C29)&amp;""'""))&gt;0,""Caixa Atendimento"",""Caixa Sangria"")),""""),""Caixa Sangria"")"),"")</f>
        <v/>
      </c>
      <c r="M229" s="185">
        <f>IFERROR(__xludf.DUMMYFUNCTION("ifna(VALUE(REGEXEXTRACT('NOVEMBRO 2025'!E29,""[0-9.]+[,]+[0-9]+"")))"),8.0)</f>
        <v>8</v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L230" s="252" t="str">
        <f>IFERROR(__xludf.DUMMYFUNCTION("ifna(IF(and('NOVEMBRO 2025'!D30=""Saída"",'NOVEMBRO 2025'!J30=""Sangria""),if(sum(QUERY(IMPORTRANGE(""https://docs.google.com/spreadsheets/d/1wBSFbIXYswW2S5SMKo44LPsdTG4P4kfP5VRdAS5E_4o"",""BD M Sangrias!a:i""),""select Col6 where Col7 = 'Depositada' and "&amp;"Col9 = '""&amp;'NOVEMBRO 2025'!K30&amp;""' and Col6 = ""&amp;M230&amp;"" and Col4 = date '""&amp;YEAR('NOVEMBRO 2025'!C30)&amp;""-""&amp;MONTH('NOVEMBRO 2025'!C30)&amp;""-""&amp;DAY('NOVEMBRO 2025'!C30)&amp;""'""))&gt;0,""Depositada"",if(sum(QUERY(IMPORTRANGE(""https://docs.google.com/spreadsheets"&amp;"/d/1wBSFbIXYswW2S5SMKo44LPsdTG4P4kfP5VRdAS5E_4o"",""BD M Sangrias!a:i""),""select Col6 where Col7 = 'Caixa Atendimento' and Col9 = '""&amp;'NOVEMBRO 2025'!K30&amp;""' and Col6 = ""&amp;M230&amp;"" and Col4 = date '""&amp;YEAR('NOVEMBRO 2025'!C30)&amp;""-""&amp;MONTH('NOVEMBRO 2025'!"&amp;"C30)&amp;""-""&amp;DAY('NOVEMBRO 2025'!C30)&amp;""'""))&gt;0,""Caixa Atendimento"",""Caixa Sangria"")),""""),""Caixa Sangria"")"),"")</f>
        <v/>
      </c>
      <c r="M230" s="185">
        <f>IFERROR(__xludf.DUMMYFUNCTION("ifna(VALUE(REGEXEXTRACT('NOVEMBRO 2025'!E30,""[0-9.]+[,]+[0-9]+"")))"),5.0)</f>
        <v>5</v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L231" s="252" t="str">
        <f>IFERROR(__xludf.DUMMYFUNCTION("ifna(IF(and('NOVEMBRO 2025'!D31=""Saída"",'NOVEMBRO 2025'!J31=""Sangria""),if(sum(QUERY(IMPORTRANGE(""https://docs.google.com/spreadsheets/d/1wBSFbIXYswW2S5SMKo44LPsdTG4P4kfP5VRdAS5E_4o"",""BD M Sangrias!a:i""),""select Col6 where Col7 = 'Depositada' and "&amp;"Col9 = '""&amp;'NOVEMBRO 2025'!K31&amp;""' and Col6 = ""&amp;M231&amp;"" and Col4 = date '""&amp;YEAR('NOVEMBRO 2025'!C31)&amp;""-""&amp;MONTH('NOVEMBRO 2025'!C31)&amp;""-""&amp;DAY('NOVEMBRO 2025'!C31)&amp;""'""))&gt;0,""Depositada"",if(sum(QUERY(IMPORTRANGE(""https://docs.google.com/spreadsheets"&amp;"/d/1wBSFbIXYswW2S5SMKo44LPsdTG4P4kfP5VRdAS5E_4o"",""BD M Sangrias!a:i""),""select Col6 where Col7 = 'Caixa Atendimento' and Col9 = '""&amp;'NOVEMBRO 2025'!K31&amp;""' and Col6 = ""&amp;M231&amp;"" and Col4 = date '""&amp;YEAR('NOVEMBRO 2025'!C31)&amp;""-""&amp;MONTH('NOVEMBRO 2025'!"&amp;"C31)&amp;""-""&amp;DAY('NOVEMBRO 2025'!C31)&amp;""'""))&gt;0,""Caixa Atendimento"",""Caixa Sangria"")),""""),""Caixa Sangria"")"),"")</f>
        <v/>
      </c>
      <c r="M231" s="185">
        <f>IFERROR(__xludf.DUMMYFUNCTION("ifna(VALUE(REGEXEXTRACT('NOVEMBRO 2025'!E31,""[0-9.]+[,]+[0-9]+"")))"),28.24)</f>
        <v>28.24</v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L232" s="252" t="str">
        <f>IFERROR(__xludf.DUMMYFUNCTION("ifna(IF(and('NOVEMBRO 2025'!D32=""Saída"",'NOVEMBRO 2025'!J32=""Sangria""),if(sum(QUERY(IMPORTRANGE(""https://docs.google.com/spreadsheets/d/1wBSFbIXYswW2S5SMKo44LPsdTG4P4kfP5VRdAS5E_4o"",""BD M Sangrias!a:i""),""select Col6 where Col7 = 'Depositada' and "&amp;"Col9 = '""&amp;'NOVEMBRO 2025'!K32&amp;""' and Col6 = ""&amp;M232&amp;"" and Col4 = date '""&amp;YEAR('NOVEMBRO 2025'!C32)&amp;""-""&amp;MONTH('NOVEMBRO 2025'!C32)&amp;""-""&amp;DAY('NOVEMBRO 2025'!C32)&amp;""'""))&gt;0,""Depositada"",if(sum(QUERY(IMPORTRANGE(""https://docs.google.com/spreadsheets"&amp;"/d/1wBSFbIXYswW2S5SMKo44LPsdTG4P4kfP5VRdAS5E_4o"",""BD M Sangrias!a:i""),""select Col6 where Col7 = 'Caixa Atendimento' and Col9 = '""&amp;'NOVEMBRO 2025'!K32&amp;""' and Col6 = ""&amp;M232&amp;"" and Col4 = date '""&amp;YEAR('NOVEMBRO 2025'!C32)&amp;""-""&amp;MONTH('NOVEMBRO 2025'!"&amp;"C32)&amp;""-""&amp;DAY('NOVEMBRO 2025'!C32)&amp;""'""))&gt;0,""Caixa Atendimento"",""Caixa Sangria"")),""""),""Caixa Sangria"")"),"")</f>
        <v/>
      </c>
      <c r="M232" s="185">
        <f>IFERROR(__xludf.DUMMYFUNCTION("ifna(VALUE(REGEXEXTRACT('NOVEMBRO 2025'!E32,""[0-9.]+[,]+[0-9]+"")))"),118.0)</f>
        <v>118</v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L233" s="252" t="str">
        <f>IFERROR(__xludf.DUMMYFUNCTION("ifna(IF(and('NOVEMBRO 2025'!D33=""Saída"",'NOVEMBRO 2025'!J33=""Sangria""),if(sum(QUERY(IMPORTRANGE(""https://docs.google.com/spreadsheets/d/1wBSFbIXYswW2S5SMKo44LPsdTG4P4kfP5VRdAS5E_4o"",""BD M Sangrias!a:i""),""select Col6 where Col7 = 'Depositada' and "&amp;"Col9 = '""&amp;'NOVEMBRO 2025'!K33&amp;""' and Col6 = ""&amp;M233&amp;"" and Col4 = date '""&amp;YEAR('NOVEMBRO 2025'!C33)&amp;""-""&amp;MONTH('NOVEMBRO 2025'!C33)&amp;""-""&amp;DAY('NOVEMBRO 2025'!C33)&amp;""'""))&gt;0,""Depositada"",if(sum(QUERY(IMPORTRANGE(""https://docs.google.com/spreadsheets"&amp;"/d/1wBSFbIXYswW2S5SMKo44LPsdTG4P4kfP5VRdAS5E_4o"",""BD M Sangrias!a:i""),""select Col6 where Col7 = 'Caixa Atendimento' and Col9 = '""&amp;'NOVEMBRO 2025'!K33&amp;""' and Col6 = ""&amp;M233&amp;"" and Col4 = date '""&amp;YEAR('NOVEMBRO 2025'!C33)&amp;""-""&amp;MONTH('NOVEMBRO 2025'!"&amp;"C33)&amp;""-""&amp;DAY('NOVEMBRO 2025'!C33)&amp;""'""))&gt;0,""Caixa Atendimento"",""Caixa Sangria"")),""""),""Caixa Sangria"")"),"")</f>
        <v/>
      </c>
      <c r="M233" s="185">
        <f>IFERROR(__xludf.DUMMYFUNCTION("ifna(VALUE(REGEXEXTRACT('NOVEMBRO 2025'!E33,""[0-9.]+[,]+[0-9]+"")))"),100.0)</f>
        <v>100</v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L234" s="252" t="str">
        <f>IFERROR(__xludf.DUMMYFUNCTION("ifna(IF(and('NOVEMBRO 2025'!D34=""Saída"",'NOVEMBRO 2025'!J34=""Sangria""),if(sum(QUERY(IMPORTRANGE(""https://docs.google.com/spreadsheets/d/1wBSFbIXYswW2S5SMKo44LPsdTG4P4kfP5VRdAS5E_4o"",""BD M Sangrias!a:i""),""select Col6 where Col7 = 'Depositada' and "&amp;"Col9 = '""&amp;'NOVEMBRO 2025'!K34&amp;""' and Col6 = ""&amp;M234&amp;"" and Col4 = date '""&amp;YEAR('NOVEMBRO 2025'!C34)&amp;""-""&amp;MONTH('NOVEMBRO 2025'!C34)&amp;""-""&amp;DAY('NOVEMBRO 2025'!C34)&amp;""'""))&gt;0,""Depositada"",if(sum(QUERY(IMPORTRANGE(""https://docs.google.com/spreadsheets"&amp;"/d/1wBSFbIXYswW2S5SMKo44LPsdTG4P4kfP5VRdAS5E_4o"",""BD M Sangrias!a:i""),""select Col6 where Col7 = 'Caixa Atendimento' and Col9 = '""&amp;'NOVEMBRO 2025'!K34&amp;""' and Col6 = ""&amp;M234&amp;"" and Col4 = date '""&amp;YEAR('NOVEMBRO 2025'!C34)&amp;""-""&amp;MONTH('NOVEMBRO 2025'!"&amp;"C34)&amp;""-""&amp;DAY('NOVEMBRO 2025'!C34)&amp;""'""))&gt;0,""Caixa Atendimento"",""Caixa Sangria"")),""""),""Caixa Sangria"")"),"")</f>
        <v/>
      </c>
      <c r="M234" s="185">
        <f>IFERROR(__xludf.DUMMYFUNCTION("ifna(VALUE(REGEXEXTRACT('NOVEMBRO 2025'!E34,""[0-9.]+[,]+[0-9]+"")))"),0.01)</f>
        <v>0.01</v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L235" s="252" t="str">
        <f>IFERROR(__xludf.DUMMYFUNCTION("ifna(IF(and('NOVEMBRO 2025'!D35=""Saída"",'NOVEMBRO 2025'!J35=""Sangria""),if(sum(QUERY(IMPORTRANGE(""https://docs.google.com/spreadsheets/d/1wBSFbIXYswW2S5SMKo44LPsdTG4P4kfP5VRdAS5E_4o"",""BD M Sangrias!a:i""),""select Col6 where Col7 = 'Depositada' and "&amp;"Col9 = '""&amp;'NOVEMBRO 2025'!K35&amp;""' and Col6 = ""&amp;M235&amp;"" and Col4 = date '""&amp;YEAR('NOVEMBRO 2025'!C35)&amp;""-""&amp;MONTH('NOVEMBRO 2025'!C35)&amp;""-""&amp;DAY('NOVEMBRO 2025'!C35)&amp;""'""))&gt;0,""Depositada"",if(sum(QUERY(IMPORTRANGE(""https://docs.google.com/spreadsheets"&amp;"/d/1wBSFbIXYswW2S5SMKo44LPsdTG4P4kfP5VRdAS5E_4o"",""BD M Sangrias!a:i""),""select Col6 where Col7 = 'Caixa Atendimento' and Col9 = '""&amp;'NOVEMBRO 2025'!K35&amp;""' and Col6 = ""&amp;M235&amp;"" and Col4 = date '""&amp;YEAR('NOVEMBRO 2025'!C35)&amp;""-""&amp;MONTH('NOVEMBRO 2025'!"&amp;"C35)&amp;""-""&amp;DAY('NOVEMBRO 2025'!C35)&amp;""'""))&gt;0,""Caixa Atendimento"",""Caixa Sangria"")),""""),""Caixa Sangria"")"),"")</f>
        <v/>
      </c>
      <c r="M235" s="185">
        <f>IFERROR(__xludf.DUMMYFUNCTION("ifna(VALUE(REGEXEXTRACT('NOVEMBRO 2025'!E35,""[0-9.]+[,]+[0-9]+"")))"),118.0)</f>
        <v>118</v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252" t="str">
        <f>IFERROR(__xludf.DUMMYFUNCTION("ifna(IF(and(D236=""Saída"",J236=""Sangria""),if(sum(QUERY(IMPORTRANGE(""https://docs.google.com/spreadsheets/d/1wBSFbIXYswW2S5SMKo44LPsdTG4P4kfP5VRdAS5E_4o"",""BD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'""&amp;YEAR(C236)&amp;""-""&amp;MONTH(C236)&amp;""-""&amp;DAY(C236)&amp;""'""))&gt;0,""Depositada"",if(sum(QUERY(IMPORTRANGE(""https://docs.google.com/spreadsheets/d/1wBSFbIXYswW2S5SMKo44LPsdTG4P4kfP5VRdAS5E_4o"",""BD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252" t="str">
        <f>IFERROR(__xludf.DUMMYFUNCTION("ifna(IF(and(D237=""Saída"",J237=""Sangria""),if(sum(QUERY(IMPORTRANGE(""https://docs.google.com/spreadsheets/d/1wBSFbIXYswW2S5SMKo44LPsdTG4P4kfP5VRdAS5E_4o"",""BD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'""&amp;YEAR(C237)&amp;""-""&amp;MONTH(C237)&amp;""-""&amp;DAY(C237)&amp;""'""))&gt;0,""Depositada"",if(sum(QUERY(IMPORTRANGE(""https://docs.google.com/spreadsheets/d/1wBSFbIXYswW2S5SMKo44LPsdTG4P4kfP5VRdAS5E_4o"",""BD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252" t="str">
        <f>IFERROR(__xludf.DUMMYFUNCTION("ifna(IF(and(D238=""Saída"",J238=""Sangria""),if(sum(QUERY(IMPORTRANGE(""https://docs.google.com/spreadsheets/d/1wBSFbIXYswW2S5SMKo44LPsdTG4P4kfP5VRdAS5E_4o"",""BD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'""&amp;YEAR(C238)&amp;""-""&amp;MONTH(C238)&amp;""-""&amp;DAY(C238)&amp;""'""))&gt;0,""Depositada"",if(sum(QUERY(IMPORTRANGE(""https://docs.google.com/spreadsheets/d/1wBSFbIXYswW2S5SMKo44LPsdTG4P4kfP5VRdAS5E_4o"",""BD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252" t="str">
        <f>IFERROR(__xludf.DUMMYFUNCTION("ifna(IF(and(D239=""Saída"",J239=""Sangria""),if(sum(QUERY(IMPORTRANGE(""https://docs.google.com/spreadsheets/d/1wBSFbIXYswW2S5SMKo44LPsdTG4P4kfP5VRdAS5E_4o"",""BD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'""&amp;YEAR(C239)&amp;""-""&amp;MONTH(C239)&amp;""-""&amp;DAY(C239)&amp;""'""))&gt;0,""Depositada"",if(sum(QUERY(IMPORTRANGE(""https://docs.google.com/spreadsheets/d/1wBSFbIXYswW2S5SMKo44LPsdTG4P4kfP5VRdAS5E_4o"",""BD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252" t="str">
        <f>IFERROR(__xludf.DUMMYFUNCTION("ifna(IF(and(D240=""Saída"",J240=""Sangria""),if(sum(QUERY(IMPORTRANGE(""https://docs.google.com/spreadsheets/d/1wBSFbIXYswW2S5SMKo44LPsdTG4P4kfP5VRdAS5E_4o"",""BD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'""&amp;YEAR(C240)&amp;""-""&amp;MONTH(C240)&amp;""-""&amp;DAY(C240)&amp;""'""))&gt;0,""Depositada"",if(sum(QUERY(IMPORTRANGE(""https://docs.google.com/spreadsheets/d/1wBSFbIXYswW2S5SMKo44LPsdTG4P4kfP5VRdAS5E_4o"",""BD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IFERROR(__xludf.DUMMYFUNCTION("ifna(IF(and(D241=""Saída"",J241=""Sangria""),if(sum(QUERY(IMPORTRANGE(""https://docs.google.com/spreadsheets/d/1wBSFbIXYswW2S5SMKo44LPsdTG4P4kfP5VRdAS5E_4o"",""BD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'""&amp;YEAR(C241)&amp;""-""&amp;MONTH(C241)&amp;""-""&amp;DAY(C241)&amp;""'""))&gt;0,""Depositada"",if(sum(QUERY(IMPORTRANGE(""https://docs.google.com/spreadsheets/d/1wBSFbIXYswW2S5SMKo44LPsdTG4P4kfP5VRdAS5E_4o"",""BD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252" t="str">
        <f>IFERROR(__xludf.DUMMYFUNCTION("ifna(IF(and(D242=""Saída"",J242=""Sangria""),if(sum(QUERY(IMPORTRANGE(""https://docs.google.com/spreadsheets/d/1wBSFbIXYswW2S5SMKo44LPsdTG4P4kfP5VRdAS5E_4o"",""BD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'""&amp;YEAR(C242)&amp;""-""&amp;MONTH(C242)&amp;""-""&amp;DAY(C242)&amp;""'""))&gt;0,""Depositada"",if(sum(QUERY(IMPORTRANGE(""https://docs.google.com/spreadsheets/d/1wBSFbIXYswW2S5SMKo44LPsdTG4P4kfP5VRdAS5E_4o"",""BD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IFERROR(__xludf.DUMMYFUNCTION("ifna(IF(and(D243=""Saída"",J243=""Sangria""),if(sum(QUERY(IMPORTRANGE(""https://docs.google.com/spreadsheets/d/1wBSFbIXYswW2S5SMKo44LPsdTG4P4kfP5VRdAS5E_4o"",""BD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'""&amp;YEAR(C243)&amp;""-""&amp;MONTH(C243)&amp;""-""&amp;DAY(C243)&amp;""'""))&gt;0,""Depositada"",if(sum(QUERY(IMPORTRANGE(""https://docs.google.com/spreadsheets/d/1wBSFbIXYswW2S5SMKo44LPsdTG4P4kfP5VRdAS5E_4o"",""BD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IFERROR(__xludf.DUMMYFUNCTION("ifna(IF(and(D244=""Saída"",J244=""Sangria""),if(sum(QUERY(IMPORTRANGE(""https://docs.google.com/spreadsheets/d/1wBSFbIXYswW2S5SMKo44LPsdTG4P4kfP5VRdAS5E_4o"",""BD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'""&amp;YEAR(C244)&amp;""-""&amp;MONTH(C244)&amp;""-""&amp;DAY(C244)&amp;""'""))&gt;0,""Depositada"",if(sum(QUERY(IMPORTRANGE(""https://docs.google.com/spreadsheets/d/1wBSFbIXYswW2S5SMKo44LPsdTG4P4kfP5VRdAS5E_4o"",""BD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IFERROR(__xludf.DUMMYFUNCTION("ifna(IF(and(D245=""Saída"",J245=""Sangria""),if(sum(QUERY(IMPORTRANGE(""https://docs.google.com/spreadsheets/d/1wBSFbIXYswW2S5SMKo44LPsdTG4P4kfP5VRdAS5E_4o"",""BD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'""&amp;YEAR(C245)&amp;""-""&amp;MONTH(C245)&amp;""-""&amp;DAY(C245)&amp;""'""))&gt;0,""Depositada"",if(sum(QUERY(IMPORTRANGE(""https://docs.google.com/spreadsheets/d/1wBSFbIXYswW2S5SMKo44LPsdTG4P4kfP5VRdAS5E_4o"",""BD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IFERROR(__xludf.DUMMYFUNCTION("ifna(IF(and(D246=""Saída"",J246=""Sangria""),if(sum(QUERY(IMPORTRANGE(""https://docs.google.com/spreadsheets/d/1wBSFbIXYswW2S5SMKo44LPsdTG4P4kfP5VRdAS5E_4o"",""BD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'""&amp;YEAR(C246)&amp;""-""&amp;MONTH(C246)&amp;""-""&amp;DAY(C246)&amp;""'""))&gt;0,""Depositada"",if(sum(QUERY(IMPORTRANGE(""https://docs.google.com/spreadsheets/d/1wBSFbIXYswW2S5SMKo44LPsdTG4P4kfP5VRdAS5E_4o"",""BD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IFERROR(__xludf.DUMMYFUNCTION("ifna(IF(and(D247=""Saída"",J247=""Sangria""),if(sum(QUERY(IMPORTRANGE(""https://docs.google.com/spreadsheets/d/1wBSFbIXYswW2S5SMKo44LPsdTG4P4kfP5VRdAS5E_4o"",""BD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'""&amp;YEAR(C247)&amp;""-""&amp;MONTH(C247)&amp;""-""&amp;DAY(C247)&amp;""'""))&gt;0,""Depositada"",if(sum(QUERY(IMPORTRANGE(""https://docs.google.com/spreadsheets/d/1wBSFbIXYswW2S5SMKo44LPsdTG4P4kfP5VRdAS5E_4o"",""BD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IFERROR(__xludf.DUMMYFUNCTION("ifna(IF(and(D248=""Saída"",J248=""Sangria""),if(sum(QUERY(IMPORTRANGE(""https://docs.google.com/spreadsheets/d/1wBSFbIXYswW2S5SMKo44LPsdTG4P4kfP5VRdAS5E_4o"",""BD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'""&amp;YEAR(C248)&amp;""-""&amp;MONTH(C248)&amp;""-""&amp;DAY(C248)&amp;""'""))&gt;0,""Depositada"",if(sum(QUERY(IMPORTRANGE(""https://docs.google.com/spreadsheets/d/1wBSFbIXYswW2S5SMKo44LPsdTG4P4kfP5VRdAS5E_4o"",""BD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IFERROR(__xludf.DUMMYFUNCTION("ifna(IF(and(D249=""Saída"",J249=""Sangria""),if(sum(QUERY(IMPORTRANGE(""https://docs.google.com/spreadsheets/d/1wBSFbIXYswW2S5SMKo44LPsdTG4P4kfP5VRdAS5E_4o"",""BD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'""&amp;YEAR(C249)&amp;""-""&amp;MONTH(C249)&amp;""-""&amp;DAY(C249)&amp;""'""))&gt;0,""Depositada"",if(sum(QUERY(IMPORTRANGE(""https://docs.google.com/spreadsheets/d/1wBSFbIXYswW2S5SMKo44LPsdTG4P4kfP5VRdAS5E_4o"",""BD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IFERROR(__xludf.DUMMYFUNCTION("ifna(IF(and(D250=""Saída"",J250=""Sangria""),if(sum(QUERY(IMPORTRANGE(""https://docs.google.com/spreadsheets/d/1wBSFbIXYswW2S5SMKo44LPsdTG4P4kfP5VRdAS5E_4o"",""BD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'""&amp;YEAR(C250)&amp;""-""&amp;MONTH(C250)&amp;""-""&amp;DAY(C250)&amp;""'""))&gt;0,""Depositada"",if(sum(QUERY(IMPORTRANGE(""https://docs.google.com/spreadsheets/d/1wBSFbIXYswW2S5SMKo44LPsdTG4P4kfP5VRdAS5E_4o"",""BD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IFERROR(__xludf.DUMMYFUNCTION("ifna(IF(and(D251=""Saída"",J251=""Sangria""),if(sum(QUERY(IMPORTRANGE(""https://docs.google.com/spreadsheets/d/1wBSFbIXYswW2S5SMKo44LPsdTG4P4kfP5VRdAS5E_4o"",""BD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'""&amp;YEAR(C251)&amp;""-""&amp;MONTH(C251)&amp;""-""&amp;DAY(C251)&amp;""'""))&gt;0,""Depositada"",if(sum(QUERY(IMPORTRANGE(""https://docs.google.com/spreadsheets/d/1wBSFbIXYswW2S5SMKo44LPsdTG4P4kfP5VRdAS5E_4o"",""BD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IFERROR(__xludf.DUMMYFUNCTION("ifna(IF(and(D252=""Saída"",J252=""Sangria""),if(sum(QUERY(IMPORTRANGE(""https://docs.google.com/spreadsheets/d/1wBSFbIXYswW2S5SMKo44LPsdTG4P4kfP5VRdAS5E_4o"",""BD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'""&amp;YEAR(C252)&amp;""-""&amp;MONTH(C252)&amp;""-""&amp;DAY(C252)&amp;""'""))&gt;0,""Depositada"",if(sum(QUERY(IMPORTRANGE(""https://docs.google.com/spreadsheets/d/1wBSFbIXYswW2S5SMKo44LPsdTG4P4kfP5VRdAS5E_4o"",""BD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IFERROR(__xludf.DUMMYFUNCTION("ifna(IF(and(D253=""Saída"",J253=""Sangria""),if(sum(QUERY(IMPORTRANGE(""https://docs.google.com/spreadsheets/d/1wBSFbIXYswW2S5SMKo44LPsdTG4P4kfP5VRdAS5E_4o"",""BD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'""&amp;YEAR(C253)&amp;""-""&amp;MONTH(C253)&amp;""-""&amp;DAY(C253)&amp;""'""))&gt;0,""Depositada"",if(sum(QUERY(IMPORTRANGE(""https://docs.google.com/spreadsheets/d/1wBSFbIXYswW2S5SMKo44LPsdTG4P4kfP5VRdAS5E_4o"",""BD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IFERROR(__xludf.DUMMYFUNCTION("ifna(IF(and(D254=""Saída"",J254=""Sangria""),if(sum(QUERY(IMPORTRANGE(""https://docs.google.com/spreadsheets/d/1wBSFbIXYswW2S5SMKo44LPsdTG4P4kfP5VRdAS5E_4o"",""BD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'""&amp;YEAR(C254)&amp;""-""&amp;MONTH(C254)&amp;""-""&amp;DAY(C254)&amp;""'""))&gt;0,""Depositada"",if(sum(QUERY(IMPORTRANGE(""https://docs.google.com/spreadsheets/d/1wBSFbIXYswW2S5SMKo44LPsdTG4P4kfP5VRdAS5E_4o"",""BD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IFERROR(__xludf.DUMMYFUNCTION("ifna(IF(and(D255=""Saída"",J255=""Sangria""),if(sum(QUERY(IMPORTRANGE(""https://docs.google.com/spreadsheets/d/1wBSFbIXYswW2S5SMKo44LPsdTG4P4kfP5VRdAS5E_4o"",""BD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'""&amp;YEAR(C255)&amp;""-""&amp;MONTH(C255)&amp;""-""&amp;DAY(C255)&amp;""'""))&gt;0,""Depositada"",if(sum(QUERY(IMPORTRANGE(""https://docs.google.com/spreadsheets/d/1wBSFbIXYswW2S5SMKo44LPsdTG4P4kfP5VRdAS5E_4o"",""BD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IFERROR(__xludf.DUMMYFUNCTION("ifna(IF(and(D256=""Saída"",J256=""Sangria""),if(sum(QUERY(IMPORTRANGE(""https://docs.google.com/spreadsheets/d/1wBSFbIXYswW2S5SMKo44LPsdTG4P4kfP5VRdAS5E_4o"",""BD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'""&amp;YEAR(C256)&amp;""-""&amp;MONTH(C256)&amp;""-""&amp;DAY(C256)&amp;""'""))&gt;0,""Depositada"",if(sum(QUERY(IMPORTRANGE(""https://docs.google.com/spreadsheets/d/1wBSFbIXYswW2S5SMKo44LPsdTG4P4kfP5VRdAS5E_4o"",""BD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IFERROR(__xludf.DUMMYFUNCTION("ifna(IF(and(D257=""Saída"",J257=""Sangria""),if(sum(QUERY(IMPORTRANGE(""https://docs.google.com/spreadsheets/d/1wBSFbIXYswW2S5SMKo44LPsdTG4P4kfP5VRdAS5E_4o"",""BD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'""&amp;YEAR(C257)&amp;""-""&amp;MONTH(C257)&amp;""-""&amp;DAY(C257)&amp;""'""))&gt;0,""Depositada"",if(sum(QUERY(IMPORTRANGE(""https://docs.google.com/spreadsheets/d/1wBSFbIXYswW2S5SMKo44LPsdTG4P4kfP5VRdAS5E_4o"",""BD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IFERROR(__xludf.DUMMYFUNCTION("ifna(IF(and(D258=""Saída"",J258=""Sangria""),if(sum(QUERY(IMPORTRANGE(""https://docs.google.com/spreadsheets/d/1wBSFbIXYswW2S5SMKo44LPsdTG4P4kfP5VRdAS5E_4o"",""BD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'""&amp;YEAR(C258)&amp;""-""&amp;MONTH(C258)&amp;""-""&amp;DAY(C258)&amp;""'""))&gt;0,""Depositada"",if(sum(QUERY(IMPORTRANGE(""https://docs.google.com/spreadsheets/d/1wBSFbIXYswW2S5SMKo44LPsdTG4P4kfP5VRdAS5E_4o"",""BD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IFERROR(__xludf.DUMMYFUNCTION("ifna(IF(and(D259=""Saída"",J259=""Sangria""),if(sum(QUERY(IMPORTRANGE(""https://docs.google.com/spreadsheets/d/1wBSFbIXYswW2S5SMKo44LPsdTG4P4kfP5VRdAS5E_4o"",""BD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'""&amp;YEAR(C259)&amp;""-""&amp;MONTH(C259)&amp;""-""&amp;DAY(C259)&amp;""'""))&gt;0,""Depositada"",if(sum(QUERY(IMPORTRANGE(""https://docs.google.com/spreadsheets/d/1wBSFbIXYswW2S5SMKo44LPsdTG4P4kfP5VRdAS5E_4o"",""BD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IFERROR(__xludf.DUMMYFUNCTION("ifna(IF(and(D260=""Saída"",J260=""Sangria""),if(sum(QUERY(IMPORTRANGE(""https://docs.google.com/spreadsheets/d/1wBSFbIXYswW2S5SMKo44LPsdTG4P4kfP5VRdAS5E_4o"",""BD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'""&amp;YEAR(C260)&amp;""-""&amp;MONTH(C260)&amp;""-""&amp;DAY(C260)&amp;""'""))&gt;0,""Depositada"",if(sum(QUERY(IMPORTRANGE(""https://docs.google.com/spreadsheets/d/1wBSFbIXYswW2S5SMKo44LPsdTG4P4kfP5VRdAS5E_4o"",""BD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IFERROR(__xludf.DUMMYFUNCTION("ifna(IF(and(D261=""Saída"",J261=""Sangria""),if(sum(QUERY(IMPORTRANGE(""https://docs.google.com/spreadsheets/d/1wBSFbIXYswW2S5SMKo44LPsdTG4P4kfP5VRdAS5E_4o"",""BD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'""&amp;YEAR(C261)&amp;""-""&amp;MONTH(C261)&amp;""-""&amp;DAY(C261)&amp;""'""))&gt;0,""Depositada"",if(sum(QUERY(IMPORTRANGE(""https://docs.google.com/spreadsheets/d/1wBSFbIXYswW2S5SMKo44LPsdTG4P4kfP5VRdAS5E_4o"",""BD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IFERROR(__xludf.DUMMYFUNCTION("ifna(IF(and(D262=""Saída"",J262=""Sangria""),if(sum(QUERY(IMPORTRANGE(""https://docs.google.com/spreadsheets/d/1wBSFbIXYswW2S5SMKo44LPsdTG4P4kfP5VRdAS5E_4o"",""BD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'""&amp;YEAR(C262)&amp;""-""&amp;MONTH(C262)&amp;""-""&amp;DAY(C262)&amp;""'""))&gt;0,""Depositada"",if(sum(QUERY(IMPORTRANGE(""https://docs.google.com/spreadsheets/d/1wBSFbIXYswW2S5SMKo44LPsdTG4P4kfP5VRdAS5E_4o"",""BD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IFERROR(__xludf.DUMMYFUNCTION("ifna(IF(and(D263=""Saída"",J263=""Sangria""),if(sum(QUERY(IMPORTRANGE(""https://docs.google.com/spreadsheets/d/1wBSFbIXYswW2S5SMKo44LPsdTG4P4kfP5VRdAS5E_4o"",""BD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'""&amp;YEAR(C263)&amp;""-""&amp;MONTH(C263)&amp;""-""&amp;DAY(C263)&amp;""'""))&gt;0,""Depositada"",if(sum(QUERY(IMPORTRANGE(""https://docs.google.com/spreadsheets/d/1wBSFbIXYswW2S5SMKo44LPsdTG4P4kfP5VRdAS5E_4o"",""BD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IFERROR(__xludf.DUMMYFUNCTION("ifna(IF(and(D264=""Saída"",J264=""Sangria""),if(sum(QUERY(IMPORTRANGE(""https://docs.google.com/spreadsheets/d/1wBSFbIXYswW2S5SMKo44LPsdTG4P4kfP5VRdAS5E_4o"",""BD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'""&amp;YEAR(C264)&amp;""-""&amp;MONTH(C264)&amp;""-""&amp;DAY(C264)&amp;""'""))&gt;0,""Depositada"",if(sum(QUERY(IMPORTRANGE(""https://docs.google.com/spreadsheets/d/1wBSFbIXYswW2S5SMKo44LPsdTG4P4kfP5VRdAS5E_4o"",""BD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IFERROR(__xludf.DUMMYFUNCTION("ifna(IF(and(D265=""Saída"",J265=""Sangria""),if(sum(QUERY(IMPORTRANGE(""https://docs.google.com/spreadsheets/d/1wBSFbIXYswW2S5SMKo44LPsdTG4P4kfP5VRdAS5E_4o"",""BD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'""&amp;YEAR(C265)&amp;""-""&amp;MONTH(C265)&amp;""-""&amp;DAY(C265)&amp;""'""))&gt;0,""Depositada"",if(sum(QUERY(IMPORTRANGE(""https://docs.google.com/spreadsheets/d/1wBSFbIXYswW2S5SMKo44LPsdTG4P4kfP5VRdAS5E_4o"",""BD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IFERROR(__xludf.DUMMYFUNCTION("ifna(IF(and(D266=""Saída"",J266=""Sangria""),if(sum(QUERY(IMPORTRANGE(""https://docs.google.com/spreadsheets/d/1wBSFbIXYswW2S5SMKo44LPsdTG4P4kfP5VRdAS5E_4o"",""BD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'""&amp;YEAR(C266)&amp;""-""&amp;MONTH(C266)&amp;""-""&amp;DAY(C266)&amp;""'""))&gt;0,""Depositada"",if(sum(QUERY(IMPORTRANGE(""https://docs.google.com/spreadsheets/d/1wBSFbIXYswW2S5SMKo44LPsdTG4P4kfP5VRdAS5E_4o"",""BD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IFERROR(__xludf.DUMMYFUNCTION("ifna(IF(and(D267=""Saída"",J267=""Sangria""),if(sum(QUERY(IMPORTRANGE(""https://docs.google.com/spreadsheets/d/1wBSFbIXYswW2S5SMKo44LPsdTG4P4kfP5VRdAS5E_4o"",""BD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'""&amp;YEAR(C267)&amp;""-""&amp;MONTH(C267)&amp;""-""&amp;DAY(C267)&amp;""'""))&gt;0,""Depositada"",if(sum(QUERY(IMPORTRANGE(""https://docs.google.com/spreadsheets/d/1wBSFbIXYswW2S5SMKo44LPsdTG4P4kfP5VRdAS5E_4o"",""BD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IFERROR(__xludf.DUMMYFUNCTION("ifna(IF(and(D268=""Saída"",J268=""Sangria""),if(sum(QUERY(IMPORTRANGE(""https://docs.google.com/spreadsheets/d/1wBSFbIXYswW2S5SMKo44LPsdTG4P4kfP5VRdAS5E_4o"",""BD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'""&amp;YEAR(C268)&amp;""-""&amp;MONTH(C268)&amp;""-""&amp;DAY(C268)&amp;""'""))&gt;0,""Depositada"",if(sum(QUERY(IMPORTRANGE(""https://docs.google.com/spreadsheets/d/1wBSFbIXYswW2S5SMKo44LPsdTG4P4kfP5VRdAS5E_4o"",""BD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IFERROR(__xludf.DUMMYFUNCTION("ifna(IF(and(D269=""Saída"",J269=""Sangria""),if(sum(QUERY(IMPORTRANGE(""https://docs.google.com/spreadsheets/d/1wBSFbIXYswW2S5SMKo44LPsdTG4P4kfP5VRdAS5E_4o"",""BD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'""&amp;YEAR(C269)&amp;""-""&amp;MONTH(C269)&amp;""-""&amp;DAY(C269)&amp;""'""))&gt;0,""Depositada"",if(sum(QUERY(IMPORTRANGE(""https://docs.google.com/spreadsheets/d/1wBSFbIXYswW2S5SMKo44LPsdTG4P4kfP5VRdAS5E_4o"",""BD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IFERROR(__xludf.DUMMYFUNCTION("ifna(IF(and(D270=""Saída"",J270=""Sangria""),if(sum(QUERY(IMPORTRANGE(""https://docs.google.com/spreadsheets/d/1wBSFbIXYswW2S5SMKo44LPsdTG4P4kfP5VRdAS5E_4o"",""BD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'""&amp;YEAR(C270)&amp;""-""&amp;MONTH(C270)&amp;""-""&amp;DAY(C270)&amp;""'""))&gt;0,""Depositada"",if(sum(QUERY(IMPORTRANGE(""https://docs.google.com/spreadsheets/d/1wBSFbIXYswW2S5SMKo44LPsdTG4P4kfP5VRdAS5E_4o"",""BD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IFERROR(__xludf.DUMMYFUNCTION("ifna(IF(and(D271=""Saída"",J271=""Sangria""),if(sum(QUERY(IMPORTRANGE(""https://docs.google.com/spreadsheets/d/1wBSFbIXYswW2S5SMKo44LPsdTG4P4kfP5VRdAS5E_4o"",""BD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'""&amp;YEAR(C271)&amp;""-""&amp;MONTH(C271)&amp;""-""&amp;DAY(C271)&amp;""'""))&gt;0,""Depositada"",if(sum(QUERY(IMPORTRANGE(""https://docs.google.com/spreadsheets/d/1wBSFbIXYswW2S5SMKo44LPsdTG4P4kfP5VRdAS5E_4o"",""BD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IFERROR(__xludf.DUMMYFUNCTION("ifna(IF(and(D272=""Saída"",J272=""Sangria""),if(sum(QUERY(IMPORTRANGE(""https://docs.google.com/spreadsheets/d/1wBSFbIXYswW2S5SMKo44LPsdTG4P4kfP5VRdAS5E_4o"",""BD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'""&amp;YEAR(C272)&amp;""-""&amp;MONTH(C272)&amp;""-""&amp;DAY(C272)&amp;""'""))&gt;0,""Depositada"",if(sum(QUERY(IMPORTRANGE(""https://docs.google.com/spreadsheets/d/1wBSFbIXYswW2S5SMKo44LPsdTG4P4kfP5VRdAS5E_4o"",""BD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IFERROR(__xludf.DUMMYFUNCTION("ifna(IF(and(D273=""Saída"",J273=""Sangria""),if(sum(QUERY(IMPORTRANGE(""https://docs.google.com/spreadsheets/d/1wBSFbIXYswW2S5SMKo44LPsdTG4P4kfP5VRdAS5E_4o"",""BD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'""&amp;YEAR(C273)&amp;""-""&amp;MONTH(C273)&amp;""-""&amp;DAY(C273)&amp;""'""))&gt;0,""Depositada"",if(sum(QUERY(IMPORTRANGE(""https://docs.google.com/spreadsheets/d/1wBSFbIXYswW2S5SMKo44LPsdTG4P4kfP5VRdAS5E_4o"",""BD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IFERROR(__xludf.DUMMYFUNCTION("ifna(IF(and(D274=""Saída"",J274=""Sangria""),if(sum(QUERY(IMPORTRANGE(""https://docs.google.com/spreadsheets/d/1wBSFbIXYswW2S5SMKo44LPsdTG4P4kfP5VRdAS5E_4o"",""BD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'""&amp;YEAR(C274)&amp;""-""&amp;MONTH(C274)&amp;""-""&amp;DAY(C274)&amp;""'""))&gt;0,""Depositada"",if(sum(QUERY(IMPORTRANGE(""https://docs.google.com/spreadsheets/d/1wBSFbIXYswW2S5SMKo44LPsdTG4P4kfP5VRdAS5E_4o"",""BD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IFERROR(__xludf.DUMMYFUNCTION("ifna(IF(and(D275=""Saída"",J275=""Sangria""),if(sum(QUERY(IMPORTRANGE(""https://docs.google.com/spreadsheets/d/1wBSFbIXYswW2S5SMKo44LPsdTG4P4kfP5VRdAS5E_4o"",""BD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'""&amp;YEAR(C275)&amp;""-""&amp;MONTH(C275)&amp;""-""&amp;DAY(C275)&amp;""'""))&gt;0,""Depositada"",if(sum(QUERY(IMPORTRANGE(""https://docs.google.com/spreadsheets/d/1wBSFbIXYswW2S5SMKo44LPsdTG4P4kfP5VRdAS5E_4o"",""BD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IFERROR(__xludf.DUMMYFUNCTION("ifna(IF(and(D276=""Saída"",J276=""Sangria""),if(sum(QUERY(IMPORTRANGE(""https://docs.google.com/spreadsheets/d/1wBSFbIXYswW2S5SMKo44LPsdTG4P4kfP5VRdAS5E_4o"",""BD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'""&amp;YEAR(C276)&amp;""-""&amp;MONTH(C276)&amp;""-""&amp;DAY(C276)&amp;""'""))&gt;0,""Depositada"",if(sum(QUERY(IMPORTRANGE(""https://docs.google.com/spreadsheets/d/1wBSFbIXYswW2S5SMKo44LPsdTG4P4kfP5VRdAS5E_4o"",""BD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IFERROR(__xludf.DUMMYFUNCTION("ifna(IF(and(D277=""Saída"",J277=""Sangria""),if(sum(QUERY(IMPORTRANGE(""https://docs.google.com/spreadsheets/d/1wBSFbIXYswW2S5SMKo44LPsdTG4P4kfP5VRdAS5E_4o"",""BD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'""&amp;YEAR(C277)&amp;""-""&amp;MONTH(C277)&amp;""-""&amp;DAY(C277)&amp;""'""))&gt;0,""Depositada"",if(sum(QUERY(IMPORTRANGE(""https://docs.google.com/spreadsheets/d/1wBSFbIXYswW2S5SMKo44LPsdTG4P4kfP5VRdAS5E_4o"",""BD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IFERROR(__xludf.DUMMYFUNCTION("ifna(IF(and(D278=""Saída"",J278=""Sangria""),if(sum(QUERY(IMPORTRANGE(""https://docs.google.com/spreadsheets/d/1wBSFbIXYswW2S5SMKo44LPsdTG4P4kfP5VRdAS5E_4o"",""BD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'""&amp;YEAR(C278)&amp;""-""&amp;MONTH(C278)&amp;""-""&amp;DAY(C278)&amp;""'""))&gt;0,""Depositada"",if(sum(QUERY(IMPORTRANGE(""https://docs.google.com/spreadsheets/d/1wBSFbIXYswW2S5SMKo44LPsdTG4P4kfP5VRdAS5E_4o"",""BD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IFERROR(__xludf.DUMMYFUNCTION("ifna(IF(and(D279=""Saída"",J279=""Sangria""),if(sum(QUERY(IMPORTRANGE(""https://docs.google.com/spreadsheets/d/1wBSFbIXYswW2S5SMKo44LPsdTG4P4kfP5VRdAS5E_4o"",""BD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'""&amp;YEAR(C279)&amp;""-""&amp;MONTH(C279)&amp;""-""&amp;DAY(C279)&amp;""'""))&gt;0,""Depositada"",if(sum(QUERY(IMPORTRANGE(""https://docs.google.com/spreadsheets/d/1wBSFbIXYswW2S5SMKo44LPsdTG4P4kfP5VRdAS5E_4o"",""BD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IFERROR(__xludf.DUMMYFUNCTION("ifna(IF(and(D280=""Saída"",J280=""Sangria""),if(sum(QUERY(IMPORTRANGE(""https://docs.google.com/spreadsheets/d/1wBSFbIXYswW2S5SMKo44LPsdTG4P4kfP5VRdAS5E_4o"",""BD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'""&amp;YEAR(C280)&amp;""-""&amp;MONTH(C280)&amp;""-""&amp;DAY(C280)&amp;""'""))&gt;0,""Depositada"",if(sum(QUERY(IMPORTRANGE(""https://docs.google.com/spreadsheets/d/1wBSFbIXYswW2S5SMKo44LPsdTG4P4kfP5VRdAS5E_4o"",""BD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IFERROR(__xludf.DUMMYFUNCTION("ifna(IF(and(D281=""Saída"",J281=""Sangria""),if(sum(QUERY(IMPORTRANGE(""https://docs.google.com/spreadsheets/d/1wBSFbIXYswW2S5SMKo44LPsdTG4P4kfP5VRdAS5E_4o"",""BD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'""&amp;YEAR(C281)&amp;""-""&amp;MONTH(C281)&amp;""-""&amp;DAY(C281)&amp;""'""))&gt;0,""Depositada"",if(sum(QUERY(IMPORTRANGE(""https://docs.google.com/spreadsheets/d/1wBSFbIXYswW2S5SMKo44LPsdTG4P4kfP5VRdAS5E_4o"",""BD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IFERROR(__xludf.DUMMYFUNCTION("ifna(IF(and(D282=""Saída"",J282=""Sangria""),if(sum(QUERY(IMPORTRANGE(""https://docs.google.com/spreadsheets/d/1wBSFbIXYswW2S5SMKo44LPsdTG4P4kfP5VRdAS5E_4o"",""BD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'""&amp;YEAR(C282)&amp;""-""&amp;MONTH(C282)&amp;""-""&amp;DAY(C282)&amp;""'""))&gt;0,""Depositada"",if(sum(QUERY(IMPORTRANGE(""https://docs.google.com/spreadsheets/d/1wBSFbIXYswW2S5SMKo44LPsdTG4P4kfP5VRdAS5E_4o"",""BD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IFERROR(__xludf.DUMMYFUNCTION("ifna(IF(and(D283=""Saída"",J283=""Sangria""),if(sum(QUERY(IMPORTRANGE(""https://docs.google.com/spreadsheets/d/1wBSFbIXYswW2S5SMKo44LPsdTG4P4kfP5VRdAS5E_4o"",""BD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'""&amp;YEAR(C283)&amp;""-""&amp;MONTH(C283)&amp;""-""&amp;DAY(C283)&amp;""'""))&gt;0,""Depositada"",if(sum(QUERY(IMPORTRANGE(""https://docs.google.com/spreadsheets/d/1wBSFbIXYswW2S5SMKo44LPsdTG4P4kfP5VRdAS5E_4o"",""BD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IFERROR(__xludf.DUMMYFUNCTION("ifna(IF(and(D284=""Saída"",J284=""Sangria""),if(sum(QUERY(IMPORTRANGE(""https://docs.google.com/spreadsheets/d/1wBSFbIXYswW2S5SMKo44LPsdTG4P4kfP5VRdAS5E_4o"",""BD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'""&amp;YEAR(C284)&amp;""-""&amp;MONTH(C284)&amp;""-""&amp;DAY(C284)&amp;""'""))&gt;0,""Depositada"",if(sum(QUERY(IMPORTRANGE(""https://docs.google.com/spreadsheets/d/1wBSFbIXYswW2S5SMKo44LPsdTG4P4kfP5VRdAS5E_4o"",""BD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IFERROR(__xludf.DUMMYFUNCTION("ifna(IF(and(D285=""Saída"",J285=""Sangria""),if(sum(QUERY(IMPORTRANGE(""https://docs.google.com/spreadsheets/d/1wBSFbIXYswW2S5SMKo44LPsdTG4P4kfP5VRdAS5E_4o"",""BD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'""&amp;YEAR(C285)&amp;""-""&amp;MONTH(C285)&amp;""-""&amp;DAY(C285)&amp;""'""))&gt;0,""Depositada"",if(sum(QUERY(IMPORTRANGE(""https://docs.google.com/spreadsheets/d/1wBSFbIXYswW2S5SMKo44LPsdTG4P4kfP5VRdAS5E_4o"",""BD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IFERROR(__xludf.DUMMYFUNCTION("ifna(IF(and(D286=""Saída"",J286=""Sangria""),if(sum(QUERY(IMPORTRANGE(""https://docs.google.com/spreadsheets/d/1wBSFbIXYswW2S5SMKo44LPsdTG4P4kfP5VRdAS5E_4o"",""BD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'""&amp;YEAR(C286)&amp;""-""&amp;MONTH(C286)&amp;""-""&amp;DAY(C286)&amp;""'""))&gt;0,""Depositada"",if(sum(QUERY(IMPORTRANGE(""https://docs.google.com/spreadsheets/d/1wBSFbIXYswW2S5SMKo44LPsdTG4P4kfP5VRdAS5E_4o"",""BD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IFERROR(__xludf.DUMMYFUNCTION("ifna(IF(and(D287=""Saída"",J287=""Sangria""),if(sum(QUERY(IMPORTRANGE(""https://docs.google.com/spreadsheets/d/1wBSFbIXYswW2S5SMKo44LPsdTG4P4kfP5VRdAS5E_4o"",""BD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'""&amp;YEAR(C287)&amp;""-""&amp;MONTH(C287)&amp;""-""&amp;DAY(C287)&amp;""'""))&gt;0,""Depositada"",if(sum(QUERY(IMPORTRANGE(""https://docs.google.com/spreadsheets/d/1wBSFbIXYswW2S5SMKo44LPsdTG4P4kfP5VRdAS5E_4o"",""BD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IFERROR(__xludf.DUMMYFUNCTION("ifna(IF(and(D288=""Saída"",J288=""Sangria""),if(sum(QUERY(IMPORTRANGE(""https://docs.google.com/spreadsheets/d/1wBSFbIXYswW2S5SMKo44LPsdTG4P4kfP5VRdAS5E_4o"",""BD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'""&amp;YEAR(C288)&amp;""-""&amp;MONTH(C288)&amp;""-""&amp;DAY(C288)&amp;""'""))&gt;0,""Depositada"",if(sum(QUERY(IMPORTRANGE(""https://docs.google.com/spreadsheets/d/1wBSFbIXYswW2S5SMKo44LPsdTG4P4kfP5VRdAS5E_4o"",""BD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IFERROR(__xludf.DUMMYFUNCTION("ifna(IF(and(D289=""Saída"",J289=""Sangria""),if(sum(QUERY(IMPORTRANGE(""https://docs.google.com/spreadsheets/d/1wBSFbIXYswW2S5SMKo44LPsdTG4P4kfP5VRdAS5E_4o"",""BD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'""&amp;YEAR(C289)&amp;""-""&amp;MONTH(C289)&amp;""-""&amp;DAY(C289)&amp;""'""))&gt;0,""Depositada"",if(sum(QUERY(IMPORTRANGE(""https://docs.google.com/spreadsheets/d/1wBSFbIXYswW2S5SMKo44LPsdTG4P4kfP5VRdAS5E_4o"",""BD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IFERROR(__xludf.DUMMYFUNCTION("ifna(IF(and(D290=""Saída"",J290=""Sangria""),if(sum(QUERY(IMPORTRANGE(""https://docs.google.com/spreadsheets/d/1wBSFbIXYswW2S5SMKo44LPsdTG4P4kfP5VRdAS5E_4o"",""BD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'""&amp;YEAR(C290)&amp;""-""&amp;MONTH(C290)&amp;""-""&amp;DAY(C290)&amp;""'""))&gt;0,""Depositada"",if(sum(QUERY(IMPORTRANGE(""https://docs.google.com/spreadsheets/d/1wBSFbIXYswW2S5SMKo44LPsdTG4P4kfP5VRdAS5E_4o"",""BD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IFERROR(__xludf.DUMMYFUNCTION("ifna(IF(and(D291=""Saída"",J291=""Sangria""),if(sum(QUERY(IMPORTRANGE(""https://docs.google.com/spreadsheets/d/1wBSFbIXYswW2S5SMKo44LPsdTG4P4kfP5VRdAS5E_4o"",""BD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'""&amp;YEAR(C291)&amp;""-""&amp;MONTH(C291)&amp;""-""&amp;DAY(C291)&amp;""'""))&gt;0,""Depositada"",if(sum(QUERY(IMPORTRANGE(""https://docs.google.com/spreadsheets/d/1wBSFbIXYswW2S5SMKo44LPsdTG4P4kfP5VRdAS5E_4o"",""BD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IFERROR(__xludf.DUMMYFUNCTION("ifna(IF(and(D292=""Saída"",J292=""Sangria""),if(sum(QUERY(IMPORTRANGE(""https://docs.google.com/spreadsheets/d/1wBSFbIXYswW2S5SMKo44LPsdTG4P4kfP5VRdAS5E_4o"",""BD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'""&amp;YEAR(C292)&amp;""-""&amp;MONTH(C292)&amp;""-""&amp;DAY(C292)&amp;""'""))&gt;0,""Depositada"",if(sum(QUERY(IMPORTRANGE(""https://docs.google.com/spreadsheets/d/1wBSFbIXYswW2S5SMKo44LPsdTG4P4kfP5VRdAS5E_4o"",""BD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IFERROR(__xludf.DUMMYFUNCTION("ifna(IF(and(D293=""Saída"",J293=""Sangria""),if(sum(QUERY(IMPORTRANGE(""https://docs.google.com/spreadsheets/d/1wBSFbIXYswW2S5SMKo44LPsdTG4P4kfP5VRdAS5E_4o"",""BD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'""&amp;YEAR(C293)&amp;""-""&amp;MONTH(C293)&amp;""-""&amp;DAY(C293)&amp;""'""))&gt;0,""Depositada"",if(sum(QUERY(IMPORTRANGE(""https://docs.google.com/spreadsheets/d/1wBSFbIXYswW2S5SMKo44LPsdTG4P4kfP5VRdAS5E_4o"",""BD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IFERROR(__xludf.DUMMYFUNCTION("ifna(IF(and(D294=""Saída"",J294=""Sangria""),if(sum(QUERY(IMPORTRANGE(""https://docs.google.com/spreadsheets/d/1wBSFbIXYswW2S5SMKo44LPsdTG4P4kfP5VRdAS5E_4o"",""BD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'""&amp;YEAR(C294)&amp;""-""&amp;MONTH(C294)&amp;""-""&amp;DAY(C294)&amp;""'""))&gt;0,""Depositada"",if(sum(QUERY(IMPORTRANGE(""https://docs.google.com/spreadsheets/d/1wBSFbIXYswW2S5SMKo44LPsdTG4P4kfP5VRdAS5E_4o"",""BD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IFERROR(__xludf.DUMMYFUNCTION("ifna(IF(and(D295=""Saída"",J295=""Sangria""),if(sum(QUERY(IMPORTRANGE(""https://docs.google.com/spreadsheets/d/1wBSFbIXYswW2S5SMKo44LPsdTG4P4kfP5VRdAS5E_4o"",""BD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'""&amp;YEAR(C295)&amp;""-""&amp;MONTH(C295)&amp;""-""&amp;DAY(C295)&amp;""'""))&gt;0,""Depositada"",if(sum(QUERY(IMPORTRANGE(""https://docs.google.com/spreadsheets/d/1wBSFbIXYswW2S5SMKo44LPsdTG4P4kfP5VRdAS5E_4o"",""BD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IFERROR(__xludf.DUMMYFUNCTION("ifna(IF(and(D296=""Saída"",J296=""Sangria""),if(sum(QUERY(IMPORTRANGE(""https://docs.google.com/spreadsheets/d/1wBSFbIXYswW2S5SMKo44LPsdTG4P4kfP5VRdAS5E_4o"",""BD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'""&amp;YEAR(C296)&amp;""-""&amp;MONTH(C296)&amp;""-""&amp;DAY(C296)&amp;""'""))&gt;0,""Depositada"",if(sum(QUERY(IMPORTRANGE(""https://docs.google.com/spreadsheets/d/1wBSFbIXYswW2S5SMKo44LPsdTG4P4kfP5VRdAS5E_4o"",""BD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IFERROR(__xludf.DUMMYFUNCTION("ifna(IF(and(D297=""Saída"",J297=""Sangria""),if(sum(QUERY(IMPORTRANGE(""https://docs.google.com/spreadsheets/d/1wBSFbIXYswW2S5SMKo44LPsdTG4P4kfP5VRdAS5E_4o"",""BD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'""&amp;YEAR(C297)&amp;""-""&amp;MONTH(C297)&amp;""-""&amp;DAY(C297)&amp;""'""))&gt;0,""Depositada"",if(sum(QUERY(IMPORTRANGE(""https://docs.google.com/spreadsheets/d/1wBSFbIXYswW2S5SMKo44LPsdTG4P4kfP5VRdAS5E_4o"",""BD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IFERROR(__xludf.DUMMYFUNCTION("ifna(IF(and(D298=""Saída"",J298=""Sangria""),if(sum(QUERY(IMPORTRANGE(""https://docs.google.com/spreadsheets/d/1wBSFbIXYswW2S5SMKo44LPsdTG4P4kfP5VRdAS5E_4o"",""BD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'""&amp;YEAR(C298)&amp;""-""&amp;MONTH(C298)&amp;""-""&amp;DAY(C298)&amp;""'""))&gt;0,""Depositada"",if(sum(QUERY(IMPORTRANGE(""https://docs.google.com/spreadsheets/d/1wBSFbIXYswW2S5SMKo44LPsdTG4P4kfP5VRdAS5E_4o"",""BD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IFERROR(__xludf.DUMMYFUNCTION("ifna(IF(and(D299=""Saída"",J299=""Sangria""),if(sum(QUERY(IMPORTRANGE(""https://docs.google.com/spreadsheets/d/1wBSFbIXYswW2S5SMKo44LPsdTG4P4kfP5VRdAS5E_4o"",""BD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'""&amp;YEAR(C299)&amp;""-""&amp;MONTH(C299)&amp;""-""&amp;DAY(C299)&amp;""'""))&gt;0,""Depositada"",if(sum(QUERY(IMPORTRANGE(""https://docs.google.com/spreadsheets/d/1wBSFbIXYswW2S5SMKo44LPsdTG4P4kfP5VRdAS5E_4o"",""BD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IFERROR(__xludf.DUMMYFUNCTION("ifna(IF(and(D300=""Saída"",J300=""Sangria""),if(sum(QUERY(IMPORTRANGE(""https://docs.google.com/spreadsheets/d/1wBSFbIXYswW2S5SMKo44LPsdTG4P4kfP5VRdAS5E_4o"",""BD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'""&amp;YEAR(C300)&amp;""-""&amp;MONTH(C300)&amp;""-""&amp;DAY(C300)&amp;""'""))&gt;0,""Depositada"",if(sum(QUERY(IMPORTRANGE(""https://docs.google.com/spreadsheets/d/1wBSFbIXYswW2S5SMKo44LPsdTG4P4kfP5VRdAS5E_4o"",""BD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IFERROR(__xludf.DUMMYFUNCTION("ifna(IF(and(D301=""Saída"",J301=""Sangria""),if(sum(QUERY(IMPORTRANGE(""https://docs.google.com/spreadsheets/d/1wBSFbIXYswW2S5SMKo44LPsdTG4P4kfP5VRdAS5E_4o"",""BD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'""&amp;YEAR(C301)&amp;""-""&amp;MONTH(C301)&amp;""-""&amp;DAY(C301)&amp;""'""))&gt;0,""Depositada"",if(sum(QUERY(IMPORTRANGE(""https://docs.google.com/spreadsheets/d/1wBSFbIXYswW2S5SMKo44LPsdTG4P4kfP5VRdAS5E_4o"",""BD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IFERROR(__xludf.DUMMYFUNCTION("ifna(IF(and(D302=""Saída"",J302=""Sangria""),if(sum(QUERY(IMPORTRANGE(""https://docs.google.com/spreadsheets/d/1wBSFbIXYswW2S5SMKo44LPsdTG4P4kfP5VRdAS5E_4o"",""BD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'""&amp;YEAR(C302)&amp;""-""&amp;MONTH(C302)&amp;""-""&amp;DAY(C302)&amp;""'""))&gt;0,""Depositada"",if(sum(QUERY(IMPORTRANGE(""https://docs.google.com/spreadsheets/d/1wBSFbIXYswW2S5SMKo44LPsdTG4P4kfP5VRdAS5E_4o"",""BD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IFERROR(__xludf.DUMMYFUNCTION("ifna(IF(and(D303=""Saída"",J303=""Sangria""),if(sum(QUERY(IMPORTRANGE(""https://docs.google.com/spreadsheets/d/1wBSFbIXYswW2S5SMKo44LPsdTG4P4kfP5VRdAS5E_4o"",""BD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'""&amp;YEAR(C303)&amp;""-""&amp;MONTH(C303)&amp;""-""&amp;DAY(C303)&amp;""'""))&gt;0,""Depositada"",if(sum(QUERY(IMPORTRANGE(""https://docs.google.com/spreadsheets/d/1wBSFbIXYswW2S5SMKo44LPsdTG4P4kfP5VRdAS5E_4o"",""BD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IFERROR(__xludf.DUMMYFUNCTION("ifna(IF(and(D304=""Saída"",J304=""Sangria""),if(sum(QUERY(IMPORTRANGE(""https://docs.google.com/spreadsheets/d/1wBSFbIXYswW2S5SMKo44LPsdTG4P4kfP5VRdAS5E_4o"",""BD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'""&amp;YEAR(C304)&amp;""-""&amp;MONTH(C304)&amp;""-""&amp;DAY(C304)&amp;""'""))&gt;0,""Depositada"",if(sum(QUERY(IMPORTRANGE(""https://docs.google.com/spreadsheets/d/1wBSFbIXYswW2S5SMKo44LPsdTG4P4kfP5VRdAS5E_4o"",""BD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IFERROR(__xludf.DUMMYFUNCTION("ifna(IF(and(D305=""Saída"",J305=""Sangria""),if(sum(QUERY(IMPORTRANGE(""https://docs.google.com/spreadsheets/d/1wBSFbIXYswW2S5SMKo44LPsdTG4P4kfP5VRdAS5E_4o"",""BD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'""&amp;YEAR(C305)&amp;""-""&amp;MONTH(C305)&amp;""-""&amp;DAY(C305)&amp;""'""))&gt;0,""Depositada"",if(sum(QUERY(IMPORTRANGE(""https://docs.google.com/spreadsheets/d/1wBSFbIXYswW2S5SMKo44LPsdTG4P4kfP5VRdAS5E_4o"",""BD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IFERROR(__xludf.DUMMYFUNCTION("ifna(IF(and(D306=""Saída"",J306=""Sangria""),if(sum(QUERY(IMPORTRANGE(""https://docs.google.com/spreadsheets/d/1wBSFbIXYswW2S5SMKo44LPsdTG4P4kfP5VRdAS5E_4o"",""BD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'""&amp;YEAR(C306)&amp;""-""&amp;MONTH(C306)&amp;""-""&amp;DAY(C306)&amp;""'""))&gt;0,""Depositada"",if(sum(QUERY(IMPORTRANGE(""https://docs.google.com/spreadsheets/d/1wBSFbIXYswW2S5SMKo44LPsdTG4P4kfP5VRdAS5E_4o"",""BD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IFERROR(__xludf.DUMMYFUNCTION("ifna(IF(and(D307=""Saída"",J307=""Sangria""),if(sum(QUERY(IMPORTRANGE(""https://docs.google.com/spreadsheets/d/1wBSFbIXYswW2S5SMKo44LPsdTG4P4kfP5VRdAS5E_4o"",""BD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'""&amp;YEAR(C307)&amp;""-""&amp;MONTH(C307)&amp;""-""&amp;DAY(C307)&amp;""'""))&gt;0,""Depositada"",if(sum(QUERY(IMPORTRANGE(""https://docs.google.com/spreadsheets/d/1wBSFbIXYswW2S5SMKo44LPsdTG4P4kfP5VRdAS5E_4o"",""BD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IFERROR(__xludf.DUMMYFUNCTION("ifna(IF(and(D308=""Saída"",J308=""Sangria""),if(sum(QUERY(IMPORTRANGE(""https://docs.google.com/spreadsheets/d/1wBSFbIXYswW2S5SMKo44LPsdTG4P4kfP5VRdAS5E_4o"",""BD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'""&amp;YEAR(C308)&amp;""-""&amp;MONTH(C308)&amp;""-""&amp;DAY(C308)&amp;""'""))&gt;0,""Depositada"",if(sum(QUERY(IMPORTRANGE(""https://docs.google.com/spreadsheets/d/1wBSFbIXYswW2S5SMKo44LPsdTG4P4kfP5VRdAS5E_4o"",""BD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IFERROR(__xludf.DUMMYFUNCTION("ifna(IF(and(D309=""Saída"",J309=""Sangria""),if(sum(QUERY(IMPORTRANGE(""https://docs.google.com/spreadsheets/d/1wBSFbIXYswW2S5SMKo44LPsdTG4P4kfP5VRdAS5E_4o"",""BD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'""&amp;YEAR(C309)&amp;""-""&amp;MONTH(C309)&amp;""-""&amp;DAY(C309)&amp;""'""))&gt;0,""Depositada"",if(sum(QUERY(IMPORTRANGE(""https://docs.google.com/spreadsheets/d/1wBSFbIXYswW2S5SMKo44LPsdTG4P4kfP5VRdAS5E_4o"",""BD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IFERROR(__xludf.DUMMYFUNCTION("ifna(IF(and(D310=""Saída"",J310=""Sangria""),if(sum(QUERY(IMPORTRANGE(""https://docs.google.com/spreadsheets/d/1wBSFbIXYswW2S5SMKo44LPsdTG4P4kfP5VRdAS5E_4o"",""BD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'""&amp;YEAR(C310)&amp;""-""&amp;MONTH(C310)&amp;""-""&amp;DAY(C310)&amp;""'""))&gt;0,""Depositada"",if(sum(QUERY(IMPORTRANGE(""https://docs.google.com/spreadsheets/d/1wBSFbIXYswW2S5SMKo44LPsdTG4P4kfP5VRdAS5E_4o"",""BD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IFERROR(__xludf.DUMMYFUNCTION("ifna(IF(and(D311=""Saída"",J311=""Sangria""),if(sum(QUERY(IMPORTRANGE(""https://docs.google.com/spreadsheets/d/1wBSFbIXYswW2S5SMKo44LPsdTG4P4kfP5VRdAS5E_4o"",""BD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'""&amp;YEAR(C311)&amp;""-""&amp;MONTH(C311)&amp;""-""&amp;DAY(C311)&amp;""'""))&gt;0,""Depositada"",if(sum(QUERY(IMPORTRANGE(""https://docs.google.com/spreadsheets/d/1wBSFbIXYswW2S5SMKo44LPsdTG4P4kfP5VRdAS5E_4o"",""BD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IFERROR(__xludf.DUMMYFUNCTION("ifna(IF(and(D312=""Saída"",J312=""Sangria""),if(sum(QUERY(IMPORTRANGE(""https://docs.google.com/spreadsheets/d/1wBSFbIXYswW2S5SMKo44LPsdTG4P4kfP5VRdAS5E_4o"",""BD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'""&amp;YEAR(C312)&amp;""-""&amp;MONTH(C312)&amp;""-""&amp;DAY(C312)&amp;""'""))&gt;0,""Depositada"",if(sum(QUERY(IMPORTRANGE(""https://docs.google.com/spreadsheets/d/1wBSFbIXYswW2S5SMKo44LPsdTG4P4kfP5VRdAS5E_4o"",""BD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IFERROR(__xludf.DUMMYFUNCTION("ifna(IF(and(D313=""Saída"",J313=""Sangria""),if(sum(QUERY(IMPORTRANGE(""https://docs.google.com/spreadsheets/d/1wBSFbIXYswW2S5SMKo44LPsdTG4P4kfP5VRdAS5E_4o"",""BD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'""&amp;YEAR(C313)&amp;""-""&amp;MONTH(C313)&amp;""-""&amp;DAY(C313)&amp;""'""))&gt;0,""Depositada"",if(sum(QUERY(IMPORTRANGE(""https://docs.google.com/spreadsheets/d/1wBSFbIXYswW2S5SMKo44LPsdTG4P4kfP5VRdAS5E_4o"",""BD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IFERROR(__xludf.DUMMYFUNCTION("ifna(IF(and(D314=""Saída"",J314=""Sangria""),if(sum(QUERY(IMPORTRANGE(""https://docs.google.com/spreadsheets/d/1wBSFbIXYswW2S5SMKo44LPsdTG4P4kfP5VRdAS5E_4o"",""BD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'""&amp;YEAR(C314)&amp;""-""&amp;MONTH(C314)&amp;""-""&amp;DAY(C314)&amp;""'""))&gt;0,""Depositada"",if(sum(QUERY(IMPORTRANGE(""https://docs.google.com/spreadsheets/d/1wBSFbIXYswW2S5SMKo44LPsdTG4P4kfP5VRdAS5E_4o"",""BD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IFERROR(__xludf.DUMMYFUNCTION("ifna(IF(and(D315=""Saída"",J315=""Sangria""),if(sum(QUERY(IMPORTRANGE(""https://docs.google.com/spreadsheets/d/1wBSFbIXYswW2S5SMKo44LPsdTG4P4kfP5VRdAS5E_4o"",""BD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'""&amp;YEAR(C315)&amp;""-""&amp;MONTH(C315)&amp;""-""&amp;DAY(C315)&amp;""'""))&gt;0,""Depositada"",if(sum(QUERY(IMPORTRANGE(""https://docs.google.com/spreadsheets/d/1wBSFbIXYswW2S5SMKo44LPsdTG4P4kfP5VRdAS5E_4o"",""BD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IFERROR(__xludf.DUMMYFUNCTION("ifna(IF(and(D316=""Saída"",J316=""Sangria""),if(sum(QUERY(IMPORTRANGE(""https://docs.google.com/spreadsheets/d/1wBSFbIXYswW2S5SMKo44LPsdTG4P4kfP5VRdAS5E_4o"",""BD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'""&amp;YEAR(C316)&amp;""-""&amp;MONTH(C316)&amp;""-""&amp;DAY(C316)&amp;""'""))&gt;0,""Depositada"",if(sum(QUERY(IMPORTRANGE(""https://docs.google.com/spreadsheets/d/1wBSFbIXYswW2S5SMKo44LPsdTG4P4kfP5VRdAS5E_4o"",""BD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IFERROR(__xludf.DUMMYFUNCTION("ifna(IF(and(D317=""Saída"",J317=""Sangria""),if(sum(QUERY(IMPORTRANGE(""https://docs.google.com/spreadsheets/d/1wBSFbIXYswW2S5SMKo44LPsdTG4P4kfP5VRdAS5E_4o"",""BD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'""&amp;YEAR(C317)&amp;""-""&amp;MONTH(C317)&amp;""-""&amp;DAY(C317)&amp;""'""))&gt;0,""Depositada"",if(sum(QUERY(IMPORTRANGE(""https://docs.google.com/spreadsheets/d/1wBSFbIXYswW2S5SMKo44LPsdTG4P4kfP5VRdAS5E_4o"",""BD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IFERROR(__xludf.DUMMYFUNCTION("ifna(IF(and(D318=""Saída"",J318=""Sangria""),if(sum(QUERY(IMPORTRANGE(""https://docs.google.com/spreadsheets/d/1wBSFbIXYswW2S5SMKo44LPsdTG4P4kfP5VRdAS5E_4o"",""BD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'""&amp;YEAR(C318)&amp;""-""&amp;MONTH(C318)&amp;""-""&amp;DAY(C318)&amp;""'""))&gt;0,""Depositada"",if(sum(QUERY(IMPORTRANGE(""https://docs.google.com/spreadsheets/d/1wBSFbIXYswW2S5SMKo44LPsdTG4P4kfP5VRdAS5E_4o"",""BD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IFERROR(__xludf.DUMMYFUNCTION("ifna(IF(and(D319=""Saída"",J319=""Sangria""),if(sum(QUERY(IMPORTRANGE(""https://docs.google.com/spreadsheets/d/1wBSFbIXYswW2S5SMKo44LPsdTG4P4kfP5VRdAS5E_4o"",""BD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'""&amp;YEAR(C319)&amp;""-""&amp;MONTH(C319)&amp;""-""&amp;DAY(C319)&amp;""'""))&gt;0,""Depositada"",if(sum(QUERY(IMPORTRANGE(""https://docs.google.com/spreadsheets/d/1wBSFbIXYswW2S5SMKo44LPsdTG4P4kfP5VRdAS5E_4o"",""BD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IFERROR(__xludf.DUMMYFUNCTION("ifna(IF(and(D320=""Saída"",J320=""Sangria""),if(sum(QUERY(IMPORTRANGE(""https://docs.google.com/spreadsheets/d/1wBSFbIXYswW2S5SMKo44LPsdTG4P4kfP5VRdAS5E_4o"",""BD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'""&amp;YEAR(C320)&amp;""-""&amp;MONTH(C320)&amp;""-""&amp;DAY(C320)&amp;""'""))&gt;0,""Depositada"",if(sum(QUERY(IMPORTRANGE(""https://docs.google.com/spreadsheets/d/1wBSFbIXYswW2S5SMKo44LPsdTG4P4kfP5VRdAS5E_4o"",""BD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IFERROR(__xludf.DUMMYFUNCTION("ifna(IF(and(D321=""Saída"",J321=""Sangria""),if(sum(QUERY(IMPORTRANGE(""https://docs.google.com/spreadsheets/d/1wBSFbIXYswW2S5SMKo44LPsdTG4P4kfP5VRdAS5E_4o"",""BD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'""&amp;YEAR(C321)&amp;""-""&amp;MONTH(C321)&amp;""-""&amp;DAY(C321)&amp;""'""))&gt;0,""Depositada"",if(sum(QUERY(IMPORTRANGE(""https://docs.google.com/spreadsheets/d/1wBSFbIXYswW2S5SMKo44LPsdTG4P4kfP5VRdAS5E_4o"",""BD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IFERROR(__xludf.DUMMYFUNCTION("ifna(IF(and(D322=""Saída"",J322=""Sangria""),if(sum(QUERY(IMPORTRANGE(""https://docs.google.com/spreadsheets/d/1wBSFbIXYswW2S5SMKo44LPsdTG4P4kfP5VRdAS5E_4o"",""BD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'""&amp;YEAR(C322)&amp;""-""&amp;MONTH(C322)&amp;""-""&amp;DAY(C322)&amp;""'""))&gt;0,""Depositada"",if(sum(QUERY(IMPORTRANGE(""https://docs.google.com/spreadsheets/d/1wBSFbIXYswW2S5SMKo44LPsdTG4P4kfP5VRdAS5E_4o"",""BD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IFERROR(__xludf.DUMMYFUNCTION("ifna(IF(and(D323=""Saída"",J323=""Sangria""),if(sum(QUERY(IMPORTRANGE(""https://docs.google.com/spreadsheets/d/1wBSFbIXYswW2S5SMKo44LPsdTG4P4kfP5VRdAS5E_4o"",""BD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'""&amp;YEAR(C323)&amp;""-""&amp;MONTH(C323)&amp;""-""&amp;DAY(C323)&amp;""'""))&gt;0,""Depositada"",if(sum(QUERY(IMPORTRANGE(""https://docs.google.com/spreadsheets/d/1wBSFbIXYswW2S5SMKo44LPsdTG4P4kfP5VRdAS5E_4o"",""BD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IFERROR(__xludf.DUMMYFUNCTION("ifna(IF(and(D324=""Saída"",J324=""Sangria""),if(sum(QUERY(IMPORTRANGE(""https://docs.google.com/spreadsheets/d/1wBSFbIXYswW2S5SMKo44LPsdTG4P4kfP5VRdAS5E_4o"",""BD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'""&amp;YEAR(C324)&amp;""-""&amp;MONTH(C324)&amp;""-""&amp;DAY(C324)&amp;""'""))&gt;0,""Depositada"",if(sum(QUERY(IMPORTRANGE(""https://docs.google.com/spreadsheets/d/1wBSFbIXYswW2S5SMKo44LPsdTG4P4kfP5VRdAS5E_4o"",""BD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IFERROR(__xludf.DUMMYFUNCTION("ifna(IF(and(D325=""Saída"",J325=""Sangria""),if(sum(QUERY(IMPORTRANGE(""https://docs.google.com/spreadsheets/d/1wBSFbIXYswW2S5SMKo44LPsdTG4P4kfP5VRdAS5E_4o"",""BD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'""&amp;YEAR(C325)&amp;""-""&amp;MONTH(C325)&amp;""-""&amp;DAY(C325)&amp;""'""))&gt;0,""Depositada"",if(sum(QUERY(IMPORTRANGE(""https://docs.google.com/spreadsheets/d/1wBSFbIXYswW2S5SMKo44LPsdTG4P4kfP5VRdAS5E_4o"",""BD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IFERROR(__xludf.DUMMYFUNCTION("ifna(IF(and(D326=""Saída"",J326=""Sangria""),if(sum(QUERY(IMPORTRANGE(""https://docs.google.com/spreadsheets/d/1wBSFbIXYswW2S5SMKo44LPsdTG4P4kfP5VRdAS5E_4o"",""BD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'""&amp;YEAR(C326)&amp;""-""&amp;MONTH(C326)&amp;""-""&amp;DAY(C326)&amp;""'""))&gt;0,""Depositada"",if(sum(QUERY(IMPORTRANGE(""https://docs.google.com/spreadsheets/d/1wBSFbIXYswW2S5SMKo44LPsdTG4P4kfP5VRdAS5E_4o"",""BD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IFERROR(__xludf.DUMMYFUNCTION("ifna(IF(and(D327=""Saída"",J327=""Sangria""),if(sum(QUERY(IMPORTRANGE(""https://docs.google.com/spreadsheets/d/1wBSFbIXYswW2S5SMKo44LPsdTG4P4kfP5VRdAS5E_4o"",""BD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'""&amp;YEAR(C327)&amp;""-""&amp;MONTH(C327)&amp;""-""&amp;DAY(C327)&amp;""'""))&gt;0,""Depositada"",if(sum(QUERY(IMPORTRANGE(""https://docs.google.com/spreadsheets/d/1wBSFbIXYswW2S5SMKo44LPsdTG4P4kfP5VRdAS5E_4o"",""BD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IFERROR(__xludf.DUMMYFUNCTION("ifna(IF(and(D328=""Saída"",J328=""Sangria""),if(sum(QUERY(IMPORTRANGE(""https://docs.google.com/spreadsheets/d/1wBSFbIXYswW2S5SMKo44LPsdTG4P4kfP5VRdAS5E_4o"",""BD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'""&amp;YEAR(C328)&amp;""-""&amp;MONTH(C328)&amp;""-""&amp;DAY(C328)&amp;""'""))&gt;0,""Depositada"",if(sum(QUERY(IMPORTRANGE(""https://docs.google.com/spreadsheets/d/1wBSFbIXYswW2S5SMKo44LPsdTG4P4kfP5VRdAS5E_4o"",""BD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IFERROR(__xludf.DUMMYFUNCTION("ifna(IF(and(D329=""Saída"",J329=""Sangria""),if(sum(QUERY(IMPORTRANGE(""https://docs.google.com/spreadsheets/d/1wBSFbIXYswW2S5SMKo44LPsdTG4P4kfP5VRdAS5E_4o"",""BD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'""&amp;YEAR(C329)&amp;""-""&amp;MONTH(C329)&amp;""-""&amp;DAY(C329)&amp;""'""))&gt;0,""Depositada"",if(sum(QUERY(IMPORTRANGE(""https://docs.google.com/spreadsheets/d/1wBSFbIXYswW2S5SMKo44LPsdTG4P4kfP5VRdAS5E_4o"",""BD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IFERROR(__xludf.DUMMYFUNCTION("ifna(IF(and(D330=""Saída"",J330=""Sangria""),if(sum(QUERY(IMPORTRANGE(""https://docs.google.com/spreadsheets/d/1wBSFbIXYswW2S5SMKo44LPsdTG4P4kfP5VRdAS5E_4o"",""BD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'""&amp;YEAR(C330)&amp;""-""&amp;MONTH(C330)&amp;""-""&amp;DAY(C330)&amp;""'""))&gt;0,""Depositada"",if(sum(QUERY(IMPORTRANGE(""https://docs.google.com/spreadsheets/d/1wBSFbIXYswW2S5SMKo44LPsdTG4P4kfP5VRdAS5E_4o"",""BD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IFERROR(__xludf.DUMMYFUNCTION("ifna(IF(and(D331=""Saída"",J331=""Sangria""),if(sum(QUERY(IMPORTRANGE(""https://docs.google.com/spreadsheets/d/1wBSFbIXYswW2S5SMKo44LPsdTG4P4kfP5VRdAS5E_4o"",""BD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'""&amp;YEAR(C331)&amp;""-""&amp;MONTH(C331)&amp;""-""&amp;DAY(C331)&amp;""'""))&gt;0,""Depositada"",if(sum(QUERY(IMPORTRANGE(""https://docs.google.com/spreadsheets/d/1wBSFbIXYswW2S5SMKo44LPsdTG4P4kfP5VRdAS5E_4o"",""BD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IFERROR(__xludf.DUMMYFUNCTION("ifna(IF(and(D332=""Saída"",J332=""Sangria""),if(sum(QUERY(IMPORTRANGE(""https://docs.google.com/spreadsheets/d/1wBSFbIXYswW2S5SMKo44LPsdTG4P4kfP5VRdAS5E_4o"",""BD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'""&amp;YEAR(C332)&amp;""-""&amp;MONTH(C332)&amp;""-""&amp;DAY(C332)&amp;""'""))&gt;0,""Depositada"",if(sum(QUERY(IMPORTRANGE(""https://docs.google.com/spreadsheets/d/1wBSFbIXYswW2S5SMKo44LPsdTG4P4kfP5VRdAS5E_4o"",""BD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IFERROR(__xludf.DUMMYFUNCTION("ifna(IF(and(D333=""Saída"",J333=""Sangria""),if(sum(QUERY(IMPORTRANGE(""https://docs.google.com/spreadsheets/d/1wBSFbIXYswW2S5SMKo44LPsdTG4P4kfP5VRdAS5E_4o"",""BD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'""&amp;YEAR(C333)&amp;""-""&amp;MONTH(C333)&amp;""-""&amp;DAY(C333)&amp;""'""))&gt;0,""Depositada"",if(sum(QUERY(IMPORTRANGE(""https://docs.google.com/spreadsheets/d/1wBSFbIXYswW2S5SMKo44LPsdTG4P4kfP5VRdAS5E_4o"",""BD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IFERROR(__xludf.DUMMYFUNCTION("ifna(IF(and(D334=""Saída"",J334=""Sangria""),if(sum(QUERY(IMPORTRANGE(""https://docs.google.com/spreadsheets/d/1wBSFbIXYswW2S5SMKo44LPsdTG4P4kfP5VRdAS5E_4o"",""BD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'""&amp;YEAR(C334)&amp;""-""&amp;MONTH(C334)&amp;""-""&amp;DAY(C334)&amp;""'""))&gt;0,""Depositada"",if(sum(QUERY(IMPORTRANGE(""https://docs.google.com/spreadsheets/d/1wBSFbIXYswW2S5SMKo44LPsdTG4P4kfP5VRdAS5E_4o"",""BD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IFERROR(__xludf.DUMMYFUNCTION("ifna(IF(and(D335=""Saída"",J335=""Sangria""),if(sum(QUERY(IMPORTRANGE(""https://docs.google.com/spreadsheets/d/1wBSFbIXYswW2S5SMKo44LPsdTG4P4kfP5VRdAS5E_4o"",""BD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'""&amp;YEAR(C335)&amp;""-""&amp;MONTH(C335)&amp;""-""&amp;DAY(C335)&amp;""'""))&gt;0,""Depositada"",if(sum(QUERY(IMPORTRANGE(""https://docs.google.com/spreadsheets/d/1wBSFbIXYswW2S5SMKo44LPsdTG4P4kfP5VRdAS5E_4o"",""BD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IFERROR(__xludf.DUMMYFUNCTION("ifna(IF(and(D336=""Saída"",J336=""Sangria""),if(sum(QUERY(IMPORTRANGE(""https://docs.google.com/spreadsheets/d/1wBSFbIXYswW2S5SMKo44LPsdTG4P4kfP5VRdAS5E_4o"",""BD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'""&amp;YEAR(C336)&amp;""-""&amp;MONTH(C336)&amp;""-""&amp;DAY(C336)&amp;""'""))&gt;0,""Depositada"",if(sum(QUERY(IMPORTRANGE(""https://docs.google.com/spreadsheets/d/1wBSFbIXYswW2S5SMKo44LPsdTG4P4kfP5VRdAS5E_4o"",""BD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IFERROR(__xludf.DUMMYFUNCTION("ifna(IF(and(D337=""Saída"",J337=""Sangria""),if(sum(QUERY(IMPORTRANGE(""https://docs.google.com/spreadsheets/d/1wBSFbIXYswW2S5SMKo44LPsdTG4P4kfP5VRdAS5E_4o"",""BD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'""&amp;YEAR(C337)&amp;""-""&amp;MONTH(C337)&amp;""-""&amp;DAY(C337)&amp;""'""))&gt;0,""Depositada"",if(sum(QUERY(IMPORTRANGE(""https://docs.google.com/spreadsheets/d/1wBSFbIXYswW2S5SMKo44LPsdTG4P4kfP5VRdAS5E_4o"",""BD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IFERROR(__xludf.DUMMYFUNCTION("ifna(IF(and(D338=""Saída"",J338=""Sangria""),if(sum(QUERY(IMPORTRANGE(""https://docs.google.com/spreadsheets/d/1wBSFbIXYswW2S5SMKo44LPsdTG4P4kfP5VRdAS5E_4o"",""BD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'""&amp;YEAR(C338)&amp;""-""&amp;MONTH(C338)&amp;""-""&amp;DAY(C338)&amp;""'""))&gt;0,""Depositada"",if(sum(QUERY(IMPORTRANGE(""https://docs.google.com/spreadsheets/d/1wBSFbIXYswW2S5SMKo44LPsdTG4P4kfP5VRdAS5E_4o"",""BD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IFERROR(__xludf.DUMMYFUNCTION("ifna(IF(and(D339=""Saída"",J339=""Sangria""),if(sum(QUERY(IMPORTRANGE(""https://docs.google.com/spreadsheets/d/1wBSFbIXYswW2S5SMKo44LPsdTG4P4kfP5VRdAS5E_4o"",""BD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'""&amp;YEAR(C339)&amp;""-""&amp;MONTH(C339)&amp;""-""&amp;DAY(C339)&amp;""'""))&gt;0,""Depositada"",if(sum(QUERY(IMPORTRANGE(""https://docs.google.com/spreadsheets/d/1wBSFbIXYswW2S5SMKo44LPsdTG4P4kfP5VRdAS5E_4o"",""BD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IFERROR(__xludf.DUMMYFUNCTION("ifna(IF(and(D340=""Saída"",J340=""Sangria""),if(sum(QUERY(IMPORTRANGE(""https://docs.google.com/spreadsheets/d/1wBSFbIXYswW2S5SMKo44LPsdTG4P4kfP5VRdAS5E_4o"",""BD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'""&amp;YEAR(C340)&amp;""-""&amp;MONTH(C340)&amp;""-""&amp;DAY(C340)&amp;""'""))&gt;0,""Depositada"",if(sum(QUERY(IMPORTRANGE(""https://docs.google.com/spreadsheets/d/1wBSFbIXYswW2S5SMKo44LPsdTG4P4kfP5VRdAS5E_4o"",""BD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IFERROR(__xludf.DUMMYFUNCTION("ifna(IF(and(D341=""Saída"",J341=""Sangria""),if(sum(QUERY(IMPORTRANGE(""https://docs.google.com/spreadsheets/d/1wBSFbIXYswW2S5SMKo44LPsdTG4P4kfP5VRdAS5E_4o"",""BD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'""&amp;YEAR(C341)&amp;""-""&amp;MONTH(C341)&amp;""-""&amp;DAY(C341)&amp;""'""))&gt;0,""Depositada"",if(sum(QUERY(IMPORTRANGE(""https://docs.google.com/spreadsheets/d/1wBSFbIXYswW2S5SMKo44LPsdTG4P4kfP5VRdAS5E_4o"",""BD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IFERROR(__xludf.DUMMYFUNCTION("ifna(IF(and(D342=""Saída"",J342=""Sangria""),if(sum(QUERY(IMPORTRANGE(""https://docs.google.com/spreadsheets/d/1wBSFbIXYswW2S5SMKo44LPsdTG4P4kfP5VRdAS5E_4o"",""BD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'""&amp;YEAR(C342)&amp;""-""&amp;MONTH(C342)&amp;""-""&amp;DAY(C342)&amp;""'""))&gt;0,""Depositada"",if(sum(QUERY(IMPORTRANGE(""https://docs.google.com/spreadsheets/d/1wBSFbIXYswW2S5SMKo44LPsdTG4P4kfP5VRdAS5E_4o"",""BD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IFERROR(__xludf.DUMMYFUNCTION("ifna(IF(and(D343=""Saída"",J343=""Sangria""),if(sum(QUERY(IMPORTRANGE(""https://docs.google.com/spreadsheets/d/1wBSFbIXYswW2S5SMKo44LPsdTG4P4kfP5VRdAS5E_4o"",""BD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'""&amp;YEAR(C343)&amp;""-""&amp;MONTH(C343)&amp;""-""&amp;DAY(C343)&amp;""'""))&gt;0,""Depositada"",if(sum(QUERY(IMPORTRANGE(""https://docs.google.com/spreadsheets/d/1wBSFbIXYswW2S5SMKo44LPsdTG4P4kfP5VRdAS5E_4o"",""BD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IFERROR(__xludf.DUMMYFUNCTION("ifna(IF(and(D344=""Saída"",J344=""Sangria""),if(sum(QUERY(IMPORTRANGE(""https://docs.google.com/spreadsheets/d/1wBSFbIXYswW2S5SMKo44LPsdTG4P4kfP5VRdAS5E_4o"",""BD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'""&amp;YEAR(C344)&amp;""-""&amp;MONTH(C344)&amp;""-""&amp;DAY(C344)&amp;""'""))&gt;0,""Depositada"",if(sum(QUERY(IMPORTRANGE(""https://docs.google.com/spreadsheets/d/1wBSFbIXYswW2S5SMKo44LPsdTG4P4kfP5VRdAS5E_4o"",""BD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IFERROR(__xludf.DUMMYFUNCTION("ifna(IF(and(D345=""Saída"",J345=""Sangria""),if(sum(QUERY(IMPORTRANGE(""https://docs.google.com/spreadsheets/d/1wBSFbIXYswW2S5SMKo44LPsdTG4P4kfP5VRdAS5E_4o"",""BD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'""&amp;YEAR(C345)&amp;""-""&amp;MONTH(C345)&amp;""-""&amp;DAY(C345)&amp;""'""))&gt;0,""Depositada"",if(sum(QUERY(IMPORTRANGE(""https://docs.google.com/spreadsheets/d/1wBSFbIXYswW2S5SMKo44LPsdTG4P4kfP5VRdAS5E_4o"",""BD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IFERROR(__xludf.DUMMYFUNCTION("ifna(IF(and(D346=""Saída"",J346=""Sangria""),if(sum(QUERY(IMPORTRANGE(""https://docs.google.com/spreadsheets/d/1wBSFbIXYswW2S5SMKo44LPsdTG4P4kfP5VRdAS5E_4o"",""BD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'""&amp;YEAR(C346)&amp;""-""&amp;MONTH(C346)&amp;""-""&amp;DAY(C346)&amp;""'""))&gt;0,""Depositada"",if(sum(QUERY(IMPORTRANGE(""https://docs.google.com/spreadsheets/d/1wBSFbIXYswW2S5SMKo44LPsdTG4P4kfP5VRdAS5E_4o"",""BD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IFERROR(__xludf.DUMMYFUNCTION("ifna(IF(and(D347=""Saída"",J347=""Sangria""),if(sum(QUERY(IMPORTRANGE(""https://docs.google.com/spreadsheets/d/1wBSFbIXYswW2S5SMKo44LPsdTG4P4kfP5VRdAS5E_4o"",""BD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'""&amp;YEAR(C347)&amp;""-""&amp;MONTH(C347)&amp;""-""&amp;DAY(C347)&amp;""'""))&gt;0,""Depositada"",if(sum(QUERY(IMPORTRANGE(""https://docs.google.com/spreadsheets/d/1wBSFbIXYswW2S5SMKo44LPsdTG4P4kfP5VRdAS5E_4o"",""BD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IFERROR(__xludf.DUMMYFUNCTION("ifna(IF(and(D348=""Saída"",J348=""Sangria""),if(sum(QUERY(IMPORTRANGE(""https://docs.google.com/spreadsheets/d/1wBSFbIXYswW2S5SMKo44LPsdTG4P4kfP5VRdAS5E_4o"",""BD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'""&amp;YEAR(C348)&amp;""-""&amp;MONTH(C348)&amp;""-""&amp;DAY(C348)&amp;""'""))&gt;0,""Depositada"",if(sum(QUERY(IMPORTRANGE(""https://docs.google.com/spreadsheets/d/1wBSFbIXYswW2S5SMKo44LPsdTG4P4kfP5VRdAS5E_4o"",""BD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IFERROR(__xludf.DUMMYFUNCTION("ifna(IF(and(D349=""Saída"",J349=""Sangria""),if(sum(QUERY(IMPORTRANGE(""https://docs.google.com/spreadsheets/d/1wBSFbIXYswW2S5SMKo44LPsdTG4P4kfP5VRdAS5E_4o"",""BD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'""&amp;YEAR(C349)&amp;""-""&amp;MONTH(C349)&amp;""-""&amp;DAY(C349)&amp;""'""))&gt;0,""Depositada"",if(sum(QUERY(IMPORTRANGE(""https://docs.google.com/spreadsheets/d/1wBSFbIXYswW2S5SMKo44LPsdTG4P4kfP5VRdAS5E_4o"",""BD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IFERROR(__xludf.DUMMYFUNCTION("ifna(IF(and(D350=""Saída"",J350=""Sangria""),if(sum(QUERY(IMPORTRANGE(""https://docs.google.com/spreadsheets/d/1wBSFbIXYswW2S5SMKo44LPsdTG4P4kfP5VRdAS5E_4o"",""BD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'""&amp;YEAR(C350)&amp;""-""&amp;MONTH(C350)&amp;""-""&amp;DAY(C350)&amp;""'""))&gt;0,""Depositada"",if(sum(QUERY(IMPORTRANGE(""https://docs.google.com/spreadsheets/d/1wBSFbIXYswW2S5SMKo44LPsdTG4P4kfP5VRdAS5E_4o"",""BD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IFERROR(__xludf.DUMMYFUNCTION("ifna(IF(and(D351=""Saída"",J351=""Sangria""),if(sum(QUERY(IMPORTRANGE(""https://docs.google.com/spreadsheets/d/1wBSFbIXYswW2S5SMKo44LPsdTG4P4kfP5VRdAS5E_4o"",""BD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'""&amp;YEAR(C351)&amp;""-""&amp;MONTH(C351)&amp;""-""&amp;DAY(C351)&amp;""'""))&gt;0,""Depositada"",if(sum(QUERY(IMPORTRANGE(""https://docs.google.com/spreadsheets/d/1wBSFbIXYswW2S5SMKo44LPsdTG4P4kfP5VRdAS5E_4o"",""BD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IFERROR(__xludf.DUMMYFUNCTION("ifna(IF(and(D352=""Saída"",J352=""Sangria""),if(sum(QUERY(IMPORTRANGE(""https://docs.google.com/spreadsheets/d/1wBSFbIXYswW2S5SMKo44LPsdTG4P4kfP5VRdAS5E_4o"",""BD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'""&amp;YEAR(C352)&amp;""-""&amp;MONTH(C352)&amp;""-""&amp;DAY(C352)&amp;""'""))&gt;0,""Depositada"",if(sum(QUERY(IMPORTRANGE(""https://docs.google.com/spreadsheets/d/1wBSFbIXYswW2S5SMKo44LPsdTG4P4kfP5VRdAS5E_4o"",""BD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IFERROR(__xludf.DUMMYFUNCTION("ifna(IF(and(D353=""Saída"",J353=""Sangria""),if(sum(QUERY(IMPORTRANGE(""https://docs.google.com/spreadsheets/d/1wBSFbIXYswW2S5SMKo44LPsdTG4P4kfP5VRdAS5E_4o"",""BD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'""&amp;YEAR(C353)&amp;""-""&amp;MONTH(C353)&amp;""-""&amp;DAY(C353)&amp;""'""))&gt;0,""Depositada"",if(sum(QUERY(IMPORTRANGE(""https://docs.google.com/spreadsheets/d/1wBSFbIXYswW2S5SMKo44LPsdTG4P4kfP5VRdAS5E_4o"",""BD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IFERROR(__xludf.DUMMYFUNCTION("ifna(IF(and(D354=""Saída"",J354=""Sangria""),if(sum(QUERY(IMPORTRANGE(""https://docs.google.com/spreadsheets/d/1wBSFbIXYswW2S5SMKo44LPsdTG4P4kfP5VRdAS5E_4o"",""BD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'""&amp;YEAR(C354)&amp;""-""&amp;MONTH(C354)&amp;""-""&amp;DAY(C354)&amp;""'""))&gt;0,""Depositada"",if(sum(QUERY(IMPORTRANGE(""https://docs.google.com/spreadsheets/d/1wBSFbIXYswW2S5SMKo44LPsdTG4P4kfP5VRdAS5E_4o"",""BD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IFERROR(__xludf.DUMMYFUNCTION("ifna(IF(and(D355=""Saída"",J355=""Sangria""),if(sum(QUERY(IMPORTRANGE(""https://docs.google.com/spreadsheets/d/1wBSFbIXYswW2S5SMKo44LPsdTG4P4kfP5VRdAS5E_4o"",""BD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'""&amp;YEAR(C355)&amp;""-""&amp;MONTH(C355)&amp;""-""&amp;DAY(C355)&amp;""'""))&gt;0,""Depositada"",if(sum(QUERY(IMPORTRANGE(""https://docs.google.com/spreadsheets/d/1wBSFbIXYswW2S5SMKo44LPsdTG4P4kfP5VRdAS5E_4o"",""BD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IFERROR(__xludf.DUMMYFUNCTION("ifna(IF(and(D356=""Saída"",J356=""Sangria""),if(sum(QUERY(IMPORTRANGE(""https://docs.google.com/spreadsheets/d/1wBSFbIXYswW2S5SMKo44LPsdTG4P4kfP5VRdAS5E_4o"",""BD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'""&amp;YEAR(C356)&amp;""-""&amp;MONTH(C356)&amp;""-""&amp;DAY(C356)&amp;""'""))&gt;0,""Depositada"",if(sum(QUERY(IMPORTRANGE(""https://docs.google.com/spreadsheets/d/1wBSFbIXYswW2S5SMKo44LPsdTG4P4kfP5VRdAS5E_4o"",""BD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IFERROR(__xludf.DUMMYFUNCTION("ifna(IF(and(D357=""Saída"",J357=""Sangria""),if(sum(QUERY(IMPORTRANGE(""https://docs.google.com/spreadsheets/d/1wBSFbIXYswW2S5SMKo44LPsdTG4P4kfP5VRdAS5E_4o"",""BD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'""&amp;YEAR(C357)&amp;""-""&amp;MONTH(C357)&amp;""-""&amp;DAY(C357)&amp;""'""))&gt;0,""Depositada"",if(sum(QUERY(IMPORTRANGE(""https://docs.google.com/spreadsheets/d/1wBSFbIXYswW2S5SMKo44LPsdTG4P4kfP5VRdAS5E_4o"",""BD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IFERROR(__xludf.DUMMYFUNCTION("ifna(IF(and(D358=""Saída"",J358=""Sangria""),if(sum(QUERY(IMPORTRANGE(""https://docs.google.com/spreadsheets/d/1wBSFbIXYswW2S5SMKo44LPsdTG4P4kfP5VRdAS5E_4o"",""BD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'""&amp;YEAR(C358)&amp;""-""&amp;MONTH(C358)&amp;""-""&amp;DAY(C358)&amp;""'""))&gt;0,""Depositada"",if(sum(QUERY(IMPORTRANGE(""https://docs.google.com/spreadsheets/d/1wBSFbIXYswW2S5SMKo44LPsdTG4P4kfP5VRdAS5E_4o"",""BD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IFERROR(__xludf.DUMMYFUNCTION("ifna(IF(and(D359=""Saída"",J359=""Sangria""),if(sum(QUERY(IMPORTRANGE(""https://docs.google.com/spreadsheets/d/1wBSFbIXYswW2S5SMKo44LPsdTG4P4kfP5VRdAS5E_4o"",""BD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'""&amp;YEAR(C359)&amp;""-""&amp;MONTH(C359)&amp;""-""&amp;DAY(C359)&amp;""'""))&gt;0,""Depositada"",if(sum(QUERY(IMPORTRANGE(""https://docs.google.com/spreadsheets/d/1wBSFbIXYswW2S5SMKo44LPsdTG4P4kfP5VRdAS5E_4o"",""BD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IFERROR(__xludf.DUMMYFUNCTION("ifna(IF(and(D360=""Saída"",J360=""Sangria""),if(sum(QUERY(IMPORTRANGE(""https://docs.google.com/spreadsheets/d/1wBSFbIXYswW2S5SMKo44LPsdTG4P4kfP5VRdAS5E_4o"",""BD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'""&amp;YEAR(C360)&amp;""-""&amp;MONTH(C360)&amp;""-""&amp;DAY(C360)&amp;""'""))&gt;0,""Depositada"",if(sum(QUERY(IMPORTRANGE(""https://docs.google.com/spreadsheets/d/1wBSFbIXYswW2S5SMKo44LPsdTG4P4kfP5VRdAS5E_4o"",""BD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IFERROR(__xludf.DUMMYFUNCTION("ifna(IF(and(D361=""Saída"",J361=""Sangria""),if(sum(QUERY(IMPORTRANGE(""https://docs.google.com/spreadsheets/d/1wBSFbIXYswW2S5SMKo44LPsdTG4P4kfP5VRdAS5E_4o"",""BD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'""&amp;YEAR(C361)&amp;""-""&amp;MONTH(C361)&amp;""-""&amp;DAY(C361)&amp;""'""))&gt;0,""Depositada"",if(sum(QUERY(IMPORTRANGE(""https://docs.google.com/spreadsheets/d/1wBSFbIXYswW2S5SMKo44LPsdTG4P4kfP5VRdAS5E_4o"",""BD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IFERROR(__xludf.DUMMYFUNCTION("ifna(IF(and(D362=""Saída"",J362=""Sangria""),if(sum(QUERY(IMPORTRANGE(""https://docs.google.com/spreadsheets/d/1wBSFbIXYswW2S5SMKo44LPsdTG4P4kfP5VRdAS5E_4o"",""BD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'""&amp;YEAR(C362)&amp;""-""&amp;MONTH(C362)&amp;""-""&amp;DAY(C362)&amp;""'""))&gt;0,""Depositada"",if(sum(QUERY(IMPORTRANGE(""https://docs.google.com/spreadsheets/d/1wBSFbIXYswW2S5SMKo44LPsdTG4P4kfP5VRdAS5E_4o"",""BD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IFERROR(__xludf.DUMMYFUNCTION("ifna(IF(and(D363=""Saída"",J363=""Sangria""),if(sum(QUERY(IMPORTRANGE(""https://docs.google.com/spreadsheets/d/1wBSFbIXYswW2S5SMKo44LPsdTG4P4kfP5VRdAS5E_4o"",""BD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'""&amp;YEAR(C363)&amp;""-""&amp;MONTH(C363)&amp;""-""&amp;DAY(C363)&amp;""'""))&gt;0,""Depositada"",if(sum(QUERY(IMPORTRANGE(""https://docs.google.com/spreadsheets/d/1wBSFbIXYswW2S5SMKo44LPsdTG4P4kfP5VRdAS5E_4o"",""BD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IFERROR(__xludf.DUMMYFUNCTION("ifna(IF(and(D364=""Saída"",J364=""Sangria""),if(sum(QUERY(IMPORTRANGE(""https://docs.google.com/spreadsheets/d/1wBSFbIXYswW2S5SMKo44LPsdTG4P4kfP5VRdAS5E_4o"",""BD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'""&amp;YEAR(C364)&amp;""-""&amp;MONTH(C364)&amp;""-""&amp;DAY(C364)&amp;""'""))&gt;0,""Depositada"",if(sum(QUERY(IMPORTRANGE(""https://docs.google.com/spreadsheets/d/1wBSFbIXYswW2S5SMKo44LPsdTG4P4kfP5VRdAS5E_4o"",""BD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IFERROR(__xludf.DUMMYFUNCTION("ifna(IF(and(D365=""Saída"",J365=""Sangria""),if(sum(QUERY(IMPORTRANGE(""https://docs.google.com/spreadsheets/d/1wBSFbIXYswW2S5SMKo44LPsdTG4P4kfP5VRdAS5E_4o"",""BD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'""&amp;YEAR(C365)&amp;""-""&amp;MONTH(C365)&amp;""-""&amp;DAY(C365)&amp;""'""))&gt;0,""Depositada"",if(sum(QUERY(IMPORTRANGE(""https://docs.google.com/spreadsheets/d/1wBSFbIXYswW2S5SMKo44LPsdTG4P4kfP5VRdAS5E_4o"",""BD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IFERROR(__xludf.DUMMYFUNCTION("ifna(IF(and(D366=""Saída"",J366=""Sangria""),if(sum(QUERY(IMPORTRANGE(""https://docs.google.com/spreadsheets/d/1wBSFbIXYswW2S5SMKo44LPsdTG4P4kfP5VRdAS5E_4o"",""BD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'""&amp;YEAR(C366)&amp;""-""&amp;MONTH(C366)&amp;""-""&amp;DAY(C366)&amp;""'""))&gt;0,""Depositada"",if(sum(QUERY(IMPORTRANGE(""https://docs.google.com/spreadsheets/d/1wBSFbIXYswW2S5SMKo44LPsdTG4P4kfP5VRdAS5E_4o"",""BD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IFERROR(__xludf.DUMMYFUNCTION("ifna(IF(and(D367=""Saída"",J367=""Sangria""),if(sum(QUERY(IMPORTRANGE(""https://docs.google.com/spreadsheets/d/1wBSFbIXYswW2S5SMKo44LPsdTG4P4kfP5VRdAS5E_4o"",""BD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'""&amp;YEAR(C367)&amp;""-""&amp;MONTH(C367)&amp;""-""&amp;DAY(C367)&amp;""'""))&gt;0,""Depositada"",if(sum(QUERY(IMPORTRANGE(""https://docs.google.com/spreadsheets/d/1wBSFbIXYswW2S5SMKo44LPsdTG4P4kfP5VRdAS5E_4o"",""BD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IFERROR(__xludf.DUMMYFUNCTION("ifna(IF(and(D368=""Saída"",J368=""Sangria""),if(sum(QUERY(IMPORTRANGE(""https://docs.google.com/spreadsheets/d/1wBSFbIXYswW2S5SMKo44LPsdTG4P4kfP5VRdAS5E_4o"",""BD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'""&amp;YEAR(C368)&amp;""-""&amp;MONTH(C368)&amp;""-""&amp;DAY(C368)&amp;""'""))&gt;0,""Depositada"",if(sum(QUERY(IMPORTRANGE(""https://docs.google.com/spreadsheets/d/1wBSFbIXYswW2S5SMKo44LPsdTG4P4kfP5VRdAS5E_4o"",""BD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IFERROR(__xludf.DUMMYFUNCTION("ifna(IF(and(D369=""Saída"",J369=""Sangria""),if(sum(QUERY(IMPORTRANGE(""https://docs.google.com/spreadsheets/d/1wBSFbIXYswW2S5SMKo44LPsdTG4P4kfP5VRdAS5E_4o"",""BD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'""&amp;YEAR(C369)&amp;""-""&amp;MONTH(C369)&amp;""-""&amp;DAY(C369)&amp;""'""))&gt;0,""Depositada"",if(sum(QUERY(IMPORTRANGE(""https://docs.google.com/spreadsheets/d/1wBSFbIXYswW2S5SMKo44LPsdTG4P4kfP5VRdAS5E_4o"",""BD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IFERROR(__xludf.DUMMYFUNCTION("ifna(IF(and(D370=""Saída"",J370=""Sangria""),if(sum(QUERY(IMPORTRANGE(""https://docs.google.com/spreadsheets/d/1wBSFbIXYswW2S5SMKo44LPsdTG4P4kfP5VRdAS5E_4o"",""BD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'""&amp;YEAR(C370)&amp;""-""&amp;MONTH(C370)&amp;""-""&amp;DAY(C370)&amp;""'""))&gt;0,""Depositada"",if(sum(QUERY(IMPORTRANGE(""https://docs.google.com/spreadsheets/d/1wBSFbIXYswW2S5SMKo44LPsdTG4P4kfP5VRdAS5E_4o"",""BD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IFERROR(__xludf.DUMMYFUNCTION("ifna(IF(and(D371=""Saída"",J371=""Sangria""),if(sum(QUERY(IMPORTRANGE(""https://docs.google.com/spreadsheets/d/1wBSFbIXYswW2S5SMKo44LPsdTG4P4kfP5VRdAS5E_4o"",""BD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'""&amp;YEAR(C371)&amp;""-""&amp;MONTH(C371)&amp;""-""&amp;DAY(C371)&amp;""'""))&gt;0,""Depositada"",if(sum(QUERY(IMPORTRANGE(""https://docs.google.com/spreadsheets/d/1wBSFbIXYswW2S5SMKo44LPsdTG4P4kfP5VRdAS5E_4o"",""BD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IFERROR(__xludf.DUMMYFUNCTION("ifna(IF(and(D372=""Saída"",J372=""Sangria""),if(sum(QUERY(IMPORTRANGE(""https://docs.google.com/spreadsheets/d/1wBSFbIXYswW2S5SMKo44LPsdTG4P4kfP5VRdAS5E_4o"",""BD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'""&amp;YEAR(C372)&amp;""-""&amp;MONTH(C372)&amp;""-""&amp;DAY(C372)&amp;""'""))&gt;0,""Depositada"",if(sum(QUERY(IMPORTRANGE(""https://docs.google.com/spreadsheets/d/1wBSFbIXYswW2S5SMKo44LPsdTG4P4kfP5VRdAS5E_4o"",""BD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IFERROR(__xludf.DUMMYFUNCTION("ifna(IF(and(D373=""Saída"",J373=""Sangria""),if(sum(QUERY(IMPORTRANGE(""https://docs.google.com/spreadsheets/d/1wBSFbIXYswW2S5SMKo44LPsdTG4P4kfP5VRdAS5E_4o"",""BD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'""&amp;YEAR(C373)&amp;""-""&amp;MONTH(C373)&amp;""-""&amp;DAY(C373)&amp;""'""))&gt;0,""Depositada"",if(sum(QUERY(IMPORTRANGE(""https://docs.google.com/spreadsheets/d/1wBSFbIXYswW2S5SMKo44LPsdTG4P4kfP5VRdAS5E_4o"",""BD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IFERROR(__xludf.DUMMYFUNCTION("ifna(IF(and(D374=""Saída"",J374=""Sangria""),if(sum(QUERY(IMPORTRANGE(""https://docs.google.com/spreadsheets/d/1wBSFbIXYswW2S5SMKo44LPsdTG4P4kfP5VRdAS5E_4o"",""BD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'""&amp;YEAR(C374)&amp;""-""&amp;MONTH(C374)&amp;""-""&amp;DAY(C374)&amp;""'""))&gt;0,""Depositada"",if(sum(QUERY(IMPORTRANGE(""https://docs.google.com/spreadsheets/d/1wBSFbIXYswW2S5SMKo44LPsdTG4P4kfP5VRdAS5E_4o"",""BD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IFERROR(__xludf.DUMMYFUNCTION("ifna(IF(and(D375=""Saída"",J375=""Sangria""),if(sum(QUERY(IMPORTRANGE(""https://docs.google.com/spreadsheets/d/1wBSFbIXYswW2S5SMKo44LPsdTG4P4kfP5VRdAS5E_4o"",""BD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'""&amp;YEAR(C375)&amp;""-""&amp;MONTH(C375)&amp;""-""&amp;DAY(C375)&amp;""'""))&gt;0,""Depositada"",if(sum(QUERY(IMPORTRANGE(""https://docs.google.com/spreadsheets/d/1wBSFbIXYswW2S5SMKo44LPsdTG4P4kfP5VRdAS5E_4o"",""BD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IFERROR(__xludf.DUMMYFUNCTION("ifna(IF(and(D376=""Saída"",J376=""Sangria""),if(sum(QUERY(IMPORTRANGE(""https://docs.google.com/spreadsheets/d/1wBSFbIXYswW2S5SMKo44LPsdTG4P4kfP5VRdAS5E_4o"",""BD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'""&amp;YEAR(C376)&amp;""-""&amp;MONTH(C376)&amp;""-""&amp;DAY(C376)&amp;""'""))&gt;0,""Depositada"",if(sum(QUERY(IMPORTRANGE(""https://docs.google.com/spreadsheets/d/1wBSFbIXYswW2S5SMKo44LPsdTG4P4kfP5VRdAS5E_4o"",""BD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IFERROR(__xludf.DUMMYFUNCTION("ifna(IF(and(D377=""Saída"",J377=""Sangria""),if(sum(QUERY(IMPORTRANGE(""https://docs.google.com/spreadsheets/d/1wBSFbIXYswW2S5SMKo44LPsdTG4P4kfP5VRdAS5E_4o"",""BD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'""&amp;YEAR(C377)&amp;""-""&amp;MONTH(C377)&amp;""-""&amp;DAY(C377)&amp;""'""))&gt;0,""Depositada"",if(sum(QUERY(IMPORTRANGE(""https://docs.google.com/spreadsheets/d/1wBSFbIXYswW2S5SMKo44LPsdTG4P4kfP5VRdAS5E_4o"",""BD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IFERROR(__xludf.DUMMYFUNCTION("ifna(IF(and(D378=""Saída"",J378=""Sangria""),if(sum(QUERY(IMPORTRANGE(""https://docs.google.com/spreadsheets/d/1wBSFbIXYswW2S5SMKo44LPsdTG4P4kfP5VRdAS5E_4o"",""BD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'""&amp;YEAR(C378)&amp;""-""&amp;MONTH(C378)&amp;""-""&amp;DAY(C378)&amp;""'""))&gt;0,""Depositada"",if(sum(QUERY(IMPORTRANGE(""https://docs.google.com/spreadsheets/d/1wBSFbIXYswW2S5SMKo44LPsdTG4P4kfP5VRdAS5E_4o"",""BD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IFERROR(__xludf.DUMMYFUNCTION("ifna(IF(and(D379=""Saída"",J379=""Sangria""),if(sum(QUERY(IMPORTRANGE(""https://docs.google.com/spreadsheets/d/1wBSFbIXYswW2S5SMKo44LPsdTG4P4kfP5VRdAS5E_4o"",""BD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'""&amp;YEAR(C379)&amp;""-""&amp;MONTH(C379)&amp;""-""&amp;DAY(C379)&amp;""'""))&gt;0,""Depositada"",if(sum(QUERY(IMPORTRANGE(""https://docs.google.com/spreadsheets/d/1wBSFbIXYswW2S5SMKo44LPsdTG4P4kfP5VRdAS5E_4o"",""BD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IFERROR(__xludf.DUMMYFUNCTION("ifna(IF(and(D380=""Saída"",J380=""Sangria""),if(sum(QUERY(IMPORTRANGE(""https://docs.google.com/spreadsheets/d/1wBSFbIXYswW2S5SMKo44LPsdTG4P4kfP5VRdAS5E_4o"",""BD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'""&amp;YEAR(C380)&amp;""-""&amp;MONTH(C380)&amp;""-""&amp;DAY(C380)&amp;""'""))&gt;0,""Depositada"",if(sum(QUERY(IMPORTRANGE(""https://docs.google.com/spreadsheets/d/1wBSFbIXYswW2S5SMKo44LPsdTG4P4kfP5VRdAS5E_4o"",""BD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IFERROR(__xludf.DUMMYFUNCTION("ifna(IF(and(D381=""Saída"",J381=""Sangria""),if(sum(QUERY(IMPORTRANGE(""https://docs.google.com/spreadsheets/d/1wBSFbIXYswW2S5SMKo44LPsdTG4P4kfP5VRdAS5E_4o"",""BD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'""&amp;YEAR(C381)&amp;""-""&amp;MONTH(C381)&amp;""-""&amp;DAY(C381)&amp;""'""))&gt;0,""Depositada"",if(sum(QUERY(IMPORTRANGE(""https://docs.google.com/spreadsheets/d/1wBSFbIXYswW2S5SMKo44LPsdTG4P4kfP5VRdAS5E_4o"",""BD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IFERROR(__xludf.DUMMYFUNCTION("ifna(IF(and(D382=""Saída"",J382=""Sangria""),if(sum(QUERY(IMPORTRANGE(""https://docs.google.com/spreadsheets/d/1wBSFbIXYswW2S5SMKo44LPsdTG4P4kfP5VRdAS5E_4o"",""BD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'""&amp;YEAR(C382)&amp;""-""&amp;MONTH(C382)&amp;""-""&amp;DAY(C382)&amp;""'""))&gt;0,""Depositada"",if(sum(QUERY(IMPORTRANGE(""https://docs.google.com/spreadsheets/d/1wBSFbIXYswW2S5SMKo44LPsdTG4P4kfP5VRdAS5E_4o"",""BD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IFERROR(__xludf.DUMMYFUNCTION("ifna(IF(and(D383=""Saída"",J383=""Sangria""),if(sum(QUERY(IMPORTRANGE(""https://docs.google.com/spreadsheets/d/1wBSFbIXYswW2S5SMKo44LPsdTG4P4kfP5VRdAS5E_4o"",""BD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'""&amp;YEAR(C383)&amp;""-""&amp;MONTH(C383)&amp;""-""&amp;DAY(C383)&amp;""'""))&gt;0,""Depositada"",if(sum(QUERY(IMPORTRANGE(""https://docs.google.com/spreadsheets/d/1wBSFbIXYswW2S5SMKo44LPsdTG4P4kfP5VRdAS5E_4o"",""BD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IFERROR(__xludf.DUMMYFUNCTION("ifna(IF(and(D384=""Saída"",J384=""Sangria""),if(sum(QUERY(IMPORTRANGE(""https://docs.google.com/spreadsheets/d/1wBSFbIXYswW2S5SMKo44LPsdTG4P4kfP5VRdAS5E_4o"",""BD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'""&amp;YEAR(C384)&amp;""-""&amp;MONTH(C384)&amp;""-""&amp;DAY(C384)&amp;""'""))&gt;0,""Depositada"",if(sum(QUERY(IMPORTRANGE(""https://docs.google.com/spreadsheets/d/1wBSFbIXYswW2S5SMKo44LPsdTG4P4kfP5VRdAS5E_4o"",""BD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IFERROR(__xludf.DUMMYFUNCTION("ifna(IF(and(D385=""Saída"",J385=""Sangria""),if(sum(QUERY(IMPORTRANGE(""https://docs.google.com/spreadsheets/d/1wBSFbIXYswW2S5SMKo44LPsdTG4P4kfP5VRdAS5E_4o"",""BD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'""&amp;YEAR(C385)&amp;""-""&amp;MONTH(C385)&amp;""-""&amp;DAY(C385)&amp;""'""))&gt;0,""Depositada"",if(sum(QUERY(IMPORTRANGE(""https://docs.google.com/spreadsheets/d/1wBSFbIXYswW2S5SMKo44LPsdTG4P4kfP5VRdAS5E_4o"",""BD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IFERROR(__xludf.DUMMYFUNCTION("ifna(IF(and(D386=""Saída"",J386=""Sangria""),if(sum(QUERY(IMPORTRANGE(""https://docs.google.com/spreadsheets/d/1wBSFbIXYswW2S5SMKo44LPsdTG4P4kfP5VRdAS5E_4o"",""BD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'""&amp;YEAR(C386)&amp;""-""&amp;MONTH(C386)&amp;""-""&amp;DAY(C386)&amp;""'""))&gt;0,""Depositada"",if(sum(QUERY(IMPORTRANGE(""https://docs.google.com/spreadsheets/d/1wBSFbIXYswW2S5SMKo44LPsdTG4P4kfP5VRdAS5E_4o"",""BD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IFERROR(__xludf.DUMMYFUNCTION("ifna(IF(and(D387=""Saída"",J387=""Sangria""),if(sum(QUERY(IMPORTRANGE(""https://docs.google.com/spreadsheets/d/1wBSFbIXYswW2S5SMKo44LPsdTG4P4kfP5VRdAS5E_4o"",""BD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'""&amp;YEAR(C387)&amp;""-""&amp;MONTH(C387)&amp;""-""&amp;DAY(C387)&amp;""'""))&gt;0,""Depositada"",if(sum(QUERY(IMPORTRANGE(""https://docs.google.com/spreadsheets/d/1wBSFbIXYswW2S5SMKo44LPsdTG4P4kfP5VRdAS5E_4o"",""BD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IFERROR(__xludf.DUMMYFUNCTION("ifna(IF(and(D388=""Saída"",J388=""Sangria""),if(sum(QUERY(IMPORTRANGE(""https://docs.google.com/spreadsheets/d/1wBSFbIXYswW2S5SMKo44LPsdTG4P4kfP5VRdAS5E_4o"",""BD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'""&amp;YEAR(C388)&amp;""-""&amp;MONTH(C388)&amp;""-""&amp;DAY(C388)&amp;""'""))&gt;0,""Depositada"",if(sum(QUERY(IMPORTRANGE(""https://docs.google.com/spreadsheets/d/1wBSFbIXYswW2S5SMKo44LPsdTG4P4kfP5VRdAS5E_4o"",""BD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IFERROR(__xludf.DUMMYFUNCTION("ifna(IF(and(D389=""Saída"",J389=""Sangria""),if(sum(QUERY(IMPORTRANGE(""https://docs.google.com/spreadsheets/d/1wBSFbIXYswW2S5SMKo44LPsdTG4P4kfP5VRdAS5E_4o"",""BD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'""&amp;YEAR(C389)&amp;""-""&amp;MONTH(C389)&amp;""-""&amp;DAY(C389)&amp;""'""))&gt;0,""Depositada"",if(sum(QUERY(IMPORTRANGE(""https://docs.google.com/spreadsheets/d/1wBSFbIXYswW2S5SMKo44LPsdTG4P4kfP5VRdAS5E_4o"",""BD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IFERROR(__xludf.DUMMYFUNCTION("ifna(IF(and(D390=""Saída"",J390=""Sangria""),if(sum(QUERY(IMPORTRANGE(""https://docs.google.com/spreadsheets/d/1wBSFbIXYswW2S5SMKo44LPsdTG4P4kfP5VRdAS5E_4o"",""BD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'""&amp;YEAR(C390)&amp;""-""&amp;MONTH(C390)&amp;""-""&amp;DAY(C390)&amp;""'""))&gt;0,""Depositada"",if(sum(QUERY(IMPORTRANGE(""https://docs.google.com/spreadsheets/d/1wBSFbIXYswW2S5SMKo44LPsdTG4P4kfP5VRdAS5E_4o"",""BD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IFERROR(__xludf.DUMMYFUNCTION("ifna(IF(and(D391=""Saída"",J391=""Sangria""),if(sum(QUERY(IMPORTRANGE(""https://docs.google.com/spreadsheets/d/1wBSFbIXYswW2S5SMKo44LPsdTG4P4kfP5VRdAS5E_4o"",""BD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'""&amp;YEAR(C391)&amp;""-""&amp;MONTH(C391)&amp;""-""&amp;DAY(C391)&amp;""'""))&gt;0,""Depositada"",if(sum(QUERY(IMPORTRANGE(""https://docs.google.com/spreadsheets/d/1wBSFbIXYswW2S5SMKo44LPsdTG4P4kfP5VRdAS5E_4o"",""BD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IFERROR(__xludf.DUMMYFUNCTION("ifna(IF(and(D392=""Saída"",J392=""Sangria""),if(sum(QUERY(IMPORTRANGE(""https://docs.google.com/spreadsheets/d/1wBSFbIXYswW2S5SMKo44LPsdTG4P4kfP5VRdAS5E_4o"",""BD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'""&amp;YEAR(C392)&amp;""-""&amp;MONTH(C392)&amp;""-""&amp;DAY(C392)&amp;""'""))&gt;0,""Depositada"",if(sum(QUERY(IMPORTRANGE(""https://docs.google.com/spreadsheets/d/1wBSFbIXYswW2S5SMKo44LPsdTG4P4kfP5VRdAS5E_4o"",""BD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IFERROR(__xludf.DUMMYFUNCTION("ifna(IF(and(D393=""Saída"",J393=""Sangria""),if(sum(QUERY(IMPORTRANGE(""https://docs.google.com/spreadsheets/d/1wBSFbIXYswW2S5SMKo44LPsdTG4P4kfP5VRdAS5E_4o"",""BD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'""&amp;YEAR(C393)&amp;""-""&amp;MONTH(C393)&amp;""-""&amp;DAY(C393)&amp;""'""))&gt;0,""Depositada"",if(sum(QUERY(IMPORTRANGE(""https://docs.google.com/spreadsheets/d/1wBSFbIXYswW2S5SMKo44LPsdTG4P4kfP5VRdAS5E_4o"",""BD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30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228 E236:E504">
    <cfRule type="containsText" dxfId="9" priority="12" operator="containsText" text="R$">
      <formula>NOT(ISERROR(SEARCH(("R$"),(E29))))</formula>
    </cfRule>
  </conditionalFormatting>
  <conditionalFormatting sqref="B29:K228 L29:L504 B236:K504">
    <cfRule type="expression" dxfId="5" priority="13">
      <formula>and($J$29:$J$504="Sangria",$D$29:$D$504="Saída")</formula>
    </cfRule>
  </conditionalFormatting>
  <conditionalFormatting sqref="K29:K228 K236:K504">
    <cfRule type="expression" dxfId="10" priority="14">
      <formula>or($J$29:$J$218="Compra Moedas",$J$29:$J$218="Cortesias",$J$29:$J$218="Troco")</formula>
    </cfRule>
  </conditionalFormatting>
  <conditionalFormatting sqref="K29:K228 K236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228 I236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228 I236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228 I236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228 I236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228 C236:C504">
    <cfRule type="expression" dxfId="11" priority="21">
      <formula>and($C$29:$C$218="",or($D$29:$D$218="Entrada",$D$29:$D$218="Saída"))</formula>
    </cfRule>
  </conditionalFormatting>
  <conditionalFormatting sqref="I29:I228 I236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228 K236:K504">
      <formula1>'OUTUBRO 2025'!$B$4:$B$16</formula1>
    </dataValidation>
    <dataValidation type="list" allowBlank="1" showErrorMessage="1" sqref="J29:J228 J236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9.75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B9</f>
        <v>Janaina</v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" t="str">
        <f>B4</f>
        <v>Marcos</v>
      </c>
      <c r="P3" s="27"/>
      <c r="Q3" s="27"/>
      <c r="R3" s="28"/>
      <c r="S3" s="37"/>
      <c r="T3" s="38" t="str">
        <f>B5</f>
        <v>Rayanna</v>
      </c>
      <c r="U3" s="27"/>
      <c r="V3" s="27"/>
      <c r="W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0</v>
      </c>
      <c r="E4" s="43" t="s">
        <v>1112</v>
      </c>
      <c r="F4" s="42">
        <f>SUMIFS(N29:N504,J29:J504,E4,K29:K504,E3)+SUMIF(Q64:Q106,A5,R64:R106)+F9</f>
        <v>500</v>
      </c>
      <c r="G4" s="43" t="s">
        <v>1112</v>
      </c>
      <c r="H4" s="42">
        <f>SUMIFS(N29:N504,J29:J504,G4,K29:K504,G3)+SUMIF(Q64:Q106,A9,R64:R106)+H9</f>
        <v>500</v>
      </c>
      <c r="I4" s="43" t="s">
        <v>1112</v>
      </c>
      <c r="J4" s="42">
        <f>SUMIFS(N29:N504,J29:J504,C4,K29:K504,I3)+SUMIF(Q64:Q106,A7,R64:R106)+J9</f>
        <v>150</v>
      </c>
      <c r="K4" s="43" t="s">
        <v>1112</v>
      </c>
      <c r="L4" s="44">
        <f>SUMIFS(N29:N504,J29:J504,C4,K29:K504,K3)+SUMIF(Q64:Q106,A8,R64:R106)+L9</f>
        <v>480</v>
      </c>
      <c r="M4" s="25"/>
      <c r="N4" s="25"/>
      <c r="O4" s="45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4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'""&amp;B5&amp;""'"",1)"),"Data")</f>
        <v>Data</v>
      </c>
      <c r="U4" s="49" t="str">
        <f>IFERROR(__xludf.DUMMYFUNCTION("""COMPUTED_VALUE"""),"Valor ")</f>
        <v>Valor </v>
      </c>
      <c r="V4" s="49" t="str">
        <f>IFERROR(__xludf.DUMMYFUNCTION("""COMPUTED_VALUE"""),"Tipo")</f>
        <v>Tipo</v>
      </c>
      <c r="W4" s="50" t="str">
        <f>IFERROR(__xludf.DUMMYFUNCTION("""COMPUTED_VALUE"""),"Funcionário")</f>
        <v>Funcionário</v>
      </c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253.46</v>
      </c>
      <c r="G5" s="43" t="s">
        <v>3044</v>
      </c>
      <c r="H5" s="42">
        <f>SUMIFS(N29:N504,J29:J504,C5,K29:K504,G3)</f>
        <v>125</v>
      </c>
      <c r="I5" s="43" t="s">
        <v>3044</v>
      </c>
      <c r="J5" s="42">
        <f>SUMIFS(N29:N504,J29:J504,C5,K29:K504,I3)</f>
        <v>252.07</v>
      </c>
      <c r="K5" s="43" t="s">
        <v>3044</v>
      </c>
      <c r="L5" s="44">
        <f>SUMIFS(N29:N504,J29:J504,C5,K29:K504,K3)</f>
        <v>324.01</v>
      </c>
      <c r="M5" s="25"/>
      <c r="N5" s="25"/>
      <c r="O5" s="51"/>
      <c r="P5" s="52"/>
      <c r="Q5" s="52"/>
      <c r="R5" s="53"/>
      <c r="S5" s="54"/>
      <c r="T5" s="55">
        <f>IFERROR(__xludf.DUMMYFUNCTION("""COMPUTED_VALUE"""),45958.79686342593)</f>
        <v>45958.79686</v>
      </c>
      <c r="U5" s="52" t="str">
        <f>IFERROR(__xludf.DUMMYFUNCTION("""COMPUTED_VALUE"""),"R$ 45,00")</f>
        <v>R$ 45,00</v>
      </c>
      <c r="V5" s="52" t="str">
        <f>IFERROR(__xludf.DUMMYFUNCTION("""COMPUTED_VALUE"""),"Consumo")</f>
        <v>Consumo</v>
      </c>
      <c r="W5" s="53" t="str">
        <f>IFERROR(__xludf.DUMMYFUNCTION("""COMPUTED_VALUE"""),"Rayanna")</f>
        <v>Rayanna</v>
      </c>
    </row>
    <row r="6" ht="16.5" customHeight="1">
      <c r="A6" s="56"/>
      <c r="B6" s="40"/>
      <c r="C6" s="41" t="s">
        <v>3082</v>
      </c>
      <c r="D6" s="42">
        <f>D5*0.8</f>
        <v>0</v>
      </c>
      <c r="E6" s="43" t="s">
        <v>3082</v>
      </c>
      <c r="F6" s="42">
        <f>F5*0.8</f>
        <v>202.768</v>
      </c>
      <c r="G6" s="43" t="s">
        <v>3082</v>
      </c>
      <c r="H6" s="42">
        <f>H5*0.8</f>
        <v>100</v>
      </c>
      <c r="I6" s="43" t="s">
        <v>3082</v>
      </c>
      <c r="J6" s="42">
        <f>J5*0.8</f>
        <v>201.656</v>
      </c>
      <c r="K6" s="57" t="s">
        <v>3082</v>
      </c>
      <c r="L6" s="44">
        <f>L5*0.8</f>
        <v>259.208</v>
      </c>
      <c r="M6" s="25"/>
      <c r="N6" s="25"/>
      <c r="O6" s="51"/>
      <c r="P6" s="52"/>
      <c r="Q6" s="52"/>
      <c r="R6" s="53"/>
      <c r="S6" s="54"/>
      <c r="T6" s="55">
        <f>IFERROR(__xludf.DUMMYFUNCTION("""COMPUTED_VALUE"""),45959.58627314815)</f>
        <v>45959.58627</v>
      </c>
      <c r="U6" s="52" t="str">
        <f>IFERROR(__xludf.DUMMYFUNCTION("""COMPUTED_VALUE"""),"R$ 3,00")</f>
        <v>R$ 3,00</v>
      </c>
      <c r="V6" s="52" t="str">
        <f>IFERROR(__xludf.DUMMYFUNCTION("""COMPUTED_VALUE"""),"Consumo")</f>
        <v>Consumo</v>
      </c>
      <c r="W6" s="53" t="str">
        <f>IFERROR(__xludf.DUMMYFUNCTION("""COMPUTED_VALUE"""),"Rayanna")</f>
        <v>Rayanna</v>
      </c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51"/>
      <c r="P7" s="52"/>
      <c r="Q7" s="52"/>
      <c r="R7" s="53"/>
      <c r="S7" s="54"/>
      <c r="T7" s="55">
        <f>IFERROR(__xludf.DUMMYFUNCTION("""COMPUTED_VALUE"""),45959.730717592596)</f>
        <v>45959.73072</v>
      </c>
      <c r="U7" s="52" t="str">
        <f>IFERROR(__xludf.DUMMYFUNCTION("""COMPUTED_VALUE"""),"R$ 12,20")</f>
        <v>R$ 12,20</v>
      </c>
      <c r="V7" s="52" t="str">
        <f>IFERROR(__xludf.DUMMYFUNCTION("""COMPUTED_VALUE"""),"Consumo")</f>
        <v>Consumo</v>
      </c>
      <c r="W7" s="53" t="str">
        <f>IFERROR(__xludf.DUMMYFUNCTION("""COMPUTED_VALUE"""),"Rayanna")</f>
        <v>Rayanna</v>
      </c>
    </row>
    <row r="8" ht="14.25" customHeight="1">
      <c r="A8" s="12" t="s">
        <v>78</v>
      </c>
      <c r="B8" s="40" t="s">
        <v>7058</v>
      </c>
      <c r="C8" s="63" t="s">
        <v>3170</v>
      </c>
      <c r="D8" s="64"/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51"/>
      <c r="P8" s="52"/>
      <c r="Q8" s="52"/>
      <c r="R8" s="53"/>
      <c r="S8" s="54"/>
      <c r="T8" s="55">
        <f>IFERROR(__xludf.DUMMYFUNCTION("""COMPUTED_VALUE"""),45959.77384259259)</f>
        <v>45959.77384</v>
      </c>
      <c r="U8" s="52" t="str">
        <f>IFERROR(__xludf.DUMMYFUNCTION("""COMPUTED_VALUE"""),"R$ 8,00")</f>
        <v>R$ 8,00</v>
      </c>
      <c r="V8" s="52" t="str">
        <f>IFERROR(__xludf.DUMMYFUNCTION("""COMPUTED_VALUE"""),"Consumo")</f>
        <v>Consumo</v>
      </c>
      <c r="W8" s="53" t="str">
        <f>IFERROR(__xludf.DUMMYFUNCTION("""COMPUTED_VALUE"""),"Rayanna")</f>
        <v>Rayanna</v>
      </c>
    </row>
    <row r="9">
      <c r="A9" s="39" t="s">
        <v>1900</v>
      </c>
      <c r="B9" s="40" t="s">
        <v>6340</v>
      </c>
      <c r="C9" s="70" t="s">
        <v>41</v>
      </c>
      <c r="D9" s="71"/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51"/>
      <c r="P9" s="52"/>
      <c r="Q9" s="52"/>
      <c r="R9" s="53"/>
      <c r="S9" s="54"/>
      <c r="T9" s="55">
        <f>IFERROR(__xludf.DUMMYFUNCTION("""COMPUTED_VALUE"""),45961.79388888889)</f>
        <v>45961.79389</v>
      </c>
      <c r="U9" s="52" t="str">
        <f>IFERROR(__xludf.DUMMYFUNCTION("""COMPUTED_VALUE"""),"R$ 91,38")</f>
        <v>R$ 91,38</v>
      </c>
      <c r="V9" s="52" t="str">
        <f>IFERROR(__xludf.DUMMYFUNCTION("""COMPUTED_VALUE"""),"Consumo")</f>
        <v>Consumo</v>
      </c>
      <c r="W9" s="53" t="str">
        <f>IFERROR(__xludf.DUMMYFUNCTION("""COMPUTED_VALUE"""),"Rayanna")</f>
        <v>Rayanna</v>
      </c>
    </row>
    <row r="10" ht="21.75" customHeight="1">
      <c r="A10" s="39"/>
      <c r="B10" s="40"/>
      <c r="C10" s="75" t="str">
        <f>B9</f>
        <v>Janaina</v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51"/>
      <c r="P10" s="79"/>
      <c r="Q10" s="79"/>
      <c r="R10" s="80"/>
      <c r="S10" s="81"/>
      <c r="T10" s="55">
        <f>IFERROR(__xludf.DUMMYFUNCTION("""COMPUTED_VALUE"""),45961.794699074075)</f>
        <v>45961.7947</v>
      </c>
      <c r="U10" s="79" t="str">
        <f>IFERROR(__xludf.DUMMYFUNCTION("""COMPUTED_VALUE"""),"R$ 7,00")</f>
        <v>R$ 7,00</v>
      </c>
      <c r="V10" s="79" t="str">
        <f>IFERROR(__xludf.DUMMYFUNCTION("""COMPUTED_VALUE"""),"Consumo")</f>
        <v>Consumo</v>
      </c>
      <c r="W10" s="80" t="str">
        <f>IFERROR(__xludf.DUMMYFUNCTION("""COMPUTED_VALUE"""),"Rayanna")</f>
        <v>Rayanna</v>
      </c>
    </row>
    <row r="11">
      <c r="A11" s="82"/>
      <c r="B11" s="83"/>
      <c r="C11" s="84" t="s">
        <v>1112</v>
      </c>
      <c r="D11" s="85">
        <f>SUMIFS(N29:N514,J29:J514,C11,K29:K514,C10)+SUMIF(Q64:Q106,A9,R64:R106)+D16</f>
        <v>500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88"/>
      <c r="P11" s="89"/>
      <c r="Q11" s="89"/>
      <c r="R11" s="90"/>
      <c r="S11" s="91"/>
      <c r="T11" s="236">
        <f>IFERROR(__xludf.DUMMYFUNCTION("""COMPUTED_VALUE"""),45964.80820601852)</f>
        <v>45964.80821</v>
      </c>
      <c r="U11" s="89" t="str">
        <f>IFERROR(__xludf.DUMMYFUNCTION("""COMPUTED_VALUE"""),"R$ 28,00")</f>
        <v>R$ 28,00</v>
      </c>
      <c r="V11" s="89" t="str">
        <f>IFERROR(__xludf.DUMMYFUNCTION("""COMPUTED_VALUE"""),"Consumo")</f>
        <v>Consumo</v>
      </c>
      <c r="W11" s="90" t="str">
        <f>IFERROR(__xludf.DUMMYFUNCTION("""COMPUTED_VALUE"""),"Rayanna")</f>
        <v>Rayanna</v>
      </c>
    </row>
    <row r="12">
      <c r="A12" s="82"/>
      <c r="B12" s="83"/>
      <c r="C12" s="84" t="s">
        <v>3044</v>
      </c>
      <c r="D12" s="85">
        <f>SUMIFS(N36:N514,J36:J514,C12,K36:K514,C10)</f>
        <v>125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88"/>
      <c r="P12" s="89"/>
      <c r="Q12" s="89"/>
      <c r="R12" s="90"/>
      <c r="S12" s="91"/>
      <c r="T12" s="236">
        <f>IFERROR(__xludf.DUMMYFUNCTION("""COMPUTED_VALUE"""),45966.73082175926)</f>
        <v>45966.73082</v>
      </c>
      <c r="U12" s="89" t="str">
        <f>IFERROR(__xludf.DUMMYFUNCTION("""COMPUTED_VALUE"""),"R$ 10,88")</f>
        <v>R$ 10,88</v>
      </c>
      <c r="V12" s="89" t="str">
        <f>IFERROR(__xludf.DUMMYFUNCTION("""COMPUTED_VALUE"""),"Consumo")</f>
        <v>Consumo</v>
      </c>
      <c r="W12" s="90" t="str">
        <f>IFERROR(__xludf.DUMMYFUNCTION("""COMPUTED_VALUE"""),"Rayanna")</f>
        <v>Rayanna</v>
      </c>
    </row>
    <row r="13">
      <c r="A13" s="82"/>
      <c r="B13" s="93"/>
      <c r="C13" s="84" t="s">
        <v>3082</v>
      </c>
      <c r="D13" s="85">
        <f>D12*0.8</f>
        <v>100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88"/>
      <c r="P13" s="89"/>
      <c r="Q13" s="89"/>
      <c r="R13" s="90"/>
      <c r="S13" s="91"/>
      <c r="T13" s="236">
        <f>IFERROR(__xludf.DUMMYFUNCTION("""COMPUTED_VALUE"""),45971.575312500005)</f>
        <v>45971.57531</v>
      </c>
      <c r="U13" s="89" t="str">
        <f>IFERROR(__xludf.DUMMYFUNCTION("""COMPUTED_VALUE"""),"R$ 4,00")</f>
        <v>R$ 4,00</v>
      </c>
      <c r="V13" s="89" t="str">
        <f>IFERROR(__xludf.DUMMYFUNCTION("""COMPUTED_VALUE"""),"Consumo")</f>
        <v>Consumo</v>
      </c>
      <c r="W13" s="90" t="str">
        <f>IFERROR(__xludf.DUMMYFUNCTION("""COMPUTED_VALUE"""),"Rayanna")</f>
        <v>Rayanna</v>
      </c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88"/>
      <c r="P14" s="89"/>
      <c r="Q14" s="89"/>
      <c r="R14" s="90"/>
      <c r="S14" s="91"/>
      <c r="T14" s="236">
        <f>IFERROR(__xludf.DUMMYFUNCTION("""COMPUTED_VALUE"""),45971.67623842593)</f>
        <v>45971.67624</v>
      </c>
      <c r="U14" s="89" t="str">
        <f>IFERROR(__xludf.DUMMYFUNCTION("""COMPUTED_VALUE"""),"R$ 7,00")</f>
        <v>R$ 7,00</v>
      </c>
      <c r="V14" s="89" t="str">
        <f>IFERROR(__xludf.DUMMYFUNCTION("""COMPUTED_VALUE"""),"Consumo")</f>
        <v>Consumo</v>
      </c>
      <c r="W14" s="90" t="str">
        <f>IFERROR(__xludf.DUMMYFUNCTION("""COMPUTED_VALUE"""),"Rayanna")</f>
        <v>Rayanna</v>
      </c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88"/>
      <c r="P15" s="89"/>
      <c r="Q15" s="89"/>
      <c r="R15" s="90"/>
      <c r="S15" s="91"/>
      <c r="T15" s="236">
        <f>IFERROR(__xludf.DUMMYFUNCTION("""COMPUTED_VALUE"""),45976.56303240741)</f>
        <v>45976.56303</v>
      </c>
      <c r="U15" s="89" t="str">
        <f>IFERROR(__xludf.DUMMYFUNCTION("""COMPUTED_VALUE"""),"R$ 5,00")</f>
        <v>R$ 5,00</v>
      </c>
      <c r="V15" s="89" t="str">
        <f>IFERROR(__xludf.DUMMYFUNCTION("""COMPUTED_VALUE"""),"Consumo")</f>
        <v>Consumo</v>
      </c>
      <c r="W15" s="90" t="str">
        <f>IFERROR(__xludf.DUMMYFUNCTION("""COMPUTED_VALUE"""),"Rayanna")</f>
        <v>Rayanna</v>
      </c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88"/>
      <c r="P16" s="89"/>
      <c r="Q16" s="89"/>
      <c r="R16" s="90"/>
      <c r="S16" s="91"/>
      <c r="T16" s="236">
        <f>IFERROR(__xludf.DUMMYFUNCTION("""COMPUTED_VALUE"""),45981.628113425926)</f>
        <v>45981.62811</v>
      </c>
      <c r="U16" s="89" t="str">
        <f>IFERROR(__xludf.DUMMYFUNCTION("""COMPUTED_VALUE"""),"R$ 5,00")</f>
        <v>R$ 5,00</v>
      </c>
      <c r="V16" s="89" t="str">
        <f>IFERROR(__xludf.DUMMYFUNCTION("""COMPUTED_VALUE"""),"Consumo")</f>
        <v>Consumo</v>
      </c>
      <c r="W16" s="90" t="str">
        <f>IFERROR(__xludf.DUMMYFUNCTION("""COMPUTED_VALUE"""),"Rayanna")</f>
        <v>Rayanna</v>
      </c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88"/>
      <c r="P17" s="89"/>
      <c r="Q17" s="89"/>
      <c r="R17" s="90"/>
      <c r="S17" s="91"/>
      <c r="T17" s="236">
        <f>IFERROR(__xludf.DUMMYFUNCTION("""COMPUTED_VALUE"""),45982.91741898148)</f>
        <v>45982.91742</v>
      </c>
      <c r="U17" s="89" t="str">
        <f>IFERROR(__xludf.DUMMYFUNCTION("""COMPUTED_VALUE"""),"R$ 17,00")</f>
        <v>R$ 17,00</v>
      </c>
      <c r="V17" s="89" t="str">
        <f>IFERROR(__xludf.DUMMYFUNCTION("""COMPUTED_VALUE"""),"Consumo")</f>
        <v>Consumo</v>
      </c>
      <c r="W17" s="90" t="str">
        <f>IFERROR(__xludf.DUMMYFUNCTION("""COMPUTED_VALUE"""),"Rayanna")</f>
        <v>Rayanna</v>
      </c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108"/>
      <c r="P18" s="109"/>
      <c r="Q18" s="109"/>
      <c r="R18" s="109"/>
      <c r="S18" s="110"/>
      <c r="T18" s="236">
        <f>IFERROR(__xludf.DUMMYFUNCTION("""COMPUTED_VALUE"""),45983.89800925926)</f>
        <v>45983.89801</v>
      </c>
      <c r="U18" s="109" t="str">
        <f>IFERROR(__xludf.DUMMYFUNCTION("""COMPUTED_VALUE"""),"R$ 10,00")</f>
        <v>R$ 10,00</v>
      </c>
      <c r="V18" s="109" t="str">
        <f>IFERROR(__xludf.DUMMYFUNCTION("""COMPUTED_VALUE"""),"Consumo")</f>
        <v>Consumo</v>
      </c>
      <c r="W18" s="111" t="str">
        <f>IFERROR(__xludf.DUMMYFUNCTION("""COMPUTED_VALUE"""),"Rayanna")</f>
        <v>Rayanna</v>
      </c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12770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191" t="str">
        <f>B7</f>
        <v>Ana Carolina</v>
      </c>
      <c r="P19" s="106"/>
      <c r="Q19" s="106"/>
      <c r="R19" s="106"/>
      <c r="S19" s="110"/>
      <c r="T19" s="123" t="str">
        <f>B8</f>
        <v>Sabrina</v>
      </c>
      <c r="U19" s="106"/>
      <c r="V19" s="106"/>
      <c r="W19" s="124"/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200</v>
      </c>
      <c r="J20" s="132">
        <f>SUMIF(J29:J504,J19,N29:N504)</f>
        <v>315.4</v>
      </c>
      <c r="K20" s="133" t="s">
        <v>3520</v>
      </c>
      <c r="L20" s="134"/>
      <c r="M20" s="24"/>
      <c r="N20" s="24"/>
      <c r="O20" s="45" t="str">
        <f>IFERROR(__xludf.DUMMYFUNCTION("query(C28:L507,""select Col1,Col3,Col8,Col9 where (Col8 = 'Adiantamento' or Col8 = 'Consumo') and Col9 = '""&amp;B7&amp;""'"",1)"),"Data")</f>
        <v>Data</v>
      </c>
      <c r="P20" s="46" t="str">
        <f>IFERROR(__xludf.DUMMYFUNCTION("""COMPUTED_VALUE"""),"Valor ")</f>
        <v>Valor </v>
      </c>
      <c r="Q20" s="46" t="str">
        <f>IFERROR(__xludf.DUMMYFUNCTION("""COMPUTED_VALUE"""),"Tipo")</f>
        <v>Tipo</v>
      </c>
      <c r="R20" s="46" t="str">
        <f>IFERROR(__xludf.DUMMYFUNCTION("""COMPUTED_VALUE"""),"Funcionário")</f>
        <v>Funcionário</v>
      </c>
      <c r="S20" s="48"/>
      <c r="T20" s="49" t="str">
        <f>IFERROR(__xludf.DUMMYFUNCTION("query(C28:L507,""select Col1,Col3,Col8,Col9 where (Col8 = 'Adiantamento' or Col8 = 'Consumo') and Col9 = '""&amp;B8&amp;""'"",1)"),"#REF!")</f>
        <v>#REF!</v>
      </c>
      <c r="U20" s="49"/>
      <c r="V20" s="49"/>
      <c r="W20" s="50"/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19020</v>
      </c>
      <c r="I21" s="138"/>
      <c r="J21" s="139"/>
      <c r="K21" s="133" t="s">
        <v>3570</v>
      </c>
      <c r="L21" s="134"/>
      <c r="M21" s="24"/>
      <c r="N21" s="24"/>
      <c r="O21" s="51">
        <f>IFERROR(__xludf.DUMMYFUNCTION("""COMPUTED_VALUE"""),45957.55815972222)</f>
        <v>45957.55816</v>
      </c>
      <c r="P21" s="52" t="str">
        <f>IFERROR(__xludf.DUMMYFUNCTION("""COMPUTED_VALUE"""),"R$ 8,00")</f>
        <v>R$ 8,00</v>
      </c>
      <c r="Q21" s="52" t="str">
        <f>IFERROR(__xludf.DUMMYFUNCTION("""COMPUTED_VALUE"""),"Consumo")</f>
        <v>Consumo</v>
      </c>
      <c r="R21" s="52" t="str">
        <f>IFERROR(__xludf.DUMMYFUNCTION("""COMPUTED_VALUE"""),"Ana Carolina")</f>
        <v>Ana Carolina</v>
      </c>
      <c r="S21" s="54"/>
      <c r="T21" s="52"/>
      <c r="U21" s="52"/>
      <c r="V21" s="52"/>
      <c r="W21" s="53"/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51">
        <f>IFERROR(__xludf.DUMMYFUNCTION("""COMPUTED_VALUE"""),45957.75261574074)</f>
        <v>45957.75262</v>
      </c>
      <c r="P22" s="52" t="str">
        <f>IFERROR(__xludf.DUMMYFUNCTION("""COMPUTED_VALUE"""),"R$ 5,00")</f>
        <v>R$ 5,00</v>
      </c>
      <c r="Q22" s="52" t="str">
        <f>IFERROR(__xludf.DUMMYFUNCTION("""COMPUTED_VALUE"""),"Consumo")</f>
        <v>Consumo</v>
      </c>
      <c r="R22" s="52" t="str">
        <f>IFERROR(__xludf.DUMMYFUNCTION("""COMPUTED_VALUE"""),"Ana Carolina")</f>
        <v>Ana Carolina</v>
      </c>
      <c r="S22" s="54"/>
      <c r="T22" s="52"/>
      <c r="U22" s="52"/>
      <c r="V22" s="52"/>
      <c r="W22" s="53"/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51">
        <f>IFERROR(__xludf.DUMMYFUNCTION("""COMPUTED_VALUE"""),45957.78155092592)</f>
        <v>45957.78155</v>
      </c>
      <c r="P23" s="52" t="str">
        <f>IFERROR(__xludf.DUMMYFUNCTION("""COMPUTED_VALUE"""),"R$ 28,24")</f>
        <v>R$ 28,24</v>
      </c>
      <c r="Q23" s="52" t="str">
        <f>IFERROR(__xludf.DUMMYFUNCTION("""COMPUTED_VALUE"""),"Consumo")</f>
        <v>Consumo</v>
      </c>
      <c r="R23" s="52" t="str">
        <f>IFERROR(__xludf.DUMMYFUNCTION("""COMPUTED_VALUE"""),"Ana Carolina")</f>
        <v>Ana Carolina</v>
      </c>
      <c r="S23" s="54"/>
      <c r="T23" s="52"/>
      <c r="U23" s="52"/>
      <c r="V23" s="52"/>
      <c r="W23" s="53"/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0</v>
      </c>
      <c r="I24" s="157" t="s">
        <v>3653</v>
      </c>
      <c r="J24" s="150"/>
      <c r="K24" s="133" t="s">
        <v>3656</v>
      </c>
      <c r="L24" s="134"/>
      <c r="M24" s="24"/>
      <c r="N24" s="24"/>
      <c r="O24" s="51">
        <f>IFERROR(__xludf.DUMMYFUNCTION("""COMPUTED_VALUE"""),45959.73442129629)</f>
        <v>45959.73442</v>
      </c>
      <c r="P24" s="52" t="str">
        <f>IFERROR(__xludf.DUMMYFUNCTION("""COMPUTED_VALUE"""),"R$ 35,91")</f>
        <v>R$ 35,91</v>
      </c>
      <c r="Q24" s="52" t="str">
        <f>IFERROR(__xludf.DUMMYFUNCTION("""COMPUTED_VALUE"""),"Consumo")</f>
        <v>Consumo</v>
      </c>
      <c r="R24" s="52" t="str">
        <f>IFERROR(__xludf.DUMMYFUNCTION("""COMPUTED_VALUE"""),"Ana Carolina")</f>
        <v>Ana Carolina</v>
      </c>
      <c r="S24" s="54"/>
      <c r="T24" s="52"/>
      <c r="U24" s="52"/>
      <c r="V24" s="52"/>
      <c r="W24" s="53"/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6250</v>
      </c>
      <c r="I25" s="151">
        <f>SUMIF(J29:J504,I24,N29:N504)</f>
        <v>0</v>
      </c>
      <c r="J25" s="152"/>
      <c r="K25" s="162"/>
      <c r="L25" s="163"/>
      <c r="M25" s="25"/>
      <c r="N25" s="25"/>
      <c r="O25" s="51">
        <f>IFERROR(__xludf.DUMMYFUNCTION("""COMPUTED_VALUE"""),45961.580914351856)</f>
        <v>45961.58091</v>
      </c>
      <c r="P25" s="52" t="str">
        <f>IFERROR(__xludf.DUMMYFUNCTION("""COMPUTED_VALUE"""),"R$ 5,00")</f>
        <v>R$ 5,00</v>
      </c>
      <c r="Q25" s="52" t="str">
        <f>IFERROR(__xludf.DUMMYFUNCTION("""COMPUTED_VALUE"""),"Consumo")</f>
        <v>Consumo</v>
      </c>
      <c r="R25" s="52" t="str">
        <f>IFERROR(__xludf.DUMMYFUNCTION("""COMPUTED_VALUE"""),"Ana Carolina")</f>
        <v>Ana Carolina</v>
      </c>
      <c r="S25" s="54"/>
      <c r="T25" s="52"/>
      <c r="U25" s="52"/>
      <c r="V25" s="52"/>
      <c r="W25" s="53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51">
        <f>IFERROR(__xludf.DUMMYFUNCTION("""COMPUTED_VALUE"""),45961.84013888889)</f>
        <v>45961.84014</v>
      </c>
      <c r="P26" s="79" t="str">
        <f>IFERROR(__xludf.DUMMYFUNCTION("""COMPUTED_VALUE"""),"R$ 20,90")</f>
        <v>R$ 20,90</v>
      </c>
      <c r="Q26" s="79" t="str">
        <f>IFERROR(__xludf.DUMMYFUNCTION("""COMPUTED_VALUE"""),"Consumo")</f>
        <v>Consumo</v>
      </c>
      <c r="R26" s="79" t="str">
        <f>IFERROR(__xludf.DUMMYFUNCTION("""COMPUTED_VALUE"""),"Ana Carolina")</f>
        <v>Ana Carolina</v>
      </c>
      <c r="S26" s="81"/>
      <c r="T26" s="79"/>
      <c r="U26" s="79"/>
      <c r="V26" s="79"/>
      <c r="W26" s="80"/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247">
        <f>IFERROR(__xludf.DUMMYFUNCTION("""COMPUTED_VALUE"""),45965.784525462965)</f>
        <v>45965.78453</v>
      </c>
      <c r="P27" s="89" t="str">
        <f>IFERROR(__xludf.DUMMYFUNCTION("""COMPUTED_VALUE"""),"R$ 15,00")</f>
        <v>R$ 15,00</v>
      </c>
      <c r="Q27" s="89" t="str">
        <f>IFERROR(__xludf.DUMMYFUNCTION("""COMPUTED_VALUE"""),"Consumo")</f>
        <v>Consumo</v>
      </c>
      <c r="R27" s="89" t="str">
        <f>IFERROR(__xludf.DUMMYFUNCTION("""COMPUTED_VALUE"""),"Ana Carolina")</f>
        <v>Ana Carolina</v>
      </c>
      <c r="S27" s="91"/>
      <c r="T27" s="89"/>
      <c r="U27" s="89"/>
      <c r="V27" s="89"/>
      <c r="W27" s="90"/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177" t="s">
        <v>3724</v>
      </c>
      <c r="M28" s="274" t="s">
        <v>12</v>
      </c>
      <c r="N28" s="167"/>
      <c r="O28" s="247">
        <f>IFERROR(__xludf.DUMMYFUNCTION("""COMPUTED_VALUE"""),45965.798310185186)</f>
        <v>45965.79831</v>
      </c>
      <c r="P28" s="89" t="str">
        <f>IFERROR(__xludf.DUMMYFUNCTION("""COMPUTED_VALUE"""),"R$ 53,16")</f>
        <v>R$ 53,16</v>
      </c>
      <c r="Q28" s="89" t="str">
        <f>IFERROR(__xludf.DUMMYFUNCTION("""COMPUTED_VALUE"""),"Consumo")</f>
        <v>Consumo</v>
      </c>
      <c r="R28" s="89" t="str">
        <f>IFERROR(__xludf.DUMMYFUNCTION("""COMPUTED_VALUE"""),"Ana Carolina")</f>
        <v>Ana Carolina</v>
      </c>
      <c r="S28" s="91"/>
      <c r="T28" s="89"/>
      <c r="U28" s="89"/>
      <c r="V28" s="89"/>
      <c r="W28" s="90"/>
    </row>
    <row r="29" ht="14.25" customHeight="1">
      <c r="A29" s="178"/>
      <c r="B29" s="10">
        <v>1763132.0</v>
      </c>
      <c r="C29" s="11">
        <v>45957.55815972222</v>
      </c>
      <c r="D29" s="179" t="s">
        <v>50</v>
      </c>
      <c r="E29" s="180" t="s">
        <v>708</v>
      </c>
      <c r="F29" s="181"/>
      <c r="G29" s="179" t="s">
        <v>6446</v>
      </c>
      <c r="H29" s="190"/>
      <c r="I29" s="190"/>
      <c r="J29" s="187" t="s">
        <v>3044</v>
      </c>
      <c r="K29" s="187" t="s">
        <v>6664</v>
      </c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IFERROR(__xludf.DUMMYFUNCTION("ifna(VALUE(REGEXEXTRACT(E29,""[0-9.]+[,]+[0-9]+"")))"),8.0)</f>
        <v>8</v>
      </c>
      <c r="O29" s="247">
        <f>IFERROR(__xludf.DUMMYFUNCTION("""COMPUTED_VALUE"""),45971.57443287037)</f>
        <v>45971.57443</v>
      </c>
      <c r="P29" s="89" t="str">
        <f>IFERROR(__xludf.DUMMYFUNCTION("""COMPUTED_VALUE"""),"R$ 10,00")</f>
        <v>R$ 10,00</v>
      </c>
      <c r="Q29" s="89" t="str">
        <f>IFERROR(__xludf.DUMMYFUNCTION("""COMPUTED_VALUE"""),"Consumo")</f>
        <v>Consumo</v>
      </c>
      <c r="R29" s="89" t="str">
        <f>IFERROR(__xludf.DUMMYFUNCTION("""COMPUTED_VALUE"""),"Ana Carolina")</f>
        <v>Ana Carolina</v>
      </c>
      <c r="S29" s="91"/>
      <c r="T29" s="89"/>
      <c r="U29" s="89"/>
      <c r="V29" s="89"/>
      <c r="W29" s="90"/>
    </row>
    <row r="30">
      <c r="A30" s="178"/>
      <c r="B30" s="10">
        <v>1763743.0</v>
      </c>
      <c r="C30" s="11">
        <v>45957.75261574074</v>
      </c>
      <c r="D30" s="179" t="s">
        <v>50</v>
      </c>
      <c r="E30" s="180" t="s">
        <v>157</v>
      </c>
      <c r="F30" s="188"/>
      <c r="G30" s="179" t="s">
        <v>4639</v>
      </c>
      <c r="H30" s="190"/>
      <c r="I30" s="190"/>
      <c r="J30" s="187" t="s">
        <v>3044</v>
      </c>
      <c r="K30" s="187" t="s">
        <v>6664</v>
      </c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IFERROR(__xludf.DUMMYFUNCTION("ifna(VALUE(REGEXEXTRACT(E30,""[0-9.]+[,]+[0-9]+"")))"),5.0)</f>
        <v>5</v>
      </c>
      <c r="O30" s="247">
        <f>IFERROR(__xludf.DUMMYFUNCTION("""COMPUTED_VALUE"""),45975.51788194444)</f>
        <v>45975.51788</v>
      </c>
      <c r="P30" s="89" t="str">
        <f>IFERROR(__xludf.DUMMYFUNCTION("""COMPUTED_VALUE"""),"R$ 5,00")</f>
        <v>R$ 5,00</v>
      </c>
      <c r="Q30" s="89" t="str">
        <f>IFERROR(__xludf.DUMMYFUNCTION("""COMPUTED_VALUE"""),"Consumo")</f>
        <v>Consumo</v>
      </c>
      <c r="R30" s="89" t="str">
        <f>IFERROR(__xludf.DUMMYFUNCTION("""COMPUTED_VALUE"""),"Ana Carolina")</f>
        <v>Ana Carolina</v>
      </c>
      <c r="S30" s="91"/>
      <c r="T30" s="89"/>
      <c r="U30" s="89"/>
      <c r="V30" s="89"/>
      <c r="W30" s="90"/>
    </row>
    <row r="31" ht="14.25" customHeight="1">
      <c r="A31" s="178"/>
      <c r="B31" s="10">
        <v>1763840.0</v>
      </c>
      <c r="C31" s="11">
        <v>45957.78155092592</v>
      </c>
      <c r="D31" s="179" t="s">
        <v>50</v>
      </c>
      <c r="E31" s="180" t="s">
        <v>6807</v>
      </c>
      <c r="F31" s="181"/>
      <c r="G31" s="10" t="s">
        <v>4639</v>
      </c>
      <c r="H31" s="190"/>
      <c r="I31" s="190"/>
      <c r="J31" s="187" t="s">
        <v>3044</v>
      </c>
      <c r="K31" s="187" t="s">
        <v>6664</v>
      </c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IFERROR(__xludf.DUMMYFUNCTION("ifna(VALUE(REGEXEXTRACT(E31,""[0-9.]+[,]+[0-9]+"")))"),28.24)</f>
        <v>28.24</v>
      </c>
      <c r="O31" s="250">
        <f>IFERROR(__xludf.DUMMYFUNCTION("""COMPUTED_VALUE"""),45976.56337962963)</f>
        <v>45976.56338</v>
      </c>
      <c r="P31" s="193" t="str">
        <f>IFERROR(__xludf.DUMMYFUNCTION("""COMPUTED_VALUE"""),"R$ 5,00")</f>
        <v>R$ 5,00</v>
      </c>
      <c r="Q31" s="194" t="str">
        <f>IFERROR(__xludf.DUMMYFUNCTION("""COMPUTED_VALUE"""),"Consumo")</f>
        <v>Consumo</v>
      </c>
      <c r="R31" s="195" t="str">
        <f>IFERROR(__xludf.DUMMYFUNCTION("""COMPUTED_VALUE"""),"Ana Carolina")</f>
        <v>Ana Carolina</v>
      </c>
      <c r="S31" s="91"/>
      <c r="T31" s="89"/>
      <c r="U31" s="89"/>
      <c r="V31" s="89"/>
      <c r="W31" s="90"/>
    </row>
    <row r="32" ht="14.25" customHeight="1">
      <c r="A32" s="178"/>
      <c r="B32" s="10">
        <v>1764224.0</v>
      </c>
      <c r="C32" s="11">
        <v>45957.91064814815</v>
      </c>
      <c r="D32" s="179" t="s">
        <v>50</v>
      </c>
      <c r="E32" s="180" t="s">
        <v>6991</v>
      </c>
      <c r="F32" s="181"/>
      <c r="G32" s="179" t="s">
        <v>7102</v>
      </c>
      <c r="H32" s="190"/>
      <c r="I32" s="190"/>
      <c r="J32" s="187" t="s">
        <v>3903</v>
      </c>
      <c r="K32" s="187"/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85">
        <f>IFERROR(__xludf.DUMMYFUNCTION("ifna(VALUE(REGEXEXTRACT(E32,""[0-9.]+[,]+[0-9]+"")))"),118.0)</f>
        <v>118</v>
      </c>
      <c r="O32" s="247">
        <f>IFERROR(__xludf.DUMMYFUNCTION("""COMPUTED_VALUE"""),45977.92108796297)</f>
        <v>45977.92109</v>
      </c>
      <c r="P32" s="89" t="str">
        <f>IFERROR(__xludf.DUMMYFUNCTION("""COMPUTED_VALUE"""),"R$ 10,00")</f>
        <v>R$ 10,00</v>
      </c>
      <c r="Q32" s="89" t="str">
        <f>IFERROR(__xludf.DUMMYFUNCTION("""COMPUTED_VALUE"""),"Consumo")</f>
        <v>Consumo</v>
      </c>
      <c r="R32" s="89" t="str">
        <f>IFERROR(__xludf.DUMMYFUNCTION("""COMPUTED_VALUE"""),"Ana Carolina")</f>
        <v>Ana Carolina</v>
      </c>
      <c r="S32" s="91"/>
      <c r="T32" s="89"/>
      <c r="U32" s="89"/>
      <c r="V32" s="89"/>
      <c r="W32" s="90"/>
    </row>
    <row r="33" ht="14.25" customHeight="1">
      <c r="A33" s="178"/>
      <c r="B33" s="10">
        <v>1764233.0</v>
      </c>
      <c r="C33" s="11">
        <v>45957.912141203706</v>
      </c>
      <c r="D33" s="179" t="s">
        <v>50</v>
      </c>
      <c r="E33" s="180" t="s">
        <v>6731</v>
      </c>
      <c r="F33" s="181"/>
      <c r="G33" s="179" t="s">
        <v>7105</v>
      </c>
      <c r="H33" s="190"/>
      <c r="I33" s="190"/>
      <c r="J33" s="187" t="s">
        <v>4159</v>
      </c>
      <c r="K33" s="187"/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IFERROR(__xludf.DUMMYFUNCTION("ifna(VALUE(REGEXEXTRACT(E33,""[0-9.]+[,]+[0-9]+"")))"),100.0)</f>
        <v>100</v>
      </c>
      <c r="O33" s="247">
        <f>IFERROR(__xludf.DUMMYFUNCTION("""COMPUTED_VALUE"""),45979.68228009259)</f>
        <v>45979.68228</v>
      </c>
      <c r="P33" s="89" t="str">
        <f>IFERROR(__xludf.DUMMYFUNCTION("""COMPUTED_VALUE"""),"R$ 5,00")</f>
        <v>R$ 5,00</v>
      </c>
      <c r="Q33" s="89" t="str">
        <f>IFERROR(__xludf.DUMMYFUNCTION("""COMPUTED_VALUE"""),"Consumo")</f>
        <v>Consumo</v>
      </c>
      <c r="R33" s="89" t="str">
        <f>IFERROR(__xludf.DUMMYFUNCTION("""COMPUTED_VALUE"""),"Ana Carolina")</f>
        <v>Ana Carolina</v>
      </c>
      <c r="S33" s="91"/>
      <c r="T33" s="89"/>
      <c r="U33" s="89"/>
      <c r="V33" s="89"/>
      <c r="W33" s="90"/>
    </row>
    <row r="34" ht="14.25" customHeight="1">
      <c r="A34" s="178"/>
      <c r="B34" s="10">
        <v>1764240.0</v>
      </c>
      <c r="C34" s="11">
        <v>45957.91315972222</v>
      </c>
      <c r="D34" s="179" t="s">
        <v>227</v>
      </c>
      <c r="E34" s="180" t="s">
        <v>494</v>
      </c>
      <c r="F34" s="181"/>
      <c r="G34" s="179" t="s">
        <v>7107</v>
      </c>
      <c r="H34" s="190"/>
      <c r="I34" s="190"/>
      <c r="J34" s="187" t="s">
        <v>4159</v>
      </c>
      <c r="K34" s="187"/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IFERROR(__xludf.DUMMYFUNCTION("ifna(VALUE(REGEXEXTRACT(E34,""[0-9.]+[,]+[0-9]+"")))"),0.01)</f>
        <v>0.01</v>
      </c>
      <c r="O34" s="247">
        <f>IFERROR(__xludf.DUMMYFUNCTION("""COMPUTED_VALUE"""),45979.696180555555)</f>
        <v>45979.69618</v>
      </c>
      <c r="P34" s="109" t="str">
        <f>IFERROR(__xludf.DUMMYFUNCTION("""COMPUTED_VALUE"""),"R$ 10,86")</f>
        <v>R$ 10,86</v>
      </c>
      <c r="Q34" s="109" t="str">
        <f>IFERROR(__xludf.DUMMYFUNCTION("""COMPUTED_VALUE"""),"Consumo")</f>
        <v>Consumo</v>
      </c>
      <c r="R34" s="109" t="str">
        <f>IFERROR(__xludf.DUMMYFUNCTION("""COMPUTED_VALUE"""),"Ana Carolina")</f>
        <v>Ana Carolina</v>
      </c>
      <c r="S34" s="110"/>
      <c r="T34" s="109"/>
      <c r="U34" s="109"/>
      <c r="V34" s="109"/>
      <c r="W34" s="111"/>
    </row>
    <row r="35" ht="18.75" customHeight="1">
      <c r="A35" s="178"/>
      <c r="B35" s="10">
        <v>1764854.0</v>
      </c>
      <c r="C35" s="11">
        <v>45958.64072916667</v>
      </c>
      <c r="D35" s="179" t="s">
        <v>50</v>
      </c>
      <c r="E35" s="180" t="s">
        <v>6991</v>
      </c>
      <c r="F35" s="181"/>
      <c r="G35" s="179" t="s">
        <v>7111</v>
      </c>
      <c r="H35" s="190"/>
      <c r="I35" s="190"/>
      <c r="J35" s="187"/>
      <c r="K35" s="187"/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IFERROR(__xludf.DUMMYFUNCTION("ifna(VALUE(REGEXEXTRACT(E35,""[0-9.]+[,]+[0-9]+"")))"),118.0)</f>
        <v>118</v>
      </c>
      <c r="O35" s="238">
        <f>IFERROR(__xludf.DUMMYFUNCTION("""COMPUTED_VALUE"""),45981.62858796296)</f>
        <v>45981.62859</v>
      </c>
      <c r="P35" s="239" t="str">
        <f>IFERROR(__xludf.DUMMYFUNCTION("""COMPUTED_VALUE"""),"R$ 10,00")</f>
        <v>R$ 10,00</v>
      </c>
      <c r="Q35" s="239" t="str">
        <f>IFERROR(__xludf.DUMMYFUNCTION("""COMPUTED_VALUE"""),"Consumo")</f>
        <v>Consumo</v>
      </c>
      <c r="R35" s="239" t="str">
        <f>IFERROR(__xludf.DUMMYFUNCTION("""COMPUTED_VALUE"""),"Ana Carolina")</f>
        <v>Ana Carolina</v>
      </c>
      <c r="S35" s="24"/>
      <c r="T35" s="239"/>
      <c r="U35" s="239"/>
      <c r="V35" s="239"/>
      <c r="W35" s="239"/>
    </row>
    <row r="36" ht="14.25" customHeight="1">
      <c r="A36" s="178"/>
      <c r="B36" s="10">
        <v>1764855.0</v>
      </c>
      <c r="C36" s="11">
        <v>45958.64114583333</v>
      </c>
      <c r="D36" s="179" t="s">
        <v>50</v>
      </c>
      <c r="E36" s="180" t="s">
        <v>7113</v>
      </c>
      <c r="F36" s="181"/>
      <c r="G36" s="179" t="s">
        <v>7114</v>
      </c>
      <c r="H36" s="186"/>
      <c r="I36" s="186"/>
      <c r="J36" s="187" t="s">
        <v>3903</v>
      </c>
      <c r="K36" s="187"/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185">
        <f>IFERROR(__xludf.DUMMYFUNCTION("ifna(VALUE(REGEXEXTRACT(E36,""[0-9.]+[,]+[0-9]+"")))"),11.6)</f>
        <v>11.6</v>
      </c>
      <c r="O36" s="238">
        <f>IFERROR(__xludf.DUMMYFUNCTION("""COMPUTED_VALUE"""),45985.53509259259)</f>
        <v>45985.53509</v>
      </c>
      <c r="P36" s="239" t="str">
        <f>IFERROR(__xludf.DUMMYFUNCTION("""COMPUTED_VALUE"""),"R$ 10,00")</f>
        <v>R$ 10,00</v>
      </c>
      <c r="Q36" s="239" t="str">
        <f>IFERROR(__xludf.DUMMYFUNCTION("""COMPUTED_VALUE"""),"Consumo")</f>
        <v>Consumo</v>
      </c>
      <c r="R36" s="239" t="str">
        <f>IFERROR(__xludf.DUMMYFUNCTION("""COMPUTED_VALUE"""),"Ana Carolina")</f>
        <v>Ana Carolina</v>
      </c>
      <c r="S36" s="24"/>
      <c r="T36" s="239"/>
      <c r="U36" s="239"/>
      <c r="V36" s="239"/>
      <c r="W36" s="239"/>
    </row>
    <row r="37" ht="14.25" customHeight="1">
      <c r="A37" s="178"/>
      <c r="B37" s="10">
        <v>1764857.0</v>
      </c>
      <c r="C37" s="11">
        <v>45958.64273148148</v>
      </c>
      <c r="D37" s="179" t="s">
        <v>50</v>
      </c>
      <c r="E37" s="180" t="s">
        <v>494</v>
      </c>
      <c r="F37" s="188"/>
      <c r="G37" s="179" t="s">
        <v>7116</v>
      </c>
      <c r="H37" s="186"/>
      <c r="I37" s="186"/>
      <c r="J37" s="187"/>
      <c r="K37" s="187"/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IFERROR(__xludf.DUMMYFUNCTION("ifna(VALUE(REGEXEXTRACT(E37,""[0-9.]+[,]+[0-9]+"")))"),0.01)</f>
        <v>0.01</v>
      </c>
      <c r="O37" s="238">
        <f>IFERROR(__xludf.DUMMYFUNCTION("""COMPUTED_VALUE"""),45985.75050925926)</f>
        <v>45985.75051</v>
      </c>
      <c r="P37" s="239" t="str">
        <f>IFERROR(__xludf.DUMMYFUNCTION("""COMPUTED_VALUE"""),"R$ 10,00")</f>
        <v>R$ 10,00</v>
      </c>
      <c r="Q37" s="239" t="str">
        <f>IFERROR(__xludf.DUMMYFUNCTION("""COMPUTED_VALUE"""),"Consumo")</f>
        <v>Consumo</v>
      </c>
      <c r="R37" s="239" t="str">
        <f>IFERROR(__xludf.DUMMYFUNCTION("""COMPUTED_VALUE"""),"Ana Carolina")</f>
        <v>Ana Carolina</v>
      </c>
      <c r="S37" s="24"/>
      <c r="T37" s="239"/>
      <c r="U37" s="239"/>
      <c r="V37" s="239"/>
      <c r="W37" s="239"/>
    </row>
    <row r="38" ht="14.25" customHeight="1">
      <c r="A38" s="178"/>
      <c r="B38" s="10">
        <v>1764858.0</v>
      </c>
      <c r="C38" s="11">
        <v>45958.64326388889</v>
      </c>
      <c r="D38" s="179" t="s">
        <v>50</v>
      </c>
      <c r="E38" s="180" t="s">
        <v>494</v>
      </c>
      <c r="F38" s="181"/>
      <c r="G38" s="179" t="s">
        <v>7118</v>
      </c>
      <c r="H38" s="186"/>
      <c r="I38" s="186"/>
      <c r="J38" s="187"/>
      <c r="K38" s="187"/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IFERROR(__xludf.DUMMYFUNCTION("ifna(VALUE(REGEXEXTRACT(E38,""[0-9.]+[,]+[0-9]+"")))"),0.01)</f>
        <v>0.01</v>
      </c>
      <c r="O38" s="238">
        <f>IFERROR(__xludf.DUMMYFUNCTION("""COMPUTED_VALUE"""),45986.735300925924)</f>
        <v>45986.7353</v>
      </c>
      <c r="P38" s="239" t="str">
        <f>IFERROR(__xludf.DUMMYFUNCTION("""COMPUTED_VALUE"""),"R$ 5,00")</f>
        <v>R$ 5,00</v>
      </c>
      <c r="Q38" s="239" t="str">
        <f>IFERROR(__xludf.DUMMYFUNCTION("""COMPUTED_VALUE"""),"Consumo")</f>
        <v>Consumo</v>
      </c>
      <c r="R38" s="239" t="str">
        <f>IFERROR(__xludf.DUMMYFUNCTION("""COMPUTED_VALUE"""),"Ana Carolina")</f>
        <v>Ana Carolina</v>
      </c>
      <c r="S38" s="24"/>
      <c r="T38" s="239"/>
      <c r="U38" s="239"/>
      <c r="V38" s="239"/>
      <c r="W38" s="239"/>
    </row>
    <row r="39" ht="21.75" customHeight="1">
      <c r="A39" s="178"/>
      <c r="B39" s="10">
        <v>1764869.0</v>
      </c>
      <c r="C39" s="11">
        <v>45958.64811342592</v>
      </c>
      <c r="D39" s="179" t="s">
        <v>50</v>
      </c>
      <c r="E39" s="180" t="s">
        <v>7121</v>
      </c>
      <c r="F39" s="181"/>
      <c r="G39" s="179" t="s">
        <v>7122</v>
      </c>
      <c r="H39" s="186"/>
      <c r="I39" s="186"/>
      <c r="J39" s="187" t="s">
        <v>3467</v>
      </c>
      <c r="K39" s="187"/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IFERROR(__xludf.DUMMYFUNCTION("ifna(VALUE(REGEXEXTRACT(E39,""[0-9.]+[,]+[0-9]+"")))"),19.17)</f>
        <v>19.17</v>
      </c>
      <c r="O39" s="191" t="str">
        <f>B9</f>
        <v>Janaina</v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</row>
    <row r="40" ht="14.25" customHeight="1">
      <c r="A40" s="178"/>
      <c r="B40" s="10">
        <v>1764871.0</v>
      </c>
      <c r="C40" s="11">
        <v>45958.64857638889</v>
      </c>
      <c r="D40" s="179" t="s">
        <v>50</v>
      </c>
      <c r="E40" s="180" t="s">
        <v>329</v>
      </c>
      <c r="F40" s="181"/>
      <c r="G40" s="179" t="s">
        <v>7124</v>
      </c>
      <c r="H40" s="186"/>
      <c r="I40" s="186"/>
      <c r="J40" s="187" t="s">
        <v>3874</v>
      </c>
      <c r="K40" s="187"/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IFERROR(__xludf.DUMMYFUNCTION("ifna(VALUE(REGEXEXTRACT(E40,""[0-9.]+[,]+[0-9]+"")))"),200.0)</f>
        <v>200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</row>
    <row r="41" ht="27.0" customHeight="1">
      <c r="A41" s="178"/>
      <c r="B41" s="10">
        <v>1764874.0</v>
      </c>
      <c r="C41" s="11">
        <v>45958.64912037037</v>
      </c>
      <c r="D41" s="179" t="s">
        <v>227</v>
      </c>
      <c r="E41" s="180" t="s">
        <v>494</v>
      </c>
      <c r="F41" s="181"/>
      <c r="G41" s="179" t="s">
        <v>7127</v>
      </c>
      <c r="H41" s="186"/>
      <c r="I41" s="186"/>
      <c r="J41" s="187" t="s">
        <v>3874</v>
      </c>
      <c r="K41" s="187"/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IFERROR(__xludf.DUMMYFUNCTION("ifna(VALUE(REGEXEXTRACT(E41,""[0-9.]+[,]+[0-9]+"")))"),0.01)</f>
        <v>0.01</v>
      </c>
      <c r="O41" s="51">
        <f>IFERROR(__xludf.DUMMYFUNCTION("""COMPUTED_VALUE"""),45960.88678240741)</f>
        <v>45960.88678</v>
      </c>
      <c r="P41" s="52" t="str">
        <f>IFERROR(__xludf.DUMMYFUNCTION("""COMPUTED_VALUE"""),"R$ 43,20")</f>
        <v>R$ 43,20</v>
      </c>
      <c r="Q41" s="52" t="str">
        <f>IFERROR(__xludf.DUMMYFUNCTION("""COMPUTED_VALUE"""),"Consumo")</f>
        <v>Consumo</v>
      </c>
      <c r="R41" s="52" t="str">
        <f>IFERROR(__xludf.DUMMYFUNCTION("""COMPUTED_VALUE"""),"Janaina")</f>
        <v>Janaina</v>
      </c>
      <c r="S41" s="54"/>
      <c r="T41" s="52"/>
      <c r="U41" s="52"/>
      <c r="V41" s="52"/>
      <c r="W41" s="53"/>
    </row>
    <row r="42" ht="14.25" customHeight="1">
      <c r="A42" s="178"/>
      <c r="B42" s="10">
        <v>1765259.0</v>
      </c>
      <c r="C42" s="11">
        <v>45958.79216435185</v>
      </c>
      <c r="D42" s="179" t="s">
        <v>50</v>
      </c>
      <c r="E42" s="180" t="s">
        <v>7128</v>
      </c>
      <c r="F42" s="181"/>
      <c r="G42" s="179" t="s">
        <v>4960</v>
      </c>
      <c r="H42" s="186"/>
      <c r="I42" s="186"/>
      <c r="J42" s="187" t="s">
        <v>3044</v>
      </c>
      <c r="K42" s="187" t="s">
        <v>7058</v>
      </c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IFERROR(__xludf.DUMMYFUNCTION("ifna(VALUE(REGEXEXTRACT(E42,""[0-9.]+[,]+[0-9]+"")))"),29.52)</f>
        <v>29.52</v>
      </c>
      <c r="O42" s="51">
        <f>IFERROR(__xludf.DUMMYFUNCTION("""COMPUTED_VALUE"""),45972.94211805555)</f>
        <v>45972.94212</v>
      </c>
      <c r="P42" s="52" t="str">
        <f>IFERROR(__xludf.DUMMYFUNCTION("""COMPUTED_VALUE"""),"R$ 41,80")</f>
        <v>R$ 41,80</v>
      </c>
      <c r="Q42" s="52" t="str">
        <f>IFERROR(__xludf.DUMMYFUNCTION("""COMPUTED_VALUE"""),"Consumo")</f>
        <v>Consumo</v>
      </c>
      <c r="R42" s="52" t="str">
        <f>IFERROR(__xludf.DUMMYFUNCTION("""COMPUTED_VALUE"""),"Janaina")</f>
        <v>Janaina</v>
      </c>
      <c r="S42" s="54"/>
      <c r="T42" s="52"/>
      <c r="U42" s="52"/>
      <c r="V42" s="52"/>
      <c r="W42" s="53"/>
    </row>
    <row r="43" ht="14.25" customHeight="1">
      <c r="A43" s="178"/>
      <c r="B43" s="10">
        <v>1765269.0</v>
      </c>
      <c r="C43" s="11">
        <v>45958.79686342592</v>
      </c>
      <c r="D43" s="179" t="s">
        <v>50</v>
      </c>
      <c r="E43" s="180" t="s">
        <v>6906</v>
      </c>
      <c r="F43" s="181"/>
      <c r="G43" s="179" t="s">
        <v>6513</v>
      </c>
      <c r="H43" s="189"/>
      <c r="I43" s="189"/>
      <c r="J43" s="187" t="s">
        <v>3044</v>
      </c>
      <c r="K43" s="187" t="s">
        <v>7052</v>
      </c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IFERROR(__xludf.DUMMYFUNCTION("ifna(VALUE(REGEXEXTRACT(E43,""[0-9.]+[,]+[0-9]+"")))"),45.0)</f>
        <v>45</v>
      </c>
      <c r="O43" s="51">
        <f>IFERROR(__xludf.DUMMYFUNCTION("""COMPUTED_VALUE"""),45974.68800925926)</f>
        <v>45974.68801</v>
      </c>
      <c r="P43" s="52" t="str">
        <f>IFERROR(__xludf.DUMMYFUNCTION("""COMPUTED_VALUE"""),"R$ 5,00")</f>
        <v>R$ 5,00</v>
      </c>
      <c r="Q43" s="52" t="str">
        <f>IFERROR(__xludf.DUMMYFUNCTION("""COMPUTED_VALUE"""),"Consumo")</f>
        <v>Consumo</v>
      </c>
      <c r="R43" s="52" t="str">
        <f>IFERROR(__xludf.DUMMYFUNCTION("""COMPUTED_VALUE"""),"Janaina")</f>
        <v>Janaina</v>
      </c>
      <c r="S43" s="54"/>
      <c r="T43" s="52"/>
      <c r="U43" s="52"/>
      <c r="V43" s="52"/>
      <c r="W43" s="53"/>
    </row>
    <row r="44" ht="14.25" customHeight="1">
      <c r="A44" s="178"/>
      <c r="B44" s="10">
        <v>1765700.0</v>
      </c>
      <c r="C44" s="11">
        <v>45958.925358796296</v>
      </c>
      <c r="D44" s="179" t="s">
        <v>50</v>
      </c>
      <c r="E44" s="180" t="s">
        <v>494</v>
      </c>
      <c r="F44" s="188"/>
      <c r="G44" s="179" t="s">
        <v>7129</v>
      </c>
      <c r="H44" s="189"/>
      <c r="I44" s="189"/>
      <c r="J44" s="187"/>
      <c r="K44" s="187"/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IFERROR(__xludf.DUMMYFUNCTION("ifna(VALUE(REGEXEXTRACT(E44,""[0-9.]+[,]+[0-9]+"")))"),0.01)</f>
        <v>0.01</v>
      </c>
      <c r="O44" s="51">
        <f>IFERROR(__xludf.DUMMYFUNCTION("""COMPUTED_VALUE"""),45979.6827662037)</f>
        <v>45979.68277</v>
      </c>
      <c r="P44" s="52" t="str">
        <f>IFERROR(__xludf.DUMMYFUNCTION("""COMPUTED_VALUE"""),"R$ 5,00")</f>
        <v>R$ 5,00</v>
      </c>
      <c r="Q44" s="52" t="str">
        <f>IFERROR(__xludf.DUMMYFUNCTION("""COMPUTED_VALUE"""),"Consumo")</f>
        <v>Consumo</v>
      </c>
      <c r="R44" s="52" t="str">
        <f>IFERROR(__xludf.DUMMYFUNCTION("""COMPUTED_VALUE"""),"Janaina")</f>
        <v>Janaina</v>
      </c>
      <c r="S44" s="54"/>
      <c r="T44" s="52"/>
      <c r="U44" s="52"/>
      <c r="V44" s="52"/>
      <c r="W44" s="53"/>
    </row>
    <row r="45" ht="14.25" customHeight="1">
      <c r="A45" s="178"/>
      <c r="B45" s="10">
        <v>1766038.0</v>
      </c>
      <c r="C45" s="11">
        <v>45959.58627314815</v>
      </c>
      <c r="D45" s="179" t="s">
        <v>50</v>
      </c>
      <c r="E45" s="180" t="s">
        <v>146</v>
      </c>
      <c r="F45" s="181"/>
      <c r="G45" s="179" t="s">
        <v>6513</v>
      </c>
      <c r="H45" s="190"/>
      <c r="I45" s="190"/>
      <c r="J45" s="187" t="s">
        <v>3044</v>
      </c>
      <c r="K45" s="187" t="s">
        <v>7052</v>
      </c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IFERROR(__xludf.DUMMYFUNCTION("ifna(VALUE(REGEXEXTRACT(E45,""[0-9.]+[,]+[0-9]+"")))"),3.0)</f>
        <v>3</v>
      </c>
      <c r="O45" s="51">
        <f>IFERROR(__xludf.DUMMYFUNCTION("""COMPUTED_VALUE"""),45980.9359375)</f>
        <v>45980.93594</v>
      </c>
      <c r="P45" s="52" t="str">
        <f>IFERROR(__xludf.DUMMYFUNCTION("""COMPUTED_VALUE"""),"R$ 12,00")</f>
        <v>R$ 12,00</v>
      </c>
      <c r="Q45" s="52" t="str">
        <f>IFERROR(__xludf.DUMMYFUNCTION("""COMPUTED_VALUE"""),"Consumo")</f>
        <v>Consumo</v>
      </c>
      <c r="R45" s="52" t="str">
        <f>IFERROR(__xludf.DUMMYFUNCTION("""COMPUTED_VALUE"""),"Janaina")</f>
        <v>Janaina</v>
      </c>
      <c r="S45" s="54"/>
      <c r="T45" s="52"/>
      <c r="U45" s="52"/>
      <c r="V45" s="52"/>
      <c r="W45" s="53"/>
    </row>
    <row r="46" ht="18.75" customHeight="1">
      <c r="A46" s="178"/>
      <c r="B46" s="10">
        <v>1766349.0</v>
      </c>
      <c r="C46" s="11">
        <v>45959.70730324074</v>
      </c>
      <c r="D46" s="179" t="s">
        <v>50</v>
      </c>
      <c r="E46" s="180" t="s">
        <v>7130</v>
      </c>
      <c r="F46" s="181"/>
      <c r="G46" s="179" t="s">
        <v>7131</v>
      </c>
      <c r="H46" s="190"/>
      <c r="I46" s="190"/>
      <c r="J46" s="187" t="s">
        <v>3903</v>
      </c>
      <c r="K46" s="187"/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85">
        <f>IFERROR(__xludf.DUMMYFUNCTION("ifna(VALUE(REGEXEXTRACT(E46,""[0-9.]+[,]+[0-9]+"")))"),35.5)</f>
        <v>35.5</v>
      </c>
      <c r="O46" s="51">
        <f>IFERROR(__xludf.DUMMYFUNCTION("""COMPUTED_VALUE"""),45982.72920138889)</f>
        <v>45982.7292</v>
      </c>
      <c r="P46" s="79" t="str">
        <f>IFERROR(__xludf.DUMMYFUNCTION("""COMPUTED_VALUE"""),"R$ 3,00")</f>
        <v>R$ 3,00</v>
      </c>
      <c r="Q46" s="79" t="str">
        <f>IFERROR(__xludf.DUMMYFUNCTION("""COMPUTED_VALUE"""),"Consumo")</f>
        <v>Consumo</v>
      </c>
      <c r="R46" s="79" t="str">
        <f>IFERROR(__xludf.DUMMYFUNCTION("""COMPUTED_VALUE"""),"Janaina")</f>
        <v>Janaina</v>
      </c>
      <c r="S46" s="81"/>
      <c r="T46" s="79"/>
      <c r="U46" s="79"/>
      <c r="V46" s="79"/>
      <c r="W46" s="80"/>
    </row>
    <row r="47" ht="14.25" customHeight="1">
      <c r="A47" s="178"/>
      <c r="B47" s="10">
        <v>1766351.0</v>
      </c>
      <c r="C47" s="11">
        <v>45959.707766203705</v>
      </c>
      <c r="D47" s="179" t="s">
        <v>50</v>
      </c>
      <c r="E47" s="180" t="s">
        <v>7132</v>
      </c>
      <c r="F47" s="181"/>
      <c r="G47" s="179" t="s">
        <v>7133</v>
      </c>
      <c r="H47" s="190"/>
      <c r="I47" s="190"/>
      <c r="J47" s="187" t="s">
        <v>3903</v>
      </c>
      <c r="K47" s="187"/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85">
        <f>IFERROR(__xludf.DUMMYFUNCTION("ifna(VALUE(REGEXEXTRACT(E47,""[0-9.]+[,]+[0-9]+"")))"),25.75)</f>
        <v>25.75</v>
      </c>
      <c r="O47" s="247">
        <f>IFERROR(__xludf.DUMMYFUNCTION("""COMPUTED_VALUE"""),45986.73510416667)</f>
        <v>45986.7351</v>
      </c>
      <c r="P47" s="89" t="str">
        <f>IFERROR(__xludf.DUMMYFUNCTION("""COMPUTED_VALUE"""),"R$ 5,00")</f>
        <v>R$ 5,00</v>
      </c>
      <c r="Q47" s="89" t="str">
        <f>IFERROR(__xludf.DUMMYFUNCTION("""COMPUTED_VALUE"""),"Consumo")</f>
        <v>Consumo</v>
      </c>
      <c r="R47" s="89" t="str">
        <f>IFERROR(__xludf.DUMMYFUNCTION("""COMPUTED_VALUE"""),"Janaina")</f>
        <v>Janaina</v>
      </c>
      <c r="S47" s="91"/>
      <c r="T47" s="89"/>
      <c r="U47" s="89"/>
      <c r="V47" s="89"/>
      <c r="W47" s="90"/>
    </row>
    <row r="48">
      <c r="A48" s="178"/>
      <c r="B48" s="10">
        <v>1766356.0</v>
      </c>
      <c r="C48" s="11">
        <v>45959.708391203705</v>
      </c>
      <c r="D48" s="179" t="s">
        <v>50</v>
      </c>
      <c r="E48" s="180" t="s">
        <v>7134</v>
      </c>
      <c r="F48" s="188"/>
      <c r="G48" s="179" t="s">
        <v>7135</v>
      </c>
      <c r="H48" s="190"/>
      <c r="I48" s="190"/>
      <c r="J48" s="187" t="s">
        <v>3903</v>
      </c>
      <c r="K48" s="187"/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"""")"),"Encontrada")</f>
        <v>Encontrada</v>
      </c>
      <c r="N48" s="185">
        <f>IFERROR(__xludf.DUMMYFUNCTION("ifna(VALUE(REGEXEXTRACT(E48,""[0-9.]+[,]+[0-9]+"")))"),534.2)</f>
        <v>534.2</v>
      </c>
      <c r="O48" s="250">
        <f>IFERROR(__xludf.DUMMYFUNCTION("""COMPUTED_VALUE"""),45986.88318287037)</f>
        <v>45986.88318</v>
      </c>
      <c r="P48" s="193" t="str">
        <f>IFERROR(__xludf.DUMMYFUNCTION("""COMPUTED_VALUE"""),"R$ 10,00")</f>
        <v>R$ 10,00</v>
      </c>
      <c r="Q48" s="194" t="str">
        <f>IFERROR(__xludf.DUMMYFUNCTION("""COMPUTED_VALUE"""),"Consumo")</f>
        <v>Consumo</v>
      </c>
      <c r="R48" s="195" t="str">
        <f>IFERROR(__xludf.DUMMYFUNCTION("""COMPUTED_VALUE"""),"Janaina")</f>
        <v>Janaina</v>
      </c>
      <c r="S48" s="91"/>
      <c r="T48" s="89"/>
      <c r="U48" s="89"/>
      <c r="V48" s="89"/>
      <c r="W48" s="90"/>
    </row>
    <row r="49" ht="21.0" customHeight="1">
      <c r="A49" s="178"/>
      <c r="B49" s="10">
        <v>1766417.0</v>
      </c>
      <c r="C49" s="11">
        <v>45959.730717592596</v>
      </c>
      <c r="D49" s="179" t="s">
        <v>50</v>
      </c>
      <c r="E49" s="180" t="s">
        <v>7136</v>
      </c>
      <c r="F49" s="181"/>
      <c r="G49" s="179" t="s">
        <v>6513</v>
      </c>
      <c r="H49" s="190"/>
      <c r="I49" s="190"/>
      <c r="J49" s="187" t="s">
        <v>3044</v>
      </c>
      <c r="K49" s="187" t="s">
        <v>7052</v>
      </c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IFERROR(__xludf.DUMMYFUNCTION("ifna(VALUE(REGEXEXTRACT(E49,""[0-9.]+[,]+[0-9]+"")))"),12.2)</f>
        <v>12.2</v>
      </c>
      <c r="O49" s="192"/>
      <c r="P49" s="193"/>
      <c r="Q49" s="194"/>
      <c r="R49" s="195"/>
      <c r="S49" s="91"/>
      <c r="T49" s="89"/>
      <c r="U49" s="89"/>
      <c r="V49" s="89"/>
      <c r="W49" s="90"/>
    </row>
    <row r="50" ht="14.25" customHeight="1">
      <c r="A50" s="178"/>
      <c r="B50" s="10">
        <v>1766432.0</v>
      </c>
      <c r="C50" s="11">
        <v>45959.7344212963</v>
      </c>
      <c r="D50" s="179" t="s">
        <v>50</v>
      </c>
      <c r="E50" s="180" t="s">
        <v>6709</v>
      </c>
      <c r="F50" s="181"/>
      <c r="G50" s="179" t="s">
        <v>6446</v>
      </c>
      <c r="H50" s="190"/>
      <c r="I50" s="190"/>
      <c r="J50" s="187" t="s">
        <v>3044</v>
      </c>
      <c r="K50" s="187" t="s">
        <v>6664</v>
      </c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IFERROR(__xludf.DUMMYFUNCTION("ifna(VALUE(REGEXEXTRACT(E50,""[0-9.]+[,]+[0-9]+"")))"),35.91)</f>
        <v>35.91</v>
      </c>
      <c r="O50" s="192"/>
      <c r="P50" s="193"/>
      <c r="Q50" s="194"/>
      <c r="R50" s="195"/>
      <c r="S50" s="91"/>
      <c r="T50" s="89"/>
      <c r="U50" s="89"/>
      <c r="V50" s="89"/>
      <c r="W50" s="90"/>
    </row>
    <row r="51" ht="24.75" customHeight="1">
      <c r="A51" s="178"/>
      <c r="B51" s="10">
        <v>1766551.0</v>
      </c>
      <c r="C51" s="11">
        <v>45959.77384259259</v>
      </c>
      <c r="D51" s="179" t="s">
        <v>50</v>
      </c>
      <c r="E51" s="180" t="s">
        <v>708</v>
      </c>
      <c r="F51" s="181"/>
      <c r="G51" s="179" t="s">
        <v>6513</v>
      </c>
      <c r="H51" s="190"/>
      <c r="I51" s="190"/>
      <c r="J51" s="187" t="s">
        <v>3044</v>
      </c>
      <c r="K51" s="187" t="s">
        <v>7052</v>
      </c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IFERROR(__xludf.DUMMYFUNCTION("ifna(VALUE(REGEXEXTRACT(E51,""[0-9.]+[,]+[0-9]+"")))"),8.0)</f>
        <v>8</v>
      </c>
      <c r="O51" s="192"/>
      <c r="P51" s="193"/>
      <c r="Q51" s="194"/>
      <c r="R51" s="195"/>
      <c r="S51" s="91"/>
      <c r="T51" s="89"/>
      <c r="U51" s="89"/>
      <c r="V51" s="89"/>
      <c r="W51" s="90"/>
    </row>
    <row r="52" ht="14.25" customHeight="1">
      <c r="A52" s="178"/>
      <c r="B52" s="10">
        <v>1766565.0</v>
      </c>
      <c r="C52" s="11">
        <v>45959.780706018515</v>
      </c>
      <c r="D52" s="179" t="s">
        <v>50</v>
      </c>
      <c r="E52" s="180" t="s">
        <v>157</v>
      </c>
      <c r="F52" s="181"/>
      <c r="G52" s="179" t="s">
        <v>4960</v>
      </c>
      <c r="H52" s="190"/>
      <c r="I52" s="190"/>
      <c r="J52" s="187" t="s">
        <v>3044</v>
      </c>
      <c r="K52" s="187" t="s">
        <v>7058</v>
      </c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IFERROR(__xludf.DUMMYFUNCTION("ifna(VALUE(REGEXEXTRACT(E52,""[0-9.]+[,]+[0-9]+"")))"),5.0)</f>
        <v>5</v>
      </c>
      <c r="O52" s="88"/>
      <c r="P52" s="89"/>
      <c r="Q52" s="89"/>
      <c r="R52" s="89"/>
      <c r="S52" s="91"/>
      <c r="T52" s="89"/>
      <c r="U52" s="89"/>
      <c r="V52" s="89"/>
      <c r="W52" s="90"/>
    </row>
    <row r="53" ht="14.25" customHeight="1">
      <c r="A53" s="178"/>
      <c r="B53" s="10">
        <v>1766679.0</v>
      </c>
      <c r="C53" s="11">
        <v>45959.832870370374</v>
      </c>
      <c r="D53" s="179" t="s">
        <v>50</v>
      </c>
      <c r="E53" s="180" t="s">
        <v>823</v>
      </c>
      <c r="F53" s="181"/>
      <c r="G53" s="179" t="s">
        <v>4960</v>
      </c>
      <c r="H53" s="190"/>
      <c r="I53" s="190"/>
      <c r="J53" s="187" t="s">
        <v>3044</v>
      </c>
      <c r="K53" s="187" t="s">
        <v>7058</v>
      </c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IFERROR(__xludf.DUMMYFUNCTION("ifna(VALUE(REGEXEXTRACT(E53,""[0-9.]+[,]+[0-9]+"")))"),8.95)</f>
        <v>8.95</v>
      </c>
      <c r="O53" s="88"/>
      <c r="P53" s="89"/>
      <c r="Q53" s="89"/>
      <c r="R53" s="89"/>
      <c r="S53" s="91"/>
      <c r="T53" s="89"/>
      <c r="U53" s="89"/>
      <c r="V53" s="89"/>
      <c r="W53" s="90"/>
    </row>
    <row r="54" ht="14.25" customHeight="1">
      <c r="A54" s="178"/>
      <c r="B54" s="10">
        <v>1767833.0</v>
      </c>
      <c r="C54" s="11">
        <v>45960.75271990741</v>
      </c>
      <c r="D54" s="179" t="s">
        <v>50</v>
      </c>
      <c r="E54" s="180" t="s">
        <v>6561</v>
      </c>
      <c r="F54" s="181"/>
      <c r="G54" s="179" t="s">
        <v>7137</v>
      </c>
      <c r="H54" s="190"/>
      <c r="I54" s="190"/>
      <c r="J54" s="187" t="s">
        <v>3903</v>
      </c>
      <c r="K54" s="187"/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"""")"),"Encontrada")</f>
        <v>Encontrada</v>
      </c>
      <c r="N54" s="185">
        <f>IFERROR(__xludf.DUMMYFUNCTION("ifna(VALUE(REGEXEXTRACT(E54,""[0-9.]+[,]+[0-9]+"")))"),6.0)</f>
        <v>6</v>
      </c>
      <c r="O54" s="108"/>
      <c r="P54" s="109"/>
      <c r="Q54" s="109"/>
      <c r="R54" s="109"/>
      <c r="S54" s="91"/>
      <c r="T54" s="109"/>
      <c r="U54" s="109"/>
      <c r="V54" s="109"/>
      <c r="W54" s="111"/>
    </row>
    <row r="55" ht="14.25" customHeight="1">
      <c r="A55" s="178"/>
      <c r="B55" s="10">
        <v>1767837.0</v>
      </c>
      <c r="C55" s="11">
        <v>45960.75403935185</v>
      </c>
      <c r="D55" s="179" t="s">
        <v>50</v>
      </c>
      <c r="E55" s="180" t="s">
        <v>7138</v>
      </c>
      <c r="F55" s="181"/>
      <c r="G55" s="179" t="s">
        <v>7139</v>
      </c>
      <c r="H55" s="190"/>
      <c r="I55" s="190"/>
      <c r="J55" s="187" t="s">
        <v>3903</v>
      </c>
      <c r="K55" s="187"/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"""")"),"Encontrada")</f>
        <v>Encontrada</v>
      </c>
      <c r="N55" s="185">
        <f>IFERROR(__xludf.DUMMYFUNCTION("ifna(VALUE(REGEXEXTRACT(E55,""[0-9.]+[,]+[0-9]+"")))"),104.7)</f>
        <v>104.7</v>
      </c>
      <c r="O55" s="197"/>
      <c r="P55" s="198"/>
      <c r="Q55" s="198"/>
      <c r="R55" s="198"/>
      <c r="S55" s="91"/>
      <c r="T55" s="198"/>
      <c r="U55" s="198"/>
      <c r="V55" s="198"/>
      <c r="W55" s="199"/>
    </row>
    <row r="56" ht="14.25" customHeight="1">
      <c r="A56" s="178"/>
      <c r="B56" s="10">
        <v>1768125.0</v>
      </c>
      <c r="C56" s="11">
        <v>45960.88594907407</v>
      </c>
      <c r="D56" s="179" t="s">
        <v>50</v>
      </c>
      <c r="E56" s="180" t="s">
        <v>7140</v>
      </c>
      <c r="F56" s="181"/>
      <c r="G56" s="179" t="s">
        <v>6593</v>
      </c>
      <c r="H56" s="190"/>
      <c r="I56" s="190"/>
      <c r="J56" s="187"/>
      <c r="K56" s="187"/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IFERROR(__xludf.DUMMYFUNCTION("ifna(VALUE(REGEXEXTRACT(E56,""[0-9.]+[,]+[0-9]+"")))"),43.32)</f>
        <v>43.32</v>
      </c>
      <c r="O56" s="197"/>
      <c r="P56" s="198"/>
      <c r="Q56" s="198"/>
      <c r="R56" s="198"/>
      <c r="S56" s="91"/>
      <c r="T56" s="198"/>
      <c r="U56" s="198"/>
      <c r="V56" s="198"/>
      <c r="W56" s="199"/>
    </row>
    <row r="57" ht="17.25" customHeight="1">
      <c r="A57" s="178"/>
      <c r="B57" s="10">
        <v>1768126.0</v>
      </c>
      <c r="C57" s="11">
        <v>45960.886782407404</v>
      </c>
      <c r="D57" s="179" t="s">
        <v>50</v>
      </c>
      <c r="E57" s="180" t="s">
        <v>7141</v>
      </c>
      <c r="F57" s="181"/>
      <c r="G57" s="179" t="s">
        <v>6826</v>
      </c>
      <c r="H57" s="190"/>
      <c r="I57" s="190"/>
      <c r="J57" s="187" t="s">
        <v>3044</v>
      </c>
      <c r="K57" s="187" t="s">
        <v>6340</v>
      </c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IFERROR(__xludf.DUMMYFUNCTION("ifna(VALUE(REGEXEXTRACT(E57,""[0-9.]+[,]+[0-9]+"")))"),43.2)</f>
        <v>43.2</v>
      </c>
      <c r="O57" s="197"/>
      <c r="P57" s="198"/>
      <c r="Q57" s="198"/>
      <c r="R57" s="198"/>
      <c r="S57" s="91"/>
      <c r="T57" s="198"/>
      <c r="U57" s="198"/>
      <c r="V57" s="198"/>
      <c r="W57" s="199"/>
    </row>
    <row r="58" ht="14.25" customHeight="1">
      <c r="A58" s="178"/>
      <c r="B58" s="10">
        <v>1768183.0</v>
      </c>
      <c r="C58" s="11">
        <v>45960.9025</v>
      </c>
      <c r="D58" s="179" t="s">
        <v>50</v>
      </c>
      <c r="E58" s="180" t="s">
        <v>494</v>
      </c>
      <c r="F58" s="181"/>
      <c r="G58" s="179" t="s">
        <v>7142</v>
      </c>
      <c r="H58" s="190"/>
      <c r="I58" s="190"/>
      <c r="J58" s="187"/>
      <c r="K58" s="187"/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IFERROR(__xludf.DUMMYFUNCTION("ifna(VALUE(REGEXEXTRACT(E58,""[0-9.]+[,]+[0-9]+"")))"),0.01)</f>
        <v>0.01</v>
      </c>
      <c r="O58" s="197"/>
      <c r="P58" s="198"/>
      <c r="Q58" s="198"/>
      <c r="R58" s="198"/>
      <c r="S58" s="91"/>
      <c r="T58" s="198"/>
      <c r="U58" s="198"/>
      <c r="V58" s="198"/>
      <c r="W58" s="199"/>
    </row>
    <row r="59" ht="14.25" customHeight="1">
      <c r="A59" s="178"/>
      <c r="B59" s="10">
        <v>1768191.0</v>
      </c>
      <c r="C59" s="11">
        <v>45960.903657407405</v>
      </c>
      <c r="D59" s="10" t="s">
        <v>50</v>
      </c>
      <c r="E59" s="10" t="s">
        <v>991</v>
      </c>
      <c r="F59" s="13"/>
      <c r="G59" s="10" t="s">
        <v>7143</v>
      </c>
      <c r="H59" s="190"/>
      <c r="I59" s="190"/>
      <c r="J59" s="187" t="s">
        <v>3746</v>
      </c>
      <c r="K59" s="187" t="s">
        <v>7058</v>
      </c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"),"Caixa Sangria")</f>
        <v>Caixa Sangria</v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IFERROR(__xludf.DUMMYFUNCTION("ifna(VALUE(REGEXEXTRACT(E59,""[0-9.]+[,]+[0-9]+"")))"),700.0)</f>
        <v>700</v>
      </c>
      <c r="O59" s="200"/>
      <c r="P59" s="201"/>
      <c r="Q59" s="201"/>
      <c r="R59" s="201"/>
      <c r="S59" s="202"/>
      <c r="T59" s="201"/>
      <c r="U59" s="201"/>
      <c r="V59" s="201"/>
      <c r="W59" s="203"/>
    </row>
    <row r="60" ht="14.25" customHeight="1">
      <c r="A60" s="178"/>
      <c r="B60" s="10">
        <v>1768414.0</v>
      </c>
      <c r="C60" s="11">
        <v>45960.936689814815</v>
      </c>
      <c r="D60" s="179" t="s">
        <v>50</v>
      </c>
      <c r="E60" s="180" t="s">
        <v>7144</v>
      </c>
      <c r="F60" s="181"/>
      <c r="G60" s="179" t="s">
        <v>4690</v>
      </c>
      <c r="H60" s="190"/>
      <c r="I60" s="190"/>
      <c r="J60" s="187" t="s">
        <v>3044</v>
      </c>
      <c r="K60" s="187" t="s">
        <v>7058</v>
      </c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IFERROR(__xludf.DUMMYFUNCTION("ifna(VALUE(REGEXEXTRACT(E60,""[0-9.]+[,]+[0-9]+"")))"),17.51)</f>
        <v>17.51</v>
      </c>
      <c r="O60" s="24"/>
      <c r="P60" s="24"/>
      <c r="Q60" s="24"/>
      <c r="R60" s="24"/>
      <c r="S60" s="24"/>
      <c r="T60" s="24"/>
      <c r="U60" s="24"/>
      <c r="V60" s="24"/>
      <c r="W60" s="24"/>
    </row>
    <row r="61">
      <c r="A61" s="178"/>
      <c r="B61" s="10">
        <v>1768713.0</v>
      </c>
      <c r="C61" s="11">
        <v>45961.567037037035</v>
      </c>
      <c r="D61" s="179" t="s">
        <v>50</v>
      </c>
      <c r="E61" s="180" t="s">
        <v>6794</v>
      </c>
      <c r="F61" s="181"/>
      <c r="G61" s="179" t="s">
        <v>7145</v>
      </c>
      <c r="H61" s="190"/>
      <c r="I61" s="190"/>
      <c r="J61" s="187" t="s">
        <v>3903</v>
      </c>
      <c r="K61" s="187"/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"""")"),"Encontrada")</f>
        <v>Encontrada</v>
      </c>
      <c r="N61" s="185">
        <f>IFERROR(__xludf.DUMMYFUNCTION("ifna(VALUE(REGEXEXTRACT(E61,""[0-9.]+[,]+[0-9]+"")))"),220.0)</f>
        <v>220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</row>
    <row r="62" ht="14.25" customHeight="1">
      <c r="A62" s="178"/>
      <c r="B62" s="10">
        <v>1768728.0</v>
      </c>
      <c r="C62" s="11">
        <v>45961.58091435185</v>
      </c>
      <c r="D62" s="179" t="s">
        <v>50</v>
      </c>
      <c r="E62" s="180" t="s">
        <v>157</v>
      </c>
      <c r="F62" s="181"/>
      <c r="G62" s="179" t="s">
        <v>6446</v>
      </c>
      <c r="H62" s="190"/>
      <c r="I62" s="190"/>
      <c r="J62" s="187" t="s">
        <v>3044</v>
      </c>
      <c r="K62" s="187" t="s">
        <v>6664</v>
      </c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IFERROR(__xludf.DUMMYFUNCTION("ifna(VALUE(REGEXEXTRACT(E62,""[0-9.]+[,]+[0-9]+"")))"),5.0)</f>
        <v>5</v>
      </c>
      <c r="O62" s="206"/>
      <c r="T62" s="207"/>
      <c r="U62" s="24"/>
      <c r="V62" s="24"/>
      <c r="W62" s="24"/>
    </row>
    <row r="63" ht="14.25" customHeight="1">
      <c r="A63" s="178"/>
      <c r="B63" s="10">
        <v>1769449.0</v>
      </c>
      <c r="C63" s="11">
        <v>45961.79388888889</v>
      </c>
      <c r="D63" s="179" t="s">
        <v>50</v>
      </c>
      <c r="E63" s="180" t="s">
        <v>7146</v>
      </c>
      <c r="F63" s="181"/>
      <c r="G63" s="179" t="s">
        <v>6513</v>
      </c>
      <c r="H63" s="190"/>
      <c r="I63" s="190"/>
      <c r="J63" s="187" t="s">
        <v>3044</v>
      </c>
      <c r="K63" s="187" t="s">
        <v>7052</v>
      </c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IFERROR(__xludf.DUMMYFUNCTION("ifna(VALUE(REGEXEXTRACT(E63,""[0-9.]+[,]+[0-9]+"")))"),91.38)</f>
        <v>91.38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</row>
    <row r="64" ht="14.25" customHeight="1">
      <c r="A64" s="178"/>
      <c r="B64" s="10">
        <v>1769453.0</v>
      </c>
      <c r="C64" s="11">
        <v>45961.794699074075</v>
      </c>
      <c r="D64" s="179" t="s">
        <v>50</v>
      </c>
      <c r="E64" s="180" t="s">
        <v>1611</v>
      </c>
      <c r="F64" s="181"/>
      <c r="G64" s="179" t="s">
        <v>6593</v>
      </c>
      <c r="H64" s="190"/>
      <c r="I64" s="190"/>
      <c r="J64" s="187" t="s">
        <v>3044</v>
      </c>
      <c r="K64" s="187" t="s">
        <v>7052</v>
      </c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IFERROR(__xludf.DUMMYFUNCTION("ifna(VALUE(REGEXEXTRACT(E64,""[0-9.]+[,]+[0-9]+"")))"),7.0)</f>
        <v>7</v>
      </c>
      <c r="O64" s="283" t="s">
        <v>1874</v>
      </c>
      <c r="P64" s="284">
        <v>45964.0</v>
      </c>
      <c r="Q64" s="285" t="s">
        <v>78</v>
      </c>
      <c r="R64" s="286">
        <v>100.0</v>
      </c>
      <c r="S64" s="287"/>
      <c r="T64" s="288" t="str">
        <f t="shared" ref="T64:T82" si="1">IFERROR(VLOOKUP(Q64, $A$4:$B$11, 2, FALSE), "")</f>
        <v>Sabrina</v>
      </c>
      <c r="U64" s="24"/>
      <c r="V64" s="24"/>
      <c r="W64" s="24"/>
    </row>
    <row r="65" ht="14.25" customHeight="1">
      <c r="A65" s="178"/>
      <c r="B65" s="10">
        <v>1769458.0</v>
      </c>
      <c r="C65" s="11">
        <v>45961.795949074076</v>
      </c>
      <c r="D65" s="179" t="s">
        <v>50</v>
      </c>
      <c r="E65" s="180" t="s">
        <v>494</v>
      </c>
      <c r="F65" s="181"/>
      <c r="G65" s="179" t="s">
        <v>7147</v>
      </c>
      <c r="H65" s="190"/>
      <c r="I65" s="190"/>
      <c r="J65" s="187"/>
      <c r="K65" s="187"/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IFERROR(__xludf.DUMMYFUNCTION("ifna(VALUE(REGEXEXTRACT(E65,""[0-9.]+[,]+[0-9]+"")))"),0.01)</f>
        <v>0.01</v>
      </c>
      <c r="O65" s="289" t="s">
        <v>1927</v>
      </c>
      <c r="P65" s="290">
        <v>45967.0</v>
      </c>
      <c r="Q65" s="291" t="s">
        <v>78</v>
      </c>
      <c r="R65" s="292">
        <v>200.0</v>
      </c>
      <c r="S65" s="293"/>
      <c r="T65" s="294" t="str">
        <f t="shared" si="1"/>
        <v>Sabrina</v>
      </c>
      <c r="U65" s="24"/>
      <c r="V65" s="24"/>
      <c r="W65" s="24"/>
    </row>
    <row r="66" ht="14.25" customHeight="1">
      <c r="A66" s="178"/>
      <c r="B66" s="10">
        <v>1769546.0</v>
      </c>
      <c r="C66" s="11">
        <v>45961.84013888889</v>
      </c>
      <c r="D66" s="179" t="s">
        <v>50</v>
      </c>
      <c r="E66" s="180" t="s">
        <v>6965</v>
      </c>
      <c r="F66" s="181"/>
      <c r="G66" s="179" t="s">
        <v>4639</v>
      </c>
      <c r="H66" s="190"/>
      <c r="I66" s="190"/>
      <c r="J66" s="187" t="s">
        <v>3044</v>
      </c>
      <c r="K66" s="187" t="s">
        <v>6664</v>
      </c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IFERROR(__xludf.DUMMYFUNCTION("ifna(VALUE(REGEXEXTRACT(E66,""[0-9.]+[,]+[0-9]+"")))"),20.9)</f>
        <v>20.9</v>
      </c>
      <c r="O66" s="283" t="s">
        <v>1930</v>
      </c>
      <c r="P66" s="284">
        <v>45967.0</v>
      </c>
      <c r="Q66" s="295" t="s">
        <v>1900</v>
      </c>
      <c r="R66" s="286">
        <v>500.0</v>
      </c>
      <c r="S66" s="296"/>
      <c r="T66" s="288" t="str">
        <f t="shared" si="1"/>
        <v>Janaina</v>
      </c>
      <c r="U66" s="24"/>
      <c r="V66" s="24"/>
      <c r="W66" s="24"/>
    </row>
    <row r="67" ht="14.25" customHeight="1">
      <c r="A67" s="178"/>
      <c r="B67" s="10">
        <v>1769846.0</v>
      </c>
      <c r="C67" s="11">
        <v>45961.919016203705</v>
      </c>
      <c r="D67" s="179" t="s">
        <v>50</v>
      </c>
      <c r="E67" s="180" t="s">
        <v>719</v>
      </c>
      <c r="F67" s="181"/>
      <c r="G67" s="179" t="s">
        <v>7148</v>
      </c>
      <c r="H67" s="190"/>
      <c r="I67" s="190"/>
      <c r="J67" s="187" t="s">
        <v>3746</v>
      </c>
      <c r="K67" s="187" t="s">
        <v>7058</v>
      </c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"),"Caixa Sangria")</f>
        <v>Caixa Sangria</v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IFERROR(__xludf.DUMMYFUNCTION("ifna(VALUE(REGEXEXTRACT(E67,""[0-9.]+[,]+[0-9]+"")))"),500.0)</f>
        <v>500</v>
      </c>
      <c r="O67" s="289">
        <v>1.83758287E8</v>
      </c>
      <c r="P67" s="290">
        <v>45975.0</v>
      </c>
      <c r="Q67" s="291" t="s">
        <v>1183</v>
      </c>
      <c r="R67" s="292">
        <v>500.0</v>
      </c>
      <c r="S67" s="297"/>
      <c r="T67" s="294" t="str">
        <f t="shared" si="1"/>
        <v>Rayanna</v>
      </c>
      <c r="U67" s="24"/>
      <c r="V67" s="24"/>
      <c r="W67" s="24"/>
    </row>
    <row r="68">
      <c r="A68" s="178"/>
      <c r="B68" s="10">
        <v>1770536.0</v>
      </c>
      <c r="C68" s="11">
        <v>45962.616215277776</v>
      </c>
      <c r="D68" s="179" t="s">
        <v>50</v>
      </c>
      <c r="E68" s="180" t="s">
        <v>7149</v>
      </c>
      <c r="F68" s="188"/>
      <c r="G68" s="179" t="s">
        <v>6826</v>
      </c>
      <c r="H68" s="190"/>
      <c r="I68" s="190"/>
      <c r="J68" s="187"/>
      <c r="K68" s="187"/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IFERROR(__xludf.DUMMYFUNCTION("ifna(VALUE(REGEXEXTRACT(E68,""[0-9.]+[,]+[0-9]+"")))"),18.91)</f>
        <v>18.91</v>
      </c>
      <c r="O68" s="283" t="s">
        <v>1995</v>
      </c>
      <c r="P68" s="284">
        <v>45962.0</v>
      </c>
      <c r="Q68" s="295" t="s">
        <v>62</v>
      </c>
      <c r="R68" s="286">
        <v>100.0</v>
      </c>
      <c r="S68" s="296"/>
      <c r="T68" s="288" t="str">
        <f t="shared" si="1"/>
        <v>Ana Carolina</v>
      </c>
      <c r="U68" s="24"/>
      <c r="V68" s="24"/>
      <c r="W68" s="24"/>
    </row>
    <row r="69" ht="14.25" customHeight="1">
      <c r="A69" s="178"/>
      <c r="B69" s="10">
        <v>1770835.0</v>
      </c>
      <c r="C69" s="11">
        <v>45962.69449074074</v>
      </c>
      <c r="D69" s="179" t="s">
        <v>50</v>
      </c>
      <c r="E69" s="180" t="s">
        <v>7150</v>
      </c>
      <c r="F69" s="181"/>
      <c r="G69" s="179" t="s">
        <v>6826</v>
      </c>
      <c r="H69" s="190"/>
      <c r="I69" s="190"/>
      <c r="J69" s="187"/>
      <c r="K69" s="187"/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IFERROR(__xludf.DUMMYFUNCTION("ifna(VALUE(REGEXEXTRACT(E69,""[0-9.]+[,]+[0-9]+"")))"),41.28)</f>
        <v>41.28</v>
      </c>
      <c r="O69" s="289" t="s">
        <v>2000</v>
      </c>
      <c r="P69" s="290">
        <v>45979.0</v>
      </c>
      <c r="Q69" s="291" t="s">
        <v>62</v>
      </c>
      <c r="R69" s="292">
        <v>50.0</v>
      </c>
      <c r="S69" s="297"/>
      <c r="T69" s="294" t="str">
        <f t="shared" si="1"/>
        <v>Ana Carolina</v>
      </c>
      <c r="U69" s="24"/>
      <c r="V69" s="24"/>
      <c r="W69" s="24"/>
    </row>
    <row r="70">
      <c r="A70" s="178"/>
      <c r="B70" s="10">
        <v>1770972.0</v>
      </c>
      <c r="C70" s="11">
        <v>45962.721724537034</v>
      </c>
      <c r="D70" s="179" t="s">
        <v>50</v>
      </c>
      <c r="E70" s="180" t="s">
        <v>6904</v>
      </c>
      <c r="F70" s="181"/>
      <c r="G70" s="179" t="s">
        <v>6826</v>
      </c>
      <c r="H70" s="190"/>
      <c r="I70" s="190"/>
      <c r="J70" s="187"/>
      <c r="K70" s="187"/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IFERROR(__xludf.DUMMYFUNCTION("ifna(VALUE(REGEXEXTRACT(E70,""[0-9.]+[,]+[0-9]+"")))"),23.9)</f>
        <v>23.9</v>
      </c>
      <c r="O70" s="283" t="s">
        <v>1724</v>
      </c>
      <c r="P70" s="284">
        <v>45958.0</v>
      </c>
      <c r="Q70" s="295" t="s">
        <v>78</v>
      </c>
      <c r="R70" s="298">
        <v>80.0</v>
      </c>
      <c r="S70" s="296" t="str">
        <f t="shared" ref="S70:S82" si="2">IFERROR(VLOOKUP(Q70, $A$4:$B$18, 2, FALSE), "")</f>
        <v>Sabrina</v>
      </c>
      <c r="T70" s="288" t="str">
        <f t="shared" si="1"/>
        <v>Sabrina</v>
      </c>
      <c r="U70" s="24"/>
      <c r="V70" s="24"/>
      <c r="W70" s="24"/>
    </row>
    <row r="71" ht="14.25" customHeight="1">
      <c r="A71" s="178"/>
      <c r="B71" s="10">
        <v>1771326.0</v>
      </c>
      <c r="C71" s="11">
        <v>45962.79771990741</v>
      </c>
      <c r="D71" s="179" t="s">
        <v>50</v>
      </c>
      <c r="E71" s="180" t="s">
        <v>494</v>
      </c>
      <c r="F71" s="181"/>
      <c r="G71" s="179" t="s">
        <v>7151</v>
      </c>
      <c r="H71" s="190"/>
      <c r="I71" s="190"/>
      <c r="J71" s="187"/>
      <c r="K71" s="187"/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IFERROR(__xludf.DUMMYFUNCTION("ifna(VALUE(REGEXEXTRACT(E71,""[0-9.]+[,]+[0-9]+"")))"),0.01)</f>
        <v>0.01</v>
      </c>
      <c r="O71" s="289" t="s">
        <v>7152</v>
      </c>
      <c r="P71" s="290"/>
      <c r="Q71" s="291"/>
      <c r="R71" s="292"/>
      <c r="S71" s="297" t="str">
        <f t="shared" si="2"/>
        <v/>
      </c>
      <c r="T71" s="294" t="str">
        <f t="shared" si="1"/>
        <v/>
      </c>
      <c r="U71" s="24"/>
      <c r="V71" s="24"/>
      <c r="W71" s="24"/>
    </row>
    <row r="72" ht="14.25" customHeight="1">
      <c r="A72" s="178"/>
      <c r="B72" s="10">
        <v>1771537.0</v>
      </c>
      <c r="C72" s="11">
        <v>45962.84685185185</v>
      </c>
      <c r="D72" s="179" t="s">
        <v>50</v>
      </c>
      <c r="E72" s="180" t="s">
        <v>4506</v>
      </c>
      <c r="F72" s="181"/>
      <c r="G72" s="179" t="s">
        <v>6953</v>
      </c>
      <c r="H72" s="190"/>
      <c r="I72" s="190"/>
      <c r="J72" s="187" t="s">
        <v>3825</v>
      </c>
      <c r="K72" s="187"/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IFERROR(__xludf.DUMMYFUNCTION("ifna(VALUE(REGEXEXTRACT(E72,""[0-9.]+[,]+[0-9]+"")))"),91.0)</f>
        <v>91</v>
      </c>
      <c r="O72" s="283" t="s">
        <v>2114</v>
      </c>
      <c r="P72" s="284">
        <v>45991.0</v>
      </c>
      <c r="Q72" s="295" t="s">
        <v>78</v>
      </c>
      <c r="R72" s="286">
        <v>100.0</v>
      </c>
      <c r="S72" s="296" t="str">
        <f t="shared" si="2"/>
        <v>Sabrina</v>
      </c>
      <c r="T72" s="288" t="str">
        <f t="shared" si="1"/>
        <v>Sabrina</v>
      </c>
      <c r="U72" s="24"/>
      <c r="V72" s="24"/>
      <c r="W72" s="24"/>
    </row>
    <row r="73">
      <c r="A73" s="178"/>
      <c r="B73" s="10">
        <v>1771539.0</v>
      </c>
      <c r="C73" s="11">
        <v>45962.84710648148</v>
      </c>
      <c r="D73" s="179" t="s">
        <v>50</v>
      </c>
      <c r="E73" s="180" t="s">
        <v>4506</v>
      </c>
      <c r="F73" s="181"/>
      <c r="G73" s="179" t="s">
        <v>7153</v>
      </c>
      <c r="H73" s="190"/>
      <c r="I73" s="190"/>
      <c r="J73" s="187" t="s">
        <v>3825</v>
      </c>
      <c r="K73" s="187"/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IFERROR(__xludf.DUMMYFUNCTION("ifna(VALUE(REGEXEXTRACT(E73,""[0-9.]+[,]+[0-9]+"")))"),91.0)</f>
        <v>91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</row>
    <row r="74" ht="14.25" customHeight="1">
      <c r="A74" s="178"/>
      <c r="B74" s="10">
        <v>1771894.0</v>
      </c>
      <c r="C74" s="11">
        <v>45962.91701388889</v>
      </c>
      <c r="D74" s="179" t="s">
        <v>50</v>
      </c>
      <c r="E74" s="180" t="s">
        <v>7154</v>
      </c>
      <c r="F74" s="181"/>
      <c r="G74" s="179" t="s">
        <v>4960</v>
      </c>
      <c r="H74" s="190"/>
      <c r="I74" s="190"/>
      <c r="J74" s="187" t="s">
        <v>3044</v>
      </c>
      <c r="K74" s="187" t="s">
        <v>7058</v>
      </c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IFERROR(__xludf.DUMMYFUNCTION("ifna(VALUE(REGEXEXTRACT(E74,""[0-9.]+[,]+[0-9]+"")))"),21.34)</f>
        <v>21.34</v>
      </c>
      <c r="O74" s="299"/>
      <c r="P74" s="300"/>
      <c r="Q74" s="301"/>
      <c r="R74" s="302" t="str">
        <f t="shared" ref="R74:R82" si="3">IFERROR(VLOOKUP(Q74, $B$4:$C$18, 2, FALSE), "")</f>
        <v/>
      </c>
      <c r="S74" s="296" t="str">
        <f t="shared" si="2"/>
        <v/>
      </c>
      <c r="T74" s="288" t="str">
        <f t="shared" si="1"/>
        <v/>
      </c>
      <c r="U74" s="24"/>
      <c r="V74" s="24"/>
      <c r="W74" s="24"/>
    </row>
    <row r="75" ht="14.25" customHeight="1">
      <c r="A75" s="178"/>
      <c r="B75" s="10">
        <v>1771940.0</v>
      </c>
      <c r="C75" s="11">
        <v>45962.92039351852</v>
      </c>
      <c r="D75" s="179" t="s">
        <v>50</v>
      </c>
      <c r="E75" s="180" t="s">
        <v>7155</v>
      </c>
      <c r="F75" s="181"/>
      <c r="G75" s="179" t="s">
        <v>7156</v>
      </c>
      <c r="H75" s="190"/>
      <c r="I75" s="190"/>
      <c r="J75" s="187" t="s">
        <v>3746</v>
      </c>
      <c r="K75" s="187" t="s">
        <v>7058</v>
      </c>
      <c r="L75" s="252" t="str">
        <f>IFERROR(__xludf.DUMMYFUNCTION("IF(
  AND(D75=""Saída"",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"),"Caixa Sangria")</f>
        <v>Caixa Sangria</v>
      </c>
      <c r="M75" s="281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85">
        <f>IFERROR(__xludf.DUMMYFUNCTION("ifna(VALUE(REGEXEXTRACT(E75,""[0-9.]+[,]+[0-9]+"")))"),1750.0)</f>
        <v>1750</v>
      </c>
      <c r="O75" s="303"/>
      <c r="P75" s="121"/>
      <c r="Q75" s="121"/>
      <c r="R75" s="304" t="str">
        <f t="shared" si="3"/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</row>
    <row r="76" ht="14.25" customHeight="1">
      <c r="A76" s="178"/>
      <c r="B76" s="10">
        <v>1772043.0</v>
      </c>
      <c r="C76" s="11">
        <v>45962.927835648145</v>
      </c>
      <c r="D76" s="179" t="s">
        <v>50</v>
      </c>
      <c r="E76" s="180" t="s">
        <v>6382</v>
      </c>
      <c r="F76" s="181"/>
      <c r="G76" s="179" t="s">
        <v>7157</v>
      </c>
      <c r="H76" s="190"/>
      <c r="I76" s="190"/>
      <c r="J76" s="187" t="s">
        <v>3825</v>
      </c>
      <c r="K76" s="187"/>
      <c r="L76" s="252" t="str">
        <f>IFERROR(__xludf.DUMMYFUNCTION("IF(
  AND(D76=""Saída"", J76=""Sangria""),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IFERROR(__xludf.DUMMYFUNCTION("ifna(VALUE(REGEXEXTRACT(E76,""[0-9.]+[,]+[0-9]+"")))"),65.0)</f>
        <v>65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</row>
    <row r="77" ht="14.25" customHeight="1">
      <c r="A77" s="178"/>
      <c r="B77" s="10">
        <v>1773606.0</v>
      </c>
      <c r="C77" s="11">
        <v>45963.78759259259</v>
      </c>
      <c r="D77" s="179" t="s">
        <v>50</v>
      </c>
      <c r="E77" s="180" t="s">
        <v>719</v>
      </c>
      <c r="F77" s="181"/>
      <c r="G77" s="179" t="s">
        <v>7158</v>
      </c>
      <c r="H77" s="190"/>
      <c r="I77" s="190"/>
      <c r="J77" s="187" t="s">
        <v>4159</v>
      </c>
      <c r="K77" s="187"/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IFERROR(__xludf.DUMMYFUNCTION("ifna(VALUE(REGEXEXTRACT(E77,""[0-9.]+[,]+[0-9]+"")))"),500.0)</f>
        <v>500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</row>
    <row r="78">
      <c r="A78" s="178"/>
      <c r="B78" s="10">
        <v>1773614.0</v>
      </c>
      <c r="C78" s="11">
        <v>45963.788993055554</v>
      </c>
      <c r="D78" s="179" t="s">
        <v>227</v>
      </c>
      <c r="E78" s="180" t="s">
        <v>494</v>
      </c>
      <c r="F78" s="188"/>
      <c r="G78" s="179" t="s">
        <v>7159</v>
      </c>
      <c r="H78" s="190"/>
      <c r="I78" s="190"/>
      <c r="J78" s="187" t="s">
        <v>4159</v>
      </c>
      <c r="K78" s="187"/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IFERROR(__xludf.DUMMYFUNCTION("ifna(VALUE(REGEXEXTRACT(E78,""[0-9.]+[,]+[0-9]+"")))"),0.01)</f>
        <v>0.01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</row>
    <row r="79" ht="14.25" customHeight="1">
      <c r="A79" s="178"/>
      <c r="B79" s="10">
        <v>1773631.0</v>
      </c>
      <c r="C79" s="11">
        <v>45963.79083333333</v>
      </c>
      <c r="D79" s="179" t="s">
        <v>50</v>
      </c>
      <c r="E79" s="180" t="s">
        <v>7160</v>
      </c>
      <c r="F79" s="181"/>
      <c r="G79" s="179" t="s">
        <v>7161</v>
      </c>
      <c r="H79" s="190"/>
      <c r="I79" s="190"/>
      <c r="J79" s="187" t="s">
        <v>3467</v>
      </c>
      <c r="K79" s="187"/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IFERROR(__xludf.DUMMYFUNCTION("ifna(VALUE(REGEXEXTRACT(E79,""[0-9.]+[,]+[0-9]+"")))"),16.23)</f>
        <v>16.23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</row>
    <row r="80" ht="14.25" customHeight="1">
      <c r="A80" s="178"/>
      <c r="B80" s="10">
        <v>1773632.0</v>
      </c>
      <c r="C80" s="11">
        <v>45963.79119212963</v>
      </c>
      <c r="D80" s="179" t="s">
        <v>50</v>
      </c>
      <c r="E80" s="180" t="s">
        <v>205</v>
      </c>
      <c r="F80" s="181"/>
      <c r="G80" s="179" t="s">
        <v>4960</v>
      </c>
      <c r="H80" s="190"/>
      <c r="I80" s="190"/>
      <c r="J80" s="187" t="s">
        <v>3044</v>
      </c>
      <c r="K80" s="187" t="s">
        <v>7058</v>
      </c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IFERROR(__xludf.DUMMYFUNCTION("ifna(VALUE(REGEXEXTRACT(E80,""[0-9.]+[,]+[0-9]+"")))"),10.0)</f>
        <v>10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</row>
    <row r="81" ht="14.25" customHeight="1">
      <c r="A81" s="178"/>
      <c r="B81" s="10">
        <v>1774060.0</v>
      </c>
      <c r="C81" s="11">
        <v>45963.86342592593</v>
      </c>
      <c r="D81" s="179" t="s">
        <v>50</v>
      </c>
      <c r="E81" s="180" t="s">
        <v>7162</v>
      </c>
      <c r="F81" s="181"/>
      <c r="G81" s="179" t="s">
        <v>7163</v>
      </c>
      <c r="H81" s="190"/>
      <c r="I81" s="190"/>
      <c r="J81" s="187" t="s">
        <v>3903</v>
      </c>
      <c r="K81" s="187"/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185">
        <f>IFERROR(__xludf.DUMMYFUNCTION("ifna(VALUE(REGEXEXTRACT(E81,""[0-9.]+[,]+[0-9]+"")))"),14.26)</f>
        <v>14.26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</row>
    <row r="82" ht="14.25" customHeight="1">
      <c r="A82" s="178"/>
      <c r="B82" s="10">
        <v>1774233.0</v>
      </c>
      <c r="C82" s="11">
        <v>45963.89173611111</v>
      </c>
      <c r="D82" s="179" t="s">
        <v>50</v>
      </c>
      <c r="E82" s="180" t="s">
        <v>7164</v>
      </c>
      <c r="F82" s="181"/>
      <c r="G82" s="179" t="s">
        <v>7165</v>
      </c>
      <c r="H82" s="190"/>
      <c r="I82" s="190"/>
      <c r="J82" s="187" t="s">
        <v>3903</v>
      </c>
      <c r="K82" s="187"/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"""")"),"Encontrada")</f>
        <v>Encontrada</v>
      </c>
      <c r="N82" s="185">
        <f>IFERROR(__xludf.DUMMYFUNCTION("ifna(VALUE(REGEXEXTRACT(E82,""[0-9.]+[,]+[0-9]+"")))"),486.01)</f>
        <v>486.01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</row>
    <row r="83" ht="14.25" customHeight="1">
      <c r="A83" s="178"/>
      <c r="B83" s="10">
        <v>1774234.0</v>
      </c>
      <c r="C83" s="11">
        <v>45963.89230324074</v>
      </c>
      <c r="D83" s="179" t="s">
        <v>50</v>
      </c>
      <c r="E83" s="180" t="s">
        <v>7166</v>
      </c>
      <c r="F83" s="181"/>
      <c r="G83" s="179" t="s">
        <v>7167</v>
      </c>
      <c r="H83" s="190"/>
      <c r="I83" s="190"/>
      <c r="J83" s="187" t="s">
        <v>3903</v>
      </c>
      <c r="K83" s="187"/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185">
        <f>IFERROR(__xludf.DUMMYFUNCTION("ifna(VALUE(REGEXEXTRACT(E83,""[0-9.]+[,]+[0-9]+"")))"),9.64)</f>
        <v>9.64</v>
      </c>
      <c r="O83" s="305"/>
      <c r="P83" s="305"/>
      <c r="Q83" s="305"/>
      <c r="R83" s="306"/>
      <c r="S83" s="305"/>
      <c r="T83" s="91"/>
      <c r="U83" s="24"/>
      <c r="V83" s="24"/>
      <c r="W83" s="24"/>
    </row>
    <row r="84" ht="14.25" customHeight="1">
      <c r="A84" s="178"/>
      <c r="B84" s="10">
        <v>1774250.0</v>
      </c>
      <c r="C84" s="11">
        <v>45963.89471064815</v>
      </c>
      <c r="D84" s="179" t="s">
        <v>50</v>
      </c>
      <c r="E84" s="180" t="s">
        <v>7168</v>
      </c>
      <c r="F84" s="181"/>
      <c r="G84" s="179" t="s">
        <v>7169</v>
      </c>
      <c r="H84" s="190"/>
      <c r="I84" s="190"/>
      <c r="J84" s="187" t="s">
        <v>3903</v>
      </c>
      <c r="K84" s="187"/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85">
        <f>IFERROR(__xludf.DUMMYFUNCTION("ifna(VALUE(REGEXEXTRACT(E84,""[0-9.]+[,]+[0-9]+"")))"),77.85)</f>
        <v>77.85</v>
      </c>
      <c r="O84" s="307" t="s">
        <v>7170</v>
      </c>
      <c r="W84" s="24"/>
    </row>
    <row r="85" ht="14.25" customHeight="1">
      <c r="A85" s="178"/>
      <c r="B85" s="10">
        <v>1774257.0</v>
      </c>
      <c r="C85" s="11">
        <v>45963.8953587963</v>
      </c>
      <c r="D85" s="179" t="s">
        <v>50</v>
      </c>
      <c r="E85" s="180" t="s">
        <v>7171</v>
      </c>
      <c r="F85" s="181"/>
      <c r="G85" s="179" t="s">
        <v>7172</v>
      </c>
      <c r="H85" s="190"/>
      <c r="I85" s="190"/>
      <c r="J85" s="187" t="s">
        <v>3903</v>
      </c>
      <c r="K85" s="187"/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85">
        <f>IFERROR(__xludf.DUMMYFUNCTION("ifna(VALUE(REGEXEXTRACT(E85,""[0-9.]+[,]+[0-9]+"")))"),9.28)</f>
        <v>9.28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</row>
    <row r="86" ht="14.25" customHeight="1">
      <c r="A86" s="178"/>
      <c r="B86" s="10">
        <v>1774259.0</v>
      </c>
      <c r="C86" s="11">
        <v>45963.89576388889</v>
      </c>
      <c r="D86" s="179" t="s">
        <v>50</v>
      </c>
      <c r="E86" s="180" t="s">
        <v>7173</v>
      </c>
      <c r="F86" s="181"/>
      <c r="G86" s="179" t="s">
        <v>7174</v>
      </c>
      <c r="H86" s="190"/>
      <c r="I86" s="190"/>
      <c r="J86" s="187" t="s">
        <v>3903</v>
      </c>
      <c r="K86" s="187"/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85">
        <f>IFERROR(__xludf.DUMMYFUNCTION("ifna(VALUE(REGEXEXTRACT(E86,""[0-9.]+[,]+[0-9]+"")))"),76.18)</f>
        <v>76.18</v>
      </c>
      <c r="O86" s="311"/>
      <c r="P86" s="312"/>
      <c r="Q86" s="311"/>
      <c r="R86" s="313"/>
      <c r="S86" s="311"/>
      <c r="V86" s="314"/>
      <c r="W86" s="24"/>
    </row>
    <row r="87" ht="14.25" customHeight="1">
      <c r="A87" s="178"/>
      <c r="B87" s="10">
        <v>1774274.0</v>
      </c>
      <c r="C87" s="11">
        <v>45963.89763888889</v>
      </c>
      <c r="D87" s="179" t="s">
        <v>50</v>
      </c>
      <c r="E87" s="180" t="s">
        <v>6731</v>
      </c>
      <c r="F87" s="181"/>
      <c r="G87" s="179" t="s">
        <v>7175</v>
      </c>
      <c r="H87" s="190"/>
      <c r="I87" s="190"/>
      <c r="J87" s="187" t="s">
        <v>3825</v>
      </c>
      <c r="K87" s="187"/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IFERROR(__xludf.DUMMYFUNCTION("ifna(VALUE(REGEXEXTRACT(E87,""[0-9.]+[,]+[0-9]+"")))"),100.0)</f>
        <v>100</v>
      </c>
      <c r="O87" s="315"/>
      <c r="P87" s="316"/>
      <c r="Q87" s="315"/>
      <c r="R87" s="317"/>
      <c r="S87" s="315"/>
      <c r="V87" s="318"/>
      <c r="W87" s="24"/>
    </row>
    <row r="88" ht="14.25" customHeight="1">
      <c r="A88" s="178"/>
      <c r="B88" s="10">
        <v>1774283.0</v>
      </c>
      <c r="C88" s="11">
        <v>45963.89853009259</v>
      </c>
      <c r="D88" s="179" t="s">
        <v>50</v>
      </c>
      <c r="E88" s="180" t="s">
        <v>6731</v>
      </c>
      <c r="F88" s="181"/>
      <c r="G88" s="179" t="s">
        <v>7176</v>
      </c>
      <c r="H88" s="190"/>
      <c r="I88" s="190"/>
      <c r="J88" s="187" t="s">
        <v>3825</v>
      </c>
      <c r="K88" s="187"/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IFERROR(__xludf.DUMMYFUNCTION("ifna(VALUE(REGEXEXTRACT(E88,""[0-9.]+[,]+[0-9]+"")))"),100.0)</f>
        <v>100</v>
      </c>
      <c r="O88" s="319"/>
      <c r="P88" s="320"/>
      <c r="Q88" s="319"/>
      <c r="R88" s="321"/>
      <c r="S88" s="319"/>
      <c r="V88" s="322"/>
      <c r="W88" s="24"/>
    </row>
    <row r="89" ht="14.25" customHeight="1">
      <c r="A89" s="178"/>
      <c r="B89" s="10">
        <v>1774288.0</v>
      </c>
      <c r="C89" s="11">
        <v>45963.89896990741</v>
      </c>
      <c r="D89" s="179" t="s">
        <v>50</v>
      </c>
      <c r="E89" s="180" t="s">
        <v>7177</v>
      </c>
      <c r="F89" s="181"/>
      <c r="G89" s="179" t="s">
        <v>7178</v>
      </c>
      <c r="H89" s="323"/>
      <c r="I89" s="190"/>
      <c r="J89" s="187" t="s">
        <v>3825</v>
      </c>
      <c r="K89" s="187"/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IFERROR(__xludf.DUMMYFUNCTION("ifna(VALUE(REGEXEXTRACT(E89,""[0-9.]+[,]+[0-9]+"")))"),52.0)</f>
        <v>52</v>
      </c>
      <c r="O89" s="315"/>
      <c r="P89" s="316"/>
      <c r="Q89" s="315"/>
      <c r="R89" s="317"/>
      <c r="S89" s="315"/>
      <c r="V89" s="318"/>
      <c r="W89" s="24"/>
    </row>
    <row r="90" ht="14.25" customHeight="1">
      <c r="A90" s="178"/>
      <c r="B90" s="10">
        <v>1775203.0</v>
      </c>
      <c r="C90" s="11">
        <v>45964.518159722225</v>
      </c>
      <c r="D90" s="179" t="s">
        <v>50</v>
      </c>
      <c r="E90" s="180" t="s">
        <v>6479</v>
      </c>
      <c r="F90" s="188"/>
      <c r="G90" s="324" t="s">
        <v>7179</v>
      </c>
      <c r="H90" s="190"/>
      <c r="I90" s="190"/>
      <c r="J90" s="187"/>
      <c r="K90" s="187"/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IFERROR(__xludf.DUMMYFUNCTION("ifna(VALUE(REGEXEXTRACT(E90,""[0-9.]+[,]+[0-9]+"")))"),300.0)</f>
        <v>300</v>
      </c>
      <c r="O90" s="319"/>
      <c r="P90" s="320"/>
      <c r="Q90" s="319"/>
      <c r="R90" s="321"/>
      <c r="S90" s="319"/>
      <c r="V90" s="322"/>
      <c r="W90" s="24"/>
    </row>
    <row r="91" ht="14.25" customHeight="1">
      <c r="A91" s="178"/>
      <c r="B91" s="10">
        <v>1775825.0</v>
      </c>
      <c r="C91" s="11">
        <v>45964.743726851855</v>
      </c>
      <c r="D91" s="179" t="s">
        <v>227</v>
      </c>
      <c r="E91" s="180" t="s">
        <v>991</v>
      </c>
      <c r="F91" s="181"/>
      <c r="G91" s="179" t="s">
        <v>7180</v>
      </c>
      <c r="H91" s="190"/>
      <c r="I91" s="190"/>
      <c r="J91" s="187" t="s">
        <v>4159</v>
      </c>
      <c r="K91" s="187"/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IFERROR(__xludf.DUMMYFUNCTION("ifna(VALUE(REGEXEXTRACT(E91,""[0-9.]+[,]+[0-9]+"")))"),700.0)</f>
        <v>700</v>
      </c>
      <c r="O91" s="315"/>
      <c r="P91" s="316"/>
      <c r="Q91" s="315"/>
      <c r="R91" s="317"/>
      <c r="S91" s="315"/>
      <c r="V91" s="318"/>
      <c r="W91" s="24"/>
    </row>
    <row r="92" ht="14.25" customHeight="1">
      <c r="A92" s="178"/>
      <c r="B92" s="10">
        <v>1775833.0</v>
      </c>
      <c r="C92" s="11">
        <v>45964.744791666664</v>
      </c>
      <c r="D92" s="179" t="s">
        <v>50</v>
      </c>
      <c r="E92" s="180" t="s">
        <v>7181</v>
      </c>
      <c r="F92" s="188"/>
      <c r="G92" s="179" t="s">
        <v>7182</v>
      </c>
      <c r="H92" s="190"/>
      <c r="I92" s="190"/>
      <c r="J92" s="187" t="s">
        <v>4159</v>
      </c>
      <c r="K92" s="187"/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IFERROR(__xludf.DUMMYFUNCTION("ifna(VALUE(REGEXEXTRACT(E92,""[0-9.]+[,]+[0-9]+"")))"),875.0)</f>
        <v>875</v>
      </c>
      <c r="O92" s="319"/>
      <c r="P92" s="320"/>
      <c r="Q92" s="319"/>
      <c r="R92" s="321"/>
      <c r="S92" s="319"/>
      <c r="V92" s="281"/>
      <c r="W92" s="185"/>
    </row>
    <row r="93" ht="14.25" customHeight="1">
      <c r="A93" s="178"/>
      <c r="B93" s="10">
        <v>1775961.0</v>
      </c>
      <c r="C93" s="11">
        <v>45964.7821875</v>
      </c>
      <c r="D93" s="179" t="s">
        <v>50</v>
      </c>
      <c r="E93" s="180" t="s">
        <v>7183</v>
      </c>
      <c r="F93" s="181"/>
      <c r="G93" s="179" t="s">
        <v>7184</v>
      </c>
      <c r="H93" s="190"/>
      <c r="I93" s="190"/>
      <c r="J93" s="187" t="s">
        <v>3903</v>
      </c>
      <c r="K93" s="187"/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"""")"),"Encontrada")</f>
        <v>Encontrada</v>
      </c>
      <c r="N93" s="185">
        <f>IFERROR(__xludf.DUMMYFUNCTION("ifna(VALUE(REGEXEXTRACT(E93,""[0-9.]+[,]+[0-9]+"")))"),62.4)</f>
        <v>62.4</v>
      </c>
      <c r="O93" s="315"/>
      <c r="P93" s="316"/>
      <c r="Q93" s="315"/>
      <c r="R93" s="317"/>
      <c r="S93" s="315"/>
      <c r="V93" s="279"/>
      <c r="W93" s="185"/>
    </row>
    <row r="94" ht="14.25" customHeight="1">
      <c r="A94" s="178"/>
      <c r="B94" s="10">
        <v>1775973.0</v>
      </c>
      <c r="C94" s="11">
        <v>45964.78980324074</v>
      </c>
      <c r="D94" s="179" t="s">
        <v>50</v>
      </c>
      <c r="E94" s="180" t="s">
        <v>7144</v>
      </c>
      <c r="F94" s="181"/>
      <c r="G94" s="179" t="s">
        <v>7185</v>
      </c>
      <c r="H94" s="190"/>
      <c r="I94" s="190"/>
      <c r="J94" s="187" t="s">
        <v>3467</v>
      </c>
      <c r="K94" s="187"/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IFERROR(__xludf.DUMMYFUNCTION("ifna(VALUE(REGEXEXTRACT(E94,""[0-9.]+[,]+[0-9]+"")))"),17.51)</f>
        <v>17.51</v>
      </c>
      <c r="O94" s="319"/>
      <c r="P94" s="320"/>
      <c r="Q94" s="319"/>
      <c r="R94" s="321"/>
      <c r="S94" s="319"/>
      <c r="V94" s="281"/>
      <c r="W94" s="185"/>
    </row>
    <row r="95" ht="14.25" customHeight="1">
      <c r="A95" s="178"/>
      <c r="B95" s="10">
        <v>1776028.0</v>
      </c>
      <c r="C95" s="11">
        <v>45964.80820601852</v>
      </c>
      <c r="D95" s="179" t="s">
        <v>50</v>
      </c>
      <c r="E95" s="180" t="s">
        <v>7186</v>
      </c>
      <c r="F95" s="181"/>
      <c r="G95" s="179" t="s">
        <v>6513</v>
      </c>
      <c r="H95" s="190"/>
      <c r="I95" s="190"/>
      <c r="J95" s="187" t="s">
        <v>3044</v>
      </c>
      <c r="K95" s="187" t="s">
        <v>7052</v>
      </c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IFERROR(__xludf.DUMMYFUNCTION("ifna(VALUE(REGEXEXTRACT(E95,""[0-9.]+[,]+[0-9]+"")))"),28.0)</f>
        <v>28</v>
      </c>
      <c r="O95" s="315"/>
      <c r="P95" s="316"/>
      <c r="Q95" s="315"/>
      <c r="R95" s="317"/>
      <c r="S95" s="315"/>
      <c r="V95" s="279"/>
      <c r="W95" s="185"/>
    </row>
    <row r="96" ht="14.25" customHeight="1">
      <c r="A96" s="178"/>
      <c r="B96" s="10">
        <v>1776048.0</v>
      </c>
      <c r="C96" s="11">
        <v>45964.81679398148</v>
      </c>
      <c r="D96" s="179" t="s">
        <v>50</v>
      </c>
      <c r="E96" s="180" t="s">
        <v>6479</v>
      </c>
      <c r="F96" s="188"/>
      <c r="G96" s="253" t="s">
        <v>7187</v>
      </c>
      <c r="H96" s="190"/>
      <c r="I96" s="190"/>
      <c r="J96" s="187" t="s">
        <v>3903</v>
      </c>
      <c r="K96" s="187"/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"""")"),"Encontrada")</f>
        <v>Encontrada</v>
      </c>
      <c r="N96" s="185">
        <f>IFERROR(__xludf.DUMMYFUNCTION("ifna(VALUE(REGEXEXTRACT(E96,""[0-9.]+[,]+[0-9]+"")))"),300.0)</f>
        <v>300</v>
      </c>
      <c r="O96" s="325"/>
      <c r="P96" s="326"/>
      <c r="Q96" s="326"/>
      <c r="R96" s="321"/>
      <c r="S96" s="319"/>
      <c r="V96" s="281"/>
      <c r="W96" s="185"/>
    </row>
    <row r="97" ht="14.25" customHeight="1">
      <c r="A97" s="178"/>
      <c r="B97" s="10">
        <v>1776231.0</v>
      </c>
      <c r="C97" s="11">
        <v>45964.88849537037</v>
      </c>
      <c r="D97" s="179" t="s">
        <v>50</v>
      </c>
      <c r="E97" s="180" t="s">
        <v>7188</v>
      </c>
      <c r="F97" s="181"/>
      <c r="G97" s="179" t="s">
        <v>7189</v>
      </c>
      <c r="H97" s="190"/>
      <c r="I97" s="190"/>
      <c r="J97" s="187" t="s">
        <v>3467</v>
      </c>
      <c r="K97" s="187"/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IFERROR(__xludf.DUMMYFUNCTION("ifna(VALUE(REGEXEXTRACT(E97,""[0-9.]+[,]+[0-9]+"")))"),27.09)</f>
        <v>27.09</v>
      </c>
      <c r="O97" s="315"/>
      <c r="P97" s="316"/>
      <c r="Q97" s="315"/>
      <c r="R97" s="317"/>
      <c r="S97" s="315"/>
      <c r="V97" s="279"/>
      <c r="W97" s="185"/>
    </row>
    <row r="98" ht="14.25" customHeight="1">
      <c r="A98" s="178"/>
      <c r="B98" s="10">
        <v>1776432.0</v>
      </c>
      <c r="C98" s="11">
        <v>45964.92513888889</v>
      </c>
      <c r="D98" s="179" t="s">
        <v>227</v>
      </c>
      <c r="E98" s="180" t="s">
        <v>6479</v>
      </c>
      <c r="F98" s="181"/>
      <c r="G98" s="179" t="s">
        <v>7190</v>
      </c>
      <c r="H98" s="190"/>
      <c r="I98" s="190"/>
      <c r="J98" s="187" t="s">
        <v>4159</v>
      </c>
      <c r="K98" s="187"/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IFERROR(__xludf.DUMMYFUNCTION("ifna(VALUE(REGEXEXTRACT(E98,""[0-9.]+[,]+[0-9]+"")))"),300.0)</f>
        <v>300</v>
      </c>
      <c r="O98" s="319"/>
      <c r="P98" s="320"/>
      <c r="Q98" s="319"/>
      <c r="R98" s="321"/>
      <c r="S98" s="319"/>
      <c r="V98" s="281"/>
      <c r="W98" s="185"/>
    </row>
    <row r="99" ht="14.25" customHeight="1">
      <c r="A99" s="178"/>
      <c r="B99" s="10">
        <v>1776829.0</v>
      </c>
      <c r="C99" s="11">
        <v>45965.54609953704</v>
      </c>
      <c r="D99" s="179" t="s">
        <v>50</v>
      </c>
      <c r="E99" s="180" t="s">
        <v>7191</v>
      </c>
      <c r="F99" s="188"/>
      <c r="G99" s="179" t="s">
        <v>7192</v>
      </c>
      <c r="H99" s="190"/>
      <c r="I99" s="190"/>
      <c r="J99" s="187" t="s">
        <v>3903</v>
      </c>
      <c r="K99" s="187"/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"""")"),"Encontrada")</f>
        <v>Encontrada</v>
      </c>
      <c r="N99" s="185">
        <f>IFERROR(__xludf.DUMMYFUNCTION("ifna(VALUE(REGEXEXTRACT(E99,""[0-9.]+[,]+[0-9]+"")))"),345.0)</f>
        <v>345</v>
      </c>
      <c r="O99" s="315"/>
      <c r="P99" s="316"/>
      <c r="Q99" s="315"/>
      <c r="R99" s="317"/>
      <c r="S99" s="315"/>
      <c r="V99" s="279"/>
      <c r="W99" s="185"/>
    </row>
    <row r="100" ht="14.25" customHeight="1">
      <c r="A100" s="178"/>
      <c r="B100" s="10">
        <v>1776879.0</v>
      </c>
      <c r="C100" s="11">
        <v>45965.57927083333</v>
      </c>
      <c r="D100" s="179" t="s">
        <v>50</v>
      </c>
      <c r="E100" s="180" t="s">
        <v>6731</v>
      </c>
      <c r="F100" s="181"/>
      <c r="G100" s="179" t="s">
        <v>7193</v>
      </c>
      <c r="H100" s="190"/>
      <c r="I100" s="190"/>
      <c r="J100" s="187" t="s">
        <v>4159</v>
      </c>
      <c r="K100" s="187"/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IFERROR(__xludf.DUMMYFUNCTION("ifna(VALUE(REGEXEXTRACT(E100,""[0-9.]+[,]+[0-9]+"")))"),100.0)</f>
        <v>100</v>
      </c>
      <c r="O100" s="319"/>
      <c r="P100" s="320"/>
      <c r="Q100" s="319"/>
      <c r="R100" s="321"/>
      <c r="S100" s="319"/>
      <c r="V100" s="281"/>
      <c r="W100" s="185"/>
    </row>
    <row r="101" ht="14.25" customHeight="1">
      <c r="A101" s="178"/>
      <c r="B101" s="10">
        <v>1776883.0</v>
      </c>
      <c r="C101" s="11">
        <v>45965.58037037037</v>
      </c>
      <c r="D101" s="179" t="s">
        <v>227</v>
      </c>
      <c r="E101" s="180" t="s">
        <v>494</v>
      </c>
      <c r="F101" s="188"/>
      <c r="G101" s="179" t="s">
        <v>7194</v>
      </c>
      <c r="H101" s="190"/>
      <c r="I101" s="190"/>
      <c r="J101" s="187" t="s">
        <v>4159</v>
      </c>
      <c r="K101" s="187"/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IFERROR(__xludf.DUMMYFUNCTION("ifna(VALUE(REGEXEXTRACT(E101,""[0-9.]+[,]+[0-9]+"")))"),0.01)</f>
        <v>0.01</v>
      </c>
      <c r="O101" s="315"/>
      <c r="P101" s="316"/>
      <c r="Q101" s="315"/>
      <c r="R101" s="317"/>
      <c r="S101" s="315"/>
      <c r="V101" s="279"/>
      <c r="W101" s="185"/>
    </row>
    <row r="102" ht="17.25" customHeight="1">
      <c r="A102" s="178"/>
      <c r="B102" s="10">
        <v>1777623.0</v>
      </c>
      <c r="C102" s="11">
        <v>45965.7758912037</v>
      </c>
      <c r="D102" s="179" t="s">
        <v>50</v>
      </c>
      <c r="E102" s="180" t="s">
        <v>7195</v>
      </c>
      <c r="F102" s="181"/>
      <c r="G102" s="179" t="s">
        <v>4960</v>
      </c>
      <c r="H102" s="190"/>
      <c r="I102" s="190"/>
      <c r="J102" s="187" t="s">
        <v>3044</v>
      </c>
      <c r="K102" s="187" t="s">
        <v>7058</v>
      </c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IFERROR(__xludf.DUMMYFUNCTION("ifna(VALUE(REGEXEXTRACT(E102,""[0-9.]+[,]+[0-9]+"")))"),42.81)</f>
        <v>42.81</v>
      </c>
      <c r="O102" s="319"/>
      <c r="P102" s="320"/>
      <c r="Q102" s="319"/>
      <c r="R102" s="321"/>
      <c r="S102" s="319"/>
      <c r="V102" s="281"/>
      <c r="W102" s="185"/>
    </row>
    <row r="103" ht="14.25" customHeight="1">
      <c r="A103" s="178"/>
      <c r="B103" s="10">
        <v>1777645.0</v>
      </c>
      <c r="C103" s="11">
        <v>45965.784525462965</v>
      </c>
      <c r="D103" s="179" t="s">
        <v>50</v>
      </c>
      <c r="E103" s="180" t="s">
        <v>427</v>
      </c>
      <c r="F103" s="181"/>
      <c r="G103" s="179" t="s">
        <v>6446</v>
      </c>
      <c r="H103" s="190"/>
      <c r="I103" s="190"/>
      <c r="J103" s="187" t="s">
        <v>3044</v>
      </c>
      <c r="K103" s="187" t="s">
        <v>6664</v>
      </c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85">
        <f>IFERROR(__xludf.DUMMYFUNCTION("ifna(VALUE(REGEXEXTRACT(E103,""[0-9.]+[,]+[0-9]+"")))"),15.0)</f>
        <v>15</v>
      </c>
      <c r="O103" s="315"/>
      <c r="P103" s="316"/>
      <c r="Q103" s="315"/>
      <c r="R103" s="317"/>
      <c r="S103" s="315"/>
      <c r="V103" s="279"/>
      <c r="W103" s="185"/>
    </row>
    <row r="104" ht="14.25" customHeight="1">
      <c r="A104" s="178"/>
      <c r="B104" s="10">
        <v>1777677.0</v>
      </c>
      <c r="C104" s="11">
        <v>45965.798310185186</v>
      </c>
      <c r="D104" s="179" t="s">
        <v>50</v>
      </c>
      <c r="E104" s="180" t="s">
        <v>7196</v>
      </c>
      <c r="F104" s="181"/>
      <c r="G104" s="179" t="s">
        <v>6446</v>
      </c>
      <c r="H104" s="190"/>
      <c r="I104" s="190"/>
      <c r="J104" s="187" t="s">
        <v>3044</v>
      </c>
      <c r="K104" s="187" t="s">
        <v>6664</v>
      </c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85">
        <f>IFERROR(__xludf.DUMMYFUNCTION("ifna(VALUE(REGEXEXTRACT(E104,""[0-9.]+[,]+[0-9]+"")))"),53.16)</f>
        <v>53.16</v>
      </c>
      <c r="O104" s="319"/>
      <c r="P104" s="320"/>
      <c r="Q104" s="319"/>
      <c r="R104" s="321"/>
      <c r="S104" s="319"/>
      <c r="V104" s="281"/>
      <c r="W104" s="185"/>
    </row>
    <row r="105" ht="14.25" customHeight="1">
      <c r="A105" s="178"/>
      <c r="B105" s="10">
        <v>1778203.0</v>
      </c>
      <c r="C105" s="11">
        <v>45965.92633101852</v>
      </c>
      <c r="D105" s="179" t="s">
        <v>50</v>
      </c>
      <c r="E105" s="180" t="s">
        <v>719</v>
      </c>
      <c r="F105" s="181"/>
      <c r="G105" s="179" t="s">
        <v>7197</v>
      </c>
      <c r="H105" s="190"/>
      <c r="I105" s="190"/>
      <c r="J105" s="187" t="s">
        <v>3746</v>
      </c>
      <c r="K105" s="187" t="s">
        <v>2949</v>
      </c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"),"Caixa Sangria")</f>
        <v>Caixa Sangria</v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IFERROR(__xludf.DUMMYFUNCTION("ifna(VALUE(REGEXEXTRACT(E105,""[0-9.]+[,]+[0-9]+"")))"),500.0)</f>
        <v>500</v>
      </c>
      <c r="O105" s="315"/>
      <c r="P105" s="315"/>
      <c r="Q105" s="315"/>
      <c r="R105" s="317"/>
      <c r="S105" s="315"/>
      <c r="V105" s="279"/>
      <c r="W105" s="185"/>
    </row>
    <row r="106" ht="14.25" customHeight="1">
      <c r="A106" s="178"/>
      <c r="B106" s="10">
        <v>1778282.0</v>
      </c>
      <c r="C106" s="11">
        <v>45965.935162037036</v>
      </c>
      <c r="D106" s="179" t="s">
        <v>50</v>
      </c>
      <c r="E106" s="180" t="s">
        <v>7198</v>
      </c>
      <c r="F106" s="181"/>
      <c r="G106" s="179" t="s">
        <v>6790</v>
      </c>
      <c r="H106" s="190"/>
      <c r="I106" s="190"/>
      <c r="J106" s="187" t="s">
        <v>3903</v>
      </c>
      <c r="K106" s="187"/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"""")"),"Encontrada")</f>
        <v>Encontrada</v>
      </c>
      <c r="N106" s="185">
        <f>IFERROR(__xludf.DUMMYFUNCTION("ifna(VALUE(REGEXEXTRACT(E106,""[0-9.]+[,]+[0-9]+"")))"),414.18)</f>
        <v>414.18</v>
      </c>
      <c r="O106" s="319"/>
      <c r="P106" s="319"/>
      <c r="Q106" s="319"/>
      <c r="R106" s="321"/>
      <c r="S106" s="319"/>
      <c r="V106" s="281"/>
      <c r="W106" s="185"/>
    </row>
    <row r="107" ht="18.75" customHeight="1">
      <c r="A107" s="178"/>
      <c r="B107" s="327">
        <v>1778658.0</v>
      </c>
      <c r="C107" s="328">
        <v>45966.54340277778</v>
      </c>
      <c r="D107" s="253" t="s">
        <v>50</v>
      </c>
      <c r="E107" s="329" t="s">
        <v>6731</v>
      </c>
      <c r="F107" s="330"/>
      <c r="G107" s="253" t="s">
        <v>7199</v>
      </c>
      <c r="H107" s="190"/>
      <c r="I107" s="190"/>
      <c r="J107" s="187"/>
      <c r="K107" s="187"/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IFERROR(__xludf.DUMMYFUNCTION("ifna(VALUE(REGEXEXTRACT(E107,""[0-9.]+[,]+[0-9]+"")))"),100.0)</f>
        <v>100</v>
      </c>
      <c r="O107" s="331"/>
      <c r="P107" s="331"/>
      <c r="Q107" s="331"/>
      <c r="R107" s="317"/>
      <c r="S107" s="331"/>
      <c r="V107" s="279"/>
      <c r="W107" s="185"/>
    </row>
    <row r="108" ht="14.25" customHeight="1">
      <c r="A108" s="178"/>
      <c r="B108" s="327">
        <v>1778662.0</v>
      </c>
      <c r="C108" s="328">
        <v>45966.54424768518</v>
      </c>
      <c r="D108" s="253" t="s">
        <v>50</v>
      </c>
      <c r="E108" s="329" t="s">
        <v>7200</v>
      </c>
      <c r="F108" s="330"/>
      <c r="G108" s="253" t="s">
        <v>7201</v>
      </c>
      <c r="H108" s="190"/>
      <c r="I108" s="190"/>
      <c r="J108" s="187" t="s">
        <v>3903</v>
      </c>
      <c r="K108" s="187"/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85">
        <f>IFERROR(__xludf.DUMMYFUNCTION("ifna(VALUE(REGEXEXTRACT(E108,""[0-9.]+[,]+[0-9]+"")))"),29.9)</f>
        <v>29.9</v>
      </c>
      <c r="O108" s="332"/>
      <c r="P108" s="332"/>
      <c r="Q108" s="332"/>
      <c r="R108" s="321"/>
      <c r="S108" s="332"/>
      <c r="V108" s="281"/>
      <c r="W108" s="185"/>
    </row>
    <row r="109" ht="15.75" customHeight="1">
      <c r="A109" s="178"/>
      <c r="B109" s="327">
        <v>1778665.0</v>
      </c>
      <c r="C109" s="328">
        <v>45966.54699074074</v>
      </c>
      <c r="D109" s="253" t="s">
        <v>50</v>
      </c>
      <c r="E109" s="329" t="s">
        <v>6731</v>
      </c>
      <c r="F109" s="330"/>
      <c r="G109" s="253" t="s">
        <v>7202</v>
      </c>
      <c r="H109" s="190"/>
      <c r="I109" s="190"/>
      <c r="J109" s="187" t="s">
        <v>3903</v>
      </c>
      <c r="K109" s="187"/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85">
        <f>IFERROR(__xludf.DUMMYFUNCTION("ifna(VALUE(REGEXEXTRACT(E109,""[0-9.]+[,]+[0-9]+"")))"),100.0)</f>
        <v>100</v>
      </c>
      <c r="O109" s="333"/>
      <c r="P109" s="331"/>
      <c r="Q109" s="331"/>
      <c r="R109" s="317"/>
      <c r="S109" s="331"/>
      <c r="V109" s="279"/>
      <c r="W109" s="185"/>
    </row>
    <row r="110" ht="14.25" customHeight="1">
      <c r="A110" s="178"/>
      <c r="B110" s="10">
        <v>1778666.0</v>
      </c>
      <c r="C110" s="11">
        <v>45966.547314814816</v>
      </c>
      <c r="D110" s="179" t="s">
        <v>50</v>
      </c>
      <c r="E110" s="180" t="s">
        <v>7200</v>
      </c>
      <c r="F110" s="181"/>
      <c r="G110" s="179" t="s">
        <v>7203</v>
      </c>
      <c r="H110" s="190"/>
      <c r="I110" s="190"/>
      <c r="J110" s="187"/>
      <c r="K110" s="187"/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IFERROR(__xludf.DUMMYFUNCTION("ifna(VALUE(REGEXEXTRACT(E110,""[0-9.]+[,]+[0-9]+"")))"),29.9)</f>
        <v>29.9</v>
      </c>
      <c r="O110" s="332"/>
      <c r="P110" s="332"/>
      <c r="Q110" s="332"/>
      <c r="R110" s="321"/>
      <c r="S110" s="332"/>
      <c r="V110" s="281"/>
      <c r="W110" s="185"/>
    </row>
    <row r="111" ht="17.25" customHeight="1">
      <c r="A111" s="178"/>
      <c r="B111" s="10">
        <v>1779187.0</v>
      </c>
      <c r="C111" s="11">
        <v>45966.70784722222</v>
      </c>
      <c r="D111" s="179" t="s">
        <v>50</v>
      </c>
      <c r="E111" s="180" t="s">
        <v>7204</v>
      </c>
      <c r="F111" s="188"/>
      <c r="G111" s="179" t="s">
        <v>7205</v>
      </c>
      <c r="H111" s="190"/>
      <c r="I111" s="190"/>
      <c r="J111" s="187" t="s">
        <v>3903</v>
      </c>
      <c r="K111" s="187"/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85">
        <f>IFERROR(__xludf.DUMMYFUNCTION("ifna(VALUE(REGEXEXTRACT(E111,""[0-9.]+[,]+[0-9]+"")))"),156.0)</f>
        <v>156</v>
      </c>
      <c r="O111" s="331"/>
      <c r="P111" s="331"/>
      <c r="Q111" s="331"/>
      <c r="R111" s="317"/>
      <c r="S111" s="331"/>
      <c r="V111" s="279"/>
      <c r="W111" s="185"/>
    </row>
    <row r="112" ht="14.25" customHeight="1">
      <c r="A112" s="178"/>
      <c r="B112" s="10">
        <v>1779289.0</v>
      </c>
      <c r="C112" s="11">
        <v>45966.73082175926</v>
      </c>
      <c r="D112" s="179" t="s">
        <v>50</v>
      </c>
      <c r="E112" s="180" t="s">
        <v>7206</v>
      </c>
      <c r="F112" s="181"/>
      <c r="G112" s="179" t="s">
        <v>6513</v>
      </c>
      <c r="H112" s="190"/>
      <c r="I112" s="190"/>
      <c r="J112" s="187" t="s">
        <v>3044</v>
      </c>
      <c r="K112" s="187" t="s">
        <v>7052</v>
      </c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IFERROR(__xludf.DUMMYFUNCTION("ifna(VALUE(REGEXEXTRACT(E112,""[0-9.]+[,]+[0-9]+"")))"),10.88)</f>
        <v>10.88</v>
      </c>
      <c r="O112" s="332"/>
      <c r="P112" s="332"/>
      <c r="Q112" s="332"/>
      <c r="R112" s="321"/>
      <c r="S112" s="332"/>
      <c r="V112" s="281"/>
      <c r="W112" s="185"/>
    </row>
    <row r="113" ht="14.25" customHeight="1">
      <c r="A113" s="178"/>
      <c r="B113" s="10">
        <v>1779854.0</v>
      </c>
      <c r="C113" s="11">
        <v>45966.90494212963</v>
      </c>
      <c r="D113" s="179" t="s">
        <v>50</v>
      </c>
      <c r="E113" s="180" t="s">
        <v>708</v>
      </c>
      <c r="F113" s="181"/>
      <c r="G113" s="179" t="s">
        <v>7207</v>
      </c>
      <c r="H113" s="190"/>
      <c r="I113" s="190"/>
      <c r="J113" s="187" t="s">
        <v>7208</v>
      </c>
      <c r="K113" s="187"/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IFERROR(__xludf.DUMMYFUNCTION("ifna(VALUE(REGEXEXTRACT(E113,""[0-9.]+[,]+[0-9]+"")))"),8.0)</f>
        <v>8</v>
      </c>
      <c r="O113" s="331"/>
      <c r="P113" s="331"/>
      <c r="Q113" s="331"/>
      <c r="R113" s="331"/>
      <c r="S113" s="331"/>
      <c r="V113" s="279"/>
      <c r="W113" s="185"/>
    </row>
    <row r="114" ht="14.25" customHeight="1">
      <c r="A114" s="178"/>
      <c r="B114" s="10">
        <v>1780090.0</v>
      </c>
      <c r="C114" s="11">
        <v>45966.93150462963</v>
      </c>
      <c r="D114" s="179" t="s">
        <v>50</v>
      </c>
      <c r="E114" s="180" t="s">
        <v>6929</v>
      </c>
      <c r="F114" s="181"/>
      <c r="G114" s="179" t="s">
        <v>6593</v>
      </c>
      <c r="H114" s="190"/>
      <c r="I114" s="190"/>
      <c r="J114" s="187"/>
      <c r="K114" s="187"/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IFERROR(__xludf.DUMMYFUNCTION("ifna(VALUE(REGEXEXTRACT(E114,""[0-9.]+[,]+[0-9]+"")))"),7.5)</f>
        <v>7.5</v>
      </c>
      <c r="O114" s="332"/>
      <c r="P114" s="332"/>
      <c r="Q114" s="332"/>
      <c r="R114" s="332"/>
      <c r="S114" s="332"/>
      <c r="V114" s="281"/>
      <c r="W114" s="185"/>
    </row>
    <row r="115" ht="14.25" customHeight="1">
      <c r="A115" s="178"/>
      <c r="B115" s="10">
        <v>1780091.0</v>
      </c>
      <c r="C115" s="11">
        <v>45966.93172453704</v>
      </c>
      <c r="D115" s="179" t="s">
        <v>50</v>
      </c>
      <c r="E115" s="180" t="s">
        <v>4794</v>
      </c>
      <c r="F115" s="181"/>
      <c r="G115" s="179" t="s">
        <v>7209</v>
      </c>
      <c r="H115" s="190"/>
      <c r="I115" s="190"/>
      <c r="J115" s="187" t="s">
        <v>3746</v>
      </c>
      <c r="K115" s="187" t="s">
        <v>7058</v>
      </c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"),"Caixa Sangria")</f>
        <v>Caixa Sangria</v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IFERROR(__xludf.DUMMYFUNCTION("ifna(VALUE(REGEXEXTRACT(E115,""[0-9.]+[,]+[0-9]+"")))"),750.0)</f>
        <v>750</v>
      </c>
      <c r="O115" s="331"/>
      <c r="P115" s="331"/>
      <c r="Q115" s="331"/>
      <c r="R115" s="331"/>
      <c r="S115" s="331"/>
      <c r="V115" s="279"/>
      <c r="W115" s="185"/>
    </row>
    <row r="116" ht="14.25" customHeight="1">
      <c r="A116" s="178"/>
      <c r="B116" s="10">
        <v>1780108.0</v>
      </c>
      <c r="C116" s="11">
        <v>45966.93413194444</v>
      </c>
      <c r="D116" s="179" t="s">
        <v>50</v>
      </c>
      <c r="E116" s="180" t="s">
        <v>494</v>
      </c>
      <c r="F116" s="181"/>
      <c r="G116" s="179" t="s">
        <v>7210</v>
      </c>
      <c r="H116" s="190"/>
      <c r="I116" s="190"/>
      <c r="J116" s="187"/>
      <c r="K116" s="187"/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IFERROR(__xludf.DUMMYFUNCTION("ifna(VALUE(REGEXEXTRACT(E116,""[0-9.]+[,]+[0-9]+"")))"),0.01)</f>
        <v>0.01</v>
      </c>
      <c r="O116" s="332"/>
      <c r="P116" s="332"/>
      <c r="Q116" s="332"/>
      <c r="R116" s="332"/>
      <c r="S116" s="332"/>
      <c r="V116" s="281"/>
      <c r="W116" s="185"/>
    </row>
    <row r="117" ht="14.25" customHeight="1">
      <c r="A117" s="178"/>
      <c r="B117" s="10">
        <v>1780576.0</v>
      </c>
      <c r="C117" s="11">
        <v>45967.61145833333</v>
      </c>
      <c r="D117" s="179" t="s">
        <v>50</v>
      </c>
      <c r="E117" s="180" t="s">
        <v>7211</v>
      </c>
      <c r="F117" s="181"/>
      <c r="G117" s="179" t="s">
        <v>7212</v>
      </c>
      <c r="H117" s="190"/>
      <c r="I117" s="190"/>
      <c r="J117" s="187" t="s">
        <v>3903</v>
      </c>
      <c r="K117" s="187"/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"""")"),"Encontrada")</f>
        <v>Encontrada</v>
      </c>
      <c r="N117" s="185">
        <f>IFERROR(__xludf.DUMMYFUNCTION("ifna(VALUE(REGEXEXTRACT(E117,""[0-9.]+[,]+[0-9]+"")))"),817.0)</f>
        <v>817</v>
      </c>
      <c r="O117" s="334"/>
      <c r="P117" s="335"/>
      <c r="Q117" s="336"/>
      <c r="R117" s="331"/>
      <c r="S117" s="331"/>
      <c r="V117" s="279"/>
      <c r="W117" s="185"/>
    </row>
    <row r="118" ht="14.25" customHeight="1">
      <c r="A118" s="178"/>
      <c r="B118" s="10">
        <v>1781567.0</v>
      </c>
      <c r="C118" s="11">
        <v>45967.889444444445</v>
      </c>
      <c r="D118" s="179" t="s">
        <v>50</v>
      </c>
      <c r="E118" s="180" t="s">
        <v>205</v>
      </c>
      <c r="F118" s="188"/>
      <c r="G118" s="179" t="s">
        <v>4960</v>
      </c>
      <c r="H118" s="190"/>
      <c r="I118" s="190"/>
      <c r="J118" s="187" t="s">
        <v>3044</v>
      </c>
      <c r="K118" s="187" t="s">
        <v>7058</v>
      </c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IFERROR(__xludf.DUMMYFUNCTION("ifna(VALUE(REGEXEXTRACT(E118,""[0-9.]+[,]+[0-9]+"")))"),10.0)</f>
        <v>10</v>
      </c>
      <c r="O118" s="325"/>
      <c r="P118" s="326"/>
      <c r="Q118" s="337"/>
      <c r="R118" s="332"/>
      <c r="S118" s="332"/>
      <c r="V118" s="281"/>
      <c r="W118" s="185"/>
    </row>
    <row r="119" ht="14.25" customHeight="1">
      <c r="A119" s="178"/>
      <c r="B119" s="10">
        <v>1781823.0</v>
      </c>
      <c r="C119" s="11">
        <v>45967.927303240744</v>
      </c>
      <c r="D119" s="179" t="s">
        <v>50</v>
      </c>
      <c r="E119" s="180" t="s">
        <v>1279</v>
      </c>
      <c r="F119" s="181"/>
      <c r="G119" s="179" t="s">
        <v>7213</v>
      </c>
      <c r="H119" s="190"/>
      <c r="I119" s="190"/>
      <c r="J119" s="187" t="s">
        <v>3746</v>
      </c>
      <c r="K119" s="187" t="s">
        <v>7058</v>
      </c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"),"Caixa Sangria")</f>
        <v>Caixa Sangria</v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IFERROR(__xludf.DUMMYFUNCTION("ifna(VALUE(REGEXEXTRACT(E119,""[0-9.]+[,]+[0-9]+"")))"),600.0)</f>
        <v>600</v>
      </c>
      <c r="O119" s="331"/>
      <c r="P119" s="331"/>
      <c r="Q119" s="331"/>
      <c r="R119" s="331"/>
      <c r="S119" s="331"/>
      <c r="V119" s="279"/>
      <c r="W119" s="185"/>
    </row>
    <row r="120" ht="14.25" customHeight="1">
      <c r="A120" s="178"/>
      <c r="B120" s="10">
        <v>1782946.0</v>
      </c>
      <c r="C120" s="11">
        <v>45968.75482638889</v>
      </c>
      <c r="D120" s="179" t="s">
        <v>227</v>
      </c>
      <c r="E120" s="180" t="s">
        <v>329</v>
      </c>
      <c r="F120" s="181"/>
      <c r="G120" s="179" t="s">
        <v>7190</v>
      </c>
      <c r="H120" s="190"/>
      <c r="I120" s="190"/>
      <c r="J120" s="187" t="s">
        <v>4159</v>
      </c>
      <c r="K120" s="187"/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IFERROR(__xludf.DUMMYFUNCTION("ifna(VALUE(REGEXEXTRACT(E120,""[0-9.]+[,]+[0-9]+"")))"),200.0)</f>
        <v>200</v>
      </c>
      <c r="O120" s="332"/>
      <c r="P120" s="332"/>
      <c r="Q120" s="332"/>
      <c r="R120" s="332"/>
      <c r="S120" s="332"/>
      <c r="V120" s="281"/>
      <c r="W120" s="185"/>
    </row>
    <row r="121" ht="14.25" customHeight="1">
      <c r="A121" s="178"/>
      <c r="B121" s="10">
        <v>1782949.0</v>
      </c>
      <c r="C121" s="11">
        <v>45968.75517361111</v>
      </c>
      <c r="D121" s="179" t="s">
        <v>50</v>
      </c>
      <c r="E121" s="180" t="s">
        <v>6998</v>
      </c>
      <c r="F121" s="181"/>
      <c r="G121" s="179" t="s">
        <v>7214</v>
      </c>
      <c r="H121" s="190"/>
      <c r="I121" s="190"/>
      <c r="J121" s="187" t="s">
        <v>3903</v>
      </c>
      <c r="K121" s="187"/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"""")"),"Encontrada")</f>
        <v>Encontrada</v>
      </c>
      <c r="N121" s="185">
        <f>IFERROR(__xludf.DUMMYFUNCTION("ifna(VALUE(REGEXEXTRACT(E121,""[0-9.]+[,]+[0-9]+"")))"),230.0)</f>
        <v>230</v>
      </c>
      <c r="O121" s="331"/>
      <c r="P121" s="331"/>
      <c r="Q121" s="331"/>
      <c r="R121" s="331"/>
      <c r="S121" s="331"/>
      <c r="V121" s="279"/>
      <c r="W121" s="185"/>
    </row>
    <row r="122" ht="14.25" customHeight="1">
      <c r="A122" s="178"/>
      <c r="B122" s="10">
        <v>1783009.0</v>
      </c>
      <c r="C122" s="11">
        <v>45968.775034722225</v>
      </c>
      <c r="D122" s="179" t="s">
        <v>50</v>
      </c>
      <c r="E122" s="180" t="s">
        <v>6456</v>
      </c>
      <c r="F122" s="188"/>
      <c r="G122" s="179" t="s">
        <v>4960</v>
      </c>
      <c r="H122" s="190"/>
      <c r="I122" s="190"/>
      <c r="J122" s="187" t="s">
        <v>3044</v>
      </c>
      <c r="K122" s="187" t="s">
        <v>7058</v>
      </c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IFERROR(__xludf.DUMMYFUNCTION("ifna(VALUE(REGEXEXTRACT(E122,""[0-9.]+[,]+[0-9]+"")))"),20.06)</f>
        <v>20.06</v>
      </c>
      <c r="O122" s="332"/>
      <c r="P122" s="332"/>
      <c r="Q122" s="332"/>
      <c r="R122" s="332"/>
      <c r="S122" s="332"/>
      <c r="V122" s="281"/>
      <c r="W122" s="185"/>
    </row>
    <row r="123" ht="14.25" customHeight="1">
      <c r="A123" s="178"/>
      <c r="B123" s="10">
        <v>1783266.0</v>
      </c>
      <c r="C123" s="11">
        <v>45968.86164351852</v>
      </c>
      <c r="D123" s="179" t="s">
        <v>50</v>
      </c>
      <c r="E123" s="180" t="s">
        <v>7215</v>
      </c>
      <c r="F123" s="181"/>
      <c r="G123" s="179" t="s">
        <v>7216</v>
      </c>
      <c r="H123" s="190"/>
      <c r="I123" s="190"/>
      <c r="J123" s="187" t="s">
        <v>3903</v>
      </c>
      <c r="K123" s="187"/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185">
        <f>IFERROR(__xludf.DUMMYFUNCTION("ifna(VALUE(REGEXEXTRACT(E123,""[0-9.]+[,]+[0-9]+"")))"),66.0)</f>
        <v>66</v>
      </c>
      <c r="O123" s="331"/>
      <c r="P123" s="331"/>
      <c r="Q123" s="331"/>
      <c r="R123" s="331"/>
      <c r="S123" s="331"/>
      <c r="V123" s="279"/>
      <c r="W123" s="185"/>
    </row>
    <row r="124" ht="14.25" customHeight="1">
      <c r="A124" s="178"/>
      <c r="B124" s="10">
        <v>1784438.0</v>
      </c>
      <c r="C124" s="11">
        <v>45969.68853009259</v>
      </c>
      <c r="D124" s="179" t="s">
        <v>50</v>
      </c>
      <c r="E124" s="180" t="s">
        <v>980</v>
      </c>
      <c r="F124" s="181"/>
      <c r="G124" s="179" t="s">
        <v>7217</v>
      </c>
      <c r="H124" s="190"/>
      <c r="I124" s="190"/>
      <c r="J124" s="187" t="s">
        <v>3467</v>
      </c>
      <c r="K124" s="187"/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IFERROR(__xludf.DUMMYFUNCTION("ifna(VALUE(REGEXEXTRACT(E124,""[0-9.]+[,]+[0-9]+"")))"),31.31)</f>
        <v>31.31</v>
      </c>
      <c r="O124" s="332"/>
      <c r="P124" s="332"/>
      <c r="Q124" s="332"/>
      <c r="R124" s="332"/>
      <c r="S124" s="332"/>
      <c r="V124" s="281"/>
      <c r="W124" s="185"/>
    </row>
    <row r="125" ht="14.25" customHeight="1">
      <c r="A125" s="178"/>
      <c r="B125" s="10">
        <v>1784696.0</v>
      </c>
      <c r="C125" s="11">
        <v>45969.74532407407</v>
      </c>
      <c r="D125" s="179" t="s">
        <v>50</v>
      </c>
      <c r="E125" s="180" t="s">
        <v>7218</v>
      </c>
      <c r="F125" s="181"/>
      <c r="G125" s="179" t="s">
        <v>7219</v>
      </c>
      <c r="H125" s="190"/>
      <c r="I125" s="190"/>
      <c r="J125" s="187" t="s">
        <v>3903</v>
      </c>
      <c r="K125" s="187"/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"""")"),"Encontrada")</f>
        <v>Encontrada</v>
      </c>
      <c r="N125" s="185">
        <f>IFERROR(__xludf.DUMMYFUNCTION("ifna(VALUE(REGEXEXTRACT(E125,""[0-9.]+[,]+[0-9]+"")))"),17.98)</f>
        <v>17.98</v>
      </c>
      <c r="O125" s="331"/>
      <c r="P125" s="331"/>
      <c r="Q125" s="331"/>
      <c r="R125" s="331"/>
      <c r="S125" s="331"/>
      <c r="V125" s="279"/>
      <c r="W125" s="185"/>
    </row>
    <row r="126" ht="16.5" customHeight="1">
      <c r="A126" s="178"/>
      <c r="B126" s="10">
        <v>1784700.0</v>
      </c>
      <c r="C126" s="11">
        <v>45969.74659722222</v>
      </c>
      <c r="D126" s="179" t="s">
        <v>50</v>
      </c>
      <c r="E126" s="180" t="s">
        <v>6654</v>
      </c>
      <c r="F126" s="188"/>
      <c r="G126" s="179" t="s">
        <v>7220</v>
      </c>
      <c r="H126" s="190"/>
      <c r="I126" s="190"/>
      <c r="J126" s="187" t="s">
        <v>3825</v>
      </c>
      <c r="K126" s="187"/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IFERROR(__xludf.DUMMYFUNCTION("ifna(VALUE(REGEXEXTRACT(E126,""[0-9.]+[,]+[0-9]+"")))"),60.0)</f>
        <v>60</v>
      </c>
      <c r="O126" s="332"/>
      <c r="P126" s="332"/>
      <c r="Q126" s="332"/>
      <c r="R126" s="332"/>
      <c r="S126" s="332"/>
      <c r="V126" s="281"/>
      <c r="W126" s="185"/>
    </row>
    <row r="127" ht="18.75" customHeight="1">
      <c r="A127" s="178"/>
      <c r="B127" s="10">
        <v>1784706.0</v>
      </c>
      <c r="C127" s="11">
        <v>45969.748136574075</v>
      </c>
      <c r="D127" s="179" t="s">
        <v>50</v>
      </c>
      <c r="E127" s="180" t="s">
        <v>7221</v>
      </c>
      <c r="F127" s="181"/>
      <c r="G127" s="179" t="s">
        <v>7222</v>
      </c>
      <c r="H127" s="190"/>
      <c r="I127" s="190"/>
      <c r="J127" s="187" t="s">
        <v>3903</v>
      </c>
      <c r="K127" s="187"/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85">
        <f>IFERROR(__xludf.DUMMYFUNCTION("ifna(VALUE(REGEXEXTRACT(E127,""[0-9.]+[,]+[0-9]+"")))"),17.57)</f>
        <v>17.57</v>
      </c>
      <c r="O127" s="331"/>
      <c r="P127" s="331"/>
      <c r="Q127" s="331"/>
      <c r="R127" s="331"/>
      <c r="S127" s="331"/>
      <c r="V127" s="279"/>
      <c r="W127" s="185"/>
    </row>
    <row r="128" ht="17.25" customHeight="1">
      <c r="A128" s="178"/>
      <c r="B128" s="10">
        <v>1784714.0</v>
      </c>
      <c r="C128" s="11">
        <v>45969.74986111111</v>
      </c>
      <c r="D128" s="179" t="s">
        <v>50</v>
      </c>
      <c r="E128" s="180" t="s">
        <v>7223</v>
      </c>
      <c r="F128" s="181"/>
      <c r="G128" s="179" t="s">
        <v>7224</v>
      </c>
      <c r="H128" s="190"/>
      <c r="I128" s="190"/>
      <c r="J128" s="187" t="s">
        <v>3903</v>
      </c>
      <c r="K128" s="187"/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85">
        <f>IFERROR(__xludf.DUMMYFUNCTION("ifna(VALUE(REGEXEXTRACT(E128,""[0-9.]+[,]+[0-9]+"")))"),15.5)</f>
        <v>15.5</v>
      </c>
      <c r="O128" s="332"/>
      <c r="P128" s="332"/>
      <c r="Q128" s="332"/>
      <c r="R128" s="332"/>
      <c r="S128" s="332"/>
      <c r="V128" s="281"/>
      <c r="W128" s="185"/>
    </row>
    <row r="129" ht="17.25" customHeight="1">
      <c r="A129" s="178"/>
      <c r="B129" s="10">
        <v>1784721.0</v>
      </c>
      <c r="C129" s="11">
        <v>45969.75134259259</v>
      </c>
      <c r="D129" s="179" t="s">
        <v>50</v>
      </c>
      <c r="E129" s="180" t="s">
        <v>7225</v>
      </c>
      <c r="F129" s="181"/>
      <c r="G129" s="179" t="s">
        <v>7226</v>
      </c>
      <c r="H129" s="190"/>
      <c r="I129" s="190"/>
      <c r="J129" s="187" t="s">
        <v>3903</v>
      </c>
      <c r="K129" s="187"/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185">
        <f>IFERROR(__xludf.DUMMYFUNCTION("ifna(VALUE(REGEXEXTRACT(E129,""[0-9.]+[,]+[0-9]+"")))"),366.96)</f>
        <v>366.96</v>
      </c>
      <c r="O129" s="331"/>
      <c r="P129" s="331"/>
      <c r="Q129" s="331"/>
      <c r="R129" s="331"/>
      <c r="S129" s="331"/>
      <c r="V129" s="279"/>
      <c r="W129" s="185"/>
    </row>
    <row r="130" ht="14.25" customHeight="1">
      <c r="A130" s="178"/>
      <c r="B130" s="10">
        <v>1784728.0</v>
      </c>
      <c r="C130" s="11">
        <v>45969.75277777778</v>
      </c>
      <c r="D130" s="179" t="s">
        <v>50</v>
      </c>
      <c r="E130" s="180" t="s">
        <v>7227</v>
      </c>
      <c r="F130" s="181"/>
      <c r="G130" s="179" t="s">
        <v>7228</v>
      </c>
      <c r="H130" s="190"/>
      <c r="I130" s="190"/>
      <c r="J130" s="187" t="s">
        <v>3903</v>
      </c>
      <c r="K130" s="187"/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85">
        <f>IFERROR(__xludf.DUMMYFUNCTION("ifna(VALUE(REGEXEXTRACT(E130,""[0-9.]+[,]+[0-9]+"")))"),606.7)</f>
        <v>606.7</v>
      </c>
      <c r="O130" s="332"/>
      <c r="P130" s="332"/>
      <c r="Q130" s="332"/>
      <c r="R130" s="332"/>
      <c r="S130" s="332"/>
      <c r="V130" s="281"/>
      <c r="W130" s="185"/>
    </row>
    <row r="131" ht="14.25" customHeight="1">
      <c r="A131" s="178"/>
      <c r="B131" s="10">
        <v>1784734.0</v>
      </c>
      <c r="C131" s="11">
        <v>45969.75325231482</v>
      </c>
      <c r="D131" s="179" t="s">
        <v>50</v>
      </c>
      <c r="E131" s="180" t="s">
        <v>7229</v>
      </c>
      <c r="F131" s="181"/>
      <c r="G131" s="179" t="s">
        <v>7230</v>
      </c>
      <c r="H131" s="190"/>
      <c r="I131" s="190"/>
      <c r="J131" s="187" t="s">
        <v>3903</v>
      </c>
      <c r="K131" s="187"/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85">
        <f>IFERROR(__xludf.DUMMYFUNCTION("ifna(VALUE(REGEXEXTRACT(E131,""[0-9.]+[,]+[0-9]+"")))"),24.5)</f>
        <v>24.5</v>
      </c>
      <c r="O131" s="331"/>
      <c r="P131" s="331"/>
      <c r="Q131" s="331"/>
      <c r="R131" s="331"/>
      <c r="S131" s="331"/>
      <c r="V131" s="279"/>
      <c r="W131" s="185"/>
    </row>
    <row r="132" ht="14.25" customHeight="1">
      <c r="A132" s="178"/>
      <c r="B132" s="10">
        <v>1786224.0</v>
      </c>
      <c r="C132" s="11">
        <v>45970.57462962963</v>
      </c>
      <c r="D132" s="179" t="s">
        <v>50</v>
      </c>
      <c r="E132" s="180" t="s">
        <v>7231</v>
      </c>
      <c r="F132" s="181"/>
      <c r="G132" s="179" t="s">
        <v>7232</v>
      </c>
      <c r="H132" s="190"/>
      <c r="I132" s="190"/>
      <c r="J132" s="187" t="s">
        <v>3903</v>
      </c>
      <c r="K132" s="187"/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"""")"),"Encontrada")</f>
        <v>Encontrada</v>
      </c>
      <c r="N132" s="185">
        <f>IFERROR(__xludf.DUMMYFUNCTION("ifna(VALUE(REGEXEXTRACT(E132,""[0-9.]+[,]+[0-9]+"")))"),9.95)</f>
        <v>9.95</v>
      </c>
      <c r="O132" s="332"/>
      <c r="P132" s="332"/>
      <c r="Q132" s="332"/>
      <c r="R132" s="332"/>
      <c r="S132" s="332"/>
      <c r="V132" s="281"/>
      <c r="W132" s="185"/>
    </row>
    <row r="133" ht="14.25" customHeight="1">
      <c r="A133" s="178"/>
      <c r="B133" s="10">
        <v>1787363.0</v>
      </c>
      <c r="C133" s="11">
        <v>45970.80987268518</v>
      </c>
      <c r="D133" s="179" t="s">
        <v>50</v>
      </c>
      <c r="E133" s="180" t="s">
        <v>6731</v>
      </c>
      <c r="F133" s="181"/>
      <c r="G133" s="179" t="s">
        <v>7233</v>
      </c>
      <c r="H133" s="190"/>
      <c r="I133" s="190"/>
      <c r="J133" s="187" t="s">
        <v>3466</v>
      </c>
      <c r="K133" s="187"/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IFERROR(__xludf.DUMMYFUNCTION("ifna(VALUE(REGEXEXTRACT(E133,""[0-9.]+[,]+[0-9]+"")))"),100.0)</f>
        <v>100</v>
      </c>
      <c r="O133" s="331"/>
      <c r="P133" s="331"/>
      <c r="Q133" s="331"/>
      <c r="R133" s="331"/>
      <c r="S133" s="331"/>
      <c r="V133" s="279"/>
      <c r="W133" s="185"/>
    </row>
    <row r="134" ht="14.25" customHeight="1">
      <c r="A134" s="178"/>
      <c r="B134" s="10">
        <v>1787369.0</v>
      </c>
      <c r="C134" s="11">
        <v>45970.810636574075</v>
      </c>
      <c r="D134" s="179" t="s">
        <v>227</v>
      </c>
      <c r="E134" s="180" t="s">
        <v>494</v>
      </c>
      <c r="F134" s="181"/>
      <c r="G134" s="179" t="s">
        <v>7234</v>
      </c>
      <c r="H134" s="190"/>
      <c r="I134" s="190"/>
      <c r="J134" s="187" t="s">
        <v>4159</v>
      </c>
      <c r="K134" s="187"/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IFERROR(__xludf.DUMMYFUNCTION("ifna(VALUE(REGEXEXTRACT(E134,""[0-9.]+[,]+[0-9]+"")))"),0.01)</f>
        <v>0.01</v>
      </c>
      <c r="O134" s="332"/>
      <c r="P134" s="332"/>
      <c r="Q134" s="332"/>
      <c r="R134" s="332"/>
      <c r="S134" s="332"/>
      <c r="V134" s="281"/>
      <c r="W134" s="185"/>
    </row>
    <row r="135" ht="14.25" customHeight="1">
      <c r="A135" s="178"/>
      <c r="B135" s="10">
        <v>1787386.0</v>
      </c>
      <c r="C135" s="11">
        <v>45970.81267361111</v>
      </c>
      <c r="D135" s="179" t="s">
        <v>50</v>
      </c>
      <c r="E135" s="180" t="s">
        <v>7235</v>
      </c>
      <c r="F135" s="188"/>
      <c r="G135" s="179" t="s">
        <v>7236</v>
      </c>
      <c r="H135" s="190"/>
      <c r="I135" s="190"/>
      <c r="J135" s="187" t="s">
        <v>3467</v>
      </c>
      <c r="K135" s="187"/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IFERROR(__xludf.DUMMYFUNCTION("ifna(VALUE(REGEXEXTRACT(E135,""[0-9.]+[,]+[0-9]+"")))"),16.87)</f>
        <v>16.87</v>
      </c>
      <c r="O135" s="331"/>
      <c r="P135" s="331"/>
      <c r="Q135" s="331"/>
      <c r="R135" s="331"/>
      <c r="S135" s="331"/>
      <c r="V135" s="279"/>
      <c r="W135" s="185"/>
    </row>
    <row r="136" ht="14.25" customHeight="1">
      <c r="A136" s="178"/>
      <c r="B136" s="10">
        <v>1787764.0</v>
      </c>
      <c r="C136" s="11">
        <v>45970.876493055555</v>
      </c>
      <c r="D136" s="179" t="s">
        <v>50</v>
      </c>
      <c r="E136" s="180" t="s">
        <v>7237</v>
      </c>
      <c r="F136" s="181"/>
      <c r="G136" s="179" t="s">
        <v>7238</v>
      </c>
      <c r="H136" s="190"/>
      <c r="I136" s="190"/>
      <c r="J136" s="187" t="s">
        <v>3825</v>
      </c>
      <c r="K136" s="187"/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IFERROR(__xludf.DUMMYFUNCTION("ifna(VALUE(REGEXEXTRACT(E136,""[0-9.]+[,]+[0-9]+"")))"),113.0)</f>
        <v>113</v>
      </c>
      <c r="O136" s="332"/>
      <c r="P136" s="332"/>
      <c r="Q136" s="332"/>
      <c r="R136" s="332"/>
      <c r="S136" s="332"/>
      <c r="V136" s="281"/>
      <c r="W136" s="185"/>
    </row>
    <row r="137" ht="14.25" customHeight="1">
      <c r="A137" s="178"/>
      <c r="B137" s="10">
        <v>1788139.0</v>
      </c>
      <c r="C137" s="11">
        <v>45970.91775462963</v>
      </c>
      <c r="D137" s="179" t="s">
        <v>50</v>
      </c>
      <c r="E137" s="180" t="s">
        <v>3819</v>
      </c>
      <c r="F137" s="181"/>
      <c r="G137" s="179" t="s">
        <v>7239</v>
      </c>
      <c r="H137" s="190"/>
      <c r="I137" s="190"/>
      <c r="J137" s="187" t="s">
        <v>3825</v>
      </c>
      <c r="K137" s="187"/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IFERROR(__xludf.DUMMYFUNCTION("ifna(VALUE(REGEXEXTRACT(E137,""[0-9.]+[,]+[0-9]+"")))"),110.5)</f>
        <v>110.5</v>
      </c>
      <c r="O137" s="24"/>
      <c r="P137" s="24"/>
      <c r="Q137" s="24"/>
      <c r="R137" s="24"/>
      <c r="S137" s="24"/>
      <c r="T137" s="24"/>
      <c r="U137" s="185"/>
      <c r="V137" s="185"/>
      <c r="W137" s="185"/>
    </row>
    <row r="138" ht="14.25" customHeight="1">
      <c r="A138" s="178"/>
      <c r="B138" s="10">
        <v>1788142.0</v>
      </c>
      <c r="C138" s="11">
        <v>45970.91806712963</v>
      </c>
      <c r="D138" s="179" t="s">
        <v>50</v>
      </c>
      <c r="E138" s="180" t="s">
        <v>7240</v>
      </c>
      <c r="F138" s="181"/>
      <c r="G138" s="179" t="s">
        <v>7241</v>
      </c>
      <c r="H138" s="190"/>
      <c r="I138" s="190"/>
      <c r="J138" s="187" t="s">
        <v>3825</v>
      </c>
      <c r="K138" s="187"/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IFERROR(__xludf.DUMMYFUNCTION("ifna(VALUE(REGEXEXTRACT(E138,""[0-9.]+[,]+[0-9]+"")))"),98.0)</f>
        <v>98</v>
      </c>
      <c r="O138" s="24"/>
      <c r="P138" s="24"/>
      <c r="Q138" s="24"/>
      <c r="R138" s="24"/>
      <c r="S138" s="24"/>
      <c r="T138" s="24"/>
      <c r="U138" s="185"/>
      <c r="V138" s="185"/>
      <c r="W138" s="185"/>
    </row>
    <row r="139" ht="14.25" customHeight="1">
      <c r="A139" s="178"/>
      <c r="B139" s="10">
        <v>1788177.0</v>
      </c>
      <c r="C139" s="11">
        <v>45970.919895833336</v>
      </c>
      <c r="D139" s="179" t="s">
        <v>50</v>
      </c>
      <c r="E139" s="180" t="s">
        <v>7242</v>
      </c>
      <c r="F139" s="181"/>
      <c r="G139" s="179" t="s">
        <v>7243</v>
      </c>
      <c r="H139" s="190"/>
      <c r="I139" s="190"/>
      <c r="J139" s="187" t="s">
        <v>3746</v>
      </c>
      <c r="K139" s="187" t="s">
        <v>2949</v>
      </c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"),"Caixa Sangria")</f>
        <v>Caixa Sangria</v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IFERROR(__xludf.DUMMYFUNCTION("ifna(VALUE(REGEXEXTRACT(E139,""[0-9.]+[,]+[0-9]+"")))"),1450.0)</f>
        <v>1450</v>
      </c>
      <c r="O139" s="185"/>
      <c r="P139" s="185"/>
      <c r="Q139" s="185"/>
      <c r="R139" s="185"/>
      <c r="S139" s="185"/>
      <c r="T139" s="185"/>
      <c r="U139" s="185"/>
      <c r="V139" s="185"/>
      <c r="W139" s="185"/>
    </row>
    <row r="140" ht="14.25" customHeight="1">
      <c r="A140" s="178"/>
      <c r="B140" s="10">
        <v>1788939.0</v>
      </c>
      <c r="C140" s="11">
        <v>45971.52271990741</v>
      </c>
      <c r="D140" s="179" t="s">
        <v>50</v>
      </c>
      <c r="E140" s="180" t="s">
        <v>157</v>
      </c>
      <c r="F140" s="188"/>
      <c r="G140" s="179" t="s">
        <v>7244</v>
      </c>
      <c r="H140" s="190"/>
      <c r="I140" s="190"/>
      <c r="J140" s="187" t="s">
        <v>3044</v>
      </c>
      <c r="K140" s="187" t="s">
        <v>7058</v>
      </c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IFERROR(__xludf.DUMMYFUNCTION("ifna(VALUE(REGEXEXTRACT(E140,""[0-9.]+[,]+[0-9]+"")))"),5.0)</f>
        <v>5</v>
      </c>
      <c r="O140" s="185"/>
      <c r="P140" s="185"/>
      <c r="Q140" s="185"/>
      <c r="R140" s="185"/>
      <c r="S140" s="185"/>
      <c r="T140" s="185"/>
      <c r="U140" s="185"/>
      <c r="V140" s="185"/>
      <c r="W140" s="185"/>
    </row>
    <row r="141" ht="14.25" customHeight="1">
      <c r="A141" s="178"/>
      <c r="B141" s="10">
        <v>1789036.0</v>
      </c>
      <c r="C141" s="11">
        <v>45971.57443287037</v>
      </c>
      <c r="D141" s="179" t="s">
        <v>50</v>
      </c>
      <c r="E141" s="180" t="s">
        <v>205</v>
      </c>
      <c r="F141" s="181"/>
      <c r="G141" s="179" t="s">
        <v>6446</v>
      </c>
      <c r="H141" s="190"/>
      <c r="I141" s="190"/>
      <c r="J141" s="187" t="s">
        <v>3044</v>
      </c>
      <c r="K141" s="187" t="s">
        <v>6664</v>
      </c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IFERROR(__xludf.DUMMYFUNCTION("ifna(VALUE(REGEXEXTRACT(E141,""[0-9.]+[,]+[0-9]+"")))"),10.0)</f>
        <v>10</v>
      </c>
      <c r="O141" s="185"/>
      <c r="P141" s="185"/>
      <c r="Q141" s="185"/>
      <c r="R141" s="185"/>
      <c r="S141" s="185"/>
      <c r="T141" s="185"/>
      <c r="U141" s="185"/>
      <c r="V141" s="185"/>
      <c r="W141" s="185"/>
    </row>
    <row r="142" ht="14.25" customHeight="1">
      <c r="A142" s="178"/>
      <c r="B142" s="10">
        <v>1789041.0</v>
      </c>
      <c r="C142" s="11">
        <v>45971.5753125</v>
      </c>
      <c r="D142" s="179" t="s">
        <v>50</v>
      </c>
      <c r="E142" s="180" t="s">
        <v>246</v>
      </c>
      <c r="F142" s="181"/>
      <c r="G142" s="179" t="s">
        <v>6513</v>
      </c>
      <c r="H142" s="190"/>
      <c r="I142" s="190"/>
      <c r="J142" s="187" t="s">
        <v>3044</v>
      </c>
      <c r="K142" s="187" t="s">
        <v>7052</v>
      </c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IFERROR(__xludf.DUMMYFUNCTION("ifna(VALUE(REGEXEXTRACT(E142,""[0-9.]+[,]+[0-9]+"")))"),4.0)</f>
        <v>4</v>
      </c>
      <c r="O142" s="185"/>
      <c r="P142" s="185"/>
      <c r="Q142" s="185"/>
      <c r="R142" s="185"/>
      <c r="S142" s="185"/>
      <c r="T142" s="185"/>
      <c r="U142" s="185"/>
      <c r="V142" s="185"/>
      <c r="W142" s="185"/>
    </row>
    <row r="143" ht="14.25" customHeight="1">
      <c r="A143" s="178"/>
      <c r="B143" s="10">
        <v>1789335.0</v>
      </c>
      <c r="C143" s="11">
        <v>45971.67175925926</v>
      </c>
      <c r="D143" s="179" t="s">
        <v>50</v>
      </c>
      <c r="E143" s="180" t="s">
        <v>7245</v>
      </c>
      <c r="F143" s="181"/>
      <c r="G143" s="179" t="s">
        <v>7246</v>
      </c>
      <c r="H143" s="190"/>
      <c r="I143" s="190"/>
      <c r="J143" s="187" t="s">
        <v>3467</v>
      </c>
      <c r="K143" s="187"/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IFERROR(__xludf.DUMMYFUNCTION("ifna(VALUE(REGEXEXTRACT(E143,""[0-9.]+[,]+[0-9]+"")))"),62.24)</f>
        <v>62.24</v>
      </c>
      <c r="O143" s="185"/>
      <c r="P143" s="185"/>
      <c r="Q143" s="185"/>
      <c r="R143" s="185"/>
      <c r="S143" s="185"/>
      <c r="T143" s="185"/>
      <c r="U143" s="185"/>
      <c r="V143" s="185"/>
      <c r="W143" s="185"/>
    </row>
    <row r="144" ht="14.25" customHeight="1">
      <c r="A144" s="178"/>
      <c r="B144" s="10">
        <v>1789350.0</v>
      </c>
      <c r="C144" s="11">
        <v>45971.67623842593</v>
      </c>
      <c r="D144" s="179" t="s">
        <v>50</v>
      </c>
      <c r="E144" s="180" t="s">
        <v>1611</v>
      </c>
      <c r="F144" s="188"/>
      <c r="G144" s="179" t="s">
        <v>6513</v>
      </c>
      <c r="H144" s="190"/>
      <c r="I144" s="190"/>
      <c r="J144" s="187" t="s">
        <v>3044</v>
      </c>
      <c r="K144" s="187" t="s">
        <v>7052</v>
      </c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IFERROR(__xludf.DUMMYFUNCTION("ifna(VALUE(REGEXEXTRACT(E144,""[0-9.]+[,]+[0-9]+"")))"),7.0)</f>
        <v>7</v>
      </c>
      <c r="O144" s="185"/>
      <c r="P144" s="185"/>
      <c r="Q144" s="185"/>
      <c r="R144" s="185"/>
      <c r="S144" s="185"/>
      <c r="T144" s="185"/>
      <c r="U144" s="185"/>
      <c r="V144" s="185"/>
      <c r="W144" s="185"/>
    </row>
    <row r="145" ht="14.25" customHeight="1">
      <c r="A145" s="178"/>
      <c r="B145" s="10">
        <v>1790094.0</v>
      </c>
      <c r="C145" s="11">
        <v>45971.88353009259</v>
      </c>
      <c r="D145" s="179" t="s">
        <v>50</v>
      </c>
      <c r="E145" s="180" t="s">
        <v>6652</v>
      </c>
      <c r="F145" s="181"/>
      <c r="G145" s="179" t="s">
        <v>7247</v>
      </c>
      <c r="H145" s="190"/>
      <c r="I145" s="190"/>
      <c r="J145" s="187" t="s">
        <v>3746</v>
      </c>
      <c r="K145" s="187" t="s">
        <v>2949</v>
      </c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"),"Caixa Sangria")</f>
        <v>Caixa Sangria</v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IFERROR(__xludf.DUMMYFUNCTION("ifna(VALUE(REGEXEXTRACT(E145,""[0-9.]+[,]+[0-9]+"")))"),650.0)</f>
        <v>650</v>
      </c>
      <c r="O145" s="185"/>
      <c r="P145" s="185"/>
      <c r="Q145" s="185"/>
      <c r="R145" s="185"/>
      <c r="S145" s="185"/>
      <c r="T145" s="185"/>
      <c r="U145" s="185"/>
      <c r="V145" s="185"/>
      <c r="W145" s="185"/>
    </row>
    <row r="146" ht="16.5" customHeight="1">
      <c r="A146" s="178"/>
      <c r="B146" s="10">
        <v>1791601.0</v>
      </c>
      <c r="C146" s="11">
        <v>45972.78275462963</v>
      </c>
      <c r="D146" s="179" t="s">
        <v>227</v>
      </c>
      <c r="E146" s="180" t="s">
        <v>1228</v>
      </c>
      <c r="F146" s="181"/>
      <c r="G146" s="179" t="s">
        <v>7248</v>
      </c>
      <c r="H146" s="190"/>
      <c r="I146" s="190"/>
      <c r="J146" s="187" t="s">
        <v>4159</v>
      </c>
      <c r="K146" s="187"/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IFERROR(__xludf.DUMMYFUNCTION("ifna(VALUE(REGEXEXTRACT(E146,""[0-9.]+[,]+[0-9]+"")))"),450.0)</f>
        <v>450</v>
      </c>
      <c r="O146" s="185"/>
      <c r="P146" s="185"/>
      <c r="Q146" s="185"/>
      <c r="R146" s="185"/>
      <c r="S146" s="185"/>
      <c r="T146" s="185"/>
      <c r="U146" s="185"/>
      <c r="V146" s="185"/>
      <c r="W146" s="185"/>
    </row>
    <row r="147" ht="14.25" customHeight="1">
      <c r="A147" s="178"/>
      <c r="B147" s="10">
        <v>1791604.0</v>
      </c>
      <c r="C147" s="11">
        <v>45972.78327546296</v>
      </c>
      <c r="D147" s="179" t="s">
        <v>50</v>
      </c>
      <c r="E147" s="180" t="s">
        <v>1228</v>
      </c>
      <c r="F147" s="188"/>
      <c r="G147" s="179" t="s">
        <v>7249</v>
      </c>
      <c r="H147" s="190"/>
      <c r="I147" s="190"/>
      <c r="J147" s="187" t="s">
        <v>3903</v>
      </c>
      <c r="K147" s="187"/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85">
        <f>IFERROR(__xludf.DUMMYFUNCTION("ifna(VALUE(REGEXEXTRACT(E147,""[0-9.]+[,]+[0-9]+"")))"),450.0)</f>
        <v>450</v>
      </c>
      <c r="O147" s="185"/>
      <c r="P147" s="185"/>
      <c r="Q147" s="185"/>
      <c r="R147" s="185"/>
      <c r="S147" s="185"/>
      <c r="T147" s="185"/>
      <c r="U147" s="185"/>
      <c r="V147" s="185"/>
      <c r="W147" s="185"/>
    </row>
    <row r="148" ht="14.25" customHeight="1">
      <c r="A148" s="178"/>
      <c r="B148" s="10">
        <v>1791665.0</v>
      </c>
      <c r="C148" s="11">
        <v>45972.80400462963</v>
      </c>
      <c r="D148" s="179" t="s">
        <v>50</v>
      </c>
      <c r="E148" s="180" t="s">
        <v>7160</v>
      </c>
      <c r="F148" s="181"/>
      <c r="G148" s="179" t="s">
        <v>4960</v>
      </c>
      <c r="H148" s="190"/>
      <c r="I148" s="190"/>
      <c r="J148" s="187" t="s">
        <v>3044</v>
      </c>
      <c r="K148" s="187" t="s">
        <v>7058</v>
      </c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IFERROR(__xludf.DUMMYFUNCTION("ifna(VALUE(REGEXEXTRACT(E148,""[0-9.]+[,]+[0-9]+"")))"),16.23)</f>
        <v>16.23</v>
      </c>
      <c r="O148" s="185"/>
      <c r="P148" s="185"/>
      <c r="Q148" s="185"/>
      <c r="R148" s="185"/>
      <c r="S148" s="185"/>
      <c r="T148" s="185"/>
      <c r="U148" s="185"/>
      <c r="V148" s="185"/>
      <c r="W148" s="185"/>
    </row>
    <row r="149" ht="14.25" customHeight="1">
      <c r="A149" s="178"/>
      <c r="B149" s="10">
        <v>1792266.0</v>
      </c>
      <c r="C149" s="11">
        <v>45972.94211805556</v>
      </c>
      <c r="D149" s="179" t="s">
        <v>50</v>
      </c>
      <c r="E149" s="180" t="s">
        <v>6531</v>
      </c>
      <c r="F149" s="181"/>
      <c r="G149" s="179" t="s">
        <v>7250</v>
      </c>
      <c r="H149" s="190"/>
      <c r="I149" s="190"/>
      <c r="J149" s="187" t="s">
        <v>3044</v>
      </c>
      <c r="K149" s="187" t="s">
        <v>6340</v>
      </c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IFERROR(__xludf.DUMMYFUNCTION("ifna(VALUE(REGEXEXTRACT(E149,""[0-9.]+[,]+[0-9]+"")))"),41.8)</f>
        <v>41.8</v>
      </c>
      <c r="O149" s="185"/>
      <c r="P149" s="185"/>
      <c r="Q149" s="185"/>
      <c r="R149" s="185"/>
      <c r="S149" s="185"/>
      <c r="T149" s="185"/>
      <c r="U149" s="185"/>
      <c r="V149" s="185"/>
      <c r="W149" s="185"/>
    </row>
    <row r="150" ht="14.25" customHeight="1">
      <c r="A150" s="178"/>
      <c r="B150" s="10">
        <v>1792277.0</v>
      </c>
      <c r="C150" s="11">
        <v>45972.94405092593</v>
      </c>
      <c r="D150" s="179" t="s">
        <v>50</v>
      </c>
      <c r="E150" s="180" t="s">
        <v>1158</v>
      </c>
      <c r="F150" s="188"/>
      <c r="G150" s="179" t="s">
        <v>7251</v>
      </c>
      <c r="H150" s="190"/>
      <c r="I150" s="190"/>
      <c r="J150" s="187" t="s">
        <v>3746</v>
      </c>
      <c r="K150" s="187" t="s">
        <v>3040</v>
      </c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"),"Caixa Sangria")</f>
        <v>Caixa Sangria</v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IFERROR(__xludf.DUMMYFUNCTION("ifna(VALUE(REGEXEXTRACT(E150,""[0-9.]+[,]+[0-9]+"")))"),800.0)</f>
        <v>800</v>
      </c>
      <c r="O150" s="185"/>
      <c r="P150" s="185"/>
      <c r="Q150" s="185"/>
      <c r="R150" s="185"/>
      <c r="S150" s="185"/>
      <c r="T150" s="185"/>
      <c r="U150" s="185"/>
      <c r="V150" s="185"/>
      <c r="W150" s="185"/>
    </row>
    <row r="151" ht="14.25" customHeight="1">
      <c r="A151" s="178"/>
      <c r="B151" s="10">
        <v>1792818.0</v>
      </c>
      <c r="C151" s="11">
        <v>45973.65122685185</v>
      </c>
      <c r="D151" s="179" t="s">
        <v>50</v>
      </c>
      <c r="E151" s="180" t="s">
        <v>583</v>
      </c>
      <c r="F151" s="181"/>
      <c r="G151" s="179" t="s">
        <v>7252</v>
      </c>
      <c r="H151" s="190"/>
      <c r="I151" s="190"/>
      <c r="J151" s="187" t="s">
        <v>3467</v>
      </c>
      <c r="K151" s="187"/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IFERROR(__xludf.DUMMYFUNCTION("ifna(VALUE(REGEXEXTRACT(E151,""[0-9.]+[,]+[0-9]+"")))"),14.44)</f>
        <v>14.44</v>
      </c>
      <c r="O151" s="185"/>
      <c r="P151" s="185"/>
      <c r="Q151" s="185"/>
      <c r="R151" s="185"/>
      <c r="S151" s="185"/>
      <c r="T151" s="185"/>
      <c r="U151" s="185"/>
      <c r="V151" s="185"/>
      <c r="W151" s="185"/>
    </row>
    <row r="152" ht="14.25" customHeight="1">
      <c r="A152" s="178"/>
      <c r="B152" s="10">
        <v>1792857.0</v>
      </c>
      <c r="C152" s="11">
        <v>45973.661875</v>
      </c>
      <c r="D152" s="179" t="s">
        <v>50</v>
      </c>
      <c r="E152" s="180" t="s">
        <v>7253</v>
      </c>
      <c r="F152" s="181"/>
      <c r="G152" s="179" t="s">
        <v>7254</v>
      </c>
      <c r="H152" s="190"/>
      <c r="I152" s="190"/>
      <c r="J152" s="187" t="s">
        <v>3903</v>
      </c>
      <c r="K152" s="187"/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185">
        <f>IFERROR(__xludf.DUMMYFUNCTION("ifna(VALUE(REGEXEXTRACT(E152,""[0-9.]+[,]+[0-9]+"")))"),250.44)</f>
        <v>250.44</v>
      </c>
      <c r="O152" s="185"/>
      <c r="P152" s="185"/>
      <c r="Q152" s="185"/>
      <c r="R152" s="185"/>
      <c r="S152" s="185"/>
      <c r="T152" s="185"/>
      <c r="U152" s="185"/>
      <c r="V152" s="185"/>
      <c r="W152" s="185"/>
    </row>
    <row r="153" ht="14.25" customHeight="1">
      <c r="A153" s="178"/>
      <c r="B153" s="10">
        <v>1792879.0</v>
      </c>
      <c r="C153" s="11">
        <v>45973.66673611111</v>
      </c>
      <c r="D153" s="179" t="s">
        <v>50</v>
      </c>
      <c r="E153" s="180" t="s">
        <v>1698</v>
      </c>
      <c r="F153" s="181"/>
      <c r="G153" s="179" t="s">
        <v>7255</v>
      </c>
      <c r="H153" s="190"/>
      <c r="I153" s="190"/>
      <c r="J153" s="187" t="s">
        <v>3467</v>
      </c>
      <c r="K153" s="187"/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IFERROR(__xludf.DUMMYFUNCTION("ifna(VALUE(REGEXEXTRACT(E153,""[0-9.]+[,]+[0-9]+"")))"),13.67)</f>
        <v>13.67</v>
      </c>
      <c r="O153" s="185"/>
      <c r="P153" s="185"/>
      <c r="Q153" s="185"/>
      <c r="R153" s="185"/>
      <c r="S153" s="185"/>
      <c r="T153" s="185"/>
      <c r="U153" s="185"/>
      <c r="V153" s="185"/>
      <c r="W153" s="185"/>
    </row>
    <row r="154" ht="14.25" customHeight="1">
      <c r="A154" s="178"/>
      <c r="B154" s="10">
        <v>1793324.0</v>
      </c>
      <c r="C154" s="11">
        <v>45973.7859375</v>
      </c>
      <c r="D154" s="179" t="s">
        <v>50</v>
      </c>
      <c r="E154" s="180" t="s">
        <v>7149</v>
      </c>
      <c r="F154" s="188"/>
      <c r="G154" s="179" t="s">
        <v>4690</v>
      </c>
      <c r="H154" s="190"/>
      <c r="I154" s="190"/>
      <c r="J154" s="187" t="s">
        <v>3044</v>
      </c>
      <c r="K154" s="187" t="s">
        <v>7058</v>
      </c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IFERROR(__xludf.DUMMYFUNCTION("ifna(VALUE(REGEXEXTRACT(E154,""[0-9.]+[,]+[0-9]+"")))"),18.91)</f>
        <v>18.91</v>
      </c>
      <c r="O154" s="185"/>
      <c r="P154" s="185"/>
      <c r="Q154" s="185"/>
      <c r="R154" s="185"/>
      <c r="S154" s="185"/>
      <c r="T154" s="185"/>
      <c r="U154" s="185"/>
      <c r="V154" s="185"/>
      <c r="W154" s="185"/>
    </row>
    <row r="155" ht="14.25" customHeight="1">
      <c r="A155" s="178"/>
      <c r="B155" s="10">
        <v>1794635.0</v>
      </c>
      <c r="C155" s="11">
        <v>45974.68761574074</v>
      </c>
      <c r="D155" s="179" t="s">
        <v>50</v>
      </c>
      <c r="E155" s="180" t="s">
        <v>246</v>
      </c>
      <c r="F155" s="181"/>
      <c r="G155" s="179" t="s">
        <v>7256</v>
      </c>
      <c r="H155" s="190"/>
      <c r="I155" s="190"/>
      <c r="J155" s="187" t="s">
        <v>3044</v>
      </c>
      <c r="K155" s="187" t="s">
        <v>7058</v>
      </c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IFERROR(__xludf.DUMMYFUNCTION("ifna(VALUE(REGEXEXTRACT(E155,""[0-9.]+[,]+[0-9]+"")))"),4.0)</f>
        <v>4</v>
      </c>
      <c r="O155" s="185"/>
      <c r="P155" s="185"/>
      <c r="Q155" s="185"/>
      <c r="R155" s="185"/>
      <c r="S155" s="185"/>
      <c r="T155" s="185"/>
      <c r="U155" s="185"/>
      <c r="V155" s="185"/>
      <c r="W155" s="185"/>
    </row>
    <row r="156" ht="14.25" customHeight="1">
      <c r="A156" s="178"/>
      <c r="B156" s="10">
        <v>1794640.0</v>
      </c>
      <c r="C156" s="11">
        <v>45974.68800925926</v>
      </c>
      <c r="D156" s="179" t="s">
        <v>50</v>
      </c>
      <c r="E156" s="180" t="s">
        <v>157</v>
      </c>
      <c r="F156" s="188"/>
      <c r="G156" s="179" t="s">
        <v>7257</v>
      </c>
      <c r="H156" s="190"/>
      <c r="I156" s="190"/>
      <c r="J156" s="187" t="s">
        <v>3044</v>
      </c>
      <c r="K156" s="187" t="s">
        <v>6340</v>
      </c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IFERROR(__xludf.DUMMYFUNCTION("ifna(VALUE(REGEXEXTRACT(E156,""[0-9.]+[,]+[0-9]+"")))"),5.0)</f>
        <v>5</v>
      </c>
      <c r="O156" s="185"/>
      <c r="P156" s="185"/>
      <c r="Q156" s="185"/>
      <c r="R156" s="185"/>
      <c r="S156" s="185"/>
      <c r="T156" s="185"/>
      <c r="U156" s="185"/>
      <c r="V156" s="185"/>
      <c r="W156" s="185"/>
    </row>
    <row r="157" ht="14.25" customHeight="1">
      <c r="A157" s="178"/>
      <c r="B157" s="10">
        <v>1795381.0</v>
      </c>
      <c r="C157" s="11">
        <v>45974.91473379629</v>
      </c>
      <c r="D157" s="179" t="s">
        <v>50</v>
      </c>
      <c r="E157" s="180" t="s">
        <v>6739</v>
      </c>
      <c r="F157" s="181"/>
      <c r="G157" s="179" t="s">
        <v>7258</v>
      </c>
      <c r="H157" s="190"/>
      <c r="I157" s="190"/>
      <c r="J157" s="187" t="s">
        <v>3746</v>
      </c>
      <c r="K157" s="187" t="s">
        <v>7058</v>
      </c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"),"Caixa Sangria")</f>
        <v>Caixa Sangria</v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IFERROR(__xludf.DUMMYFUNCTION("ifna(VALUE(REGEXEXTRACT(E157,""[0-9.]+[,]+[0-9]+"")))"),350.0)</f>
        <v>350</v>
      </c>
      <c r="O157" s="185"/>
      <c r="P157" s="185"/>
      <c r="Q157" s="185"/>
      <c r="R157" s="185"/>
      <c r="S157" s="185"/>
      <c r="T157" s="185"/>
      <c r="U157" s="185"/>
      <c r="V157" s="185"/>
      <c r="W157" s="185"/>
    </row>
    <row r="158" ht="19.5" customHeight="1">
      <c r="A158" s="178"/>
      <c r="B158" s="10">
        <v>1795483.0</v>
      </c>
      <c r="C158" s="11">
        <v>45974.92550925926</v>
      </c>
      <c r="D158" s="179" t="s">
        <v>50</v>
      </c>
      <c r="E158" s="180" t="s">
        <v>6479</v>
      </c>
      <c r="F158" s="188"/>
      <c r="G158" s="179" t="s">
        <v>7258</v>
      </c>
      <c r="H158" s="190"/>
      <c r="I158" s="190"/>
      <c r="J158" s="187" t="s">
        <v>3746</v>
      </c>
      <c r="K158" s="187" t="s">
        <v>7058</v>
      </c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"),"Caixa Sangria")</f>
        <v>Caixa Sangria</v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IFERROR(__xludf.DUMMYFUNCTION("ifna(VALUE(REGEXEXTRACT(E158,""[0-9.]+[,]+[0-9]+"")))"),300.0)</f>
        <v>300</v>
      </c>
      <c r="O158" s="185"/>
      <c r="P158" s="185"/>
      <c r="Q158" s="185"/>
      <c r="R158" s="185"/>
      <c r="S158" s="185"/>
      <c r="T158" s="185"/>
      <c r="U158" s="185"/>
      <c r="V158" s="185"/>
      <c r="W158" s="185"/>
    </row>
    <row r="159" ht="18.75" customHeight="1">
      <c r="A159" s="178"/>
      <c r="B159" s="10">
        <v>1795826.0</v>
      </c>
      <c r="C159" s="11">
        <v>45975.517476851855</v>
      </c>
      <c r="D159" s="179" t="s">
        <v>50</v>
      </c>
      <c r="E159" s="180" t="s">
        <v>157</v>
      </c>
      <c r="F159" s="181"/>
      <c r="G159" s="179" t="s">
        <v>4960</v>
      </c>
      <c r="H159" s="190"/>
      <c r="I159" s="190"/>
      <c r="J159" s="187" t="s">
        <v>3044</v>
      </c>
      <c r="K159" s="187" t="s">
        <v>7058</v>
      </c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IFERROR(__xludf.DUMMYFUNCTION("ifna(VALUE(REGEXEXTRACT(E159,""[0-9.]+[,]+[0-9]+"")))"),5.0)</f>
        <v>5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</row>
    <row r="160" ht="16.5" customHeight="1">
      <c r="A160" s="178"/>
      <c r="B160" s="10">
        <v>1795828.0</v>
      </c>
      <c r="C160" s="11">
        <v>45975.51788194444</v>
      </c>
      <c r="D160" s="179" t="s">
        <v>50</v>
      </c>
      <c r="E160" s="180" t="s">
        <v>157</v>
      </c>
      <c r="F160" s="181"/>
      <c r="G160" s="179" t="s">
        <v>6446</v>
      </c>
      <c r="H160" s="190"/>
      <c r="I160" s="190"/>
      <c r="J160" s="187" t="s">
        <v>3044</v>
      </c>
      <c r="K160" s="187" t="s">
        <v>6664</v>
      </c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IFERROR(__xludf.DUMMYFUNCTION("ifna(VALUE(REGEXEXTRACT(E160,""[0-9.]+[,]+[0-9]+"")))"),5.0)</f>
        <v>5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6.5" customHeight="1">
      <c r="A161" s="178"/>
      <c r="B161" s="10">
        <v>1797332.0</v>
      </c>
      <c r="C161" s="11">
        <v>45975.92717592593</v>
      </c>
      <c r="D161" s="179" t="s">
        <v>50</v>
      </c>
      <c r="E161" s="180" t="s">
        <v>6700</v>
      </c>
      <c r="F161" s="181"/>
      <c r="G161" s="179" t="s">
        <v>7259</v>
      </c>
      <c r="H161" s="190"/>
      <c r="I161" s="190"/>
      <c r="J161" s="187" t="s">
        <v>3746</v>
      </c>
      <c r="K161" s="187" t="s">
        <v>2949</v>
      </c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"),"Caixa Sangria")</f>
        <v>Caixa Sangria</v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IFERROR(__xludf.DUMMYFUNCTION("ifna(VALUE(REGEXEXTRACT(E161,""[0-9.]+[,]+[0-9]+"")))"),400.0)</f>
        <v>400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0">
        <v>1797338.0</v>
      </c>
      <c r="C162" s="11">
        <v>45975.927511574075</v>
      </c>
      <c r="D162" s="179" t="s">
        <v>50</v>
      </c>
      <c r="E162" s="180" t="s">
        <v>194</v>
      </c>
      <c r="F162" s="181"/>
      <c r="G162" s="179" t="s">
        <v>7260</v>
      </c>
      <c r="H162" s="190"/>
      <c r="I162" s="190"/>
      <c r="J162" s="187" t="s">
        <v>3903</v>
      </c>
      <c r="K162" s="187"/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185">
        <f>IFERROR(__xludf.DUMMYFUNCTION("ifna(VALUE(REGEXEXTRACT(E162,""[0-9.]+[,]+[0-9]+"")))"),250.0)</f>
        <v>250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0">
        <v>1797895.0</v>
      </c>
      <c r="C163" s="11">
        <v>45976.56303240741</v>
      </c>
      <c r="D163" s="179" t="s">
        <v>50</v>
      </c>
      <c r="E163" s="180" t="s">
        <v>157</v>
      </c>
      <c r="F163" s="181"/>
      <c r="G163" s="179" t="s">
        <v>6513</v>
      </c>
      <c r="H163" s="190"/>
      <c r="I163" s="190"/>
      <c r="J163" s="187" t="s">
        <v>3044</v>
      </c>
      <c r="K163" s="187" t="s">
        <v>7052</v>
      </c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>
        <f>IFERROR(__xludf.DUMMYFUNCTION("ifna(VALUE(REGEXEXTRACT(E163,""[0-9.]+[,]+[0-9]+"")))"),5.0)</f>
        <v>5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0">
        <v>1797897.0</v>
      </c>
      <c r="C164" s="11">
        <v>45976.56337962963</v>
      </c>
      <c r="D164" s="179" t="s">
        <v>50</v>
      </c>
      <c r="E164" s="180" t="s">
        <v>157</v>
      </c>
      <c r="F164" s="181"/>
      <c r="G164" s="179" t="s">
        <v>6446</v>
      </c>
      <c r="H164" s="190"/>
      <c r="I164" s="190"/>
      <c r="J164" s="187" t="s">
        <v>3044</v>
      </c>
      <c r="K164" s="187" t="s">
        <v>6664</v>
      </c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IFERROR(__xludf.DUMMYFUNCTION("ifna(VALUE(REGEXEXTRACT(E164,""[0-9.]+[,]+[0-9]+"")))"),5.0)</f>
        <v>5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0">
        <v>1798068.0</v>
      </c>
      <c r="C165" s="11">
        <v>45976.63193287037</v>
      </c>
      <c r="D165" s="179" t="s">
        <v>50</v>
      </c>
      <c r="E165" s="180" t="s">
        <v>7261</v>
      </c>
      <c r="F165" s="181"/>
      <c r="G165" s="179" t="s">
        <v>7262</v>
      </c>
      <c r="H165" s="190"/>
      <c r="I165" s="190"/>
      <c r="J165" s="187" t="s">
        <v>3903</v>
      </c>
      <c r="K165" s="187"/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"""")"),"Encontrada")</f>
        <v>Encontrada</v>
      </c>
      <c r="N165" s="185">
        <f>IFERROR(__xludf.DUMMYFUNCTION("ifna(VALUE(REGEXEXTRACT(E165,""[0-9.]+[,]+[0-9]+"")))"),16.9)</f>
        <v>16.9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0">
        <v>1799542.0</v>
      </c>
      <c r="C166" s="11">
        <v>45976.91546296296</v>
      </c>
      <c r="D166" s="179" t="s">
        <v>50</v>
      </c>
      <c r="E166" s="180" t="s">
        <v>4019</v>
      </c>
      <c r="F166" s="181"/>
      <c r="G166" s="179" t="s">
        <v>7263</v>
      </c>
      <c r="H166" s="190"/>
      <c r="I166" s="190"/>
      <c r="J166" s="187" t="s">
        <v>3825</v>
      </c>
      <c r="K166" s="187"/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>
        <f>IFERROR(__xludf.DUMMYFUNCTION("ifna(VALUE(REGEXEXTRACT(E166,""[0-9.]+[,]+[0-9]+"")))"),117.0)</f>
        <v>117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0">
        <v>1799554.0</v>
      </c>
      <c r="C167" s="11">
        <v>45976.916180555556</v>
      </c>
      <c r="D167" s="179" t="s">
        <v>50</v>
      </c>
      <c r="E167" s="180" t="s">
        <v>4019</v>
      </c>
      <c r="F167" s="181"/>
      <c r="G167" s="179" t="s">
        <v>7264</v>
      </c>
      <c r="H167" s="190"/>
      <c r="I167" s="190"/>
      <c r="J167" s="187" t="s">
        <v>3825</v>
      </c>
      <c r="K167" s="187"/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>
        <f>IFERROR(__xludf.DUMMYFUNCTION("ifna(VALUE(REGEXEXTRACT(E167,""[0-9.]+[,]+[0-9]+"")))"),117.0)</f>
        <v>117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0">
        <v>1799605.0</v>
      </c>
      <c r="C168" s="11">
        <v>45976.920636574076</v>
      </c>
      <c r="D168" s="179" t="s">
        <v>50</v>
      </c>
      <c r="E168" s="180" t="s">
        <v>7265</v>
      </c>
      <c r="F168" s="181"/>
      <c r="G168" s="179" t="s">
        <v>7266</v>
      </c>
      <c r="H168" s="190"/>
      <c r="I168" s="190"/>
      <c r="J168" s="187" t="s">
        <v>3746</v>
      </c>
      <c r="K168" s="187" t="s">
        <v>7058</v>
      </c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"),"Caixa Sangria")</f>
        <v>Caixa Sangria</v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>
        <f>IFERROR(__xludf.DUMMYFUNCTION("ifna(VALUE(REGEXEXTRACT(E168,""[0-9.]+[,]+[0-9]+"")))"),1400.0)</f>
        <v>1400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0">
        <v>1799697.0</v>
      </c>
      <c r="C169" s="11">
        <v>45976.92702546297</v>
      </c>
      <c r="D169" s="179" t="s">
        <v>50</v>
      </c>
      <c r="E169" s="180" t="s">
        <v>7267</v>
      </c>
      <c r="F169" s="181"/>
      <c r="G169" s="179" t="s">
        <v>4960</v>
      </c>
      <c r="H169" s="190"/>
      <c r="I169" s="190"/>
      <c r="J169" s="187" t="s">
        <v>3044</v>
      </c>
      <c r="K169" s="187" t="s">
        <v>7058</v>
      </c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>
        <f>IFERROR(__xludf.DUMMYFUNCTION("ifna(VALUE(REGEXEXTRACT(E169,""[0-9.]+[,]+[0-9]+"")))"),28.5)</f>
        <v>28.5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0">
        <v>1802163.0</v>
      </c>
      <c r="C170" s="11">
        <v>45977.91599537037</v>
      </c>
      <c r="D170" s="179" t="s">
        <v>50</v>
      </c>
      <c r="E170" s="180" t="s">
        <v>7268</v>
      </c>
      <c r="F170" s="181"/>
      <c r="G170" s="179" t="s">
        <v>7269</v>
      </c>
      <c r="H170" s="190"/>
      <c r="I170" s="190"/>
      <c r="J170" s="187" t="s">
        <v>3467</v>
      </c>
      <c r="K170" s="187" t="s">
        <v>3040</v>
      </c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>
        <f>IFERROR(__xludf.DUMMYFUNCTION("ifna(VALUE(REGEXEXTRACT(E170,""[0-9.]+[,]+[0-9]+"")))"),58.02)</f>
        <v>58.02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0">
        <v>1802239.0</v>
      </c>
      <c r="C171" s="11">
        <v>45977.92024305555</v>
      </c>
      <c r="D171" s="179" t="s">
        <v>50</v>
      </c>
      <c r="E171" s="180" t="s">
        <v>6612</v>
      </c>
      <c r="F171" s="181"/>
      <c r="G171" s="179" t="s">
        <v>7270</v>
      </c>
      <c r="H171" s="190"/>
      <c r="I171" s="190"/>
      <c r="J171" s="187" t="s">
        <v>3746</v>
      </c>
      <c r="K171" s="187" t="s">
        <v>7052</v>
      </c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"),"Caixa Sangria")</f>
        <v>Caixa Sangria</v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IFERROR(__xludf.DUMMYFUNCTION("ifna(VALUE(REGEXEXTRACT(E171,""[0-9.]+[,]+[0-9]+"")))"),2000.0)</f>
        <v>2000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0">
        <v>1802250.0</v>
      </c>
      <c r="C172" s="11">
        <v>45977.9206712963</v>
      </c>
      <c r="D172" s="179" t="s">
        <v>50</v>
      </c>
      <c r="E172" s="180" t="s">
        <v>719</v>
      </c>
      <c r="F172" s="181"/>
      <c r="G172" s="179" t="s">
        <v>7271</v>
      </c>
      <c r="H172" s="190"/>
      <c r="I172" s="190"/>
      <c r="J172" s="187" t="s">
        <v>3746</v>
      </c>
      <c r="K172" s="187" t="s">
        <v>7052</v>
      </c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"),"Depositada")</f>
        <v>Depositada</v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IFERROR(__xludf.DUMMYFUNCTION("ifna(VALUE(REGEXEXTRACT(E172,""[0-9.]+[,]+[0-9]+"")))"),500.0)</f>
        <v>500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0">
        <v>1802259.0</v>
      </c>
      <c r="C173" s="11">
        <v>45977.92108796296</v>
      </c>
      <c r="D173" s="179" t="s">
        <v>50</v>
      </c>
      <c r="E173" s="180" t="s">
        <v>205</v>
      </c>
      <c r="F173" s="188"/>
      <c r="G173" s="179" t="s">
        <v>7272</v>
      </c>
      <c r="H173" s="190"/>
      <c r="I173" s="190"/>
      <c r="J173" s="187" t="s">
        <v>3044</v>
      </c>
      <c r="K173" s="187" t="s">
        <v>6664</v>
      </c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IFERROR(__xludf.DUMMYFUNCTION("ifna(VALUE(REGEXEXTRACT(E173,""[0-9.]+[,]+[0-9]+"")))"),10.0)</f>
        <v>10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0">
        <v>1802371.0</v>
      </c>
      <c r="C174" s="11">
        <v>45977.929930555554</v>
      </c>
      <c r="D174" s="179" t="s">
        <v>50</v>
      </c>
      <c r="E174" s="180" t="s">
        <v>3819</v>
      </c>
      <c r="F174" s="181"/>
      <c r="G174" s="179" t="s">
        <v>7273</v>
      </c>
      <c r="H174" s="190"/>
      <c r="I174" s="190"/>
      <c r="J174" s="187" t="s">
        <v>3825</v>
      </c>
      <c r="K174" s="187"/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IFERROR(__xludf.DUMMYFUNCTION("ifna(VALUE(REGEXEXTRACT(E174,""[0-9.]+[,]+[0-9]+"")))"),110.5)</f>
        <v>110.5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0">
        <v>1802378.0</v>
      </c>
      <c r="C175" s="11">
        <v>45977.930497685185</v>
      </c>
      <c r="D175" s="179" t="s">
        <v>50</v>
      </c>
      <c r="E175" s="180" t="s">
        <v>4019</v>
      </c>
      <c r="F175" s="181"/>
      <c r="G175" s="179" t="s">
        <v>7274</v>
      </c>
      <c r="H175" s="190"/>
      <c r="I175" s="190"/>
      <c r="J175" s="187" t="s">
        <v>3825</v>
      </c>
      <c r="K175" s="187"/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>
        <f>IFERROR(__xludf.DUMMYFUNCTION("ifna(VALUE(REGEXEXTRACT(E175,""[0-9.]+[,]+[0-9]+"")))"),117.0)</f>
        <v>117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0">
        <v>1803437.0</v>
      </c>
      <c r="C176" s="11">
        <v>45978.69070601852</v>
      </c>
      <c r="D176" s="179" t="s">
        <v>50</v>
      </c>
      <c r="E176" s="180" t="s">
        <v>157</v>
      </c>
      <c r="F176" s="181"/>
      <c r="G176" s="179" t="s">
        <v>4960</v>
      </c>
      <c r="H176" s="190"/>
      <c r="I176" s="190"/>
      <c r="J176" s="187" t="s">
        <v>3044</v>
      </c>
      <c r="K176" s="187" t="s">
        <v>7058</v>
      </c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IFERROR(__xludf.DUMMYFUNCTION("ifna(VALUE(REGEXEXTRACT(E176,""[0-9.]+[,]+[0-9]+"")))"),5.0)</f>
        <v>5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0">
        <v>1803636.0</v>
      </c>
      <c r="C177" s="11">
        <v>45978.74542824074</v>
      </c>
      <c r="D177" s="179" t="s">
        <v>50</v>
      </c>
      <c r="E177" s="180" t="s">
        <v>7183</v>
      </c>
      <c r="F177" s="181"/>
      <c r="G177" s="179" t="s">
        <v>7275</v>
      </c>
      <c r="H177" s="190"/>
      <c r="I177" s="190"/>
      <c r="J177" s="187" t="s">
        <v>3903</v>
      </c>
      <c r="K177" s="187"/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"""")"),"Encontrada")</f>
        <v>Encontrada</v>
      </c>
      <c r="N177" s="185">
        <f>IFERROR(__xludf.DUMMYFUNCTION("ifna(VALUE(REGEXEXTRACT(E177,""[0-9.]+[,]+[0-9]+"")))"),62.4)</f>
        <v>62.4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0">
        <v>1803637.0</v>
      </c>
      <c r="C178" s="11">
        <v>45978.745671296296</v>
      </c>
      <c r="D178" s="179" t="s">
        <v>50</v>
      </c>
      <c r="E178" s="180" t="s">
        <v>7276</v>
      </c>
      <c r="F178" s="188"/>
      <c r="G178" s="179" t="s">
        <v>7277</v>
      </c>
      <c r="H178" s="190"/>
      <c r="I178" s="190"/>
      <c r="J178" s="187" t="s">
        <v>3903</v>
      </c>
      <c r="K178" s="187"/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"""")"),"Encontrada")</f>
        <v>Encontrada</v>
      </c>
      <c r="N178" s="185">
        <f>IFERROR(__xludf.DUMMYFUNCTION("ifna(VALUE(REGEXEXTRACT(E178,""[0-9.]+[,]+[0-9]+"")))"),13.6)</f>
        <v>13.6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0">
        <v>1804741.0</v>
      </c>
      <c r="C179" s="11">
        <v>45979.61696759259</v>
      </c>
      <c r="D179" s="179" t="s">
        <v>50</v>
      </c>
      <c r="E179" s="180" t="s">
        <v>7138</v>
      </c>
      <c r="F179" s="181"/>
      <c r="G179" s="179" t="s">
        <v>6790</v>
      </c>
      <c r="H179" s="190"/>
      <c r="I179" s="190"/>
      <c r="J179" s="187" t="s">
        <v>3903</v>
      </c>
      <c r="K179" s="187"/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"""")"),"Encontrada")</f>
        <v>Encontrada</v>
      </c>
      <c r="N179" s="185">
        <f>IFERROR(__xludf.DUMMYFUNCTION("ifna(VALUE(REGEXEXTRACT(E179,""[0-9.]+[,]+[0-9]+"")))"),104.7)</f>
        <v>104.7</v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0">
        <v>1804819.0</v>
      </c>
      <c r="C180" s="11">
        <v>45979.658159722225</v>
      </c>
      <c r="D180" s="179" t="s">
        <v>50</v>
      </c>
      <c r="E180" s="180" t="s">
        <v>1129</v>
      </c>
      <c r="F180" s="181"/>
      <c r="G180" s="179" t="s">
        <v>7281</v>
      </c>
      <c r="H180" s="190"/>
      <c r="I180" s="190"/>
      <c r="J180" s="187" t="s">
        <v>3903</v>
      </c>
      <c r="K180" s="187"/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85">
        <f>IFERROR(__xludf.DUMMYFUNCTION("ifna(VALUE(REGEXEXTRACT(E180,""[0-9.]+[,]+[0-9]+"")))"),120.0)</f>
        <v>120</v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0">
        <v>1804888.0</v>
      </c>
      <c r="C181" s="11">
        <v>45979.682280092595</v>
      </c>
      <c r="D181" s="179" t="s">
        <v>50</v>
      </c>
      <c r="E181" s="180" t="s">
        <v>157</v>
      </c>
      <c r="F181" s="181"/>
      <c r="G181" s="179" t="s">
        <v>6446</v>
      </c>
      <c r="H181" s="190"/>
      <c r="I181" s="190"/>
      <c r="J181" s="187" t="s">
        <v>3044</v>
      </c>
      <c r="K181" s="187" t="s">
        <v>6664</v>
      </c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IFERROR(__xludf.DUMMYFUNCTION("ifna(VALUE(REGEXEXTRACT(E181,""[0-9.]+[,]+[0-9]+"")))"),5.0)</f>
        <v>5</v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0">
        <v>1804892.0</v>
      </c>
      <c r="C182" s="11">
        <v>45979.6827662037</v>
      </c>
      <c r="D182" s="179" t="s">
        <v>50</v>
      </c>
      <c r="E182" s="180" t="s">
        <v>157</v>
      </c>
      <c r="F182" s="181"/>
      <c r="G182" s="179" t="s">
        <v>6826</v>
      </c>
      <c r="H182" s="190"/>
      <c r="I182" s="190"/>
      <c r="J182" s="187" t="s">
        <v>3044</v>
      </c>
      <c r="K182" s="187" t="s">
        <v>6340</v>
      </c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IFERROR(__xludf.DUMMYFUNCTION("ifna(VALUE(REGEXEXTRACT(E182,""[0-9.]+[,]+[0-9]+"")))"),5.0)</f>
        <v>5</v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0">
        <v>1804939.0</v>
      </c>
      <c r="C183" s="11">
        <v>45979.696180555555</v>
      </c>
      <c r="D183" s="179" t="s">
        <v>50</v>
      </c>
      <c r="E183" s="180" t="s">
        <v>1038</v>
      </c>
      <c r="F183" s="181"/>
      <c r="G183" s="179" t="s">
        <v>6446</v>
      </c>
      <c r="H183" s="190"/>
      <c r="I183" s="190"/>
      <c r="J183" s="187" t="s">
        <v>3044</v>
      </c>
      <c r="K183" s="187" t="s">
        <v>6664</v>
      </c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>
        <f>IFERROR(__xludf.DUMMYFUNCTION("ifna(VALUE(REGEXEXTRACT(E183,""[0-9.]+[,]+[0-9]+"")))"),10.86)</f>
        <v>10.86</v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0">
        <v>1804997.0</v>
      </c>
      <c r="C184" s="11">
        <v>45979.7091087963</v>
      </c>
      <c r="D184" s="179" t="s">
        <v>50</v>
      </c>
      <c r="E184" s="180" t="s">
        <v>157</v>
      </c>
      <c r="F184" s="181"/>
      <c r="G184" s="179" t="s">
        <v>4960</v>
      </c>
      <c r="H184" s="190"/>
      <c r="I184" s="190"/>
      <c r="J184" s="187" t="s">
        <v>3044</v>
      </c>
      <c r="K184" s="187" t="s">
        <v>7058</v>
      </c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IFERROR(__xludf.DUMMYFUNCTION("ifna(VALUE(REGEXEXTRACT(E184,""[0-9.]+[,]+[0-9]+"")))"),5.0)</f>
        <v>5</v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0">
        <v>1805101.0</v>
      </c>
      <c r="C185" s="11">
        <v>45979.73119212963</v>
      </c>
      <c r="D185" s="179" t="s">
        <v>50</v>
      </c>
      <c r="E185" s="180" t="s">
        <v>719</v>
      </c>
      <c r="F185" s="181"/>
      <c r="G185" s="179" t="s">
        <v>7283</v>
      </c>
      <c r="H185" s="190"/>
      <c r="I185" s="190"/>
      <c r="J185" s="187" t="s">
        <v>3903</v>
      </c>
      <c r="K185" s="187"/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"""")"),"Encontrada")</f>
        <v>Encontrada</v>
      </c>
      <c r="N185" s="185">
        <f>IFERROR(__xludf.DUMMYFUNCTION("ifna(VALUE(REGEXEXTRACT(E185,""[0-9.]+[,]+[0-9]+"")))"),500.0)</f>
        <v>500</v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0">
        <v>1805356.0</v>
      </c>
      <c r="C186" s="11">
        <v>45979.84113425926</v>
      </c>
      <c r="D186" s="179" t="s">
        <v>50</v>
      </c>
      <c r="E186" s="180" t="s">
        <v>6731</v>
      </c>
      <c r="F186" s="181"/>
      <c r="G186" s="179" t="s">
        <v>7285</v>
      </c>
      <c r="H186" s="190"/>
      <c r="I186" s="190"/>
      <c r="J186" s="187" t="s">
        <v>3466</v>
      </c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>
        <f>IFERROR(__xludf.DUMMYFUNCTION("ifna(VALUE(REGEXEXTRACT(E186,""[0-9.]+[,]+[0-9]+"")))"),100.0)</f>
        <v>100</v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0">
        <v>1805358.0</v>
      </c>
      <c r="C187" s="11">
        <v>45979.841770833336</v>
      </c>
      <c r="D187" s="179" t="s">
        <v>227</v>
      </c>
      <c r="E187" s="180" t="s">
        <v>494</v>
      </c>
      <c r="F187" s="181"/>
      <c r="G187" s="179" t="s">
        <v>7287</v>
      </c>
      <c r="H187" s="190"/>
      <c r="I187" s="190"/>
      <c r="J187" s="187"/>
      <c r="K187" s="187"/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IFERROR(__xludf.DUMMYFUNCTION("ifna(VALUE(REGEXEXTRACT(E187,""[0-9.]+[,]+[0-9]+"")))"),0.01)</f>
        <v>0.01</v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0">
        <v>1805434.0</v>
      </c>
      <c r="C188" s="11">
        <v>45979.875081018516</v>
      </c>
      <c r="D188" s="179" t="s">
        <v>50</v>
      </c>
      <c r="E188" s="180" t="s">
        <v>7289</v>
      </c>
      <c r="F188" s="188"/>
      <c r="G188" s="179" t="s">
        <v>4960</v>
      </c>
      <c r="H188" s="190"/>
      <c r="I188" s="190"/>
      <c r="J188" s="187" t="s">
        <v>3044</v>
      </c>
      <c r="K188" s="187" t="s">
        <v>7058</v>
      </c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>
        <f>IFERROR(__xludf.DUMMYFUNCTION("ifna(VALUE(REGEXEXTRACT(E188,""[0-9.]+[,]+[0-9]+"")))"),28.88)</f>
        <v>28.88</v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0">
        <v>1806708.0</v>
      </c>
      <c r="C189" s="11">
        <v>45980.71853009259</v>
      </c>
      <c r="D189" s="179" t="s">
        <v>50</v>
      </c>
      <c r="E189" s="180" t="s">
        <v>7291</v>
      </c>
      <c r="F189" s="181"/>
      <c r="G189" s="179" t="s">
        <v>7292</v>
      </c>
      <c r="H189" s="190"/>
      <c r="I189" s="190"/>
      <c r="J189" s="187" t="s">
        <v>3903</v>
      </c>
      <c r="K189" s="187"/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"""")"),"Encontrada")</f>
        <v>Encontrada</v>
      </c>
      <c r="N189" s="185">
        <f>IFERROR(__xludf.DUMMYFUNCTION("ifna(VALUE(REGEXEXTRACT(E189,""[0-9.]+[,]+[0-9]+"")))"),191.66)</f>
        <v>191.66</v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0">
        <v>1806774.0</v>
      </c>
      <c r="C190" s="11">
        <v>45980.730358796296</v>
      </c>
      <c r="D190" s="179" t="s">
        <v>50</v>
      </c>
      <c r="E190" s="180" t="s">
        <v>7295</v>
      </c>
      <c r="F190" s="181"/>
      <c r="G190" s="179" t="s">
        <v>7296</v>
      </c>
      <c r="H190" s="190"/>
      <c r="I190" s="190"/>
      <c r="J190" s="187" t="s">
        <v>3467</v>
      </c>
      <c r="K190" s="187"/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>
        <f>IFERROR(__xludf.DUMMYFUNCTION("ifna(VALUE(REGEXEXTRACT(E190,""[0-9.]+[,]+[0-9]+"")))"),15.08)</f>
        <v>15.08</v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0">
        <v>1807641.0</v>
      </c>
      <c r="C191" s="11">
        <v>45980.9359375</v>
      </c>
      <c r="D191" s="179" t="s">
        <v>50</v>
      </c>
      <c r="E191" s="180" t="s">
        <v>943</v>
      </c>
      <c r="F191" s="181"/>
      <c r="G191" s="179" t="s">
        <v>6826</v>
      </c>
      <c r="H191" s="190"/>
      <c r="I191" s="190"/>
      <c r="J191" s="187" t="s">
        <v>3044</v>
      </c>
      <c r="K191" s="187" t="s">
        <v>6340</v>
      </c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>
        <f>IFERROR(__xludf.DUMMYFUNCTION("ifna(VALUE(REGEXEXTRACT(E191,""[0-9.]+[,]+[0-9]+"")))"),12.0)</f>
        <v>12</v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0">
        <v>1807653.0</v>
      </c>
      <c r="C192" s="11">
        <v>45980.93738425926</v>
      </c>
      <c r="D192" s="179" t="s">
        <v>50</v>
      </c>
      <c r="E192" s="180" t="s">
        <v>1158</v>
      </c>
      <c r="F192" s="181"/>
      <c r="G192" s="179" t="s">
        <v>7300</v>
      </c>
      <c r="H192" s="190"/>
      <c r="I192" s="190"/>
      <c r="J192" s="187" t="s">
        <v>3746</v>
      </c>
      <c r="K192" s="187" t="s">
        <v>7058</v>
      </c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"),"Depositada")</f>
        <v>Depositada</v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>
        <f>IFERROR(__xludf.DUMMYFUNCTION("ifna(VALUE(REGEXEXTRACT(E192,""[0-9.]+[,]+[0-9]+"")))"),800.0)</f>
        <v>800</v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0">
        <v>1808024.0</v>
      </c>
      <c r="C193" s="11">
        <v>45981.569074074076</v>
      </c>
      <c r="D193" s="179" t="s">
        <v>50</v>
      </c>
      <c r="E193" s="180" t="s">
        <v>7291</v>
      </c>
      <c r="F193" s="181"/>
      <c r="G193" s="179" t="s">
        <v>7301</v>
      </c>
      <c r="H193" s="190"/>
      <c r="I193" s="190"/>
      <c r="J193" s="187" t="s">
        <v>3903</v>
      </c>
      <c r="K193" s="187"/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185">
        <f>IFERROR(__xludf.DUMMYFUNCTION("ifna(VALUE(REGEXEXTRACT(E193,""[0-9.]+[,]+[0-9]+"")))"),191.66)</f>
        <v>191.66</v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0">
        <v>1808031.0</v>
      </c>
      <c r="C194" s="11">
        <v>45981.57125</v>
      </c>
      <c r="D194" s="179" t="s">
        <v>50</v>
      </c>
      <c r="E194" s="180" t="s">
        <v>7304</v>
      </c>
      <c r="F194" s="181"/>
      <c r="G194" s="179" t="s">
        <v>7305</v>
      </c>
      <c r="H194" s="190"/>
      <c r="I194" s="190"/>
      <c r="J194" s="187" t="s">
        <v>3903</v>
      </c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185">
        <f>IFERROR(__xludf.DUMMYFUNCTION("ifna(VALUE(REGEXEXTRACT(E194,""[0-9.]+[,]+[0-9]+"")))"),15.87)</f>
        <v>15.87</v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0">
        <v>1808208.0</v>
      </c>
      <c r="C195" s="11">
        <v>45981.628113425926</v>
      </c>
      <c r="D195" s="179" t="s">
        <v>50</v>
      </c>
      <c r="E195" s="180" t="s">
        <v>157</v>
      </c>
      <c r="F195" s="181"/>
      <c r="G195" s="179" t="s">
        <v>6513</v>
      </c>
      <c r="H195" s="190"/>
      <c r="I195" s="190"/>
      <c r="J195" s="187" t="s">
        <v>3044</v>
      </c>
      <c r="K195" s="187" t="s">
        <v>7052</v>
      </c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>
        <f>IFERROR(__xludf.DUMMYFUNCTION("ifna(VALUE(REGEXEXTRACT(E195,""[0-9.]+[,]+[0-9]+"")))"),5.0)</f>
        <v>5</v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0">
        <v>1808209.0</v>
      </c>
      <c r="C196" s="11">
        <v>45981.628587962965</v>
      </c>
      <c r="D196" s="179" t="s">
        <v>50</v>
      </c>
      <c r="E196" s="180" t="s">
        <v>205</v>
      </c>
      <c r="F196" s="181"/>
      <c r="G196" s="179" t="s">
        <v>6446</v>
      </c>
      <c r="H196" s="190"/>
      <c r="I196" s="190"/>
      <c r="J196" s="187" t="s">
        <v>3044</v>
      </c>
      <c r="K196" s="187" t="s">
        <v>6664</v>
      </c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>
        <f>IFERROR(__xludf.DUMMYFUNCTION("ifna(VALUE(REGEXEXTRACT(E196,""[0-9.]+[,]+[0-9]+"")))"),10.0)</f>
        <v>10</v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0">
        <v>1809230.0</v>
      </c>
      <c r="C197" s="11">
        <v>45981.82068287037</v>
      </c>
      <c r="D197" s="179" t="s">
        <v>50</v>
      </c>
      <c r="E197" s="180" t="s">
        <v>3885</v>
      </c>
      <c r="F197" s="181"/>
      <c r="G197" s="179" t="s">
        <v>7309</v>
      </c>
      <c r="H197" s="190"/>
      <c r="I197" s="190"/>
      <c r="J197" s="187" t="s">
        <v>3825</v>
      </c>
      <c r="K197" s="187"/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>
        <f>IFERROR(__xludf.DUMMYFUNCTION("ifna(VALUE(REGEXEXTRACT(E197,""[0-9.]+[,]+[0-9]+"")))"),78.0)</f>
        <v>78</v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0">
        <v>1809233.0</v>
      </c>
      <c r="C198" s="11">
        <v>45981.82098379629</v>
      </c>
      <c r="D198" s="179" t="s">
        <v>50</v>
      </c>
      <c r="E198" s="180" t="s">
        <v>7311</v>
      </c>
      <c r="F198" s="181"/>
      <c r="G198" s="179" t="s">
        <v>7312</v>
      </c>
      <c r="H198" s="190"/>
      <c r="I198" s="190"/>
      <c r="J198" s="187" t="s">
        <v>3825</v>
      </c>
      <c r="K198" s="187"/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>
        <f>IFERROR(__xludf.DUMMYFUNCTION("ifna(VALUE(REGEXEXTRACT(E198,""[0-9.]+[,]+[0-9]+"")))"),58.0)</f>
        <v>58</v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0">
        <v>1809741.0</v>
      </c>
      <c r="C199" s="11">
        <v>45981.90723379629</v>
      </c>
      <c r="D199" s="179" t="s">
        <v>50</v>
      </c>
      <c r="E199" s="180" t="s">
        <v>7314</v>
      </c>
      <c r="F199" s="181"/>
      <c r="G199" s="179" t="s">
        <v>7315</v>
      </c>
      <c r="H199" s="190"/>
      <c r="I199" s="190"/>
      <c r="J199" s="187" t="s">
        <v>3746</v>
      </c>
      <c r="K199" s="187" t="s">
        <v>7058</v>
      </c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"),"Depositada")</f>
        <v>Depositada</v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>
        <f>IFERROR(__xludf.DUMMYFUNCTION("ifna(VALUE(REGEXEXTRACT(E199,""[0-9.]+[,]+[0-9]+"")))"),1550.0)</f>
        <v>1550</v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0">
        <v>1810666.0</v>
      </c>
      <c r="C200" s="11">
        <v>45982.547488425924</v>
      </c>
      <c r="D200" s="179" t="s">
        <v>227</v>
      </c>
      <c r="E200" s="180" t="s">
        <v>484</v>
      </c>
      <c r="F200" s="181"/>
      <c r="G200" s="341" t="s">
        <v>7318</v>
      </c>
      <c r="H200" s="190"/>
      <c r="I200" s="190"/>
      <c r="J200" s="187" t="s">
        <v>4159</v>
      </c>
      <c r="K200" s="187"/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>
        <f>IFERROR(__xludf.DUMMYFUNCTION("ifna(VALUE(REGEXEXTRACT(E200,""[0-9.]+[,]+[0-9]+"")))"),620.0)</f>
        <v>620</v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0">
        <v>1810668.0</v>
      </c>
      <c r="C201" s="11">
        <v>45982.54809027778</v>
      </c>
      <c r="D201" s="179" t="s">
        <v>50</v>
      </c>
      <c r="E201" s="180" t="s">
        <v>484</v>
      </c>
      <c r="F201" s="188"/>
      <c r="G201" s="341" t="s">
        <v>7321</v>
      </c>
      <c r="H201" s="190"/>
      <c r="I201" s="190"/>
      <c r="J201" s="187" t="s">
        <v>3746</v>
      </c>
      <c r="K201" s="187" t="s">
        <v>2949</v>
      </c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"),"Caixa Sangria")</f>
        <v>Caixa Sangria</v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>
        <f>IFERROR(__xludf.DUMMYFUNCTION("ifna(VALUE(REGEXEXTRACT(E201,""[0-9.]+[,]+[0-9]+"")))"),620.0)</f>
        <v>620</v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0">
        <v>1811447.0</v>
      </c>
      <c r="C202" s="11">
        <v>45982.72920138889</v>
      </c>
      <c r="D202" s="179" t="s">
        <v>50</v>
      </c>
      <c r="E202" s="180" t="s">
        <v>146</v>
      </c>
      <c r="F202" s="181"/>
      <c r="G202" s="179" t="s">
        <v>6826</v>
      </c>
      <c r="H202" s="190"/>
      <c r="I202" s="190"/>
      <c r="J202" s="187" t="s">
        <v>3044</v>
      </c>
      <c r="K202" s="187" t="s">
        <v>6340</v>
      </c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>
        <f>IFERROR(__xludf.DUMMYFUNCTION("ifna(VALUE(REGEXEXTRACT(E202,""[0-9.]+[,]+[0-9]+"")))"),3.0)</f>
        <v>3</v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0">
        <v>1812375.0</v>
      </c>
      <c r="C203" s="11">
        <v>45982.91625</v>
      </c>
      <c r="D203" s="179" t="s">
        <v>50</v>
      </c>
      <c r="E203" s="180" t="s">
        <v>6612</v>
      </c>
      <c r="F203" s="181"/>
      <c r="G203" s="179" t="s">
        <v>7326</v>
      </c>
      <c r="H203" s="190"/>
      <c r="I203" s="190"/>
      <c r="J203" s="187" t="s">
        <v>3746</v>
      </c>
      <c r="K203" s="187" t="s">
        <v>7058</v>
      </c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"),"Depositada")</f>
        <v>Depositada</v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>
        <f>IFERROR(__xludf.DUMMYFUNCTION("ifna(VALUE(REGEXEXTRACT(E203,""[0-9.]+[,]+[0-9]+"")))"),2000.0)</f>
        <v>2000</v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0">
        <v>1812379.0</v>
      </c>
      <c r="C204" s="11">
        <v>45982.9165625</v>
      </c>
      <c r="D204" s="179" t="s">
        <v>50</v>
      </c>
      <c r="E204" s="180" t="s">
        <v>6700</v>
      </c>
      <c r="F204" s="181"/>
      <c r="G204" s="179" t="s">
        <v>7326</v>
      </c>
      <c r="H204" s="190"/>
      <c r="I204" s="190"/>
      <c r="J204" s="187" t="s">
        <v>3746</v>
      </c>
      <c r="K204" s="187" t="s">
        <v>7058</v>
      </c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"),"Depositada")</f>
        <v>Depositada</v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>
        <f>IFERROR(__xludf.DUMMYFUNCTION("ifna(VALUE(REGEXEXTRACT(E204,""[0-9.]+[,]+[0-9]+"")))"),400.0)</f>
        <v>400</v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0">
        <v>1812386.0</v>
      </c>
      <c r="C205" s="11">
        <v>45982.91741898148</v>
      </c>
      <c r="D205" s="179" t="s">
        <v>50</v>
      </c>
      <c r="E205" s="180" t="s">
        <v>6968</v>
      </c>
      <c r="F205" s="181"/>
      <c r="G205" s="179" t="s">
        <v>6513</v>
      </c>
      <c r="H205" s="190"/>
      <c r="I205" s="190"/>
      <c r="J205" s="187" t="s">
        <v>3044</v>
      </c>
      <c r="K205" s="187" t="s">
        <v>7052</v>
      </c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>
        <f>IFERROR(__xludf.DUMMYFUNCTION("ifna(VALUE(REGEXEXTRACT(E205,""[0-9.]+[,]+[0-9]+"")))"),17.0)</f>
        <v>17</v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0">
        <v>1812520.0</v>
      </c>
      <c r="C206" s="11">
        <v>45982.92731481481</v>
      </c>
      <c r="D206" s="179" t="s">
        <v>227</v>
      </c>
      <c r="E206" s="180" t="s">
        <v>6612</v>
      </c>
      <c r="F206" s="181"/>
      <c r="G206" s="179" t="s">
        <v>7333</v>
      </c>
      <c r="H206" s="190"/>
      <c r="I206" s="190"/>
      <c r="J206" s="187" t="s">
        <v>4159</v>
      </c>
      <c r="K206" s="187"/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>
        <f>IFERROR(__xludf.DUMMYFUNCTION("ifna(VALUE(REGEXEXTRACT(E206,""[0-9.]+[,]+[0-9]+"")))"),2000.0)</f>
        <v>2000</v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0">
        <v>1812523.0</v>
      </c>
      <c r="C207" s="11">
        <v>45982.92767361111</v>
      </c>
      <c r="D207" s="179" t="s">
        <v>50</v>
      </c>
      <c r="E207" s="180" t="s">
        <v>7336</v>
      </c>
      <c r="F207" s="181"/>
      <c r="G207" s="179" t="s">
        <v>7337</v>
      </c>
      <c r="H207" s="190"/>
      <c r="I207" s="190"/>
      <c r="J207" s="187" t="s">
        <v>3903</v>
      </c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"""")"),"Encontrada")</f>
        <v>Encontrada</v>
      </c>
      <c r="N207" s="185">
        <f>IFERROR(__xludf.DUMMYFUNCTION("ifna(VALUE(REGEXEXTRACT(E207,""[0-9.]+[,]+[0-9]+"")))"),15.32)</f>
        <v>15.32</v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0">
        <v>1812530.0</v>
      </c>
      <c r="C208" s="11">
        <v>45982.92810185185</v>
      </c>
      <c r="D208" s="179" t="s">
        <v>50</v>
      </c>
      <c r="E208" s="180" t="s">
        <v>7340</v>
      </c>
      <c r="F208" s="181"/>
      <c r="G208" s="179" t="s">
        <v>7341</v>
      </c>
      <c r="H208" s="190"/>
      <c r="I208" s="190"/>
      <c r="J208" s="187" t="s">
        <v>3903</v>
      </c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"""")"),"Encontrada")</f>
        <v>Encontrada</v>
      </c>
      <c r="N208" s="185">
        <f>IFERROR(__xludf.DUMMYFUNCTION("ifna(VALUE(REGEXEXTRACT(E208,""[0-9.]+[,]+[0-9]+"")))"),297.51)</f>
        <v>297.51</v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0">
        <v>1812536.0</v>
      </c>
      <c r="C209" s="11">
        <v>45982.92858796296</v>
      </c>
      <c r="D209" s="179" t="s">
        <v>50</v>
      </c>
      <c r="E209" s="180" t="s">
        <v>7345</v>
      </c>
      <c r="F209" s="188"/>
      <c r="G209" s="179" t="s">
        <v>7346</v>
      </c>
      <c r="H209" s="190"/>
      <c r="I209" s="190"/>
      <c r="J209" s="187" t="s">
        <v>3903</v>
      </c>
      <c r="K209" s="187"/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"""")"),"Encontrada")</f>
        <v>Encontrada</v>
      </c>
      <c r="N209" s="185">
        <f>IFERROR(__xludf.DUMMYFUNCTION("ifna(VALUE(REGEXEXTRACT(E209,""[0-9.]+[,]+[0-9]+"")))"),489.33)</f>
        <v>489.33</v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0">
        <v>1812548.0</v>
      </c>
      <c r="C210" s="11">
        <v>45982.92915509259</v>
      </c>
      <c r="D210" s="179" t="s">
        <v>50</v>
      </c>
      <c r="E210" s="180" t="s">
        <v>7347</v>
      </c>
      <c r="F210" s="181"/>
      <c r="G210" s="179" t="s">
        <v>7348</v>
      </c>
      <c r="H210" s="190"/>
      <c r="I210" s="190"/>
      <c r="J210" s="187" t="s">
        <v>3903</v>
      </c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"""")"),"Encontrada")</f>
        <v>Encontrada</v>
      </c>
      <c r="N210" s="185">
        <f>IFERROR(__xludf.DUMMYFUNCTION("ifna(VALUE(REGEXEXTRACT(E210,""[0-9.]+[,]+[0-9]+"")))"),522.71)</f>
        <v>522.71</v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0">
        <v>1814661.0</v>
      </c>
      <c r="C211" s="11">
        <v>45983.888287037036</v>
      </c>
      <c r="D211" s="179" t="s">
        <v>50</v>
      </c>
      <c r="E211" s="180" t="s">
        <v>7350</v>
      </c>
      <c r="F211" s="181"/>
      <c r="G211" s="179" t="s">
        <v>7351</v>
      </c>
      <c r="H211" s="190"/>
      <c r="I211" s="190"/>
      <c r="J211" s="187" t="s">
        <v>3903</v>
      </c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"""")"),"Encontrada")</f>
        <v>Encontrada</v>
      </c>
      <c r="N211" s="185">
        <f>IFERROR(__xludf.DUMMYFUNCTION("ifna(VALUE(REGEXEXTRACT(E211,""[0-9.]+[,]+[0-9]+"")))"),444.72)</f>
        <v>444.72</v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0">
        <v>1814667.0</v>
      </c>
      <c r="C212" s="11">
        <v>45983.888865740744</v>
      </c>
      <c r="D212" s="179" t="s">
        <v>50</v>
      </c>
      <c r="E212" s="180" t="s">
        <v>3819</v>
      </c>
      <c r="F212" s="181"/>
      <c r="G212" s="179" t="s">
        <v>7354</v>
      </c>
      <c r="H212" s="190"/>
      <c r="I212" s="190"/>
      <c r="J212" s="187" t="s">
        <v>3825</v>
      </c>
      <c r="K212" s="187"/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>
        <f>IFERROR(__xludf.DUMMYFUNCTION("ifna(VALUE(REGEXEXTRACT(E212,""[0-9.]+[,]+[0-9]+"")))"),110.5)</f>
        <v>110.5</v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0">
        <v>1814679.0</v>
      </c>
      <c r="C213" s="11">
        <v>45983.89047453704</v>
      </c>
      <c r="D213" s="179" t="s">
        <v>50</v>
      </c>
      <c r="E213" s="180" t="s">
        <v>3819</v>
      </c>
      <c r="F213" s="188"/>
      <c r="G213" s="179" t="s">
        <v>7358</v>
      </c>
      <c r="H213" s="190"/>
      <c r="I213" s="190"/>
      <c r="J213" s="187" t="s">
        <v>3825</v>
      </c>
      <c r="K213" s="187"/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>
        <f>IFERROR(__xludf.DUMMYFUNCTION("ifna(VALUE(REGEXEXTRACT(E213,""[0-9.]+[,]+[0-9]+"")))"),110.5)</f>
        <v>110.5</v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0">
        <v>1814694.0</v>
      </c>
      <c r="C214" s="11">
        <v>45983.89215277778</v>
      </c>
      <c r="D214" s="179" t="s">
        <v>50</v>
      </c>
      <c r="E214" s="180" t="s">
        <v>3899</v>
      </c>
      <c r="F214" s="181"/>
      <c r="G214" s="179" t="s">
        <v>7359</v>
      </c>
      <c r="H214" s="190"/>
      <c r="I214" s="190"/>
      <c r="J214" s="187" t="s">
        <v>3746</v>
      </c>
      <c r="K214" s="187" t="s">
        <v>7052</v>
      </c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"),"Depositada")</f>
        <v>Depositada</v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>
        <f>IFERROR(__xludf.DUMMYFUNCTION("ifna(VALUE(REGEXEXTRACT(E214,""[0-9.]+[,]+[0-9]+"")))"),1000.0)</f>
        <v>1000</v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0">
        <v>1814735.0</v>
      </c>
      <c r="C215" s="11">
        <v>45983.89800925926</v>
      </c>
      <c r="D215" s="179" t="s">
        <v>50</v>
      </c>
      <c r="E215" s="180" t="s">
        <v>205</v>
      </c>
      <c r="F215" s="181"/>
      <c r="G215" s="179" t="s">
        <v>6513</v>
      </c>
      <c r="H215" s="190"/>
      <c r="I215" s="190"/>
      <c r="J215" s="187" t="s">
        <v>3044</v>
      </c>
      <c r="K215" s="187" t="s">
        <v>7052</v>
      </c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>
        <f>IFERROR(__xludf.DUMMYFUNCTION("ifna(VALUE(REGEXEXTRACT(E215,""[0-9.]+[,]+[0-9]+"")))"),10.0)</f>
        <v>10</v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0">
        <v>1817112.0</v>
      </c>
      <c r="C216" s="11">
        <v>45984.89113425926</v>
      </c>
      <c r="D216" s="179" t="s">
        <v>50</v>
      </c>
      <c r="E216" s="180" t="s">
        <v>427</v>
      </c>
      <c r="F216" s="181"/>
      <c r="G216" s="179" t="s">
        <v>7363</v>
      </c>
      <c r="H216" s="190"/>
      <c r="I216" s="190"/>
      <c r="J216" s="187" t="s">
        <v>3903</v>
      </c>
      <c r="K216" s="187"/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185">
        <f>IFERROR(__xludf.DUMMYFUNCTION("ifna(VALUE(REGEXEXTRACT(E216,""[0-9.]+[,]+[0-9]+"")))"),15.0)</f>
        <v>15</v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0">
        <v>1817126.0</v>
      </c>
      <c r="C217" s="11">
        <v>45984.894907407404</v>
      </c>
      <c r="D217" s="179" t="s">
        <v>50</v>
      </c>
      <c r="E217" s="180" t="s">
        <v>4506</v>
      </c>
      <c r="F217" s="181"/>
      <c r="G217" s="179" t="s">
        <v>7365</v>
      </c>
      <c r="H217" s="190"/>
      <c r="I217" s="190"/>
      <c r="J217" s="187" t="s">
        <v>3825</v>
      </c>
      <c r="K217" s="187"/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>
        <f>IFERROR(__xludf.DUMMYFUNCTION("ifna(VALUE(REGEXEXTRACT(E217,""[0-9.]+[,]+[0-9]+"")))"),91.0)</f>
        <v>91</v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0">
        <v>1818026.0</v>
      </c>
      <c r="C218" s="11">
        <v>45985.535092592596</v>
      </c>
      <c r="D218" s="179" t="s">
        <v>50</v>
      </c>
      <c r="E218" s="180" t="s">
        <v>205</v>
      </c>
      <c r="F218" s="181"/>
      <c r="G218" s="179" t="s">
        <v>6446</v>
      </c>
      <c r="H218" s="190"/>
      <c r="I218" s="190"/>
      <c r="J218" s="187" t="s">
        <v>3044</v>
      </c>
      <c r="K218" s="187" t="s">
        <v>6664</v>
      </c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>
        <f>IFERROR(__xludf.DUMMYFUNCTION("ifna(VALUE(REGEXEXTRACT(E218,""[0-9.]+[,]+[0-9]+"")))"),10.0)</f>
        <v>10</v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0">
        <v>1818115.0</v>
      </c>
      <c r="C219" s="11">
        <v>45985.588530092595</v>
      </c>
      <c r="D219" s="179" t="s">
        <v>50</v>
      </c>
      <c r="E219" s="180" t="s">
        <v>329</v>
      </c>
      <c r="F219" s="181"/>
      <c r="G219" s="179" t="s">
        <v>7369</v>
      </c>
      <c r="H219" s="190"/>
      <c r="I219" s="190"/>
      <c r="J219" s="187" t="s">
        <v>4159</v>
      </c>
      <c r="K219" s="187"/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>
        <f>IFERROR(__xludf.DUMMYFUNCTION("ifna(VALUE(REGEXEXTRACT(E219,""[0-9.]+[,]+[0-9]+"")))"),200.0)</f>
        <v>200</v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0">
        <v>1818116.0</v>
      </c>
      <c r="C220" s="11">
        <v>45985.5890625</v>
      </c>
      <c r="D220" s="179" t="s">
        <v>227</v>
      </c>
      <c r="E220" s="180" t="s">
        <v>329</v>
      </c>
      <c r="F220" s="181"/>
      <c r="G220" s="179" t="s">
        <v>7372</v>
      </c>
      <c r="H220" s="190"/>
      <c r="I220" s="190"/>
      <c r="J220" s="187" t="s">
        <v>4159</v>
      </c>
      <c r="K220" s="187"/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>
        <f>IFERROR(__xludf.DUMMYFUNCTION("ifna(VALUE(REGEXEXTRACT(E220,""[0-9.]+[,]+[0-9]+"")))"),200.0)</f>
        <v>200</v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0">
        <v>1818125.0</v>
      </c>
      <c r="C221" s="11">
        <v>45985.59357638889</v>
      </c>
      <c r="D221" s="179" t="s">
        <v>50</v>
      </c>
      <c r="E221" s="180" t="s">
        <v>7375</v>
      </c>
      <c r="F221" s="188"/>
      <c r="G221" s="179" t="s">
        <v>7376</v>
      </c>
      <c r="H221" s="190"/>
      <c r="I221" s="190"/>
      <c r="J221" s="187" t="s">
        <v>3903</v>
      </c>
      <c r="K221" s="187"/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"""")"),"Encontrada")</f>
        <v>Encontrada</v>
      </c>
      <c r="N221" s="185">
        <f>IFERROR(__xludf.DUMMYFUNCTION("ifna(VALUE(REGEXEXTRACT(E221,""[0-9.]+[,]+[0-9]+"")))"),308.0)</f>
        <v>308</v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0">
        <v>1818163.0</v>
      </c>
      <c r="C222" s="11">
        <v>45985.614594907405</v>
      </c>
      <c r="D222" s="179" t="s">
        <v>50</v>
      </c>
      <c r="E222" s="180" t="s">
        <v>329</v>
      </c>
      <c r="F222" s="181"/>
      <c r="G222" s="179" t="s">
        <v>7381</v>
      </c>
      <c r="H222" s="190"/>
      <c r="I222" s="190"/>
      <c r="J222" s="187" t="s">
        <v>3903</v>
      </c>
      <c r="K222" s="187"/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"""")"),"Encontrada")</f>
        <v>Encontrada</v>
      </c>
      <c r="N222" s="185">
        <f>IFERROR(__xludf.DUMMYFUNCTION("ifna(VALUE(REGEXEXTRACT(E222,""[0-9.]+[,]+[0-9]+"")))"),200.0)</f>
        <v>200</v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0">
        <v>1818207.0</v>
      </c>
      <c r="C223" s="11">
        <v>45985.62582175926</v>
      </c>
      <c r="D223" s="179" t="s">
        <v>50</v>
      </c>
      <c r="E223" s="180" t="s">
        <v>7044</v>
      </c>
      <c r="F223" s="181"/>
      <c r="G223" s="179" t="s">
        <v>7384</v>
      </c>
      <c r="H223" s="190"/>
      <c r="I223" s="190"/>
      <c r="J223" s="187" t="s">
        <v>3903</v>
      </c>
      <c r="K223" s="187"/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"""")"),"Encontrada")</f>
        <v>Encontrada</v>
      </c>
      <c r="N223" s="185">
        <f>IFERROR(__xludf.DUMMYFUNCTION("ifna(VALUE(REGEXEXTRACT(E223,""[0-9.]+[,]+[0-9]+"")))"),393.24)</f>
        <v>393.24</v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0">
        <v>1818211.0</v>
      </c>
      <c r="C224" s="11">
        <v>45985.62646990741</v>
      </c>
      <c r="D224" s="179" t="s">
        <v>227</v>
      </c>
      <c r="E224" s="180" t="s">
        <v>6700</v>
      </c>
      <c r="F224" s="181"/>
      <c r="G224" s="179" t="s">
        <v>7385</v>
      </c>
      <c r="H224" s="190"/>
      <c r="I224" s="190"/>
      <c r="J224" s="187" t="s">
        <v>4159</v>
      </c>
      <c r="K224" s="187"/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>
        <f>IFERROR(__xludf.DUMMYFUNCTION("ifna(VALUE(REGEXEXTRACT(E224,""[0-9.]+[,]+[0-9]+"")))"),400.0)</f>
        <v>400</v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0">
        <v>1818350.0</v>
      </c>
      <c r="C225" s="11">
        <v>45985.6734375</v>
      </c>
      <c r="D225" s="179" t="s">
        <v>50</v>
      </c>
      <c r="E225" s="180" t="s">
        <v>7388</v>
      </c>
      <c r="F225" s="188"/>
      <c r="G225" s="179" t="s">
        <v>7389</v>
      </c>
      <c r="H225" s="190"/>
      <c r="I225" s="190"/>
      <c r="J225" s="187" t="s">
        <v>3903</v>
      </c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185">
        <f>IFERROR(__xludf.DUMMYFUNCTION("ifna(VALUE(REGEXEXTRACT(E225,""[0-9.]+[,]+[0-9]+"")))"),144.98)</f>
        <v>144.98</v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0">
        <v>1818352.0</v>
      </c>
      <c r="C226" s="11">
        <v>45985.67381944445</v>
      </c>
      <c r="D226" s="179" t="s">
        <v>50</v>
      </c>
      <c r="E226" s="180" t="s">
        <v>7392</v>
      </c>
      <c r="F226" s="181"/>
      <c r="G226" s="179" t="s">
        <v>7393</v>
      </c>
      <c r="H226" s="190"/>
      <c r="I226" s="190"/>
      <c r="J226" s="187" t="s">
        <v>3903</v>
      </c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"""")"),"Encontrada")</f>
        <v>Encontrada</v>
      </c>
      <c r="N226" s="185">
        <f>IFERROR(__xludf.DUMMYFUNCTION("ifna(VALUE(REGEXEXTRACT(E226,""[0-9.]+[,]+[0-9]+"")))"),23.3)</f>
        <v>23.3</v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0">
        <v>1818383.0</v>
      </c>
      <c r="C227" s="11">
        <v>45985.683541666665</v>
      </c>
      <c r="D227" s="179" t="s">
        <v>50</v>
      </c>
      <c r="E227" s="180" t="s">
        <v>7395</v>
      </c>
      <c r="F227" s="181"/>
      <c r="G227" s="179" t="s">
        <v>4960</v>
      </c>
      <c r="H227" s="190"/>
      <c r="I227" s="190"/>
      <c r="J227" s="187" t="s">
        <v>3044</v>
      </c>
      <c r="K227" s="187" t="s">
        <v>7058</v>
      </c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>
        <f>IFERROR(__xludf.DUMMYFUNCTION("ifna(VALUE(REGEXEXTRACT(E227,""[0-9.]+[,]+[0-9]+"")))"),21.09)</f>
        <v>21.09</v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0">
        <v>818653.0</v>
      </c>
      <c r="C228" s="11">
        <v>45985.75050925926</v>
      </c>
      <c r="D228" s="179" t="s">
        <v>50</v>
      </c>
      <c r="E228" s="180" t="s">
        <v>205</v>
      </c>
      <c r="F228" s="188"/>
      <c r="G228" s="179" t="s">
        <v>6446</v>
      </c>
      <c r="H228" s="190"/>
      <c r="I228" s="190"/>
      <c r="J228" s="187" t="s">
        <v>3044</v>
      </c>
      <c r="K228" s="187" t="s">
        <v>6664</v>
      </c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>
        <f>IFERROR(__xludf.DUMMYFUNCTION("ifna(VALUE(REGEXEXTRACT(E228,""[0-9.]+[,]+[0-9]+"")))"),10.0)</f>
        <v>10</v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0">
        <v>1819875.0</v>
      </c>
      <c r="C229" s="11">
        <v>45986.67177083333</v>
      </c>
      <c r="D229" s="179" t="s">
        <v>50</v>
      </c>
      <c r="E229" s="180" t="s">
        <v>7398</v>
      </c>
      <c r="F229" s="181"/>
      <c r="G229" s="179" t="s">
        <v>7399</v>
      </c>
      <c r="H229" s="190"/>
      <c r="I229" s="190"/>
      <c r="J229" s="187" t="s">
        <v>3903</v>
      </c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"""")"),"Encontrada")</f>
        <v>Encontrada</v>
      </c>
      <c r="N229" s="185">
        <f>IFERROR(__xludf.DUMMYFUNCTION("ifna(VALUE(REGEXEXTRACT(E229,""[0-9.]+[,]+[0-9]+"")))"),525.0)</f>
        <v>525</v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0">
        <v>1820136.0</v>
      </c>
      <c r="C230" s="11">
        <v>45986.73510416667</v>
      </c>
      <c r="D230" s="179" t="s">
        <v>50</v>
      </c>
      <c r="E230" s="180" t="s">
        <v>157</v>
      </c>
      <c r="F230" s="181"/>
      <c r="G230" s="179" t="s">
        <v>6826</v>
      </c>
      <c r="H230" s="190"/>
      <c r="I230" s="190"/>
      <c r="J230" s="187" t="s">
        <v>3044</v>
      </c>
      <c r="K230" s="187" t="s">
        <v>6340</v>
      </c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>
        <f>IFERROR(__xludf.DUMMYFUNCTION("ifna(VALUE(REGEXEXTRACT(E230,""[0-9.]+[,]+[0-9]+"")))"),5.0)</f>
        <v>5</v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0">
        <v>1820138.0</v>
      </c>
      <c r="C231" s="11">
        <v>45986.735300925924</v>
      </c>
      <c r="D231" s="179" t="s">
        <v>50</v>
      </c>
      <c r="E231" s="180" t="s">
        <v>157</v>
      </c>
      <c r="F231" s="181"/>
      <c r="G231" s="10" t="s">
        <v>6446</v>
      </c>
      <c r="H231" s="190"/>
      <c r="I231" s="190"/>
      <c r="J231" s="187" t="s">
        <v>3044</v>
      </c>
      <c r="K231" s="187" t="s">
        <v>6664</v>
      </c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>
        <f>IFERROR(__xludf.DUMMYFUNCTION("ifna(VALUE(REGEXEXTRACT(E231,""[0-9.]+[,]+[0-9]+"")))"),5.0)</f>
        <v>5</v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0">
        <v>1820294.0</v>
      </c>
      <c r="C232" s="11">
        <v>45986.783738425926</v>
      </c>
      <c r="D232" s="179" t="s">
        <v>50</v>
      </c>
      <c r="E232" s="180" t="s">
        <v>7404</v>
      </c>
      <c r="F232" s="188"/>
      <c r="G232" s="179" t="s">
        <v>4960</v>
      </c>
      <c r="H232" s="190"/>
      <c r="I232" s="190"/>
      <c r="J232" s="187" t="s">
        <v>3044</v>
      </c>
      <c r="K232" s="187" t="s">
        <v>7058</v>
      </c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>
        <f>IFERROR(__xludf.DUMMYFUNCTION("ifna(VALUE(REGEXEXTRACT(E232,""[0-9.]+[,]+[0-9]+"")))"),21.21)</f>
        <v>21.21</v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0">
        <v>1820360.0</v>
      </c>
      <c r="C233" s="11">
        <v>45986.807233796295</v>
      </c>
      <c r="D233" s="179" t="s">
        <v>50</v>
      </c>
      <c r="E233" s="180" t="s">
        <v>7405</v>
      </c>
      <c r="F233" s="181"/>
      <c r="G233" s="179" t="s">
        <v>7406</v>
      </c>
      <c r="H233" s="190"/>
      <c r="I233" s="190"/>
      <c r="J233" s="187" t="s">
        <v>3903</v>
      </c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"""")"),"Encontrada")</f>
        <v>Encontrada</v>
      </c>
      <c r="N233" s="185">
        <f>IFERROR(__xludf.DUMMYFUNCTION("ifna(VALUE(REGEXEXTRACT(E233,""[0-9.]+[,]+[0-9]+"")))"),77.5)</f>
        <v>77.5</v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0">
        <v>1820491.0</v>
      </c>
      <c r="C234" s="11">
        <v>45986.856886574074</v>
      </c>
      <c r="D234" s="179" t="s">
        <v>50</v>
      </c>
      <c r="E234" s="180" t="s">
        <v>329</v>
      </c>
      <c r="F234" s="181"/>
      <c r="G234" s="179" t="s">
        <v>7408</v>
      </c>
      <c r="H234" s="190"/>
      <c r="I234" s="190"/>
      <c r="J234" s="187" t="s">
        <v>4159</v>
      </c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>
        <f>IFERROR(__xludf.DUMMYFUNCTION("ifna(VALUE(REGEXEXTRACT(E234,""[0-9.]+[,]+[0-9]+"")))"),200.0)</f>
        <v>200</v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B235" s="10">
        <v>1820493.0</v>
      </c>
      <c r="C235" s="11">
        <v>45986.857395833336</v>
      </c>
      <c r="D235" s="179" t="s">
        <v>227</v>
      </c>
      <c r="E235" s="180" t="s">
        <v>494</v>
      </c>
      <c r="F235" s="181"/>
      <c r="G235" s="179" t="s">
        <v>7412</v>
      </c>
      <c r="H235" s="190"/>
      <c r="I235" s="190"/>
      <c r="J235" s="187" t="s">
        <v>4159</v>
      </c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>
        <f>IFERROR(__xludf.DUMMYFUNCTION("ifna(VALUE(REGEXEXTRACT(E235,""[0-9.]+[,]+[0-9]+"")))"),0.01)</f>
        <v>0.01</v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0">
        <v>1820570.0</v>
      </c>
      <c r="C236" s="11">
        <v>45986.88318287037</v>
      </c>
      <c r="D236" s="179" t="s">
        <v>50</v>
      </c>
      <c r="E236" s="180" t="s">
        <v>205</v>
      </c>
      <c r="F236" s="181"/>
      <c r="G236" s="179" t="s">
        <v>6826</v>
      </c>
      <c r="H236" s="190"/>
      <c r="I236" s="190"/>
      <c r="J236" s="187" t="s">
        <v>3044</v>
      </c>
      <c r="K236" s="187" t="s">
        <v>6340</v>
      </c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>
        <f>IFERROR(__xludf.DUMMYFUNCTION("ifna(VALUE(REGEXEXTRACT(E236,""[0-9.]+[,]+[0-9]+"")))"),10.0)</f>
        <v>10</v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0">
        <v>1854954.0</v>
      </c>
      <c r="C237" s="342">
        <v>46002.80912037037</v>
      </c>
      <c r="D237" s="179" t="s">
        <v>50</v>
      </c>
      <c r="E237" s="180" t="s">
        <v>4847</v>
      </c>
      <c r="F237" s="181"/>
      <c r="G237" s="179" t="s">
        <v>7416</v>
      </c>
      <c r="H237" s="190"/>
      <c r="I237" s="190"/>
      <c r="J237" s="187" t="s">
        <v>3467</v>
      </c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>
        <f>IFERROR(__xludf.DUMMYFUNCTION("ifna(VALUE(REGEXEXTRACT(E237,""[0-9.]+[,]+[0-9]+"")))"),23.77)</f>
        <v>23.77</v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0">
        <v>1855058.0</v>
      </c>
      <c r="C238" s="11">
        <v>46002.841898148145</v>
      </c>
      <c r="D238" s="179" t="s">
        <v>50</v>
      </c>
      <c r="E238" s="180" t="s">
        <v>7419</v>
      </c>
      <c r="F238" s="181"/>
      <c r="G238" s="179" t="s">
        <v>7420</v>
      </c>
      <c r="H238" s="190"/>
      <c r="I238" s="190"/>
      <c r="J238" s="187" t="s">
        <v>3903</v>
      </c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"""")"),"Encontrada")</f>
        <v>Encontrada</v>
      </c>
      <c r="N238" s="185">
        <f>IFERROR(__xludf.DUMMYFUNCTION("ifna(VALUE(REGEXEXTRACT(E238,""[0-9.]+[,]+[0-9]+"")))"),58.79)</f>
        <v>58.79</v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0">
        <v>1855070.0</v>
      </c>
      <c r="C239" s="11">
        <v>46002.84619212963</v>
      </c>
      <c r="D239" s="179" t="s">
        <v>50</v>
      </c>
      <c r="E239" s="180" t="s">
        <v>7425</v>
      </c>
      <c r="F239" s="181"/>
      <c r="G239" s="179" t="s">
        <v>7426</v>
      </c>
      <c r="H239" s="190"/>
      <c r="I239" s="190"/>
      <c r="J239" s="187" t="s">
        <v>3903</v>
      </c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"""")"),"Encontrada")</f>
        <v>Encontrada</v>
      </c>
      <c r="N239" s="185">
        <f>IFERROR(__xludf.DUMMYFUNCTION("ifna(VALUE(REGEXEXTRACT(E239,""[0-9.]+[,]+[0-9]+"")))"),5.7)</f>
        <v>5.7</v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0">
        <v>1855071.0</v>
      </c>
      <c r="C240" s="11">
        <v>46002.84668981482</v>
      </c>
      <c r="D240" s="179" t="s">
        <v>50</v>
      </c>
      <c r="E240" s="180" t="s">
        <v>7429</v>
      </c>
      <c r="F240" s="188"/>
      <c r="G240" s="179" t="s">
        <v>7430</v>
      </c>
      <c r="H240" s="190"/>
      <c r="I240" s="190"/>
      <c r="J240" s="187" t="s">
        <v>3903</v>
      </c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"""")"),"Encontrada")</f>
        <v>Encontrada</v>
      </c>
      <c r="N240" s="185">
        <f>IFERROR(__xludf.DUMMYFUNCTION("ifna(VALUE(REGEXEXTRACT(E240,""[0-9.]+[,]+[0-9]+"")))"),91.96)</f>
        <v>91.96</v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IFERROR(__xludf.DUMMYFUNCTION("ifna(IF(and(D282=""Saída"",J282=""Sangria""),if(sum(QUERY(IMPORTRANGE(""https://docs.google.com/spreadsheets/d/1wBSFbIXYswW2S5SMKo44LPsdTG4P4kfP5VRdAS5E_4o"",""BD M Sangrias!a:i""),""select Col6 where Col7 = 'Depositada' and Col9 = '""&amp;K282&amp;""' and Col6 ="&amp;" ""&amp;N282&amp;"" and Col4 = date '""&amp;YEAR(C282)&amp;""-""&amp;MONTH(C282)&amp;""-""&amp;DAY(C282)&amp;""'""))&gt;0,""Depositada"",if(sum(QUERY(IMPORTRANGE(""https://docs.google.com/spreadsheets/d/1wBSFbIXYswW2S5SMKo44LPsdTG4P4kfP5VRdAS5E_4o"",""BD M Sangrias!a:i""),""select Col6 whe"&amp;"re Col7 = 'Caixa Atendimento' and Col9 = '""&amp;K282&amp;""' and Col6 = ""&amp;N282&amp;"" and Col4 = date '""&amp;YEAR(C282)&amp;""-""&amp;MONTH(C282)&amp;""-""&amp;DAY(C282)&amp;""'""))&gt;0,""Caixa Atendimento"",""Caixa Sangria"")),""""),""Caixa Sangria"")"),"")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IFERROR(__xludf.DUMMYFUNCTION("ifna(IF(and(D283=""Saída"",J283=""Sangria""),if(sum(QUERY(IMPORTRANGE(""https://docs.google.com/spreadsheets/d/1wBSFbIXYswW2S5SMKo44LPsdTG4P4kfP5VRdAS5E_4o"",""BD M Sangrias!a:i""),""select Col6 where Col7 = 'Depositada' and Col9 = '""&amp;K283&amp;""' and Col6 ="&amp;" ""&amp;N283&amp;"" and Col4 = date '""&amp;YEAR(C283)&amp;""-""&amp;MONTH(C283)&amp;""-""&amp;DAY(C283)&amp;""'""))&gt;0,""Depositada"",if(sum(QUERY(IMPORTRANGE(""https://docs.google.com/spreadsheets/d/1wBSFbIXYswW2S5SMKo44LPsdTG4P4kfP5VRdAS5E_4o"",""BD M Sangrias!a:i""),""select Col6 whe"&amp;"re Col7 = 'Caixa Atendimento' and Col9 = '""&amp;K283&amp;""' and Col6 = ""&amp;N283&amp;"" and Col4 = date '""&amp;YEAR(C283)&amp;""-""&amp;MONTH(C283)&amp;""-""&amp;DAY(C283)&amp;""'""))&gt;0,""Caixa Atendimento"",""Caixa Sangria"")),""""),""Caixa Sangria"")"),"")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IFERROR(__xludf.DUMMYFUNCTION("ifna(IF(and(D284=""Saída"",J284=""Sangria""),if(sum(QUERY(IMPORTRANGE(""https://docs.google.com/spreadsheets/d/1wBSFbIXYswW2S5SMKo44LPsdTG4P4kfP5VRdAS5E_4o"",""BD M Sangrias!a:i""),""select Col6 where Col7 = 'Depositada' and Col9 = '""&amp;K284&amp;""' and Col6 ="&amp;" ""&amp;N284&amp;"" and Col4 = date '""&amp;YEAR(C284)&amp;""-""&amp;MONTH(C284)&amp;""-""&amp;DAY(C284)&amp;""'""))&gt;0,""Depositada"",if(sum(QUERY(IMPORTRANGE(""https://docs.google.com/spreadsheets/d/1wBSFbIXYswW2S5SMKo44LPsdTG4P4kfP5VRdAS5E_4o"",""BD M Sangrias!a:i""),""select Col6 whe"&amp;"re Col7 = 'Caixa Atendimento' and Col9 = '""&amp;K284&amp;""' and Col6 = ""&amp;N284&amp;"" and Col4 = date '""&amp;YEAR(C284)&amp;""-""&amp;MONTH(C284)&amp;""-""&amp;DAY(C284)&amp;""'""))&gt;0,""Caixa Atendimento"",""Caixa Sangria"")),""""),""Caixa Sangria"")"),"")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IFERROR(__xludf.DUMMYFUNCTION("ifna(IF(and(D285=""Saída"",J285=""Sangria""),if(sum(QUERY(IMPORTRANGE(""https://docs.google.com/spreadsheets/d/1wBSFbIXYswW2S5SMKo44LPsdTG4P4kfP5VRdAS5E_4o"",""BD M Sangrias!a:i""),""select Col6 where Col7 = 'Depositada' and Col9 = '""&amp;K285&amp;""' and Col6 ="&amp;" ""&amp;N285&amp;"" and Col4 = date '""&amp;YEAR(C285)&amp;""-""&amp;MONTH(C285)&amp;""-""&amp;DAY(C285)&amp;""'""))&gt;0,""Depositada"",if(sum(QUERY(IMPORTRANGE(""https://docs.google.com/spreadsheets/d/1wBSFbIXYswW2S5SMKo44LPsdTG4P4kfP5VRdAS5E_4o"",""BD M Sangrias!a:i""),""select Col6 whe"&amp;"re Col7 = 'Caixa Atendimento' and Col9 = '""&amp;K285&amp;""' and Col6 = ""&amp;N285&amp;"" and Col4 = date '""&amp;YEAR(C285)&amp;""-""&amp;MONTH(C285)&amp;""-""&amp;DAY(C285)&amp;""'""))&gt;0,""Caixa Atendimento"",""Caixa Sangria"")),""""),""Caixa Sangria"")"),"")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IFERROR(__xludf.DUMMYFUNCTION("ifna(IF(and(D286=""Saída"",J286=""Sangria""),if(sum(QUERY(IMPORTRANGE(""https://docs.google.com/spreadsheets/d/1wBSFbIXYswW2S5SMKo44LPsdTG4P4kfP5VRdAS5E_4o"",""BD M Sangrias!a:i""),""select Col6 where Col7 = 'Depositada' and Col9 = '""&amp;K286&amp;""' and Col6 ="&amp;" ""&amp;N286&amp;"" and Col4 = date '""&amp;YEAR(C286)&amp;""-""&amp;MONTH(C286)&amp;""-""&amp;DAY(C286)&amp;""'""))&gt;0,""Depositada"",if(sum(QUERY(IMPORTRANGE(""https://docs.google.com/spreadsheets/d/1wBSFbIXYswW2S5SMKo44LPsdTG4P4kfP5VRdAS5E_4o"",""BD M Sangrias!a:i""),""select Col6 whe"&amp;"re Col7 = 'Caixa Atendimento' and Col9 = '""&amp;K286&amp;""' and Col6 = ""&amp;N286&amp;"" and Col4 = date '""&amp;YEAR(C286)&amp;""-""&amp;MONTH(C286)&amp;""-""&amp;DAY(C286)&amp;""'""))&gt;0,""Caixa Atendimento"",""Caixa Sangria"")),""""),""Caixa Sangria"")"),"")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IFERROR(__xludf.DUMMYFUNCTION("ifna(IF(and(D287=""Saída"",J287=""Sangria""),if(sum(QUERY(IMPORTRANGE(""https://docs.google.com/spreadsheets/d/1wBSFbIXYswW2S5SMKo44LPsdTG4P4kfP5VRdAS5E_4o"",""BD M Sangrias!a:i""),""select Col6 where Col7 = 'Depositada' and Col9 = '""&amp;K287&amp;""' and Col6 ="&amp;" ""&amp;N287&amp;"" and Col4 = date '""&amp;YEAR(C287)&amp;""-""&amp;MONTH(C287)&amp;""-""&amp;DAY(C287)&amp;""'""))&gt;0,""Depositada"",if(sum(QUERY(IMPORTRANGE(""https://docs.google.com/spreadsheets/d/1wBSFbIXYswW2S5SMKo44LPsdTG4P4kfP5VRdAS5E_4o"",""BD M Sangrias!a:i""),""select Col6 whe"&amp;"re Col7 = 'Caixa Atendimento' and Col9 = '""&amp;K287&amp;""' and Col6 = ""&amp;N287&amp;"" and Col4 = date '""&amp;YEAR(C287)&amp;""-""&amp;MONTH(C287)&amp;""-""&amp;DAY(C287)&amp;""'""))&gt;0,""Caixa Atendimento"",""Caixa Sangria"")),""""),""Caixa Sangria"")"),"")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IFERROR(__xludf.DUMMYFUNCTION("ifna(IF(and(D288=""Saída"",J288=""Sangria""),if(sum(QUERY(IMPORTRANGE(""https://docs.google.com/spreadsheets/d/1wBSFbIXYswW2S5SMKo44LPsdTG4P4kfP5VRdAS5E_4o"",""BD M Sangrias!a:i""),""select Col6 where Col7 = 'Depositada' and Col9 = '""&amp;K288&amp;""' and Col6 ="&amp;" ""&amp;N288&amp;"" and Col4 = date '""&amp;YEAR(C288)&amp;""-""&amp;MONTH(C288)&amp;""-""&amp;DAY(C288)&amp;""'""))&gt;0,""Depositada"",if(sum(QUERY(IMPORTRANGE(""https://docs.google.com/spreadsheets/d/1wBSFbIXYswW2S5SMKo44LPsdTG4P4kfP5VRdAS5E_4o"",""BD M Sangrias!a:i""),""select Col6 whe"&amp;"re Col7 = 'Caixa Atendimento' and Col9 = '""&amp;K288&amp;""' and Col6 = ""&amp;N288&amp;"" and Col4 = date '""&amp;YEAR(C288)&amp;""-""&amp;MONTH(C288)&amp;""-""&amp;DAY(C288)&amp;""'""))&gt;0,""Caixa Atendimento"",""Caixa Sangria"")),""""),""Caixa Sangria"")"),"")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IFERROR(__xludf.DUMMYFUNCTION("ifna(IF(and(D289=""Saída"",J289=""Sangria""),if(sum(QUERY(IMPORTRANGE(""https://docs.google.com/spreadsheets/d/1wBSFbIXYswW2S5SMKo44LPsdTG4P4kfP5VRdAS5E_4o"",""BD M Sangrias!a:i""),""select Col6 where Col7 = 'Depositada' and Col9 = '""&amp;K289&amp;""' and Col6 ="&amp;" ""&amp;N289&amp;"" and Col4 = date '""&amp;YEAR(C289)&amp;""-""&amp;MONTH(C289)&amp;""-""&amp;DAY(C289)&amp;""'""))&gt;0,""Depositada"",if(sum(QUERY(IMPORTRANGE(""https://docs.google.com/spreadsheets/d/1wBSFbIXYswW2S5SMKo44LPsdTG4P4kfP5VRdAS5E_4o"",""BD M Sangrias!a:i""),""select Col6 whe"&amp;"re Col7 = 'Caixa Atendimento' and Col9 = '""&amp;K289&amp;""' and Col6 = ""&amp;N289&amp;"" and Col4 = date '""&amp;YEAR(C289)&amp;""-""&amp;MONTH(C289)&amp;""-""&amp;DAY(C289)&amp;""'""))&gt;0,""Caixa Atendimento"",""Caixa Sangria"")),""""),""Caixa Sangria"")"),"")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IFERROR(__xludf.DUMMYFUNCTION("ifna(IF(and(D290=""Saída"",J290=""Sangria""),if(sum(QUERY(IMPORTRANGE(""https://docs.google.com/spreadsheets/d/1wBSFbIXYswW2S5SMKo44LPsdTG4P4kfP5VRdAS5E_4o"",""BD M Sangrias!a:i""),""select Col6 where Col7 = 'Depositada' and Col9 = '""&amp;K290&amp;""' and Col6 ="&amp;" ""&amp;N290&amp;"" and Col4 = date '""&amp;YEAR(C290)&amp;""-""&amp;MONTH(C290)&amp;""-""&amp;DAY(C290)&amp;""'""))&gt;0,""Depositada"",if(sum(QUERY(IMPORTRANGE(""https://docs.google.com/spreadsheets/d/1wBSFbIXYswW2S5SMKo44LPsdTG4P4kfP5VRdAS5E_4o"",""BD M Sangrias!a:i""),""select Col6 whe"&amp;"re Col7 = 'Caixa Atendimento' and Col9 = '""&amp;K290&amp;""' and Col6 = ""&amp;N290&amp;"" and Col4 = date '""&amp;YEAR(C290)&amp;""-""&amp;MONTH(C290)&amp;""-""&amp;DAY(C290)&amp;""'""))&gt;0,""Caixa Atendimento"",""Caixa Sangria"")),""""),""Caixa Sangria"")"),"")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IFERROR(__xludf.DUMMYFUNCTION("ifna(IF(and(D291=""Saída"",J291=""Sangria""),if(sum(QUERY(IMPORTRANGE(""https://docs.google.com/spreadsheets/d/1wBSFbIXYswW2S5SMKo44LPsdTG4P4kfP5VRdAS5E_4o"",""BD M Sangrias!a:i""),""select Col6 where Col7 = 'Depositada' and Col9 = '""&amp;K291&amp;""' and Col6 ="&amp;" ""&amp;N291&amp;"" and Col4 = date '""&amp;YEAR(C291)&amp;""-""&amp;MONTH(C291)&amp;""-""&amp;DAY(C291)&amp;""'""))&gt;0,""Depositada"",if(sum(QUERY(IMPORTRANGE(""https://docs.google.com/spreadsheets/d/1wBSFbIXYswW2S5SMKo44LPsdTG4P4kfP5VRdAS5E_4o"",""BD M Sangrias!a:i""),""select Col6 whe"&amp;"re Col7 = 'Caixa Atendimento' and Col9 = '""&amp;K291&amp;""' and Col6 = ""&amp;N291&amp;"" and Col4 = date '""&amp;YEAR(C291)&amp;""-""&amp;MONTH(C291)&amp;""-""&amp;DAY(C291)&amp;""'""))&gt;0,""Caixa Atendimento"",""Caixa Sangria"")),""""),""Caixa Sangria"")"),"")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IFERROR(__xludf.DUMMYFUNCTION("ifna(IF(and(D292=""Saída"",J292=""Sangria""),if(sum(QUERY(IMPORTRANGE(""https://docs.google.com/spreadsheets/d/1wBSFbIXYswW2S5SMKo44LPsdTG4P4kfP5VRdAS5E_4o"",""BD M Sangrias!a:i""),""select Col6 where Col7 = 'Depositada' and Col9 = '""&amp;K292&amp;""' and Col6 ="&amp;" ""&amp;N292&amp;"" and Col4 = date '""&amp;YEAR(C292)&amp;""-""&amp;MONTH(C292)&amp;""-""&amp;DAY(C292)&amp;""'""))&gt;0,""Depositada"",if(sum(QUERY(IMPORTRANGE(""https://docs.google.com/spreadsheets/d/1wBSFbIXYswW2S5SMKo44LPsdTG4P4kfP5VRdAS5E_4o"",""BD M Sangrias!a:i""),""select Col6 whe"&amp;"re Col7 = 'Caixa Atendimento' and Col9 = '""&amp;K292&amp;""' and Col6 = ""&amp;N292&amp;"" and Col4 = date '""&amp;YEAR(C292)&amp;""-""&amp;MONTH(C292)&amp;""-""&amp;DAY(C292)&amp;""'""))&gt;0,""Caixa Atendimento"",""Caixa Sangria"")),""""),""Caixa Sangria"")"),"")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IFERROR(__xludf.DUMMYFUNCTION("ifna(IF(and(D293=""Saída"",J293=""Sangria""),if(sum(QUERY(IMPORTRANGE(""https://docs.google.com/spreadsheets/d/1wBSFbIXYswW2S5SMKo44LPsdTG4P4kfP5VRdAS5E_4o"",""BD M Sangrias!a:i""),""select Col6 where Col7 = 'Depositada' and Col9 = '""&amp;K293&amp;""' and Col6 ="&amp;" ""&amp;N293&amp;"" and Col4 = date '""&amp;YEAR(C293)&amp;""-""&amp;MONTH(C293)&amp;""-""&amp;DAY(C293)&amp;""'""))&gt;0,""Depositada"",if(sum(QUERY(IMPORTRANGE(""https://docs.google.com/spreadsheets/d/1wBSFbIXYswW2S5SMKo44LPsdTG4P4kfP5VRdAS5E_4o"",""BD M Sangrias!a:i""),""select Col6 whe"&amp;"re Col7 = 'Caixa Atendimento' and Col9 = '""&amp;K293&amp;""' and Col6 = ""&amp;N293&amp;"" and Col4 = date '""&amp;YEAR(C293)&amp;""-""&amp;MONTH(C293)&amp;""-""&amp;DAY(C293)&amp;""'""))&gt;0,""Caixa Atendimento"",""Caixa Sangria"")),""""),""Caixa Sangria"")"),"")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IFERROR(__xludf.DUMMYFUNCTION("ifna(IF(and(D294=""Saída"",J294=""Sangria""),if(sum(QUERY(IMPORTRANGE(""https://docs.google.com/spreadsheets/d/1wBSFbIXYswW2S5SMKo44LPsdTG4P4kfP5VRdAS5E_4o"",""BD M Sangrias!a:i""),""select Col6 where Col7 = 'Depositada' and Col9 = '""&amp;K294&amp;""' and Col6 ="&amp;" ""&amp;N294&amp;"" and Col4 = date '""&amp;YEAR(C294)&amp;""-""&amp;MONTH(C294)&amp;""-""&amp;DAY(C294)&amp;""'""))&gt;0,""Depositada"",if(sum(QUERY(IMPORTRANGE(""https://docs.google.com/spreadsheets/d/1wBSFbIXYswW2S5SMKo44LPsdTG4P4kfP5VRdAS5E_4o"",""BD M Sangrias!a:i""),""select Col6 whe"&amp;"re Col7 = 'Caixa Atendimento' and Col9 = '""&amp;K294&amp;""' and Col6 = ""&amp;N294&amp;"" and Col4 = date '""&amp;YEAR(C294)&amp;""-""&amp;MONTH(C294)&amp;""-""&amp;DAY(C294)&amp;""'""))&gt;0,""Caixa Atendimento"",""Caixa Sangria"")),""""),""Caixa Sangria"")"),"")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IFERROR(__xludf.DUMMYFUNCTION("ifna(IF(and(D295=""Saída"",J295=""Sangria""),if(sum(QUERY(IMPORTRANGE(""https://docs.google.com/spreadsheets/d/1wBSFbIXYswW2S5SMKo44LPsdTG4P4kfP5VRdAS5E_4o"",""BD M Sangrias!a:i""),""select Col6 where Col7 = 'Depositada' and Col9 = '""&amp;K295&amp;""' and Col6 ="&amp;" ""&amp;N295&amp;"" and Col4 = date '""&amp;YEAR(C295)&amp;""-""&amp;MONTH(C295)&amp;""-""&amp;DAY(C295)&amp;""'""))&gt;0,""Depositada"",if(sum(QUERY(IMPORTRANGE(""https://docs.google.com/spreadsheets/d/1wBSFbIXYswW2S5SMKo44LPsdTG4P4kfP5VRdAS5E_4o"",""BD M Sangrias!a:i""),""select Col6 whe"&amp;"re Col7 = 'Caixa Atendimento' and Col9 = '""&amp;K295&amp;""' and Col6 = ""&amp;N295&amp;"" and Col4 = date '""&amp;YEAR(C295)&amp;""-""&amp;MONTH(C295)&amp;""-""&amp;DAY(C295)&amp;""'""))&gt;0,""Caixa Atendimento"",""Caixa Sangria"")),""""),""Caixa Sangria"")"),"")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IFERROR(__xludf.DUMMYFUNCTION("ifna(IF(and(D296=""Saída"",J296=""Sangria""),if(sum(QUERY(IMPORTRANGE(""https://docs.google.com/spreadsheets/d/1wBSFbIXYswW2S5SMKo44LPsdTG4P4kfP5VRdAS5E_4o"",""BD M Sangrias!a:i""),""select Col6 where Col7 = 'Depositada' and Col9 = '""&amp;K296&amp;""' and Col6 ="&amp;" ""&amp;N296&amp;"" and Col4 = date '""&amp;YEAR(C296)&amp;""-""&amp;MONTH(C296)&amp;""-""&amp;DAY(C296)&amp;""'""))&gt;0,""Depositada"",if(sum(QUERY(IMPORTRANGE(""https://docs.google.com/spreadsheets/d/1wBSFbIXYswW2S5SMKo44LPsdTG4P4kfP5VRdAS5E_4o"",""BD M Sangrias!a:i""),""select Col6 whe"&amp;"re Col7 = 'Caixa Atendimento' and Col9 = '""&amp;K296&amp;""' and Col6 = ""&amp;N296&amp;"" and Col4 = date '""&amp;YEAR(C296)&amp;""-""&amp;MONTH(C296)&amp;""-""&amp;DAY(C296)&amp;""'""))&gt;0,""Caixa Atendimento"",""Caixa Sangria"")),""""),""Caixa Sangria"")"),"")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IFERROR(__xludf.DUMMYFUNCTION("ifna(IF(and(D297=""Saída"",J297=""Sangria""),if(sum(QUERY(IMPORTRANGE(""https://docs.google.com/spreadsheets/d/1wBSFbIXYswW2S5SMKo44LPsdTG4P4kfP5VRdAS5E_4o"",""BD M Sangrias!a:i""),""select Col6 where Col7 = 'Depositada' and Col9 = '""&amp;K297&amp;""' and Col6 ="&amp;" ""&amp;N297&amp;"" and Col4 = date '""&amp;YEAR(C297)&amp;""-""&amp;MONTH(C297)&amp;""-""&amp;DAY(C297)&amp;""'""))&gt;0,""Depositada"",if(sum(QUERY(IMPORTRANGE(""https://docs.google.com/spreadsheets/d/1wBSFbIXYswW2S5SMKo44LPsdTG4P4kfP5VRdAS5E_4o"",""BD M Sangrias!a:i""),""select Col6 whe"&amp;"re Col7 = 'Caixa Atendimento' and Col9 = '""&amp;K297&amp;""' and Col6 = ""&amp;N297&amp;"" and Col4 = date '""&amp;YEAR(C297)&amp;""-""&amp;MONTH(C297)&amp;""-""&amp;DAY(C297)&amp;""'""))&gt;0,""Caixa Atendimento"",""Caixa Sangria"")),""""),""Caixa Sangria"")"),"")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IFERROR(__xludf.DUMMYFUNCTION("ifna(IF(and(D298=""Saída"",J298=""Sangria""),if(sum(QUERY(IMPORTRANGE(""https://docs.google.com/spreadsheets/d/1wBSFbIXYswW2S5SMKo44LPsdTG4P4kfP5VRdAS5E_4o"",""BD M Sangrias!a:i""),""select Col6 where Col7 = 'Depositada' and Col9 = '""&amp;K298&amp;""' and Col6 ="&amp;" ""&amp;N298&amp;"" and Col4 = date '""&amp;YEAR(C298)&amp;""-""&amp;MONTH(C298)&amp;""-""&amp;DAY(C298)&amp;""'""))&gt;0,""Depositada"",if(sum(QUERY(IMPORTRANGE(""https://docs.google.com/spreadsheets/d/1wBSFbIXYswW2S5SMKo44LPsdTG4P4kfP5VRdAS5E_4o"",""BD M Sangrias!a:i""),""select Col6 whe"&amp;"re Col7 = 'Caixa Atendimento' and Col9 = '""&amp;K298&amp;""' and Col6 = ""&amp;N298&amp;"" and Col4 = date '""&amp;YEAR(C298)&amp;""-""&amp;MONTH(C298)&amp;""-""&amp;DAY(C298)&amp;""'""))&gt;0,""Caixa Atendimento"",""Caixa Sangria"")),""""),""Caixa Sangria"")"),"")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IFERROR(__xludf.DUMMYFUNCTION("ifna(IF(and(D299=""Saída"",J299=""Sangria""),if(sum(QUERY(IMPORTRANGE(""https://docs.google.com/spreadsheets/d/1wBSFbIXYswW2S5SMKo44LPsdTG4P4kfP5VRdAS5E_4o"",""BD M Sangrias!a:i""),""select Col6 where Col7 = 'Depositada' and Col9 = '""&amp;K299&amp;""' and Col6 ="&amp;" ""&amp;N299&amp;"" and Col4 = date '""&amp;YEAR(C299)&amp;""-""&amp;MONTH(C299)&amp;""-""&amp;DAY(C299)&amp;""'""))&gt;0,""Depositada"",if(sum(QUERY(IMPORTRANGE(""https://docs.google.com/spreadsheets/d/1wBSFbIXYswW2S5SMKo44LPsdTG4P4kfP5VRdAS5E_4o"",""BD M Sangrias!a:i""),""select Col6 whe"&amp;"re Col7 = 'Caixa Atendimento' and Col9 = '""&amp;K299&amp;""' and Col6 = ""&amp;N299&amp;"" and Col4 = date '""&amp;YEAR(C299)&amp;""-""&amp;MONTH(C299)&amp;""-""&amp;DAY(C299)&amp;""'""))&gt;0,""Caixa Atendimento"",""Caixa Sangria"")),""""),""Caixa Sangria"")"),"")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IFERROR(__xludf.DUMMYFUNCTION("ifna(IF(and(D300=""Saída"",J300=""Sangria""),if(sum(QUERY(IMPORTRANGE(""https://docs.google.com/spreadsheets/d/1wBSFbIXYswW2S5SMKo44LPsdTG4P4kfP5VRdAS5E_4o"",""BD M Sangrias!a:i""),""select Col6 where Col7 = 'Depositada' and Col9 = '""&amp;K300&amp;""' and Col6 ="&amp;" ""&amp;N300&amp;"" and Col4 = date '""&amp;YEAR(C300)&amp;""-""&amp;MONTH(C300)&amp;""-""&amp;DAY(C300)&amp;""'""))&gt;0,""Depositada"",if(sum(QUERY(IMPORTRANGE(""https://docs.google.com/spreadsheets/d/1wBSFbIXYswW2S5SMKo44LPsdTG4P4kfP5VRdAS5E_4o"",""BD M Sangrias!a:i""),""select Col6 whe"&amp;"re Col7 = 'Caixa Atendimento' and Col9 = '""&amp;K300&amp;""' and Col6 = ""&amp;N300&amp;"" and Col4 = date '""&amp;YEAR(C300)&amp;""-""&amp;MONTH(C300)&amp;""-""&amp;DAY(C300)&amp;""'""))&gt;0,""Caixa Atendimento"",""Caixa Sangria"")),""""),""Caixa Sangria"")"),"")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IFERROR(__xludf.DUMMYFUNCTION("ifna(IF(and(D301=""Saída"",J301=""Sangria""),if(sum(QUERY(IMPORTRANGE(""https://docs.google.com/spreadsheets/d/1wBSFbIXYswW2S5SMKo44LPsdTG4P4kfP5VRdAS5E_4o"",""BD M Sangrias!a:i""),""select Col6 where Col7 = 'Depositada' and Col9 = '""&amp;K301&amp;""' and Col6 ="&amp;" ""&amp;N301&amp;"" and Col4 = date '""&amp;YEAR(C301)&amp;""-""&amp;MONTH(C301)&amp;""-""&amp;DAY(C301)&amp;""'""))&gt;0,""Depositada"",if(sum(QUERY(IMPORTRANGE(""https://docs.google.com/spreadsheets/d/1wBSFbIXYswW2S5SMKo44LPsdTG4P4kfP5VRdAS5E_4o"",""BD M Sangrias!a:i""),""select Col6 whe"&amp;"re Col7 = 'Caixa Atendimento' and Col9 = '""&amp;K301&amp;""' and Col6 = ""&amp;N301&amp;"" and Col4 = date '""&amp;YEAR(C301)&amp;""-""&amp;MONTH(C301)&amp;""-""&amp;DAY(C301)&amp;""'""))&gt;0,""Caixa Atendimento"",""Caixa Sangria"")),""""),""Caixa Sangria"")"),"")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IFERROR(__xludf.DUMMYFUNCTION("ifna(IF(and(D302=""Saída"",J302=""Sangria""),if(sum(QUERY(IMPORTRANGE(""https://docs.google.com/spreadsheets/d/1wBSFbIXYswW2S5SMKo44LPsdTG4P4kfP5VRdAS5E_4o"",""BD M Sangrias!a:i""),""select Col6 where Col7 = 'Depositada' and Col9 = '""&amp;K302&amp;""' and Col6 ="&amp;" ""&amp;N302&amp;"" and Col4 = date '""&amp;YEAR(C302)&amp;""-""&amp;MONTH(C302)&amp;""-""&amp;DAY(C302)&amp;""'""))&gt;0,""Depositada"",if(sum(QUERY(IMPORTRANGE(""https://docs.google.com/spreadsheets/d/1wBSFbIXYswW2S5SMKo44LPsdTG4P4kfP5VRdAS5E_4o"",""BD M Sangrias!a:i""),""select Col6 whe"&amp;"re Col7 = 'Caixa Atendimento' and Col9 = '""&amp;K302&amp;""' and Col6 = ""&amp;N302&amp;"" and Col4 = date '""&amp;YEAR(C302)&amp;""-""&amp;MONTH(C302)&amp;""-""&amp;DAY(C302)&amp;""'""))&gt;0,""Caixa Atendimento"",""Caixa Sangria"")),""""),""Caixa Sangria"")"),"")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IFERROR(__xludf.DUMMYFUNCTION("ifna(IF(and(D303=""Saída"",J303=""Sangria""),if(sum(QUERY(IMPORTRANGE(""https://docs.google.com/spreadsheets/d/1wBSFbIXYswW2S5SMKo44LPsdTG4P4kfP5VRdAS5E_4o"",""BD M Sangrias!a:i""),""select Col6 where Col7 = 'Depositada' and Col9 = '""&amp;K303&amp;""' and Col6 ="&amp;" ""&amp;N303&amp;"" and Col4 = date '""&amp;YEAR(C303)&amp;""-""&amp;MONTH(C303)&amp;""-""&amp;DAY(C303)&amp;""'""))&gt;0,""Depositada"",if(sum(QUERY(IMPORTRANGE(""https://docs.google.com/spreadsheets/d/1wBSFbIXYswW2S5SMKo44LPsdTG4P4kfP5VRdAS5E_4o"",""BD M Sangrias!a:i""),""select Col6 whe"&amp;"re Col7 = 'Caixa Atendimento' and Col9 = '""&amp;K303&amp;""' and Col6 = ""&amp;N303&amp;"" and Col4 = date '""&amp;YEAR(C303)&amp;""-""&amp;MONTH(C303)&amp;""-""&amp;DAY(C303)&amp;""'""))&gt;0,""Caixa Atendimento"",""Caixa Sangria"")),""""),""Caixa Sangria"")"),"")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IFERROR(__xludf.DUMMYFUNCTION("ifna(IF(and(D304=""Saída"",J304=""Sangria""),if(sum(QUERY(IMPORTRANGE(""https://docs.google.com/spreadsheets/d/1wBSFbIXYswW2S5SMKo44LPsdTG4P4kfP5VRdAS5E_4o"",""BD M Sangrias!a:i""),""select Col6 where Col7 = 'Depositada' and Col9 = '""&amp;K304&amp;""' and Col6 ="&amp;" ""&amp;N304&amp;"" and Col4 = date '""&amp;YEAR(C304)&amp;""-""&amp;MONTH(C304)&amp;""-""&amp;DAY(C304)&amp;""'""))&gt;0,""Depositada"",if(sum(QUERY(IMPORTRANGE(""https://docs.google.com/spreadsheets/d/1wBSFbIXYswW2S5SMKo44LPsdTG4P4kfP5VRdAS5E_4o"",""BD M Sangrias!a:i""),""select Col6 whe"&amp;"re Col7 = 'Caixa Atendimento' and Col9 = '""&amp;K304&amp;""' and Col6 = ""&amp;N304&amp;"" and Col4 = date '""&amp;YEAR(C304)&amp;""-""&amp;MONTH(C304)&amp;""-""&amp;DAY(C304)&amp;""'""))&gt;0,""Caixa Atendimento"",""Caixa Sangria"")),""""),""Caixa Sangria"")"),"")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IFERROR(__xludf.DUMMYFUNCTION("ifna(IF(and(D305=""Saída"",J305=""Sangria""),if(sum(QUERY(IMPORTRANGE(""https://docs.google.com/spreadsheets/d/1wBSFbIXYswW2S5SMKo44LPsdTG4P4kfP5VRdAS5E_4o"",""BD M Sangrias!a:i""),""select Col6 where Col7 = 'Depositada' and Col9 = '""&amp;K305&amp;""' and Col6 ="&amp;" ""&amp;N305&amp;"" and Col4 = date '""&amp;YEAR(C305)&amp;""-""&amp;MONTH(C305)&amp;""-""&amp;DAY(C305)&amp;""'""))&gt;0,""Depositada"",if(sum(QUERY(IMPORTRANGE(""https://docs.google.com/spreadsheets/d/1wBSFbIXYswW2S5SMKo44LPsdTG4P4kfP5VRdAS5E_4o"",""BD M Sangrias!a:i""),""select Col6 whe"&amp;"re Col7 = 'Caixa Atendimento' and Col9 = '""&amp;K305&amp;""' and Col6 = ""&amp;N305&amp;"" and Col4 = date '""&amp;YEAR(C305)&amp;""-""&amp;MONTH(C305)&amp;""-""&amp;DAY(C305)&amp;""'""))&gt;0,""Caixa Atendimento"",""Caixa Sangria"")),""""),""Caixa Sangria"")"),"")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IFERROR(__xludf.DUMMYFUNCTION("ifna(IF(and(D306=""Saída"",J306=""Sangria""),if(sum(QUERY(IMPORTRANGE(""https://docs.google.com/spreadsheets/d/1wBSFbIXYswW2S5SMKo44LPsdTG4P4kfP5VRdAS5E_4o"",""BD M Sangrias!a:i""),""select Col6 where Col7 = 'Depositada' and Col9 = '""&amp;K306&amp;""' and Col6 ="&amp;" ""&amp;N306&amp;"" and Col4 = date '""&amp;YEAR(C306)&amp;""-""&amp;MONTH(C306)&amp;""-""&amp;DAY(C306)&amp;""'""))&gt;0,""Depositada"",if(sum(QUERY(IMPORTRANGE(""https://docs.google.com/spreadsheets/d/1wBSFbIXYswW2S5SMKo44LPsdTG4P4kfP5VRdAS5E_4o"",""BD M Sangrias!a:i""),""select Col6 whe"&amp;"re Col7 = 'Caixa Atendimento' and Col9 = '""&amp;K306&amp;""' and Col6 = ""&amp;N306&amp;"" and Col4 = date '""&amp;YEAR(C306)&amp;""-""&amp;MONTH(C306)&amp;""-""&amp;DAY(C306)&amp;""'""))&gt;0,""Caixa Atendimento"",""Caixa Sangria"")),""""),""Caixa Sangria"")"),"")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IFERROR(__xludf.DUMMYFUNCTION("ifna(IF(and(D307=""Saída"",J307=""Sangria""),if(sum(QUERY(IMPORTRANGE(""https://docs.google.com/spreadsheets/d/1wBSFbIXYswW2S5SMKo44LPsdTG4P4kfP5VRdAS5E_4o"",""BD M Sangrias!a:i""),""select Col6 where Col7 = 'Depositada' and Col9 = '""&amp;K307&amp;""' and Col6 ="&amp;" ""&amp;N307&amp;"" and Col4 = date '""&amp;YEAR(C307)&amp;""-""&amp;MONTH(C307)&amp;""-""&amp;DAY(C307)&amp;""'""))&gt;0,""Depositada"",if(sum(QUERY(IMPORTRANGE(""https://docs.google.com/spreadsheets/d/1wBSFbIXYswW2S5SMKo44LPsdTG4P4kfP5VRdAS5E_4o"",""BD M Sangrias!a:i""),""select Col6 whe"&amp;"re Col7 = 'Caixa Atendimento' and Col9 = '""&amp;K307&amp;""' and Col6 = ""&amp;N307&amp;"" and Col4 = date '""&amp;YEAR(C307)&amp;""-""&amp;MONTH(C307)&amp;""-""&amp;DAY(C307)&amp;""'""))&gt;0,""Caixa Atendimento"",""Caixa Sangria"")),""""),""Caixa Sangria"")"),"")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IFERROR(__xludf.DUMMYFUNCTION("ifna(IF(and(D308=""Saída"",J308=""Sangria""),if(sum(QUERY(IMPORTRANGE(""https://docs.google.com/spreadsheets/d/1wBSFbIXYswW2S5SMKo44LPsdTG4P4kfP5VRdAS5E_4o"",""BD M Sangrias!a:i""),""select Col6 where Col7 = 'Depositada' and Col9 = '""&amp;K308&amp;""' and Col6 ="&amp;" ""&amp;N308&amp;"" and Col4 = date '""&amp;YEAR(C308)&amp;""-""&amp;MONTH(C308)&amp;""-""&amp;DAY(C308)&amp;""'""))&gt;0,""Depositada"",if(sum(QUERY(IMPORTRANGE(""https://docs.google.com/spreadsheets/d/1wBSFbIXYswW2S5SMKo44LPsdTG4P4kfP5VRdAS5E_4o"",""BD M Sangrias!a:i""),""select Col6 whe"&amp;"re Col7 = 'Caixa Atendimento' and Col9 = '""&amp;K308&amp;""' and Col6 = ""&amp;N308&amp;"" and Col4 = date '""&amp;YEAR(C308)&amp;""-""&amp;MONTH(C308)&amp;""-""&amp;DAY(C308)&amp;""'""))&gt;0,""Caixa Atendimento"",""Caixa Sangria"")),""""),""Caixa Sangria"")"),"")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IFERROR(__xludf.DUMMYFUNCTION("ifna(IF(and(D309=""Saída"",J309=""Sangria""),if(sum(QUERY(IMPORTRANGE(""https://docs.google.com/spreadsheets/d/1wBSFbIXYswW2S5SMKo44LPsdTG4P4kfP5VRdAS5E_4o"",""BD M Sangrias!a:i""),""select Col6 where Col7 = 'Depositada' and Col9 = '""&amp;K309&amp;""' and Col6 ="&amp;" ""&amp;N309&amp;"" and Col4 = date '""&amp;YEAR(C309)&amp;""-""&amp;MONTH(C309)&amp;""-""&amp;DAY(C309)&amp;""'""))&gt;0,""Depositada"",if(sum(QUERY(IMPORTRANGE(""https://docs.google.com/spreadsheets/d/1wBSFbIXYswW2S5SMKo44LPsdTG4P4kfP5VRdAS5E_4o"",""BD M Sangrias!a:i""),""select Col6 whe"&amp;"re Col7 = 'Caixa Atendimento' and Col9 = '""&amp;K309&amp;""' and Col6 = ""&amp;N309&amp;"" and Col4 = date '""&amp;YEAR(C309)&amp;""-""&amp;MONTH(C309)&amp;""-""&amp;DAY(C309)&amp;""'""))&gt;0,""Caixa Atendimento"",""Caixa Sangria"")),""""),""Caixa Sangria"")"),"")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IFERROR(__xludf.DUMMYFUNCTION("ifna(IF(and(D310=""Saída"",J310=""Sangria""),if(sum(QUERY(IMPORTRANGE(""https://docs.google.com/spreadsheets/d/1wBSFbIXYswW2S5SMKo44LPsdTG4P4kfP5VRdAS5E_4o"",""BD M Sangrias!a:i""),""select Col6 where Col7 = 'Depositada' and Col9 = '""&amp;K310&amp;""' and Col6 ="&amp;" ""&amp;N310&amp;"" and Col4 = date '""&amp;YEAR(C310)&amp;""-""&amp;MONTH(C310)&amp;""-""&amp;DAY(C310)&amp;""'""))&gt;0,""Depositada"",if(sum(QUERY(IMPORTRANGE(""https://docs.google.com/spreadsheets/d/1wBSFbIXYswW2S5SMKo44LPsdTG4P4kfP5VRdAS5E_4o"",""BD M Sangrias!a:i""),""select Col6 whe"&amp;"re Col7 = 'Caixa Atendimento' and Col9 = '""&amp;K310&amp;""' and Col6 = ""&amp;N310&amp;"" and Col4 = date '""&amp;YEAR(C310)&amp;""-""&amp;MONTH(C310)&amp;""-""&amp;DAY(C310)&amp;""'""))&gt;0,""Caixa Atendimento"",""Caixa Sangria"")),""""),""Caixa Sangria"")"),"")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IFERROR(__xludf.DUMMYFUNCTION("ifna(IF(and(D311=""Saída"",J311=""Sangria""),if(sum(QUERY(IMPORTRANGE(""https://docs.google.com/spreadsheets/d/1wBSFbIXYswW2S5SMKo44LPsdTG4P4kfP5VRdAS5E_4o"",""BD M Sangrias!a:i""),""select Col6 where Col7 = 'Depositada' and Col9 = '""&amp;K311&amp;""' and Col6 ="&amp;" ""&amp;N311&amp;"" and Col4 = date '""&amp;YEAR(C311)&amp;""-""&amp;MONTH(C311)&amp;""-""&amp;DAY(C311)&amp;""'""))&gt;0,""Depositada"",if(sum(QUERY(IMPORTRANGE(""https://docs.google.com/spreadsheets/d/1wBSFbIXYswW2S5SMKo44LPsdTG4P4kfP5VRdAS5E_4o"",""BD M Sangrias!a:i""),""select Col6 whe"&amp;"re Col7 = 'Caixa Atendimento' and Col9 = '""&amp;K311&amp;""' and Col6 = ""&amp;N311&amp;"" and Col4 = date '""&amp;YEAR(C311)&amp;""-""&amp;MONTH(C311)&amp;""-""&amp;DAY(C311)&amp;""'""))&gt;0,""Caixa Atendimento"",""Caixa Sangria"")),""""),""Caixa Sangria"")"),"")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IFERROR(__xludf.DUMMYFUNCTION("ifna(IF(and(D312=""Saída"",J312=""Sangria""),if(sum(QUERY(IMPORTRANGE(""https://docs.google.com/spreadsheets/d/1wBSFbIXYswW2S5SMKo44LPsdTG4P4kfP5VRdAS5E_4o"",""BD M Sangrias!a:i""),""select Col6 where Col7 = 'Depositada' and Col9 = '""&amp;K312&amp;""' and Col6 ="&amp;" ""&amp;N312&amp;"" and Col4 = date '""&amp;YEAR(C312)&amp;""-""&amp;MONTH(C312)&amp;""-""&amp;DAY(C312)&amp;""'""))&gt;0,""Depositada"",if(sum(QUERY(IMPORTRANGE(""https://docs.google.com/spreadsheets/d/1wBSFbIXYswW2S5SMKo44LPsdTG4P4kfP5VRdAS5E_4o"",""BD M Sangrias!a:i""),""select Col6 whe"&amp;"re Col7 = 'Caixa Atendimento' and Col9 = '""&amp;K312&amp;""' and Col6 = ""&amp;N312&amp;"" and Col4 = date '""&amp;YEAR(C312)&amp;""-""&amp;MONTH(C312)&amp;""-""&amp;DAY(C312)&amp;""'""))&gt;0,""Caixa Atendimento"",""Caixa Sangria"")),""""),""Caixa Sangria"")"),"")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IFERROR(__xludf.DUMMYFUNCTION("ifna(IF(and(D313=""Saída"",J313=""Sangria""),if(sum(QUERY(IMPORTRANGE(""https://docs.google.com/spreadsheets/d/1wBSFbIXYswW2S5SMKo44LPsdTG4P4kfP5VRdAS5E_4o"",""BD M Sangrias!a:i""),""select Col6 where Col7 = 'Depositada' and Col9 = '""&amp;K313&amp;""' and Col6 ="&amp;" ""&amp;N313&amp;"" and Col4 = date '""&amp;YEAR(C313)&amp;""-""&amp;MONTH(C313)&amp;""-""&amp;DAY(C313)&amp;""'""))&gt;0,""Depositada"",if(sum(QUERY(IMPORTRANGE(""https://docs.google.com/spreadsheets/d/1wBSFbIXYswW2S5SMKo44LPsdTG4P4kfP5VRdAS5E_4o"",""BD M Sangrias!a:i""),""select Col6 whe"&amp;"re Col7 = 'Caixa Atendimento' and Col9 = '""&amp;K313&amp;""' and Col6 = ""&amp;N313&amp;"" and Col4 = date '""&amp;YEAR(C313)&amp;""-""&amp;MONTH(C313)&amp;""-""&amp;DAY(C313)&amp;""'""))&gt;0,""Caixa Atendimento"",""Caixa Sangria"")),""""),""Caixa Sangria"")"),"")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IFERROR(__xludf.DUMMYFUNCTION("ifna(IF(and(D314=""Saída"",J314=""Sangria""),if(sum(QUERY(IMPORTRANGE(""https://docs.google.com/spreadsheets/d/1wBSFbIXYswW2S5SMKo44LPsdTG4P4kfP5VRdAS5E_4o"",""BD M Sangrias!a:i""),""select Col6 where Col7 = 'Depositada' and Col9 = '""&amp;K314&amp;""' and Col6 ="&amp;" ""&amp;N314&amp;"" and Col4 = date '""&amp;YEAR(C314)&amp;""-""&amp;MONTH(C314)&amp;""-""&amp;DAY(C314)&amp;""'""))&gt;0,""Depositada"",if(sum(QUERY(IMPORTRANGE(""https://docs.google.com/spreadsheets/d/1wBSFbIXYswW2S5SMKo44LPsdTG4P4kfP5VRdAS5E_4o"",""BD M Sangrias!a:i""),""select Col6 whe"&amp;"re Col7 = 'Caixa Atendimento' and Col9 = '""&amp;K314&amp;""' and Col6 = ""&amp;N314&amp;"" and Col4 = date '""&amp;YEAR(C314)&amp;""-""&amp;MONTH(C314)&amp;""-""&amp;DAY(C314)&amp;""'""))&gt;0,""Caixa Atendimento"",""Caixa Sangria"")),""""),""Caixa Sangria"")"),"")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IFERROR(__xludf.DUMMYFUNCTION("ifna(IF(and(D315=""Saída"",J315=""Sangria""),if(sum(QUERY(IMPORTRANGE(""https://docs.google.com/spreadsheets/d/1wBSFbIXYswW2S5SMKo44LPsdTG4P4kfP5VRdAS5E_4o"",""BD M Sangrias!a:i""),""select Col6 where Col7 = 'Depositada' and Col9 = '""&amp;K315&amp;""' and Col6 ="&amp;" ""&amp;N315&amp;"" and Col4 = date '""&amp;YEAR(C315)&amp;""-""&amp;MONTH(C315)&amp;""-""&amp;DAY(C315)&amp;""'""))&gt;0,""Depositada"",if(sum(QUERY(IMPORTRANGE(""https://docs.google.com/spreadsheets/d/1wBSFbIXYswW2S5SMKo44LPsdTG4P4kfP5VRdAS5E_4o"",""BD M Sangrias!a:i""),""select Col6 whe"&amp;"re Col7 = 'Caixa Atendimento' and Col9 = '""&amp;K315&amp;""' and Col6 = ""&amp;N315&amp;"" and Col4 = date '""&amp;YEAR(C315)&amp;""-""&amp;MONTH(C315)&amp;""-""&amp;DAY(C315)&amp;""'""))&gt;0,""Caixa Atendimento"",""Caixa Sangria"")),""""),""Caixa Sangria"")"),"")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IFERROR(__xludf.DUMMYFUNCTION("ifna(IF(and(D316=""Saída"",J316=""Sangria""),if(sum(QUERY(IMPORTRANGE(""https://docs.google.com/spreadsheets/d/1wBSFbIXYswW2S5SMKo44LPsdTG4P4kfP5VRdAS5E_4o"",""BD M Sangrias!a:i""),""select Col6 where Col7 = 'Depositada' and Col9 = '""&amp;K316&amp;""' and Col6 ="&amp;" ""&amp;N316&amp;"" and Col4 = date '""&amp;YEAR(C316)&amp;""-""&amp;MONTH(C316)&amp;""-""&amp;DAY(C316)&amp;""'""))&gt;0,""Depositada"",if(sum(QUERY(IMPORTRANGE(""https://docs.google.com/spreadsheets/d/1wBSFbIXYswW2S5SMKo44LPsdTG4P4kfP5VRdAS5E_4o"",""BD M Sangrias!a:i""),""select Col6 whe"&amp;"re Col7 = 'Caixa Atendimento' and Col9 = '""&amp;K316&amp;""' and Col6 = ""&amp;N316&amp;"" and Col4 = date '""&amp;YEAR(C316)&amp;""-""&amp;MONTH(C316)&amp;""-""&amp;DAY(C316)&amp;""'""))&gt;0,""Caixa Atendimento"",""Caixa Sangria"")),""""),""Caixa Sangria"")"),"")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IFERROR(__xludf.DUMMYFUNCTION("ifna(IF(and(D317=""Saída"",J317=""Sangria""),if(sum(QUERY(IMPORTRANGE(""https://docs.google.com/spreadsheets/d/1wBSFbIXYswW2S5SMKo44LPsdTG4P4kfP5VRdAS5E_4o"",""BD M Sangrias!a:i""),""select Col6 where Col7 = 'Depositada' and Col9 = '""&amp;K317&amp;""' and Col6 ="&amp;" ""&amp;N317&amp;"" and Col4 = date '""&amp;YEAR(C317)&amp;""-""&amp;MONTH(C317)&amp;""-""&amp;DAY(C317)&amp;""'""))&gt;0,""Depositada"",if(sum(QUERY(IMPORTRANGE(""https://docs.google.com/spreadsheets/d/1wBSFbIXYswW2S5SMKo44LPsdTG4P4kfP5VRdAS5E_4o"",""BD M Sangrias!a:i""),""select Col6 whe"&amp;"re Col7 = 'Caixa Atendimento' and Col9 = '""&amp;K317&amp;""' and Col6 = ""&amp;N317&amp;"" and Col4 = date '""&amp;YEAR(C317)&amp;""-""&amp;MONTH(C317)&amp;""-""&amp;DAY(C317)&amp;""'""))&gt;0,""Caixa Atendimento"",""Caixa Sangria"")),""""),""Caixa Sangria"")"),"")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IFERROR(__xludf.DUMMYFUNCTION("ifna(IF(and(D318=""Saída"",J318=""Sangria""),if(sum(QUERY(IMPORTRANGE(""https://docs.google.com/spreadsheets/d/1wBSFbIXYswW2S5SMKo44LPsdTG4P4kfP5VRdAS5E_4o"",""BD M Sangrias!a:i""),""select Col6 where Col7 = 'Depositada' and Col9 = '""&amp;K318&amp;""' and Col6 ="&amp;" ""&amp;N318&amp;"" and Col4 = date '""&amp;YEAR(C318)&amp;""-""&amp;MONTH(C318)&amp;""-""&amp;DAY(C318)&amp;""'""))&gt;0,""Depositada"",if(sum(QUERY(IMPORTRANGE(""https://docs.google.com/spreadsheets/d/1wBSFbIXYswW2S5SMKo44LPsdTG4P4kfP5VRdAS5E_4o"",""BD M Sangrias!a:i""),""select Col6 whe"&amp;"re Col7 = 'Caixa Atendimento' and Col9 = '""&amp;K318&amp;""' and Col6 = ""&amp;N318&amp;"" and Col4 = date '""&amp;YEAR(C318)&amp;""-""&amp;MONTH(C318)&amp;""-""&amp;DAY(C318)&amp;""'""))&gt;0,""Caixa Atendimento"",""Caixa Sangria"")),""""),""Caixa Sangria"")"),"")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IFERROR(__xludf.DUMMYFUNCTION("ifna(IF(and(D319=""Saída"",J319=""Sangria""),if(sum(QUERY(IMPORTRANGE(""https://docs.google.com/spreadsheets/d/1wBSFbIXYswW2S5SMKo44LPsdTG4P4kfP5VRdAS5E_4o"",""BD M Sangrias!a:i""),""select Col6 where Col7 = 'Depositada' and Col9 = '""&amp;K319&amp;""' and Col6 ="&amp;" ""&amp;N319&amp;"" and Col4 = date '""&amp;YEAR(C319)&amp;""-""&amp;MONTH(C319)&amp;""-""&amp;DAY(C319)&amp;""'""))&gt;0,""Depositada"",if(sum(QUERY(IMPORTRANGE(""https://docs.google.com/spreadsheets/d/1wBSFbIXYswW2S5SMKo44LPsdTG4P4kfP5VRdAS5E_4o"",""BD M Sangrias!a:i""),""select Col6 whe"&amp;"re Col7 = 'Caixa Atendimento' and Col9 = '""&amp;K319&amp;""' and Col6 = ""&amp;N319&amp;"" and Col4 = date '""&amp;YEAR(C319)&amp;""-""&amp;MONTH(C319)&amp;""-""&amp;DAY(C319)&amp;""'""))&gt;0,""Caixa Atendimento"",""Caixa Sangria"")),""""),""Caixa Sangria"")"),"")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IFERROR(__xludf.DUMMYFUNCTION("ifna(IF(and(D320=""Saída"",J320=""Sangria""),if(sum(QUERY(IMPORTRANGE(""https://docs.google.com/spreadsheets/d/1wBSFbIXYswW2S5SMKo44LPsdTG4P4kfP5VRdAS5E_4o"",""BD M Sangrias!a:i""),""select Col6 where Col7 = 'Depositada' and Col9 = '""&amp;K320&amp;""' and Col6 ="&amp;" ""&amp;N320&amp;"" and Col4 = date '""&amp;YEAR(C320)&amp;""-""&amp;MONTH(C320)&amp;""-""&amp;DAY(C320)&amp;""'""))&gt;0,""Depositada"",if(sum(QUERY(IMPORTRANGE(""https://docs.google.com/spreadsheets/d/1wBSFbIXYswW2S5SMKo44LPsdTG4P4kfP5VRdAS5E_4o"",""BD M Sangrias!a:i""),""select Col6 whe"&amp;"re Col7 = 'Caixa Atendimento' and Col9 = '""&amp;K320&amp;""' and Col6 = ""&amp;N320&amp;"" and Col4 = date '""&amp;YEAR(C320)&amp;""-""&amp;MONTH(C320)&amp;""-""&amp;DAY(C320)&amp;""'""))&gt;0,""Caixa Atendimento"",""Caixa Sangria"")),""""),""Caixa Sangria"")"),"")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IFERROR(__xludf.DUMMYFUNCTION("ifna(IF(and(D321=""Saída"",J321=""Sangria""),if(sum(QUERY(IMPORTRANGE(""https://docs.google.com/spreadsheets/d/1wBSFbIXYswW2S5SMKo44LPsdTG4P4kfP5VRdAS5E_4o"",""BD M Sangrias!a:i""),""select Col6 where Col7 = 'Depositada' and Col9 = '""&amp;K321&amp;""' and Col6 ="&amp;" ""&amp;N321&amp;"" and Col4 = date '""&amp;YEAR(C321)&amp;""-""&amp;MONTH(C321)&amp;""-""&amp;DAY(C321)&amp;""'""))&gt;0,""Depositada"",if(sum(QUERY(IMPORTRANGE(""https://docs.google.com/spreadsheets/d/1wBSFbIXYswW2S5SMKo44LPsdTG4P4kfP5VRdAS5E_4o"",""BD M Sangrias!a:i""),""select Col6 whe"&amp;"re Col7 = 'Caixa Atendimento' and Col9 = '""&amp;K321&amp;""' and Col6 = ""&amp;N321&amp;"" and Col4 = date '""&amp;YEAR(C321)&amp;""-""&amp;MONTH(C321)&amp;""-""&amp;DAY(C321)&amp;""'""))&gt;0,""Caixa Atendimento"",""Caixa Sangria"")),""""),""Caixa Sangria"")"),"")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IFERROR(__xludf.DUMMYFUNCTION("ifna(IF(and(D322=""Saída"",J322=""Sangria""),if(sum(QUERY(IMPORTRANGE(""https://docs.google.com/spreadsheets/d/1wBSFbIXYswW2S5SMKo44LPsdTG4P4kfP5VRdAS5E_4o"",""BD M Sangrias!a:i""),""select Col6 where Col7 = 'Depositada' and Col9 = '""&amp;K322&amp;""' and Col6 ="&amp;" ""&amp;N322&amp;"" and Col4 = date '""&amp;YEAR(C322)&amp;""-""&amp;MONTH(C322)&amp;""-""&amp;DAY(C322)&amp;""'""))&gt;0,""Depositada"",if(sum(QUERY(IMPORTRANGE(""https://docs.google.com/spreadsheets/d/1wBSFbIXYswW2S5SMKo44LPsdTG4P4kfP5VRdAS5E_4o"",""BD M Sangrias!a:i""),""select Col6 whe"&amp;"re Col7 = 'Caixa Atendimento' and Col9 = '""&amp;K322&amp;""' and Col6 = ""&amp;N322&amp;"" and Col4 = date '""&amp;YEAR(C322)&amp;""-""&amp;MONTH(C322)&amp;""-""&amp;DAY(C322)&amp;""'""))&gt;0,""Caixa Atendimento"",""Caixa Sangria"")),""""),""Caixa Sangria"")"),"")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IFERROR(__xludf.DUMMYFUNCTION("ifna(IF(and(D323=""Saída"",J323=""Sangria""),if(sum(QUERY(IMPORTRANGE(""https://docs.google.com/spreadsheets/d/1wBSFbIXYswW2S5SMKo44LPsdTG4P4kfP5VRdAS5E_4o"",""BD M Sangrias!a:i""),""select Col6 where Col7 = 'Depositada' and Col9 = '""&amp;K323&amp;""' and Col6 ="&amp;" ""&amp;N323&amp;"" and Col4 = date '""&amp;YEAR(C323)&amp;""-""&amp;MONTH(C323)&amp;""-""&amp;DAY(C323)&amp;""'""))&gt;0,""Depositada"",if(sum(QUERY(IMPORTRANGE(""https://docs.google.com/spreadsheets/d/1wBSFbIXYswW2S5SMKo44LPsdTG4P4kfP5VRdAS5E_4o"",""BD M Sangrias!a:i""),""select Col6 whe"&amp;"re Col7 = 'Caixa Atendimento' and Col9 = '""&amp;K323&amp;""' and Col6 = ""&amp;N323&amp;"" and Col4 = date '""&amp;YEAR(C323)&amp;""-""&amp;MONTH(C323)&amp;""-""&amp;DAY(C323)&amp;""'""))&gt;0,""Caixa Atendimento"",""Caixa Sangria"")),""""),""Caixa Sangria"")"),"")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IFERROR(__xludf.DUMMYFUNCTION("ifna(IF(and(D324=""Saída"",J324=""Sangria""),if(sum(QUERY(IMPORTRANGE(""https://docs.google.com/spreadsheets/d/1wBSFbIXYswW2S5SMKo44LPsdTG4P4kfP5VRdAS5E_4o"",""BD M Sangrias!a:i""),""select Col6 where Col7 = 'Depositada' and Col9 = '""&amp;K324&amp;""' and Col6 ="&amp;" ""&amp;N324&amp;"" and Col4 = date '""&amp;YEAR(C324)&amp;""-""&amp;MONTH(C324)&amp;""-""&amp;DAY(C324)&amp;""'""))&gt;0,""Depositada"",if(sum(QUERY(IMPORTRANGE(""https://docs.google.com/spreadsheets/d/1wBSFbIXYswW2S5SMKo44LPsdTG4P4kfP5VRdAS5E_4o"",""BD M Sangrias!a:i""),""select Col6 whe"&amp;"re Col7 = 'Caixa Atendimento' and Col9 = '""&amp;K324&amp;""' and Col6 = ""&amp;N324&amp;"" and Col4 = date '""&amp;YEAR(C324)&amp;""-""&amp;MONTH(C324)&amp;""-""&amp;DAY(C324)&amp;""'""))&gt;0,""Caixa Atendimento"",""Caixa Sangria"")),""""),""Caixa Sangria"")"),"")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IFERROR(__xludf.DUMMYFUNCTION("ifna(IF(and(D325=""Saída"",J325=""Sangria""),if(sum(QUERY(IMPORTRANGE(""https://docs.google.com/spreadsheets/d/1wBSFbIXYswW2S5SMKo44LPsdTG4P4kfP5VRdAS5E_4o"",""BD M Sangrias!a:i""),""select Col6 where Col7 = 'Depositada' and Col9 = '""&amp;K325&amp;""' and Col6 ="&amp;" ""&amp;N325&amp;"" and Col4 = date '""&amp;YEAR(C325)&amp;""-""&amp;MONTH(C325)&amp;""-""&amp;DAY(C325)&amp;""'""))&gt;0,""Depositada"",if(sum(QUERY(IMPORTRANGE(""https://docs.google.com/spreadsheets/d/1wBSFbIXYswW2S5SMKo44LPsdTG4P4kfP5VRdAS5E_4o"",""BD M Sangrias!a:i""),""select Col6 whe"&amp;"re Col7 = 'Caixa Atendimento' and Col9 = '""&amp;K325&amp;""' and Col6 = ""&amp;N325&amp;"" and Col4 = date '""&amp;YEAR(C325)&amp;""-""&amp;MONTH(C325)&amp;""-""&amp;DAY(C325)&amp;""'""))&gt;0,""Caixa Atendimento"",""Caixa Sangria"")),""""),""Caixa Sangria"")"),"")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IFERROR(__xludf.DUMMYFUNCTION("ifna(IF(and(D326=""Saída"",J326=""Sangria""),if(sum(QUERY(IMPORTRANGE(""https://docs.google.com/spreadsheets/d/1wBSFbIXYswW2S5SMKo44LPsdTG4P4kfP5VRdAS5E_4o"",""BD M Sangrias!a:i""),""select Col6 where Col7 = 'Depositada' and Col9 = '""&amp;K326&amp;""' and Col6 ="&amp;" ""&amp;N326&amp;"" and Col4 = date '""&amp;YEAR(C326)&amp;""-""&amp;MONTH(C326)&amp;""-""&amp;DAY(C326)&amp;""'""))&gt;0,""Depositada"",if(sum(QUERY(IMPORTRANGE(""https://docs.google.com/spreadsheets/d/1wBSFbIXYswW2S5SMKo44LPsdTG4P4kfP5VRdAS5E_4o"",""BD M Sangrias!a:i""),""select Col6 whe"&amp;"re Col7 = 'Caixa Atendimento' and Col9 = '""&amp;K326&amp;""' and Col6 = ""&amp;N326&amp;"" and Col4 = date '""&amp;YEAR(C326)&amp;""-""&amp;MONTH(C326)&amp;""-""&amp;DAY(C326)&amp;""'""))&gt;0,""Caixa Atendimento"",""Caixa Sangria"")),""""),""Caixa Sangria"")"),"")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IFERROR(__xludf.DUMMYFUNCTION("ifna(IF(and(D327=""Saída"",J327=""Sangria""),if(sum(QUERY(IMPORTRANGE(""https://docs.google.com/spreadsheets/d/1wBSFbIXYswW2S5SMKo44LPsdTG4P4kfP5VRdAS5E_4o"",""BD M Sangrias!a:i""),""select Col6 where Col7 = 'Depositada' and Col9 = '""&amp;K327&amp;""' and Col6 ="&amp;" ""&amp;N327&amp;"" and Col4 = date '""&amp;YEAR(C327)&amp;""-""&amp;MONTH(C327)&amp;""-""&amp;DAY(C327)&amp;""'""))&gt;0,""Depositada"",if(sum(QUERY(IMPORTRANGE(""https://docs.google.com/spreadsheets/d/1wBSFbIXYswW2S5SMKo44LPsdTG4P4kfP5VRdAS5E_4o"",""BD M Sangrias!a:i""),""select Col6 whe"&amp;"re Col7 = 'Caixa Atendimento' and Col9 = '""&amp;K327&amp;""' and Col6 = ""&amp;N327&amp;"" and Col4 = date '""&amp;YEAR(C327)&amp;""-""&amp;MONTH(C327)&amp;""-""&amp;DAY(C327)&amp;""'""))&gt;0,""Caixa Atendimento"",""Caixa Sangria"")),""""),""Caixa Sangria"")"),"")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IFERROR(__xludf.DUMMYFUNCTION("ifna(IF(and(D328=""Saída"",J328=""Sangria""),if(sum(QUERY(IMPORTRANGE(""https://docs.google.com/spreadsheets/d/1wBSFbIXYswW2S5SMKo44LPsdTG4P4kfP5VRdAS5E_4o"",""BD M Sangrias!a:i""),""select Col6 where Col7 = 'Depositada' and Col9 = '""&amp;K328&amp;""' and Col6 ="&amp;" ""&amp;N328&amp;"" and Col4 = date '""&amp;YEAR(C328)&amp;""-""&amp;MONTH(C328)&amp;""-""&amp;DAY(C328)&amp;""'""))&gt;0,""Depositada"",if(sum(QUERY(IMPORTRANGE(""https://docs.google.com/spreadsheets/d/1wBSFbIXYswW2S5SMKo44LPsdTG4P4kfP5VRdAS5E_4o"",""BD M Sangrias!a:i""),""select Col6 whe"&amp;"re Col7 = 'Caixa Atendimento' and Col9 = '""&amp;K328&amp;""' and Col6 = ""&amp;N328&amp;"" and Col4 = date '""&amp;YEAR(C328)&amp;""-""&amp;MONTH(C328)&amp;""-""&amp;DAY(C328)&amp;""'""))&gt;0,""Caixa Atendimento"",""Caixa Sangria"")),""""),""Caixa Sangria"")"),"")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IFERROR(__xludf.DUMMYFUNCTION("ifna(IF(and(D329=""Saída"",J329=""Sangria""),if(sum(QUERY(IMPORTRANGE(""https://docs.google.com/spreadsheets/d/1wBSFbIXYswW2S5SMKo44LPsdTG4P4kfP5VRdAS5E_4o"",""BD M Sangrias!a:i""),""select Col6 where Col7 = 'Depositada' and Col9 = '""&amp;K329&amp;""' and Col6 ="&amp;" ""&amp;N329&amp;"" and Col4 = date '""&amp;YEAR(C329)&amp;""-""&amp;MONTH(C329)&amp;""-""&amp;DAY(C329)&amp;""'""))&gt;0,""Depositada"",if(sum(QUERY(IMPORTRANGE(""https://docs.google.com/spreadsheets/d/1wBSFbIXYswW2S5SMKo44LPsdTG4P4kfP5VRdAS5E_4o"",""BD M Sangrias!a:i""),""select Col6 whe"&amp;"re Col7 = 'Caixa Atendimento' and Col9 = '""&amp;K329&amp;""' and Col6 = ""&amp;N329&amp;"" and Col4 = date '""&amp;YEAR(C329)&amp;""-""&amp;MONTH(C329)&amp;""-""&amp;DAY(C329)&amp;""'""))&gt;0,""Caixa Atendimento"",""Caixa Sangria"")),""""),""Caixa Sangria"")"),"")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IFERROR(__xludf.DUMMYFUNCTION("ifna(IF(and(D330=""Saída"",J330=""Sangria""),if(sum(QUERY(IMPORTRANGE(""https://docs.google.com/spreadsheets/d/1wBSFbIXYswW2S5SMKo44LPsdTG4P4kfP5VRdAS5E_4o"",""BD M Sangrias!a:i""),""select Col6 where Col7 = 'Depositada' and Col9 = '""&amp;K330&amp;""' and Col6 ="&amp;" ""&amp;N330&amp;"" and Col4 = date '""&amp;YEAR(C330)&amp;""-""&amp;MONTH(C330)&amp;""-""&amp;DAY(C330)&amp;""'""))&gt;0,""Depositada"",if(sum(QUERY(IMPORTRANGE(""https://docs.google.com/spreadsheets/d/1wBSFbIXYswW2S5SMKo44LPsdTG4P4kfP5VRdAS5E_4o"",""BD M Sangrias!a:i""),""select Col6 whe"&amp;"re Col7 = 'Caixa Atendimento' and Col9 = '""&amp;K330&amp;""' and Col6 = ""&amp;N330&amp;"" and Col4 = date '""&amp;YEAR(C330)&amp;""-""&amp;MONTH(C330)&amp;""-""&amp;DAY(C330)&amp;""'""))&gt;0,""Caixa Atendimento"",""Caixa Sangria"")),""""),""Caixa Sangria"")"),"")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IFERROR(__xludf.DUMMYFUNCTION("ifna(IF(and(D331=""Saída"",J331=""Sangria""),if(sum(QUERY(IMPORTRANGE(""https://docs.google.com/spreadsheets/d/1wBSFbIXYswW2S5SMKo44LPsdTG4P4kfP5VRdAS5E_4o"",""BD M Sangrias!a:i""),""select Col6 where Col7 = 'Depositada' and Col9 = '""&amp;K331&amp;""' and Col6 ="&amp;" ""&amp;N331&amp;"" and Col4 = date '""&amp;YEAR(C331)&amp;""-""&amp;MONTH(C331)&amp;""-""&amp;DAY(C331)&amp;""'""))&gt;0,""Depositada"",if(sum(QUERY(IMPORTRANGE(""https://docs.google.com/spreadsheets/d/1wBSFbIXYswW2S5SMKo44LPsdTG4P4kfP5VRdAS5E_4o"",""BD M Sangrias!a:i""),""select Col6 whe"&amp;"re Col7 = 'Caixa Atendimento' and Col9 = '""&amp;K331&amp;""' and Col6 = ""&amp;N331&amp;"" and Col4 = date '""&amp;YEAR(C331)&amp;""-""&amp;MONTH(C331)&amp;""-""&amp;DAY(C331)&amp;""'""))&gt;0,""Caixa Atendimento"",""Caixa Sangria"")),""""),""Caixa Sangria"")"),"")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IFERROR(__xludf.DUMMYFUNCTION("ifna(IF(and(D332=""Saída"",J332=""Sangria""),if(sum(QUERY(IMPORTRANGE(""https://docs.google.com/spreadsheets/d/1wBSFbIXYswW2S5SMKo44LPsdTG4P4kfP5VRdAS5E_4o"",""BD M Sangrias!a:i""),""select Col6 where Col7 = 'Depositada' and Col9 = '""&amp;K332&amp;""' and Col6 ="&amp;" ""&amp;N332&amp;"" and Col4 = date '""&amp;YEAR(C332)&amp;""-""&amp;MONTH(C332)&amp;""-""&amp;DAY(C332)&amp;""'""))&gt;0,""Depositada"",if(sum(QUERY(IMPORTRANGE(""https://docs.google.com/spreadsheets/d/1wBSFbIXYswW2S5SMKo44LPsdTG4P4kfP5VRdAS5E_4o"",""BD M Sangrias!a:i""),""select Col6 whe"&amp;"re Col7 = 'Caixa Atendimento' and Col9 = '""&amp;K332&amp;""' and Col6 = ""&amp;N332&amp;"" and Col4 = date '""&amp;YEAR(C332)&amp;""-""&amp;MONTH(C332)&amp;""-""&amp;DAY(C332)&amp;""'""))&gt;0,""Caixa Atendimento"",""Caixa Sangria"")),""""),""Caixa Sangria"")"),"")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IFERROR(__xludf.DUMMYFUNCTION("ifna(IF(and(D333=""Saída"",J333=""Sangria""),if(sum(QUERY(IMPORTRANGE(""https://docs.google.com/spreadsheets/d/1wBSFbIXYswW2S5SMKo44LPsdTG4P4kfP5VRdAS5E_4o"",""BD M Sangrias!a:i""),""select Col6 where Col7 = 'Depositada' and Col9 = '""&amp;K333&amp;""' and Col6 ="&amp;" ""&amp;N333&amp;"" and Col4 = date '""&amp;YEAR(C333)&amp;""-""&amp;MONTH(C333)&amp;""-""&amp;DAY(C333)&amp;""'""))&gt;0,""Depositada"",if(sum(QUERY(IMPORTRANGE(""https://docs.google.com/spreadsheets/d/1wBSFbIXYswW2S5SMKo44LPsdTG4P4kfP5VRdAS5E_4o"",""BD M Sangrias!a:i""),""select Col6 whe"&amp;"re Col7 = 'Caixa Atendimento' and Col9 = '""&amp;K333&amp;""' and Col6 = ""&amp;N333&amp;"" and Col4 = date '""&amp;YEAR(C333)&amp;""-""&amp;MONTH(C333)&amp;""-""&amp;DAY(C333)&amp;""'""))&gt;0,""Caixa Atendimento"",""Caixa Sangria"")),""""),""Caixa Sangria"")"),"")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IFERROR(__xludf.DUMMYFUNCTION("ifna(IF(and(D334=""Saída"",J334=""Sangria""),if(sum(QUERY(IMPORTRANGE(""https://docs.google.com/spreadsheets/d/1wBSFbIXYswW2S5SMKo44LPsdTG4P4kfP5VRdAS5E_4o"",""BD M Sangrias!a:i""),""select Col6 where Col7 = 'Depositada' and Col9 = '""&amp;K334&amp;""' and Col6 ="&amp;" ""&amp;N334&amp;"" and Col4 = date '""&amp;YEAR(C334)&amp;""-""&amp;MONTH(C334)&amp;""-""&amp;DAY(C334)&amp;""'""))&gt;0,""Depositada"",if(sum(QUERY(IMPORTRANGE(""https://docs.google.com/spreadsheets/d/1wBSFbIXYswW2S5SMKo44LPsdTG4P4kfP5VRdAS5E_4o"",""BD M Sangrias!a:i""),""select Col6 whe"&amp;"re Col7 = 'Caixa Atendimento' and Col9 = '""&amp;K334&amp;""' and Col6 = ""&amp;N334&amp;"" and Col4 = date '""&amp;YEAR(C334)&amp;""-""&amp;MONTH(C334)&amp;""-""&amp;DAY(C334)&amp;""'""))&gt;0,""Caixa Atendimento"",""Caixa Sangria"")),""""),""Caixa Sangria"")"),"")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IFERROR(__xludf.DUMMYFUNCTION("ifna(IF(and(D335=""Saída"",J335=""Sangria""),if(sum(QUERY(IMPORTRANGE(""https://docs.google.com/spreadsheets/d/1wBSFbIXYswW2S5SMKo44LPsdTG4P4kfP5VRdAS5E_4o"",""BD M Sangrias!a:i""),""select Col6 where Col7 = 'Depositada' and Col9 = '""&amp;K335&amp;""' and Col6 ="&amp;" ""&amp;N335&amp;"" and Col4 = date '""&amp;YEAR(C335)&amp;""-""&amp;MONTH(C335)&amp;""-""&amp;DAY(C335)&amp;""'""))&gt;0,""Depositada"",if(sum(QUERY(IMPORTRANGE(""https://docs.google.com/spreadsheets/d/1wBSFbIXYswW2S5SMKo44LPsdTG4P4kfP5VRdAS5E_4o"",""BD M Sangrias!a:i""),""select Col6 whe"&amp;"re Col7 = 'Caixa Atendimento' and Col9 = '""&amp;K335&amp;""' and Col6 = ""&amp;N335&amp;"" and Col4 = date '""&amp;YEAR(C335)&amp;""-""&amp;MONTH(C335)&amp;""-""&amp;DAY(C335)&amp;""'""))&gt;0,""Caixa Atendimento"",""Caixa Sangria"")),""""),""Caixa Sangria"")"),"")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IFERROR(__xludf.DUMMYFUNCTION("ifna(IF(and(D336=""Saída"",J336=""Sangria""),if(sum(QUERY(IMPORTRANGE(""https://docs.google.com/spreadsheets/d/1wBSFbIXYswW2S5SMKo44LPsdTG4P4kfP5VRdAS5E_4o"",""BD M Sangrias!a:i""),""select Col6 where Col7 = 'Depositada' and Col9 = '""&amp;K336&amp;""' and Col6 ="&amp;" ""&amp;N336&amp;"" and Col4 = date '""&amp;YEAR(C336)&amp;""-""&amp;MONTH(C336)&amp;""-""&amp;DAY(C336)&amp;""'""))&gt;0,""Depositada"",if(sum(QUERY(IMPORTRANGE(""https://docs.google.com/spreadsheets/d/1wBSFbIXYswW2S5SMKo44LPsdTG4P4kfP5VRdAS5E_4o"",""BD M Sangrias!a:i""),""select Col6 whe"&amp;"re Col7 = 'Caixa Atendimento' and Col9 = '""&amp;K336&amp;""' and Col6 = ""&amp;N336&amp;"" and Col4 = date '""&amp;YEAR(C336)&amp;""-""&amp;MONTH(C336)&amp;""-""&amp;DAY(C336)&amp;""'""))&gt;0,""Caixa Atendimento"",""Caixa Sangria"")),""""),""Caixa Sangria"")"),"")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IFERROR(__xludf.DUMMYFUNCTION("ifna(IF(and(D337=""Saída"",J337=""Sangria""),if(sum(QUERY(IMPORTRANGE(""https://docs.google.com/spreadsheets/d/1wBSFbIXYswW2S5SMKo44LPsdTG4P4kfP5VRdAS5E_4o"",""BD M Sangrias!a:i""),""select Col6 where Col7 = 'Depositada' and Col9 = '""&amp;K337&amp;""' and Col6 ="&amp;" ""&amp;N337&amp;"" and Col4 = date '""&amp;YEAR(C337)&amp;""-""&amp;MONTH(C337)&amp;""-""&amp;DAY(C337)&amp;""'""))&gt;0,""Depositada"",if(sum(QUERY(IMPORTRANGE(""https://docs.google.com/spreadsheets/d/1wBSFbIXYswW2S5SMKo44LPsdTG4P4kfP5VRdAS5E_4o"",""BD M Sangrias!a:i""),""select Col6 whe"&amp;"re Col7 = 'Caixa Atendimento' and Col9 = '""&amp;K337&amp;""' and Col6 = ""&amp;N337&amp;"" and Col4 = date '""&amp;YEAR(C337)&amp;""-""&amp;MONTH(C337)&amp;""-""&amp;DAY(C337)&amp;""'""))&gt;0,""Caixa Atendimento"",""Caixa Sangria"")),""""),""Caixa Sangria"")"),"")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IFERROR(__xludf.DUMMYFUNCTION("ifna(IF(and(D338=""Saída"",J338=""Sangria""),if(sum(QUERY(IMPORTRANGE(""https://docs.google.com/spreadsheets/d/1wBSFbIXYswW2S5SMKo44LPsdTG4P4kfP5VRdAS5E_4o"",""BD M Sangrias!a:i""),""select Col6 where Col7 = 'Depositada' and Col9 = '""&amp;K338&amp;""' and Col6 ="&amp;" ""&amp;N338&amp;"" and Col4 = date '""&amp;YEAR(C338)&amp;""-""&amp;MONTH(C338)&amp;""-""&amp;DAY(C338)&amp;""'""))&gt;0,""Depositada"",if(sum(QUERY(IMPORTRANGE(""https://docs.google.com/spreadsheets/d/1wBSFbIXYswW2S5SMKo44LPsdTG4P4kfP5VRdAS5E_4o"",""BD M Sangrias!a:i""),""select Col6 whe"&amp;"re Col7 = 'Caixa Atendimento' and Col9 = '""&amp;K338&amp;""' and Col6 = ""&amp;N338&amp;"" and Col4 = date '""&amp;YEAR(C338)&amp;""-""&amp;MONTH(C338)&amp;""-""&amp;DAY(C338)&amp;""'""))&gt;0,""Caixa Atendimento"",""Caixa Sangria"")),""""),""Caixa Sangria"")"),"")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IFERROR(__xludf.DUMMYFUNCTION("ifna(IF(and(D339=""Saída"",J339=""Sangria""),if(sum(QUERY(IMPORTRANGE(""https://docs.google.com/spreadsheets/d/1wBSFbIXYswW2S5SMKo44LPsdTG4P4kfP5VRdAS5E_4o"",""BD M Sangrias!a:i""),""select Col6 where Col7 = 'Depositada' and Col9 = '""&amp;K339&amp;""' and Col6 ="&amp;" ""&amp;N339&amp;"" and Col4 = date '""&amp;YEAR(C339)&amp;""-""&amp;MONTH(C339)&amp;""-""&amp;DAY(C339)&amp;""'""))&gt;0,""Depositada"",if(sum(QUERY(IMPORTRANGE(""https://docs.google.com/spreadsheets/d/1wBSFbIXYswW2S5SMKo44LPsdTG4P4kfP5VRdAS5E_4o"",""BD M Sangrias!a:i""),""select Col6 whe"&amp;"re Col7 = 'Caixa Atendimento' and Col9 = '""&amp;K339&amp;""' and Col6 = ""&amp;N339&amp;"" and Col4 = date '""&amp;YEAR(C339)&amp;""-""&amp;MONTH(C339)&amp;""-""&amp;DAY(C339)&amp;""'""))&gt;0,""Caixa Atendimento"",""Caixa Sangria"")),""""),""Caixa Sangria"")"),"")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IFERROR(__xludf.DUMMYFUNCTION("ifna(IF(and(D340=""Saída"",J340=""Sangria""),if(sum(QUERY(IMPORTRANGE(""https://docs.google.com/spreadsheets/d/1wBSFbIXYswW2S5SMKo44LPsdTG4P4kfP5VRdAS5E_4o"",""BD M Sangrias!a:i""),""select Col6 where Col7 = 'Depositada' and Col9 = '""&amp;K340&amp;""' and Col6 ="&amp;" ""&amp;N340&amp;"" and Col4 = date '""&amp;YEAR(C340)&amp;""-""&amp;MONTH(C340)&amp;""-""&amp;DAY(C340)&amp;""'""))&gt;0,""Depositada"",if(sum(QUERY(IMPORTRANGE(""https://docs.google.com/spreadsheets/d/1wBSFbIXYswW2S5SMKo44LPsdTG4P4kfP5VRdAS5E_4o"",""BD M Sangrias!a:i""),""select Col6 whe"&amp;"re Col7 = 'Caixa Atendimento' and Col9 = '""&amp;K340&amp;""' and Col6 = ""&amp;N340&amp;"" and Col4 = date '""&amp;YEAR(C340)&amp;""-""&amp;MONTH(C340)&amp;""-""&amp;DAY(C340)&amp;""'""))&gt;0,""Caixa Atendimento"",""Caixa Sangria"")),""""),""Caixa Sangria"")"),"")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IFERROR(__xludf.DUMMYFUNCTION("ifna(IF(and(D341=""Saída"",J341=""Sangria""),if(sum(QUERY(IMPORTRANGE(""https://docs.google.com/spreadsheets/d/1wBSFbIXYswW2S5SMKo44LPsdTG4P4kfP5VRdAS5E_4o"",""BD M Sangrias!a:i""),""select Col6 where Col7 = 'Depositada' and Col9 = '""&amp;K341&amp;""' and Col6 ="&amp;" ""&amp;N341&amp;"" and Col4 = date '""&amp;YEAR(C341)&amp;""-""&amp;MONTH(C341)&amp;""-""&amp;DAY(C341)&amp;""'""))&gt;0,""Depositada"",if(sum(QUERY(IMPORTRANGE(""https://docs.google.com/spreadsheets/d/1wBSFbIXYswW2S5SMKo44LPsdTG4P4kfP5VRdAS5E_4o"",""BD M Sangrias!a:i""),""select Col6 whe"&amp;"re Col7 = 'Caixa Atendimento' and Col9 = '""&amp;K341&amp;""' and Col6 = ""&amp;N341&amp;"" and Col4 = date '""&amp;YEAR(C341)&amp;""-""&amp;MONTH(C341)&amp;""-""&amp;DAY(C341)&amp;""'""))&gt;0,""Caixa Atendimento"",""Caixa Sangria"")),""""),""Caixa Sangria"")"),"")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IFERROR(__xludf.DUMMYFUNCTION("ifna(IF(and(D342=""Saída"",J342=""Sangria""),if(sum(QUERY(IMPORTRANGE(""https://docs.google.com/spreadsheets/d/1wBSFbIXYswW2S5SMKo44LPsdTG4P4kfP5VRdAS5E_4o"",""BD M Sangrias!a:i""),""select Col6 where Col7 = 'Depositada' and Col9 = '""&amp;K342&amp;""' and Col6 ="&amp;" ""&amp;N342&amp;"" and Col4 = date '""&amp;YEAR(C342)&amp;""-""&amp;MONTH(C342)&amp;""-""&amp;DAY(C342)&amp;""'""))&gt;0,""Depositada"",if(sum(QUERY(IMPORTRANGE(""https://docs.google.com/spreadsheets/d/1wBSFbIXYswW2S5SMKo44LPsdTG4P4kfP5VRdAS5E_4o"",""BD M Sangrias!a:i""),""select Col6 whe"&amp;"re Col7 = 'Caixa Atendimento' and Col9 = '""&amp;K342&amp;""' and Col6 = ""&amp;N342&amp;"" and Col4 = date '""&amp;YEAR(C342)&amp;""-""&amp;MONTH(C342)&amp;""-""&amp;DAY(C342)&amp;""'""))&gt;0,""Caixa Atendimento"",""Caixa Sangria"")),""""),""Caixa Sangria"")"),"")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IFERROR(__xludf.DUMMYFUNCTION("ifna(IF(and(D343=""Saída"",J343=""Sangria""),if(sum(QUERY(IMPORTRANGE(""https://docs.google.com/spreadsheets/d/1wBSFbIXYswW2S5SMKo44LPsdTG4P4kfP5VRdAS5E_4o"",""BD M Sangrias!a:i""),""select Col6 where Col7 = 'Depositada' and Col9 = '""&amp;K343&amp;""' and Col6 ="&amp;" ""&amp;N343&amp;"" and Col4 = date '""&amp;YEAR(C343)&amp;""-""&amp;MONTH(C343)&amp;""-""&amp;DAY(C343)&amp;""'""))&gt;0,""Depositada"",if(sum(QUERY(IMPORTRANGE(""https://docs.google.com/spreadsheets/d/1wBSFbIXYswW2S5SMKo44LPsdTG4P4kfP5VRdAS5E_4o"",""BD M Sangrias!a:i""),""select Col6 whe"&amp;"re Col7 = 'Caixa Atendimento' and Col9 = '""&amp;K343&amp;""' and Col6 = ""&amp;N343&amp;"" and Col4 = date '""&amp;YEAR(C343)&amp;""-""&amp;MONTH(C343)&amp;""-""&amp;DAY(C343)&amp;""'""))&gt;0,""Caixa Atendimento"",""Caixa Sangria"")),""""),""Caixa Sangria"")"),"")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IFERROR(__xludf.DUMMYFUNCTION("ifna(IF(and(D344=""Saída"",J344=""Sangria""),if(sum(QUERY(IMPORTRANGE(""https://docs.google.com/spreadsheets/d/1wBSFbIXYswW2S5SMKo44LPsdTG4P4kfP5VRdAS5E_4o"",""BD M Sangrias!a:i""),""select Col6 where Col7 = 'Depositada' and Col9 = '""&amp;K344&amp;""' and Col6 ="&amp;" ""&amp;N344&amp;"" and Col4 = date '""&amp;YEAR(C344)&amp;""-""&amp;MONTH(C344)&amp;""-""&amp;DAY(C344)&amp;""'""))&gt;0,""Depositada"",if(sum(QUERY(IMPORTRANGE(""https://docs.google.com/spreadsheets/d/1wBSFbIXYswW2S5SMKo44LPsdTG4P4kfP5VRdAS5E_4o"",""BD M Sangrias!a:i""),""select Col6 whe"&amp;"re Col7 = 'Caixa Atendimento' and Col9 = '""&amp;K344&amp;""' and Col6 = ""&amp;N344&amp;"" and Col4 = date '""&amp;YEAR(C344)&amp;""-""&amp;MONTH(C344)&amp;""-""&amp;DAY(C344)&amp;""'""))&gt;0,""Caixa Atendimento"",""Caixa Sangria"")),""""),""Caixa Sangria"")"),"")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IFERROR(__xludf.DUMMYFUNCTION("ifna(IF(and(D345=""Saída"",J345=""Sangria""),if(sum(QUERY(IMPORTRANGE(""https://docs.google.com/spreadsheets/d/1wBSFbIXYswW2S5SMKo44LPsdTG4P4kfP5VRdAS5E_4o"",""BD M Sangrias!a:i""),""select Col6 where Col7 = 'Depositada' and Col9 = '""&amp;K345&amp;""' and Col6 ="&amp;" ""&amp;N345&amp;"" and Col4 = date '""&amp;YEAR(C345)&amp;""-""&amp;MONTH(C345)&amp;""-""&amp;DAY(C345)&amp;""'""))&gt;0,""Depositada"",if(sum(QUERY(IMPORTRANGE(""https://docs.google.com/spreadsheets/d/1wBSFbIXYswW2S5SMKo44LPsdTG4P4kfP5VRdAS5E_4o"",""BD M Sangrias!a:i""),""select Col6 whe"&amp;"re Col7 = 'Caixa Atendimento' and Col9 = '""&amp;K345&amp;""' and Col6 = ""&amp;N345&amp;"" and Col4 = date '""&amp;YEAR(C345)&amp;""-""&amp;MONTH(C345)&amp;""-""&amp;DAY(C345)&amp;""'""))&gt;0,""Caixa Atendimento"",""Caixa Sangria"")),""""),""Caixa Sangria"")"),"")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IFERROR(__xludf.DUMMYFUNCTION("ifna(IF(and(D346=""Saída"",J346=""Sangria""),if(sum(QUERY(IMPORTRANGE(""https://docs.google.com/spreadsheets/d/1wBSFbIXYswW2S5SMKo44LPsdTG4P4kfP5VRdAS5E_4o"",""BD M Sangrias!a:i""),""select Col6 where Col7 = 'Depositada' and Col9 = '""&amp;K346&amp;""' and Col6 ="&amp;" ""&amp;N346&amp;"" and Col4 = date '""&amp;YEAR(C346)&amp;""-""&amp;MONTH(C346)&amp;""-""&amp;DAY(C346)&amp;""'""))&gt;0,""Depositada"",if(sum(QUERY(IMPORTRANGE(""https://docs.google.com/spreadsheets/d/1wBSFbIXYswW2S5SMKo44LPsdTG4P4kfP5VRdAS5E_4o"",""BD M Sangrias!a:i""),""select Col6 whe"&amp;"re Col7 = 'Caixa Atendimento' and Col9 = '""&amp;K346&amp;""' and Col6 = ""&amp;N346&amp;"" and Col4 = date '""&amp;YEAR(C346)&amp;""-""&amp;MONTH(C346)&amp;""-""&amp;DAY(C346)&amp;""'""))&gt;0,""Caixa Atendimento"",""Caixa Sangria"")),""""),""Caixa Sangria"")"),"")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IFERROR(__xludf.DUMMYFUNCTION("ifna(IF(and(D347=""Saída"",J347=""Sangria""),if(sum(QUERY(IMPORTRANGE(""https://docs.google.com/spreadsheets/d/1wBSFbIXYswW2S5SMKo44LPsdTG4P4kfP5VRdAS5E_4o"",""BD M Sangrias!a:i""),""select Col6 where Col7 = 'Depositada' and Col9 = '""&amp;K347&amp;""' and Col6 ="&amp;" ""&amp;N347&amp;"" and Col4 = date '""&amp;YEAR(C347)&amp;""-""&amp;MONTH(C347)&amp;""-""&amp;DAY(C347)&amp;""'""))&gt;0,""Depositada"",if(sum(QUERY(IMPORTRANGE(""https://docs.google.com/spreadsheets/d/1wBSFbIXYswW2S5SMKo44LPsdTG4P4kfP5VRdAS5E_4o"",""BD M Sangrias!a:i""),""select Col6 whe"&amp;"re Col7 = 'Caixa Atendimento' and Col9 = '""&amp;K347&amp;""' and Col6 = ""&amp;N347&amp;"" and Col4 = date '""&amp;YEAR(C347)&amp;""-""&amp;MONTH(C347)&amp;""-""&amp;DAY(C347)&amp;""'""))&gt;0,""Caixa Atendimento"",""Caixa Sangria"")),""""),""Caixa Sangria"")"),"")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IFERROR(__xludf.DUMMYFUNCTION("ifna(IF(and(D348=""Saída"",J348=""Sangria""),if(sum(QUERY(IMPORTRANGE(""https://docs.google.com/spreadsheets/d/1wBSFbIXYswW2S5SMKo44LPsdTG4P4kfP5VRdAS5E_4o"",""BD M Sangrias!a:i""),""select Col6 where Col7 = 'Depositada' and Col9 = '""&amp;K348&amp;""' and Col6 ="&amp;" ""&amp;N348&amp;"" and Col4 = date '""&amp;YEAR(C348)&amp;""-""&amp;MONTH(C348)&amp;""-""&amp;DAY(C348)&amp;""'""))&gt;0,""Depositada"",if(sum(QUERY(IMPORTRANGE(""https://docs.google.com/spreadsheets/d/1wBSFbIXYswW2S5SMKo44LPsdTG4P4kfP5VRdAS5E_4o"",""BD M Sangrias!a:i""),""select Col6 whe"&amp;"re Col7 = 'Caixa Atendimento' and Col9 = '""&amp;K348&amp;""' and Col6 = ""&amp;N348&amp;"" and Col4 = date '""&amp;YEAR(C348)&amp;""-""&amp;MONTH(C348)&amp;""-""&amp;DAY(C348)&amp;""'""))&gt;0,""Caixa Atendimento"",""Caixa Sangria"")),""""),""Caixa Sangria"")"),"")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IFERROR(__xludf.DUMMYFUNCTION("ifna(IF(and(D349=""Saída"",J349=""Sangria""),if(sum(QUERY(IMPORTRANGE(""https://docs.google.com/spreadsheets/d/1wBSFbIXYswW2S5SMKo44LPsdTG4P4kfP5VRdAS5E_4o"",""BD M Sangrias!a:i""),""select Col6 where Col7 = 'Depositada' and Col9 = '""&amp;K349&amp;""' and Col6 ="&amp;" ""&amp;N349&amp;"" and Col4 = date '""&amp;YEAR(C349)&amp;""-""&amp;MONTH(C349)&amp;""-""&amp;DAY(C349)&amp;""'""))&gt;0,""Depositada"",if(sum(QUERY(IMPORTRANGE(""https://docs.google.com/spreadsheets/d/1wBSFbIXYswW2S5SMKo44LPsdTG4P4kfP5VRdAS5E_4o"",""BD M Sangrias!a:i""),""select Col6 whe"&amp;"re Col7 = 'Caixa Atendimento' and Col9 = '""&amp;K349&amp;""' and Col6 = ""&amp;N349&amp;"" and Col4 = date '""&amp;YEAR(C349)&amp;""-""&amp;MONTH(C349)&amp;""-""&amp;DAY(C349)&amp;""'""))&gt;0,""Caixa Atendimento"",""Caixa Sangria"")),""""),""Caixa Sangria"")"),"")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IFERROR(__xludf.DUMMYFUNCTION("ifna(IF(and(D350=""Saída"",J350=""Sangria""),if(sum(QUERY(IMPORTRANGE(""https://docs.google.com/spreadsheets/d/1wBSFbIXYswW2S5SMKo44LPsdTG4P4kfP5VRdAS5E_4o"",""BD M Sangrias!a:i""),""select Col6 where Col7 = 'Depositada' and Col9 = '""&amp;K350&amp;""' and Col6 ="&amp;" ""&amp;N350&amp;"" and Col4 = date '""&amp;YEAR(C350)&amp;""-""&amp;MONTH(C350)&amp;""-""&amp;DAY(C350)&amp;""'""))&gt;0,""Depositada"",if(sum(QUERY(IMPORTRANGE(""https://docs.google.com/spreadsheets/d/1wBSFbIXYswW2S5SMKo44LPsdTG4P4kfP5VRdAS5E_4o"",""BD M Sangrias!a:i""),""select Col6 whe"&amp;"re Col7 = 'Caixa Atendimento' and Col9 = '""&amp;K350&amp;""' and Col6 = ""&amp;N350&amp;"" and Col4 = date '""&amp;YEAR(C350)&amp;""-""&amp;MONTH(C350)&amp;""-""&amp;DAY(C350)&amp;""'""))&gt;0,""Caixa Atendimento"",""Caixa Sangria"")),""""),""Caixa Sangria"")"),"")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IFERROR(__xludf.DUMMYFUNCTION("ifna(IF(and(D351=""Saída"",J351=""Sangria""),if(sum(QUERY(IMPORTRANGE(""https://docs.google.com/spreadsheets/d/1wBSFbIXYswW2S5SMKo44LPsdTG4P4kfP5VRdAS5E_4o"",""BD M Sangrias!a:i""),""select Col6 where Col7 = 'Depositada' and Col9 = '""&amp;K351&amp;""' and Col6 ="&amp;" ""&amp;N351&amp;"" and Col4 = date '""&amp;YEAR(C351)&amp;""-""&amp;MONTH(C351)&amp;""-""&amp;DAY(C351)&amp;""'""))&gt;0,""Depositada"",if(sum(QUERY(IMPORTRANGE(""https://docs.google.com/spreadsheets/d/1wBSFbIXYswW2S5SMKo44LPsdTG4P4kfP5VRdAS5E_4o"",""BD M Sangrias!a:i""),""select Col6 whe"&amp;"re Col7 = 'Caixa Atendimento' and Col9 = '""&amp;K351&amp;""' and Col6 = ""&amp;N351&amp;"" and Col4 = date '""&amp;YEAR(C351)&amp;""-""&amp;MONTH(C351)&amp;""-""&amp;DAY(C351)&amp;""'""))&gt;0,""Caixa Atendimento"",""Caixa Sangria"")),""""),""Caixa Sangria"")"),"")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IFERROR(__xludf.DUMMYFUNCTION("ifna(IF(and(D352=""Saída"",J352=""Sangria""),if(sum(QUERY(IMPORTRANGE(""https://docs.google.com/spreadsheets/d/1wBSFbIXYswW2S5SMKo44LPsdTG4P4kfP5VRdAS5E_4o"",""BD M Sangrias!a:i""),""select Col6 where Col7 = 'Depositada' and Col9 = '""&amp;K352&amp;""' and Col6 ="&amp;" ""&amp;N352&amp;"" and Col4 = date '""&amp;YEAR(C352)&amp;""-""&amp;MONTH(C352)&amp;""-""&amp;DAY(C352)&amp;""'""))&gt;0,""Depositada"",if(sum(QUERY(IMPORTRANGE(""https://docs.google.com/spreadsheets/d/1wBSFbIXYswW2S5SMKo44LPsdTG4P4kfP5VRdAS5E_4o"",""BD M Sangrias!a:i""),""select Col6 whe"&amp;"re Col7 = 'Caixa Atendimento' and Col9 = '""&amp;K352&amp;""' and Col6 = ""&amp;N352&amp;"" and Col4 = date '""&amp;YEAR(C352)&amp;""-""&amp;MONTH(C352)&amp;""-""&amp;DAY(C352)&amp;""'""))&gt;0,""Caixa Atendimento"",""Caixa Sangria"")),""""),""Caixa Sangria"")"),"")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IFERROR(__xludf.DUMMYFUNCTION("ifna(IF(and(D353=""Saída"",J353=""Sangria""),if(sum(QUERY(IMPORTRANGE(""https://docs.google.com/spreadsheets/d/1wBSFbIXYswW2S5SMKo44LPsdTG4P4kfP5VRdAS5E_4o"",""BD M Sangrias!a:i""),""select Col6 where Col7 = 'Depositada' and Col9 = '""&amp;K353&amp;""' and Col6 ="&amp;" ""&amp;N353&amp;"" and Col4 = date '""&amp;YEAR(C353)&amp;""-""&amp;MONTH(C353)&amp;""-""&amp;DAY(C353)&amp;""'""))&gt;0,""Depositada"",if(sum(QUERY(IMPORTRANGE(""https://docs.google.com/spreadsheets/d/1wBSFbIXYswW2S5SMKo44LPsdTG4P4kfP5VRdAS5E_4o"",""BD M Sangrias!a:i""),""select Col6 whe"&amp;"re Col7 = 'Caixa Atendimento' and Col9 = '""&amp;K353&amp;""' and Col6 = ""&amp;N353&amp;"" and Col4 = date '""&amp;YEAR(C353)&amp;""-""&amp;MONTH(C353)&amp;""-""&amp;DAY(C353)&amp;""'""))&gt;0,""Caixa Atendimento"",""Caixa Sangria"")),""""),""Caixa Sangria"")"),"")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IFERROR(__xludf.DUMMYFUNCTION("ifna(IF(and(D354=""Saída"",J354=""Sangria""),if(sum(QUERY(IMPORTRANGE(""https://docs.google.com/spreadsheets/d/1wBSFbIXYswW2S5SMKo44LPsdTG4P4kfP5VRdAS5E_4o"",""BD M Sangrias!a:i""),""select Col6 where Col7 = 'Depositada' and Col9 = '""&amp;K354&amp;""' and Col6 ="&amp;" ""&amp;N354&amp;"" and Col4 = date '""&amp;YEAR(C354)&amp;""-""&amp;MONTH(C354)&amp;""-""&amp;DAY(C354)&amp;""'""))&gt;0,""Depositada"",if(sum(QUERY(IMPORTRANGE(""https://docs.google.com/spreadsheets/d/1wBSFbIXYswW2S5SMKo44LPsdTG4P4kfP5VRdAS5E_4o"",""BD M Sangrias!a:i""),""select Col6 whe"&amp;"re Col7 = 'Caixa Atendimento' and Col9 = '""&amp;K354&amp;""' and Col6 = ""&amp;N354&amp;"" and Col4 = date '""&amp;YEAR(C354)&amp;""-""&amp;MONTH(C354)&amp;""-""&amp;DAY(C354)&amp;""'""))&gt;0,""Caixa Atendimento"",""Caixa Sangria"")),""""),""Caixa Sangria"")"),"")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IFERROR(__xludf.DUMMYFUNCTION("ifna(IF(and(D355=""Saída"",J355=""Sangria""),if(sum(QUERY(IMPORTRANGE(""https://docs.google.com/spreadsheets/d/1wBSFbIXYswW2S5SMKo44LPsdTG4P4kfP5VRdAS5E_4o"",""BD M Sangrias!a:i""),""select Col6 where Col7 = 'Depositada' and Col9 = '""&amp;K355&amp;""' and Col6 ="&amp;" ""&amp;N355&amp;"" and Col4 = date '""&amp;YEAR(C355)&amp;""-""&amp;MONTH(C355)&amp;""-""&amp;DAY(C355)&amp;""'""))&gt;0,""Depositada"",if(sum(QUERY(IMPORTRANGE(""https://docs.google.com/spreadsheets/d/1wBSFbIXYswW2S5SMKo44LPsdTG4P4kfP5VRdAS5E_4o"",""BD M Sangrias!a:i""),""select Col6 whe"&amp;"re Col7 = 'Caixa Atendimento' and Col9 = '""&amp;K355&amp;""' and Col6 = ""&amp;N355&amp;"" and Col4 = date '""&amp;YEAR(C355)&amp;""-""&amp;MONTH(C355)&amp;""-""&amp;DAY(C355)&amp;""'""))&gt;0,""Caixa Atendimento"",""Caixa Sangria"")),""""),""Caixa Sangria"")"),"")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IFERROR(__xludf.DUMMYFUNCTION("ifna(IF(and(D356=""Saída"",J356=""Sangria""),if(sum(QUERY(IMPORTRANGE(""https://docs.google.com/spreadsheets/d/1wBSFbIXYswW2S5SMKo44LPsdTG4P4kfP5VRdAS5E_4o"",""BD M Sangrias!a:i""),""select Col6 where Col7 = 'Depositada' and Col9 = '""&amp;K356&amp;""' and Col6 ="&amp;" ""&amp;N356&amp;"" and Col4 = date '""&amp;YEAR(C356)&amp;""-""&amp;MONTH(C356)&amp;""-""&amp;DAY(C356)&amp;""'""))&gt;0,""Depositada"",if(sum(QUERY(IMPORTRANGE(""https://docs.google.com/spreadsheets/d/1wBSFbIXYswW2S5SMKo44LPsdTG4P4kfP5VRdAS5E_4o"",""BD M Sangrias!a:i""),""select Col6 whe"&amp;"re Col7 = 'Caixa Atendimento' and Col9 = '""&amp;K356&amp;""' and Col6 = ""&amp;N356&amp;"" and Col4 = date '""&amp;YEAR(C356)&amp;""-""&amp;MONTH(C356)&amp;""-""&amp;DAY(C356)&amp;""'""))&gt;0,""Caixa Atendimento"",""Caixa Sangria"")),""""),""Caixa Sangria"")"),"")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IFERROR(__xludf.DUMMYFUNCTION("ifna(IF(and(D357=""Saída"",J357=""Sangria""),if(sum(QUERY(IMPORTRANGE(""https://docs.google.com/spreadsheets/d/1wBSFbIXYswW2S5SMKo44LPsdTG4P4kfP5VRdAS5E_4o"",""BD M Sangrias!a:i""),""select Col6 where Col7 = 'Depositada' and Col9 = '""&amp;K357&amp;""' and Col6 ="&amp;" ""&amp;N357&amp;"" and Col4 = date '""&amp;YEAR(C357)&amp;""-""&amp;MONTH(C357)&amp;""-""&amp;DAY(C357)&amp;""'""))&gt;0,""Depositada"",if(sum(QUERY(IMPORTRANGE(""https://docs.google.com/spreadsheets/d/1wBSFbIXYswW2S5SMKo44LPsdTG4P4kfP5VRdAS5E_4o"",""BD M Sangrias!a:i""),""select Col6 whe"&amp;"re Col7 = 'Caixa Atendimento' and Col9 = '""&amp;K357&amp;""' and Col6 = ""&amp;N357&amp;"" and Col4 = date '""&amp;YEAR(C357)&amp;""-""&amp;MONTH(C357)&amp;""-""&amp;DAY(C357)&amp;""'""))&gt;0,""Caixa Atendimento"",""Caixa Sangria"")),""""),""Caixa Sangria"")"),"")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IFERROR(__xludf.DUMMYFUNCTION("ifna(IF(and(D358=""Saída"",J358=""Sangria""),if(sum(QUERY(IMPORTRANGE(""https://docs.google.com/spreadsheets/d/1wBSFbIXYswW2S5SMKo44LPsdTG4P4kfP5VRdAS5E_4o"",""BD M Sangrias!a:i""),""select Col6 where Col7 = 'Depositada' and Col9 = '""&amp;K358&amp;""' and Col6 ="&amp;" ""&amp;N358&amp;"" and Col4 = date '""&amp;YEAR(C358)&amp;""-""&amp;MONTH(C358)&amp;""-""&amp;DAY(C358)&amp;""'""))&gt;0,""Depositada"",if(sum(QUERY(IMPORTRANGE(""https://docs.google.com/spreadsheets/d/1wBSFbIXYswW2S5SMKo44LPsdTG4P4kfP5VRdAS5E_4o"",""BD M Sangrias!a:i""),""select Col6 whe"&amp;"re Col7 = 'Caixa Atendimento' and Col9 = '""&amp;K358&amp;""' and Col6 = ""&amp;N358&amp;"" and Col4 = date '""&amp;YEAR(C358)&amp;""-""&amp;MONTH(C358)&amp;""-""&amp;DAY(C358)&amp;""'""))&gt;0,""Caixa Atendimento"",""Caixa Sangria"")),""""),""Caixa Sangria"")"),"")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IFERROR(__xludf.DUMMYFUNCTION("ifna(IF(and(D359=""Saída"",J359=""Sangria""),if(sum(QUERY(IMPORTRANGE(""https://docs.google.com/spreadsheets/d/1wBSFbIXYswW2S5SMKo44LPsdTG4P4kfP5VRdAS5E_4o"",""BD M Sangrias!a:i""),""select Col6 where Col7 = 'Depositada' and Col9 = '""&amp;K359&amp;""' and Col6 ="&amp;" ""&amp;N359&amp;"" and Col4 = date '""&amp;YEAR(C359)&amp;""-""&amp;MONTH(C359)&amp;""-""&amp;DAY(C359)&amp;""'""))&gt;0,""Depositada"",if(sum(QUERY(IMPORTRANGE(""https://docs.google.com/spreadsheets/d/1wBSFbIXYswW2S5SMKo44LPsdTG4P4kfP5VRdAS5E_4o"",""BD M Sangrias!a:i""),""select Col6 whe"&amp;"re Col7 = 'Caixa Atendimento' and Col9 = '""&amp;K359&amp;""' and Col6 = ""&amp;N359&amp;"" and Col4 = date '""&amp;YEAR(C359)&amp;""-""&amp;MONTH(C359)&amp;""-""&amp;DAY(C359)&amp;""'""))&gt;0,""Caixa Atendimento"",""Caixa Sangria"")),""""),""Caixa Sangria"")"),"")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IFERROR(__xludf.DUMMYFUNCTION("ifna(IF(and(D360=""Saída"",J360=""Sangria""),if(sum(QUERY(IMPORTRANGE(""https://docs.google.com/spreadsheets/d/1wBSFbIXYswW2S5SMKo44LPsdTG4P4kfP5VRdAS5E_4o"",""BD M Sangrias!a:i""),""select Col6 where Col7 = 'Depositada' and Col9 = '""&amp;K360&amp;""' and Col6 ="&amp;" ""&amp;N360&amp;"" and Col4 = date '""&amp;YEAR(C360)&amp;""-""&amp;MONTH(C360)&amp;""-""&amp;DAY(C360)&amp;""'""))&gt;0,""Depositada"",if(sum(QUERY(IMPORTRANGE(""https://docs.google.com/spreadsheets/d/1wBSFbIXYswW2S5SMKo44LPsdTG4P4kfP5VRdAS5E_4o"",""BD M Sangrias!a:i""),""select Col6 whe"&amp;"re Col7 = 'Caixa Atendimento' and Col9 = '""&amp;K360&amp;""' and Col6 = ""&amp;N360&amp;"" and Col4 = date '""&amp;YEAR(C360)&amp;""-""&amp;MONTH(C360)&amp;""-""&amp;DAY(C360)&amp;""'""))&gt;0,""Caixa Atendimento"",""Caixa Sangria"")),""""),""Caixa Sangria"")"),"")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IFERROR(__xludf.DUMMYFUNCTION("ifna(IF(and(D361=""Saída"",J361=""Sangria""),if(sum(QUERY(IMPORTRANGE(""https://docs.google.com/spreadsheets/d/1wBSFbIXYswW2S5SMKo44LPsdTG4P4kfP5VRdAS5E_4o"",""BD M Sangrias!a:i""),""select Col6 where Col7 = 'Depositada' and Col9 = '""&amp;K361&amp;""' and Col6 ="&amp;" ""&amp;N361&amp;"" and Col4 = date '""&amp;YEAR(C361)&amp;""-""&amp;MONTH(C361)&amp;""-""&amp;DAY(C361)&amp;""'""))&gt;0,""Depositada"",if(sum(QUERY(IMPORTRANGE(""https://docs.google.com/spreadsheets/d/1wBSFbIXYswW2S5SMKo44LPsdTG4P4kfP5VRdAS5E_4o"",""BD M Sangrias!a:i""),""select Col6 whe"&amp;"re Col7 = 'Caixa Atendimento' and Col9 = '""&amp;K361&amp;""' and Col6 = ""&amp;N361&amp;"" and Col4 = date '""&amp;YEAR(C361)&amp;""-""&amp;MONTH(C361)&amp;""-""&amp;DAY(C361)&amp;""'""))&gt;0,""Caixa Atendimento"",""Caixa Sangria"")),""""),""Caixa Sangria"")"),"")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IFERROR(__xludf.DUMMYFUNCTION("ifna(IF(and(D362=""Saída"",J362=""Sangria""),if(sum(QUERY(IMPORTRANGE(""https://docs.google.com/spreadsheets/d/1wBSFbIXYswW2S5SMKo44LPsdTG4P4kfP5VRdAS5E_4o"",""BD M Sangrias!a:i""),""select Col6 where Col7 = 'Depositada' and Col9 = '""&amp;K362&amp;""' and Col6 ="&amp;" ""&amp;N362&amp;"" and Col4 = date '""&amp;YEAR(C362)&amp;""-""&amp;MONTH(C362)&amp;""-""&amp;DAY(C362)&amp;""'""))&gt;0,""Depositada"",if(sum(QUERY(IMPORTRANGE(""https://docs.google.com/spreadsheets/d/1wBSFbIXYswW2S5SMKo44LPsdTG4P4kfP5VRdAS5E_4o"",""BD M Sangrias!a:i""),""select Col6 whe"&amp;"re Col7 = 'Caixa Atendimento' and Col9 = '""&amp;K362&amp;""' and Col6 = ""&amp;N362&amp;"" and Col4 = date '""&amp;YEAR(C362)&amp;""-""&amp;MONTH(C362)&amp;""-""&amp;DAY(C362)&amp;""'""))&gt;0,""Caixa Atendimento"",""Caixa Sangria"")),""""),""Caixa Sangria"")"),"")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IFERROR(__xludf.DUMMYFUNCTION("ifna(IF(and(D363=""Saída"",J363=""Sangria""),if(sum(QUERY(IMPORTRANGE(""https://docs.google.com/spreadsheets/d/1wBSFbIXYswW2S5SMKo44LPsdTG4P4kfP5VRdAS5E_4o"",""BD M Sangrias!a:i""),""select Col6 where Col7 = 'Depositada' and Col9 = '""&amp;K363&amp;""' and Col6 ="&amp;" ""&amp;N363&amp;"" and Col4 = date '""&amp;YEAR(C363)&amp;""-""&amp;MONTH(C363)&amp;""-""&amp;DAY(C363)&amp;""'""))&gt;0,""Depositada"",if(sum(QUERY(IMPORTRANGE(""https://docs.google.com/spreadsheets/d/1wBSFbIXYswW2S5SMKo44LPsdTG4P4kfP5VRdAS5E_4o"",""BD M Sangrias!a:i""),""select Col6 whe"&amp;"re Col7 = 'Caixa Atendimento' and Col9 = '""&amp;K363&amp;""' and Col6 = ""&amp;N363&amp;"" and Col4 = date '""&amp;YEAR(C363)&amp;""-""&amp;MONTH(C363)&amp;""-""&amp;DAY(C363)&amp;""'""))&gt;0,""Caixa Atendimento"",""Caixa Sangria"")),""""),""Caixa Sangria"")"),"")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IFERROR(__xludf.DUMMYFUNCTION("ifna(IF(and(D364=""Saída"",J364=""Sangria""),if(sum(QUERY(IMPORTRANGE(""https://docs.google.com/spreadsheets/d/1wBSFbIXYswW2S5SMKo44LPsdTG4P4kfP5VRdAS5E_4o"",""BD M Sangrias!a:i""),""select Col6 where Col7 = 'Depositada' and Col9 = '""&amp;K364&amp;""' and Col6 ="&amp;" ""&amp;N364&amp;"" and Col4 = date '""&amp;YEAR(C364)&amp;""-""&amp;MONTH(C364)&amp;""-""&amp;DAY(C364)&amp;""'""))&gt;0,""Depositada"",if(sum(QUERY(IMPORTRANGE(""https://docs.google.com/spreadsheets/d/1wBSFbIXYswW2S5SMKo44LPsdTG4P4kfP5VRdAS5E_4o"",""BD M Sangrias!a:i""),""select Col6 whe"&amp;"re Col7 = 'Caixa Atendimento' and Col9 = '""&amp;K364&amp;""' and Col6 = ""&amp;N364&amp;"" and Col4 = date '""&amp;YEAR(C364)&amp;""-""&amp;MONTH(C364)&amp;""-""&amp;DAY(C364)&amp;""'""))&gt;0,""Caixa Atendimento"",""Caixa Sangria"")),""""),""Caixa Sangria"")"),"")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IFERROR(__xludf.DUMMYFUNCTION("ifna(IF(and(D365=""Saída"",J365=""Sangria""),if(sum(QUERY(IMPORTRANGE(""https://docs.google.com/spreadsheets/d/1wBSFbIXYswW2S5SMKo44LPsdTG4P4kfP5VRdAS5E_4o"",""BD M Sangrias!a:i""),""select Col6 where Col7 = 'Depositada' and Col9 = '""&amp;K365&amp;""' and Col6 ="&amp;" ""&amp;N365&amp;"" and Col4 = date '""&amp;YEAR(C365)&amp;""-""&amp;MONTH(C365)&amp;""-""&amp;DAY(C365)&amp;""'""))&gt;0,""Depositada"",if(sum(QUERY(IMPORTRANGE(""https://docs.google.com/spreadsheets/d/1wBSFbIXYswW2S5SMKo44LPsdTG4P4kfP5VRdAS5E_4o"",""BD M Sangrias!a:i""),""select Col6 whe"&amp;"re Col7 = 'Caixa Atendimento' and Col9 = '""&amp;K365&amp;""' and Col6 = ""&amp;N365&amp;"" and Col4 = date '""&amp;YEAR(C365)&amp;""-""&amp;MONTH(C365)&amp;""-""&amp;DAY(C365)&amp;""'""))&gt;0,""Caixa Atendimento"",""Caixa Sangria"")),""""),""Caixa Sangria"")"),"")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IFERROR(__xludf.DUMMYFUNCTION("ifna(IF(and(D366=""Saída"",J366=""Sangria""),if(sum(QUERY(IMPORTRANGE(""https://docs.google.com/spreadsheets/d/1wBSFbIXYswW2S5SMKo44LPsdTG4P4kfP5VRdAS5E_4o"",""BD M Sangrias!a:i""),""select Col6 where Col7 = 'Depositada' and Col9 = '""&amp;K366&amp;""' and Col6 ="&amp;" ""&amp;N366&amp;"" and Col4 = date '""&amp;YEAR(C366)&amp;""-""&amp;MONTH(C366)&amp;""-""&amp;DAY(C366)&amp;""'""))&gt;0,""Depositada"",if(sum(QUERY(IMPORTRANGE(""https://docs.google.com/spreadsheets/d/1wBSFbIXYswW2S5SMKo44LPsdTG4P4kfP5VRdAS5E_4o"",""BD M Sangrias!a:i""),""select Col6 whe"&amp;"re Col7 = 'Caixa Atendimento' and Col9 = '""&amp;K366&amp;""' and Col6 = ""&amp;N366&amp;"" and Col4 = date '""&amp;YEAR(C366)&amp;""-""&amp;MONTH(C366)&amp;""-""&amp;DAY(C366)&amp;""'""))&gt;0,""Caixa Atendimento"",""Caixa Sangria"")),""""),""Caixa Sangria"")"),"")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IFERROR(__xludf.DUMMYFUNCTION("ifna(IF(and(D367=""Saída"",J367=""Sangria""),if(sum(QUERY(IMPORTRANGE(""https://docs.google.com/spreadsheets/d/1wBSFbIXYswW2S5SMKo44LPsdTG4P4kfP5VRdAS5E_4o"",""BD M Sangrias!a:i""),""select Col6 where Col7 = 'Depositada' and Col9 = '""&amp;K367&amp;""' and Col6 ="&amp;" ""&amp;N367&amp;"" and Col4 = date '""&amp;YEAR(C367)&amp;""-""&amp;MONTH(C367)&amp;""-""&amp;DAY(C367)&amp;""'""))&gt;0,""Depositada"",if(sum(QUERY(IMPORTRANGE(""https://docs.google.com/spreadsheets/d/1wBSFbIXYswW2S5SMKo44LPsdTG4P4kfP5VRdAS5E_4o"",""BD M Sangrias!a:i""),""select Col6 whe"&amp;"re Col7 = 'Caixa Atendimento' and Col9 = '""&amp;K367&amp;""' and Col6 = ""&amp;N367&amp;"" and Col4 = date '""&amp;YEAR(C367)&amp;""-""&amp;MONTH(C367)&amp;""-""&amp;DAY(C367)&amp;""'""))&gt;0,""Caixa Atendimento"",""Caixa Sangria"")),""""),""Caixa Sangria"")"),"")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IFERROR(__xludf.DUMMYFUNCTION("ifna(IF(and(D368=""Saída"",J368=""Sangria""),if(sum(QUERY(IMPORTRANGE(""https://docs.google.com/spreadsheets/d/1wBSFbIXYswW2S5SMKo44LPsdTG4P4kfP5VRdAS5E_4o"",""BD M Sangrias!a:i""),""select Col6 where Col7 = 'Depositada' and Col9 = '""&amp;K368&amp;""' and Col6 ="&amp;" ""&amp;N368&amp;"" and Col4 = date '""&amp;YEAR(C368)&amp;""-""&amp;MONTH(C368)&amp;""-""&amp;DAY(C368)&amp;""'""))&gt;0,""Depositada"",if(sum(QUERY(IMPORTRANGE(""https://docs.google.com/spreadsheets/d/1wBSFbIXYswW2S5SMKo44LPsdTG4P4kfP5VRdAS5E_4o"",""BD M Sangrias!a:i""),""select Col6 whe"&amp;"re Col7 = 'Caixa Atendimento' and Col9 = '""&amp;K368&amp;""' and Col6 = ""&amp;N368&amp;"" and Col4 = date '""&amp;YEAR(C368)&amp;""-""&amp;MONTH(C368)&amp;""-""&amp;DAY(C368)&amp;""'""))&gt;0,""Caixa Atendimento"",""Caixa Sangria"")),""""),""Caixa Sangria"")"),"")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IFERROR(__xludf.DUMMYFUNCTION("ifna(IF(and(D369=""Saída"",J369=""Sangria""),if(sum(QUERY(IMPORTRANGE(""https://docs.google.com/spreadsheets/d/1wBSFbIXYswW2S5SMKo44LPsdTG4P4kfP5VRdAS5E_4o"",""BD M Sangrias!a:i""),""select Col6 where Col7 = 'Depositada' and Col9 = '""&amp;K369&amp;""' and Col6 ="&amp;" ""&amp;N369&amp;"" and Col4 = date '""&amp;YEAR(C369)&amp;""-""&amp;MONTH(C369)&amp;""-""&amp;DAY(C369)&amp;""'""))&gt;0,""Depositada"",if(sum(QUERY(IMPORTRANGE(""https://docs.google.com/spreadsheets/d/1wBSFbIXYswW2S5SMKo44LPsdTG4P4kfP5VRdAS5E_4o"",""BD M Sangrias!a:i""),""select Col6 whe"&amp;"re Col7 = 'Caixa Atendimento' and Col9 = '""&amp;K369&amp;""' and Col6 = ""&amp;N369&amp;"" and Col4 = date '""&amp;YEAR(C369)&amp;""-""&amp;MONTH(C369)&amp;""-""&amp;DAY(C369)&amp;""'""))&gt;0,""Caixa Atendimento"",""Caixa Sangria"")),""""),""Caixa Sangria"")"),"")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IFERROR(__xludf.DUMMYFUNCTION("ifna(IF(and(D370=""Saída"",J370=""Sangria""),if(sum(QUERY(IMPORTRANGE(""https://docs.google.com/spreadsheets/d/1wBSFbIXYswW2S5SMKo44LPsdTG4P4kfP5VRdAS5E_4o"",""BD M Sangrias!a:i""),""select Col6 where Col7 = 'Depositada' and Col9 = '""&amp;K370&amp;""' and Col6 ="&amp;" ""&amp;N370&amp;"" and Col4 = date '""&amp;YEAR(C370)&amp;""-""&amp;MONTH(C370)&amp;""-""&amp;DAY(C370)&amp;""'""))&gt;0,""Depositada"",if(sum(QUERY(IMPORTRANGE(""https://docs.google.com/spreadsheets/d/1wBSFbIXYswW2S5SMKo44LPsdTG4P4kfP5VRdAS5E_4o"",""BD M Sangrias!a:i""),""select Col6 whe"&amp;"re Col7 = 'Caixa Atendimento' and Col9 = '""&amp;K370&amp;""' and Col6 = ""&amp;N370&amp;"" and Col4 = date '""&amp;YEAR(C370)&amp;""-""&amp;MONTH(C370)&amp;""-""&amp;DAY(C370)&amp;""'""))&gt;0,""Caixa Atendimento"",""Caixa Sangria"")),""""),""Caixa Sangria"")"),"")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IFERROR(__xludf.DUMMYFUNCTION("ifna(IF(and(D371=""Saída"",J371=""Sangria""),if(sum(QUERY(IMPORTRANGE(""https://docs.google.com/spreadsheets/d/1wBSFbIXYswW2S5SMKo44LPsdTG4P4kfP5VRdAS5E_4o"",""BD M Sangrias!a:i""),""select Col6 where Col7 = 'Depositada' and Col9 = '""&amp;K371&amp;""' and Col6 ="&amp;" ""&amp;N371&amp;"" and Col4 = date '""&amp;YEAR(C371)&amp;""-""&amp;MONTH(C371)&amp;""-""&amp;DAY(C371)&amp;""'""))&gt;0,""Depositada"",if(sum(QUERY(IMPORTRANGE(""https://docs.google.com/spreadsheets/d/1wBSFbIXYswW2S5SMKo44LPsdTG4P4kfP5VRdAS5E_4o"",""BD M Sangrias!a:i""),""select Col6 whe"&amp;"re Col7 = 'Caixa Atendimento' and Col9 = '""&amp;K371&amp;""' and Col6 = ""&amp;N371&amp;"" and Col4 = date '""&amp;YEAR(C371)&amp;""-""&amp;MONTH(C371)&amp;""-""&amp;DAY(C371)&amp;""'""))&gt;0,""Caixa Atendimento"",""Caixa Sangria"")),""""),""Caixa Sangria"")"),"")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IFERROR(__xludf.DUMMYFUNCTION("ifna(IF(and(D372=""Saída"",J372=""Sangria""),if(sum(QUERY(IMPORTRANGE(""https://docs.google.com/spreadsheets/d/1wBSFbIXYswW2S5SMKo44LPsdTG4P4kfP5VRdAS5E_4o"",""BD M Sangrias!a:i""),""select Col6 where Col7 = 'Depositada' and Col9 = '""&amp;K372&amp;""' and Col6 ="&amp;" ""&amp;N372&amp;"" and Col4 = date '""&amp;YEAR(C372)&amp;""-""&amp;MONTH(C372)&amp;""-""&amp;DAY(C372)&amp;""'""))&gt;0,""Depositada"",if(sum(QUERY(IMPORTRANGE(""https://docs.google.com/spreadsheets/d/1wBSFbIXYswW2S5SMKo44LPsdTG4P4kfP5VRdAS5E_4o"",""BD M Sangrias!a:i""),""select Col6 whe"&amp;"re Col7 = 'Caixa Atendimento' and Col9 = '""&amp;K372&amp;""' and Col6 = ""&amp;N372&amp;"" and Col4 = date '""&amp;YEAR(C372)&amp;""-""&amp;MONTH(C372)&amp;""-""&amp;DAY(C372)&amp;""'""))&gt;0,""Caixa Atendimento"",""Caixa Sangria"")),""""),""Caixa Sangria"")"),"")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IFERROR(__xludf.DUMMYFUNCTION("ifna(IF(and(D373=""Saída"",J373=""Sangria""),if(sum(QUERY(IMPORTRANGE(""https://docs.google.com/spreadsheets/d/1wBSFbIXYswW2S5SMKo44LPsdTG4P4kfP5VRdAS5E_4o"",""BD M Sangrias!a:i""),""select Col6 where Col7 = 'Depositada' and Col9 = '""&amp;K373&amp;""' and Col6 ="&amp;" ""&amp;N373&amp;"" and Col4 = date '""&amp;YEAR(C373)&amp;""-""&amp;MONTH(C373)&amp;""-""&amp;DAY(C373)&amp;""'""))&gt;0,""Depositada"",if(sum(QUERY(IMPORTRANGE(""https://docs.google.com/spreadsheets/d/1wBSFbIXYswW2S5SMKo44LPsdTG4P4kfP5VRdAS5E_4o"",""BD M Sangrias!a:i""),""select Col6 whe"&amp;"re Col7 = 'Caixa Atendimento' and Col9 = '""&amp;K373&amp;""' and Col6 = ""&amp;N373&amp;"" and Col4 = date '""&amp;YEAR(C373)&amp;""-""&amp;MONTH(C373)&amp;""-""&amp;DAY(C373)&amp;""'""))&gt;0,""Caixa Atendimento"",""Caixa Sangria"")),""""),""Caixa Sangria"")"),"")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IFERROR(__xludf.DUMMYFUNCTION("ifna(IF(and(D374=""Saída"",J374=""Sangria""),if(sum(QUERY(IMPORTRANGE(""https://docs.google.com/spreadsheets/d/1wBSFbIXYswW2S5SMKo44LPsdTG4P4kfP5VRdAS5E_4o"",""BD M Sangrias!a:i""),""select Col6 where Col7 = 'Depositada' and Col9 = '""&amp;K374&amp;""' and Col6 ="&amp;" ""&amp;N374&amp;"" and Col4 = date '""&amp;YEAR(C374)&amp;""-""&amp;MONTH(C374)&amp;""-""&amp;DAY(C374)&amp;""'""))&gt;0,""Depositada"",if(sum(QUERY(IMPORTRANGE(""https://docs.google.com/spreadsheets/d/1wBSFbIXYswW2S5SMKo44LPsdTG4P4kfP5VRdAS5E_4o"",""BD M Sangrias!a:i""),""select Col6 whe"&amp;"re Col7 = 'Caixa Atendimento' and Col9 = '""&amp;K374&amp;""' and Col6 = ""&amp;N374&amp;"" and Col4 = date '""&amp;YEAR(C374)&amp;""-""&amp;MONTH(C374)&amp;""-""&amp;DAY(C374)&amp;""'""))&gt;0,""Caixa Atendimento"",""Caixa Sangria"")),""""),""Caixa Sangria"")"),"")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IFERROR(__xludf.DUMMYFUNCTION("ifna(IF(and(D375=""Saída"",J375=""Sangria""),if(sum(QUERY(IMPORTRANGE(""https://docs.google.com/spreadsheets/d/1wBSFbIXYswW2S5SMKo44LPsdTG4P4kfP5VRdAS5E_4o"",""BD M Sangrias!a:i""),""select Col6 where Col7 = 'Depositada' and Col9 = '""&amp;K375&amp;""' and Col6 ="&amp;" ""&amp;N375&amp;"" and Col4 = date '""&amp;YEAR(C375)&amp;""-""&amp;MONTH(C375)&amp;""-""&amp;DAY(C375)&amp;""'""))&gt;0,""Depositada"",if(sum(QUERY(IMPORTRANGE(""https://docs.google.com/spreadsheets/d/1wBSFbIXYswW2S5SMKo44LPsdTG4P4kfP5VRdAS5E_4o"",""BD M Sangrias!a:i""),""select Col6 whe"&amp;"re Col7 = 'Caixa Atendimento' and Col9 = '""&amp;K375&amp;""' and Col6 = ""&amp;N375&amp;"" and Col4 = date '""&amp;YEAR(C375)&amp;""-""&amp;MONTH(C375)&amp;""-""&amp;DAY(C375)&amp;""'""))&gt;0,""Caixa Atendimento"",""Caixa Sangria"")),""""),""Caixa Sangria"")"),"")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IFERROR(__xludf.DUMMYFUNCTION("ifna(IF(and(D376=""Saída"",J376=""Sangria""),if(sum(QUERY(IMPORTRANGE(""https://docs.google.com/spreadsheets/d/1wBSFbIXYswW2S5SMKo44LPsdTG4P4kfP5VRdAS5E_4o"",""BD M Sangrias!a:i""),""select Col6 where Col7 = 'Depositada' and Col9 = '""&amp;K376&amp;""' and Col6 ="&amp;" ""&amp;N376&amp;"" and Col4 = date '""&amp;YEAR(C376)&amp;""-""&amp;MONTH(C376)&amp;""-""&amp;DAY(C376)&amp;""'""))&gt;0,""Depositada"",if(sum(QUERY(IMPORTRANGE(""https://docs.google.com/spreadsheets/d/1wBSFbIXYswW2S5SMKo44LPsdTG4P4kfP5VRdAS5E_4o"",""BD M Sangrias!a:i""),""select Col6 whe"&amp;"re Col7 = 'Caixa Atendimento' and Col9 = '""&amp;K376&amp;""' and Col6 = ""&amp;N376&amp;"" and Col4 = date '""&amp;YEAR(C376)&amp;""-""&amp;MONTH(C376)&amp;""-""&amp;DAY(C376)&amp;""'""))&gt;0,""Caixa Atendimento"",""Caixa Sangria"")),""""),""Caixa Sangria"")"),"")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IFERROR(__xludf.DUMMYFUNCTION("ifna(IF(and(D377=""Saída"",J377=""Sangria""),if(sum(QUERY(IMPORTRANGE(""https://docs.google.com/spreadsheets/d/1wBSFbIXYswW2S5SMKo44LPsdTG4P4kfP5VRdAS5E_4o"",""BD M Sangrias!a:i""),""select Col6 where Col7 = 'Depositada' and Col9 = '""&amp;K377&amp;""' and Col6 ="&amp;" ""&amp;N377&amp;"" and Col4 = date '""&amp;YEAR(C377)&amp;""-""&amp;MONTH(C377)&amp;""-""&amp;DAY(C377)&amp;""'""))&gt;0,""Depositada"",if(sum(QUERY(IMPORTRANGE(""https://docs.google.com/spreadsheets/d/1wBSFbIXYswW2S5SMKo44LPsdTG4P4kfP5VRdAS5E_4o"",""BD M Sangrias!a:i""),""select Col6 whe"&amp;"re Col7 = 'Caixa Atendimento' and Col9 = '""&amp;K377&amp;""' and Col6 = ""&amp;N377&amp;"" and Col4 = date '""&amp;YEAR(C377)&amp;""-""&amp;MONTH(C377)&amp;""-""&amp;DAY(C377)&amp;""'""))&gt;0,""Caixa Atendimento"",""Caixa Sangria"")),""""),""Caixa Sangria"")"),"")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IFERROR(__xludf.DUMMYFUNCTION("ifna(IF(and(D378=""Saída"",J378=""Sangria""),if(sum(QUERY(IMPORTRANGE(""https://docs.google.com/spreadsheets/d/1wBSFbIXYswW2S5SMKo44LPsdTG4P4kfP5VRdAS5E_4o"",""BD M Sangrias!a:i""),""select Col6 where Col7 = 'Depositada' and Col9 = '""&amp;K378&amp;""' and Col6 ="&amp;" ""&amp;N378&amp;"" and Col4 = date '""&amp;YEAR(C378)&amp;""-""&amp;MONTH(C378)&amp;""-""&amp;DAY(C378)&amp;""'""))&gt;0,""Depositada"",if(sum(QUERY(IMPORTRANGE(""https://docs.google.com/spreadsheets/d/1wBSFbIXYswW2S5SMKo44LPsdTG4P4kfP5VRdAS5E_4o"",""BD M Sangrias!a:i""),""select Col6 whe"&amp;"re Col7 = 'Caixa Atendimento' and Col9 = '""&amp;K378&amp;""' and Col6 = ""&amp;N378&amp;"" and Col4 = date '""&amp;YEAR(C378)&amp;""-""&amp;MONTH(C378)&amp;""-""&amp;DAY(C378)&amp;""'""))&gt;0,""Caixa Atendimento"",""Caixa Sangria"")),""""),""Caixa Sangria"")"),"")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IFERROR(__xludf.DUMMYFUNCTION("ifna(IF(and(D379=""Saída"",J379=""Sangria""),if(sum(QUERY(IMPORTRANGE(""https://docs.google.com/spreadsheets/d/1wBSFbIXYswW2S5SMKo44LPsdTG4P4kfP5VRdAS5E_4o"",""BD M Sangrias!a:i""),""select Col6 where Col7 = 'Depositada' and Col9 = '""&amp;K379&amp;""' and Col6 ="&amp;" ""&amp;N379&amp;"" and Col4 = date '""&amp;YEAR(C379)&amp;""-""&amp;MONTH(C379)&amp;""-""&amp;DAY(C379)&amp;""'""))&gt;0,""Depositada"",if(sum(QUERY(IMPORTRANGE(""https://docs.google.com/spreadsheets/d/1wBSFbIXYswW2S5SMKo44LPsdTG4P4kfP5VRdAS5E_4o"",""BD M Sangrias!a:i""),""select Col6 whe"&amp;"re Col7 = 'Caixa Atendimento' and Col9 = '""&amp;K379&amp;""' and Col6 = ""&amp;N379&amp;"" and Col4 = date '""&amp;YEAR(C379)&amp;""-""&amp;MONTH(C379)&amp;""-""&amp;DAY(C379)&amp;""'""))&gt;0,""Caixa Atendimento"",""Caixa Sangria"")),""""),""Caixa Sangria"")"),"")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IFERROR(__xludf.DUMMYFUNCTION("ifna(IF(and(D380=""Saída"",J380=""Sangria""),if(sum(QUERY(IMPORTRANGE(""https://docs.google.com/spreadsheets/d/1wBSFbIXYswW2S5SMKo44LPsdTG4P4kfP5VRdAS5E_4o"",""BD M Sangrias!a:i""),""select Col6 where Col7 = 'Depositada' and Col9 = '""&amp;K380&amp;""' and Col6 ="&amp;" ""&amp;N380&amp;"" and Col4 = date '""&amp;YEAR(C380)&amp;""-""&amp;MONTH(C380)&amp;""-""&amp;DAY(C380)&amp;""'""))&gt;0,""Depositada"",if(sum(QUERY(IMPORTRANGE(""https://docs.google.com/spreadsheets/d/1wBSFbIXYswW2S5SMKo44LPsdTG4P4kfP5VRdAS5E_4o"",""BD M Sangrias!a:i""),""select Col6 whe"&amp;"re Col7 = 'Caixa Atendimento' and Col9 = '""&amp;K380&amp;""' and Col6 = ""&amp;N380&amp;"" and Col4 = date '""&amp;YEAR(C380)&amp;""-""&amp;MONTH(C380)&amp;""-""&amp;DAY(C380)&amp;""'""))&gt;0,""Caixa Atendimento"",""Caixa Sangria"")),""""),""Caixa Sangria"")"),"")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IFERROR(__xludf.DUMMYFUNCTION("ifna(IF(and(D381=""Saída"",J381=""Sangria""),if(sum(QUERY(IMPORTRANGE(""https://docs.google.com/spreadsheets/d/1wBSFbIXYswW2S5SMKo44LPsdTG4P4kfP5VRdAS5E_4o"",""BD M Sangrias!a:i""),""select Col6 where Col7 = 'Depositada' and Col9 = '""&amp;K381&amp;""' and Col6 ="&amp;" ""&amp;N381&amp;"" and Col4 = date '""&amp;YEAR(C381)&amp;""-""&amp;MONTH(C381)&amp;""-""&amp;DAY(C381)&amp;""'""))&gt;0,""Depositada"",if(sum(QUERY(IMPORTRANGE(""https://docs.google.com/spreadsheets/d/1wBSFbIXYswW2S5SMKo44LPsdTG4P4kfP5VRdAS5E_4o"",""BD M Sangrias!a:i""),""select Col6 whe"&amp;"re Col7 = 'Caixa Atendimento' and Col9 = '""&amp;K381&amp;""' and Col6 = ""&amp;N381&amp;"" and Col4 = date '""&amp;YEAR(C381)&amp;""-""&amp;MONTH(C381)&amp;""-""&amp;DAY(C381)&amp;""'""))&gt;0,""Caixa Atendimento"",""Caixa Sangria"")),""""),""Caixa Sangria"")"),"")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IFERROR(__xludf.DUMMYFUNCTION("ifna(IF(and(D382=""Saída"",J382=""Sangria""),if(sum(QUERY(IMPORTRANGE(""https://docs.google.com/spreadsheets/d/1wBSFbIXYswW2S5SMKo44LPsdTG4P4kfP5VRdAS5E_4o"",""BD M Sangrias!a:i""),""select Col6 where Col7 = 'Depositada' and Col9 = '""&amp;K382&amp;""' and Col6 ="&amp;" ""&amp;N382&amp;"" and Col4 = date '""&amp;YEAR(C382)&amp;""-""&amp;MONTH(C382)&amp;""-""&amp;DAY(C382)&amp;""'""))&gt;0,""Depositada"",if(sum(QUERY(IMPORTRANGE(""https://docs.google.com/spreadsheets/d/1wBSFbIXYswW2S5SMKo44LPsdTG4P4kfP5VRdAS5E_4o"",""BD M Sangrias!a:i""),""select Col6 whe"&amp;"re Col7 = 'Caixa Atendimento' and Col9 = '""&amp;K382&amp;""' and Col6 = ""&amp;N382&amp;"" and Col4 = date '""&amp;YEAR(C382)&amp;""-""&amp;MONTH(C382)&amp;""-""&amp;DAY(C382)&amp;""'""))&gt;0,""Caixa Atendimento"",""Caixa Sangria"")),""""),""Caixa Sangria"")"),"")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IFERROR(__xludf.DUMMYFUNCTION("ifna(IF(and(D383=""Saída"",J383=""Sangria""),if(sum(QUERY(IMPORTRANGE(""https://docs.google.com/spreadsheets/d/1wBSFbIXYswW2S5SMKo44LPsdTG4P4kfP5VRdAS5E_4o"",""BD M Sangrias!a:i""),""select Col6 where Col7 = 'Depositada' and Col9 = '""&amp;K383&amp;""' and Col6 ="&amp;" ""&amp;N383&amp;"" and Col4 = date '""&amp;YEAR(C383)&amp;""-""&amp;MONTH(C383)&amp;""-""&amp;DAY(C383)&amp;""'""))&gt;0,""Depositada"",if(sum(QUERY(IMPORTRANGE(""https://docs.google.com/spreadsheets/d/1wBSFbIXYswW2S5SMKo44LPsdTG4P4kfP5VRdAS5E_4o"",""BD M Sangrias!a:i""),""select Col6 whe"&amp;"re Col7 = 'Caixa Atendimento' and Col9 = '""&amp;K383&amp;""' and Col6 = ""&amp;N383&amp;"" and Col4 = date '""&amp;YEAR(C383)&amp;""-""&amp;MONTH(C383)&amp;""-""&amp;DAY(C383)&amp;""'""))&gt;0,""Caixa Atendimento"",""Caixa Sangria"")),""""),""Caixa Sangria"")"),"")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IFERROR(__xludf.DUMMYFUNCTION("ifna(IF(and(D384=""Saída"",J384=""Sangria""),if(sum(QUERY(IMPORTRANGE(""https://docs.google.com/spreadsheets/d/1wBSFbIXYswW2S5SMKo44LPsdTG4P4kfP5VRdAS5E_4o"",""BD M Sangrias!a:i""),""select Col6 where Col7 = 'Depositada' and Col9 = '""&amp;K384&amp;""' and Col6 ="&amp;" ""&amp;N384&amp;"" and Col4 = date '""&amp;YEAR(C384)&amp;""-""&amp;MONTH(C384)&amp;""-""&amp;DAY(C384)&amp;""'""))&gt;0,""Depositada"",if(sum(QUERY(IMPORTRANGE(""https://docs.google.com/spreadsheets/d/1wBSFbIXYswW2S5SMKo44LPsdTG4P4kfP5VRdAS5E_4o"",""BD M Sangrias!a:i""),""select Col6 whe"&amp;"re Col7 = 'Caixa Atendimento' and Col9 = '""&amp;K384&amp;""' and Col6 = ""&amp;N384&amp;"" and Col4 = date '""&amp;YEAR(C384)&amp;""-""&amp;MONTH(C384)&amp;""-""&amp;DAY(C384)&amp;""'""))&gt;0,""Caixa Atendimento"",""Caixa Sangria"")),""""),""Caixa Sangria"")"),"")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IFERROR(__xludf.DUMMYFUNCTION("ifna(IF(and(D385=""Saída"",J385=""Sangria""),if(sum(QUERY(IMPORTRANGE(""https://docs.google.com/spreadsheets/d/1wBSFbIXYswW2S5SMKo44LPsdTG4P4kfP5VRdAS5E_4o"",""BD M Sangrias!a:i""),""select Col6 where Col7 = 'Depositada' and Col9 = '""&amp;K385&amp;""' and Col6 ="&amp;" ""&amp;N385&amp;"" and Col4 = date '""&amp;YEAR(C385)&amp;""-""&amp;MONTH(C385)&amp;""-""&amp;DAY(C385)&amp;""'""))&gt;0,""Depositada"",if(sum(QUERY(IMPORTRANGE(""https://docs.google.com/spreadsheets/d/1wBSFbIXYswW2S5SMKo44LPsdTG4P4kfP5VRdAS5E_4o"",""BD M Sangrias!a:i""),""select Col6 whe"&amp;"re Col7 = 'Caixa Atendimento' and Col9 = '""&amp;K385&amp;""' and Col6 = ""&amp;N385&amp;"" and Col4 = date '""&amp;YEAR(C385)&amp;""-""&amp;MONTH(C385)&amp;""-""&amp;DAY(C385)&amp;""'""))&gt;0,""Caixa Atendimento"",""Caixa Sangria"")),""""),""Caixa Sangria"")"),"")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IFERROR(__xludf.DUMMYFUNCTION("ifna(IF(and(D386=""Saída"",J386=""Sangria""),if(sum(QUERY(IMPORTRANGE(""https://docs.google.com/spreadsheets/d/1wBSFbIXYswW2S5SMKo44LPsdTG4P4kfP5VRdAS5E_4o"",""BD M Sangrias!a:i""),""select Col6 where Col7 = 'Depositada' and Col9 = '""&amp;K386&amp;""' and Col6 ="&amp;" ""&amp;N386&amp;"" and Col4 = date '""&amp;YEAR(C386)&amp;""-""&amp;MONTH(C386)&amp;""-""&amp;DAY(C386)&amp;""'""))&gt;0,""Depositada"",if(sum(QUERY(IMPORTRANGE(""https://docs.google.com/spreadsheets/d/1wBSFbIXYswW2S5SMKo44LPsdTG4P4kfP5VRdAS5E_4o"",""BD M Sangrias!a:i""),""select Col6 whe"&amp;"re Col7 = 'Caixa Atendimento' and Col9 = '""&amp;K386&amp;""' and Col6 = ""&amp;N386&amp;"" and Col4 = date '""&amp;YEAR(C386)&amp;""-""&amp;MONTH(C386)&amp;""-""&amp;DAY(C386)&amp;""'""))&gt;0,""Caixa Atendimento"",""Caixa Sangria"")),""""),""Caixa Sangria"")"),"")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IFERROR(__xludf.DUMMYFUNCTION("ifna(IF(and(D387=""Saída"",J387=""Sangria""),if(sum(QUERY(IMPORTRANGE(""https://docs.google.com/spreadsheets/d/1wBSFbIXYswW2S5SMKo44LPsdTG4P4kfP5VRdAS5E_4o"",""BD M Sangrias!a:i""),""select Col6 where Col7 = 'Depositada' and Col9 = '""&amp;K387&amp;""' and Col6 ="&amp;" ""&amp;N387&amp;"" and Col4 = date '""&amp;YEAR(C387)&amp;""-""&amp;MONTH(C387)&amp;""-""&amp;DAY(C387)&amp;""'""))&gt;0,""Depositada"",if(sum(QUERY(IMPORTRANGE(""https://docs.google.com/spreadsheets/d/1wBSFbIXYswW2S5SMKo44LPsdTG4P4kfP5VRdAS5E_4o"",""BD M Sangrias!a:i""),""select Col6 whe"&amp;"re Col7 = 'Caixa Atendimento' and Col9 = '""&amp;K387&amp;""' and Col6 = ""&amp;N387&amp;"" and Col4 = date '""&amp;YEAR(C387)&amp;""-""&amp;MONTH(C387)&amp;""-""&amp;DAY(C387)&amp;""'""))&gt;0,""Caixa Atendimento"",""Caixa Sangria"")),""""),""Caixa Sangria"")"),"")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IFERROR(__xludf.DUMMYFUNCTION("ifna(IF(and(D388=""Saída"",J388=""Sangria""),if(sum(QUERY(IMPORTRANGE(""https://docs.google.com/spreadsheets/d/1wBSFbIXYswW2S5SMKo44LPsdTG4P4kfP5VRdAS5E_4o"",""BD M Sangrias!a:i""),""select Col6 where Col7 = 'Depositada' and Col9 = '""&amp;K388&amp;""' and Col6 ="&amp;" ""&amp;N388&amp;"" and Col4 = date '""&amp;YEAR(C388)&amp;""-""&amp;MONTH(C388)&amp;""-""&amp;DAY(C388)&amp;""'""))&gt;0,""Depositada"",if(sum(QUERY(IMPORTRANGE(""https://docs.google.com/spreadsheets/d/1wBSFbIXYswW2S5SMKo44LPsdTG4P4kfP5VRdAS5E_4o"",""BD M Sangrias!a:i""),""select Col6 whe"&amp;"re Col7 = 'Caixa Atendimento' and Col9 = '""&amp;K388&amp;""' and Col6 = ""&amp;N388&amp;"" and Col4 = date '""&amp;YEAR(C388)&amp;""-""&amp;MONTH(C388)&amp;""-""&amp;DAY(C388)&amp;""'""))&gt;0,""Caixa Atendimento"",""Caixa Sangria"")),""""),""Caixa Sangria"")"),"")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IFERROR(__xludf.DUMMYFUNCTION("ifna(IF(and(D389=""Saída"",J389=""Sangria""),if(sum(QUERY(IMPORTRANGE(""https://docs.google.com/spreadsheets/d/1wBSFbIXYswW2S5SMKo44LPsdTG4P4kfP5VRdAS5E_4o"",""BD M Sangrias!a:i""),""select Col6 where Col7 = 'Depositada' and Col9 = '""&amp;K389&amp;""' and Col6 ="&amp;" ""&amp;N389&amp;"" and Col4 = date '""&amp;YEAR(C389)&amp;""-""&amp;MONTH(C389)&amp;""-""&amp;DAY(C389)&amp;""'""))&gt;0,""Depositada"",if(sum(QUERY(IMPORTRANGE(""https://docs.google.com/spreadsheets/d/1wBSFbIXYswW2S5SMKo44LPsdTG4P4kfP5VRdAS5E_4o"",""BD M Sangrias!a:i""),""select Col6 whe"&amp;"re Col7 = 'Caixa Atendimento' and Col9 = '""&amp;K389&amp;""' and Col6 = ""&amp;N389&amp;"" and Col4 = date '""&amp;YEAR(C389)&amp;""-""&amp;MONTH(C389)&amp;""-""&amp;DAY(C389)&amp;""'""))&gt;0,""Caixa Atendimento"",""Caixa Sangria"")),""""),""Caixa Sangria"")"),"")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IFERROR(__xludf.DUMMYFUNCTION("ifna(IF(and(D390=""Saída"",J390=""Sangria""),if(sum(QUERY(IMPORTRANGE(""https://docs.google.com/spreadsheets/d/1wBSFbIXYswW2S5SMKo44LPsdTG4P4kfP5VRdAS5E_4o"",""BD M Sangrias!a:i""),""select Col6 where Col7 = 'Depositada' and Col9 = '""&amp;K390&amp;""' and Col6 ="&amp;" ""&amp;N390&amp;"" and Col4 = date '""&amp;YEAR(C390)&amp;""-""&amp;MONTH(C390)&amp;""-""&amp;DAY(C390)&amp;""'""))&gt;0,""Depositada"",if(sum(QUERY(IMPORTRANGE(""https://docs.google.com/spreadsheets/d/1wBSFbIXYswW2S5SMKo44LPsdTG4P4kfP5VRdAS5E_4o"",""BD M Sangrias!a:i""),""select Col6 whe"&amp;"re Col7 = 'Caixa Atendimento' and Col9 = '""&amp;K390&amp;""' and Col6 = ""&amp;N390&amp;"" and Col4 = date '""&amp;YEAR(C390)&amp;""-""&amp;MONTH(C390)&amp;""-""&amp;DAY(C390)&amp;""'""))&gt;0,""Caixa Atendimento"",""Caixa Sangria"")),""""),""Caixa Sangria"")"),"")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IFERROR(__xludf.DUMMYFUNCTION("ifna(IF(and(D391=""Saída"",J391=""Sangria""),if(sum(QUERY(IMPORTRANGE(""https://docs.google.com/spreadsheets/d/1wBSFbIXYswW2S5SMKo44LPsdTG4P4kfP5VRdAS5E_4o"",""BD M Sangrias!a:i""),""select Col6 where Col7 = 'Depositada' and Col9 = '""&amp;K391&amp;""' and Col6 ="&amp;" ""&amp;N391&amp;"" and Col4 = date '""&amp;YEAR(C391)&amp;""-""&amp;MONTH(C391)&amp;""-""&amp;DAY(C391)&amp;""'""))&gt;0,""Depositada"",if(sum(QUERY(IMPORTRANGE(""https://docs.google.com/spreadsheets/d/1wBSFbIXYswW2S5SMKo44LPsdTG4P4kfP5VRdAS5E_4o"",""BD M Sangrias!a:i""),""select Col6 whe"&amp;"re Col7 = 'Caixa Atendimento' and Col9 = '""&amp;K391&amp;""' and Col6 = ""&amp;N391&amp;"" and Col4 = date '""&amp;YEAR(C391)&amp;""-""&amp;MONTH(C391)&amp;""-""&amp;DAY(C391)&amp;""'""))&gt;0,""Caixa Atendimento"",""Caixa Sangria"")),""""),""Caixa Sangria"")"),"")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IFERROR(__xludf.DUMMYFUNCTION("ifna(IF(and(D392=""Saída"",J392=""Sangria""),if(sum(QUERY(IMPORTRANGE(""https://docs.google.com/spreadsheets/d/1wBSFbIXYswW2S5SMKo44LPsdTG4P4kfP5VRdAS5E_4o"",""BD M Sangrias!a:i""),""select Col6 where Col7 = 'Depositada' and Col9 = '""&amp;K392&amp;""' and Col6 ="&amp;" ""&amp;N392&amp;"" and Col4 = date '""&amp;YEAR(C392)&amp;""-""&amp;MONTH(C392)&amp;""-""&amp;DAY(C392)&amp;""'""))&gt;0,""Depositada"",if(sum(QUERY(IMPORTRANGE(""https://docs.google.com/spreadsheets/d/1wBSFbIXYswW2S5SMKo44LPsdTG4P4kfP5VRdAS5E_4o"",""BD M Sangrias!a:i""),""select Col6 whe"&amp;"re Col7 = 'Caixa Atendimento' and Col9 = '""&amp;K392&amp;""' and Col6 = ""&amp;N392&amp;"" and Col4 = date '""&amp;YEAR(C392)&amp;""-""&amp;MONTH(C392)&amp;""-""&amp;DAY(C392)&amp;""'""))&gt;0,""Caixa Atendimento"",""Caixa Sangria"")),""""),""Caixa Sangria"")"),"")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IFERROR(__xludf.DUMMYFUNCTION("ifna(IF(and(D393=""Saída"",J393=""Sangria""),if(sum(QUERY(IMPORTRANGE(""https://docs.google.com/spreadsheets/d/1wBSFbIXYswW2S5SMKo44LPsdTG4P4kfP5VRdAS5E_4o"",""BD M Sangrias!a:i""),""select Col6 where Col7 = 'Depositada' and Col9 = '""&amp;K393&amp;""' and Col6 ="&amp;" ""&amp;N393&amp;"" and Col4 = date '""&amp;YEAR(C393)&amp;""-""&amp;MONTH(C393)&amp;""-""&amp;DAY(C393)&amp;""'""))&gt;0,""Depositada"",if(sum(QUERY(IMPORTRANGE(""https://docs.google.com/spreadsheets/d/1wBSFbIXYswW2S5SMKo44LPsdTG4P4kfP5VRdAS5E_4o"",""BD M Sangrias!a:i""),""select Col6 whe"&amp;"re Col7 = 'Caixa Atendimento' and Col9 = '""&amp;K393&amp;""' and Col6 = ""&amp;N393&amp;"" and Col4 = date '""&amp;YEAR(C393)&amp;""-""&amp;MONTH(C393)&amp;""-""&amp;DAY(C393)&amp;""'""))&gt;0,""Caixa Atendimento"",""Caixa Sangria"")),""""),""Caixa Sangria"")"),"")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""&amp;N394&amp;""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""&amp;N394&amp;"" and Col4 = date '""&amp;YEAR(C394)&amp;""-""&amp;MONTH(C394)&amp;""-""&amp;DAY(C394)&amp;""'""))&gt;0,""Caixa Atendimento"",""Caixa Sangria"")),""""),""Caixa Sangria"")"),"")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""&amp;N395&amp;""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""&amp;N395&amp;"" and Col4 = date '""&amp;YEAR(C395)&amp;""-""&amp;MONTH(C395)&amp;""-""&amp;DAY(C395)&amp;""'""))&gt;0,""Caixa Atendimento"",""Caixa Sangria"")),""""),""Caixa Sangria"")"),"")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""&amp;N396&amp;""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""&amp;N396&amp;"" and Col4 = date '""&amp;YEAR(C396)&amp;""-""&amp;MONTH(C396)&amp;""-""&amp;DAY(C396)&amp;""'""))&gt;0,""Caixa Atendimento"",""Caixa Sangria"")),""""),""Caixa Sangria"")"),"")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""&amp;N397&amp;""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""&amp;N397&amp;"" and Col4 = date '""&amp;YEAR(C397)&amp;""-""&amp;MONTH(C397)&amp;""-""&amp;DAY(C397)&amp;""'""))&gt;0,""Caixa Atendimento"",""Caixa Sangria"")),""""),""Caixa Sangria"")"),"")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""&amp;N398&amp;""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""&amp;N398&amp;"" and Col4 = date '""&amp;YEAR(C398)&amp;""-""&amp;MONTH(C398)&amp;""-""&amp;DAY(C398)&amp;""'""))&gt;0,""Caixa Atendimento"",""Caixa Sangria"")),""""),""Caixa Sangria"")"),"")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""&amp;N399&amp;""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""&amp;N399&amp;"" and Col4 = date '""&amp;YEAR(C399)&amp;""-""&amp;MONTH(C399)&amp;""-""&amp;DAY(C399)&amp;""'""))&gt;0,""Caixa Atendimento"",""Caixa Sangria"")),""""),""Caixa Sangria"")"),"")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""&amp;N400&amp;""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""&amp;N400&amp;"" and Col4 = date '""&amp;YEAR(C400)&amp;""-""&amp;MONTH(C400)&amp;""-""&amp;DAY(C400)&amp;""'""))&gt;0,""Caixa Atendimento"",""Caixa Sangria"")),""""),""Caixa Sangria"")"),"")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""&amp;N401&amp;""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""&amp;N401&amp;"" and Col4 = date '""&amp;YEAR(C401)&amp;""-""&amp;MONTH(C401)&amp;""-""&amp;DAY(C401)&amp;""'""))&gt;0,""Caixa Atendimento"",""Caixa Sangria"")),""""),""Caixa Sangria"")"),"")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""&amp;N402&amp;""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""&amp;N402&amp;"" and Col4 = date '""&amp;YEAR(C402)&amp;""-""&amp;MONTH(C402)&amp;""-""&amp;DAY(C402)&amp;""'""))&gt;0,""Caixa Atendimento"",""Caixa Sangria"")),""""),""Caixa Sangria"")"),"")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""&amp;N403&amp;""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""&amp;N403&amp;"" and Col4 = date '""&amp;YEAR(C403)&amp;""-""&amp;MONTH(C403)&amp;""-""&amp;DAY(C403)&amp;""'""))&gt;0,""Caixa Atendimento"",""Caixa Sangria"")),""""),""Caixa Sangria"")"),"")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""&amp;N404&amp;""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""&amp;N404&amp;"" and Col4 = date '""&amp;YEAR(C404)&amp;""-""&amp;MONTH(C404)&amp;""-""&amp;DAY(C404)&amp;""'""))&gt;0,""Caixa Atendimento"",""Caixa Sangria"")),""""),""Caixa Sangria"")"),"")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""&amp;N405&amp;""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""&amp;N405&amp;"" and Col4 = date '""&amp;YEAR(C405)&amp;""-""&amp;MONTH(C405)&amp;""-""&amp;DAY(C405)&amp;""'""))&gt;0,""Caixa Atendimento"",""Caixa Sangria"")),""""),""Caixa Sangria"")"),"")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""&amp;N406&amp;""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""&amp;N406&amp;"" and Col4 = date '""&amp;YEAR(C406)&amp;""-""&amp;MONTH(C406)&amp;""-""&amp;DAY(C406)&amp;""'""))&gt;0,""Caixa Atendimento"",""Caixa Sangria"")),""""),""Caixa Sangria"")"),"")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""&amp;N407&amp;""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""&amp;N407&amp;"" and Col4 = date '""&amp;YEAR(C407)&amp;""-""&amp;MONTH(C407)&amp;""-""&amp;DAY(C407)&amp;""'""))&gt;0,""Caixa Atendimento"",""Caixa Sangria"")),""""),""Caixa Sangria"")"),"")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""&amp;N408&amp;""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""&amp;N408&amp;"" and Col4 = date '""&amp;YEAR(C408)&amp;""-""&amp;MONTH(C408)&amp;""-""&amp;DAY(C408)&amp;""'""))&gt;0,""Caixa Atendimento"",""Caixa Sangria"")),""""),""Caixa Sangria"")"),"")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""&amp;N409&amp;""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""&amp;N409&amp;"" and Col4 = date '""&amp;YEAR(C409)&amp;""-""&amp;MONTH(C409)&amp;""-""&amp;DAY(C409)&amp;""'""))&gt;0,""Caixa Atendimento"",""Caixa Sangria"")),""""),""Caixa Sangria"")"),"")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""&amp;N410&amp;""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""&amp;N410&amp;"" and Col4 = date '""&amp;YEAR(C410)&amp;""-""&amp;MONTH(C410)&amp;""-""&amp;DAY(C410)&amp;""'""))&gt;0,""Caixa Atendimento"",""Caixa Sangria"")),""""),""Caixa Sangria"")"),"")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""&amp;N411&amp;""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""&amp;N411&amp;"" and Col4 = date '""&amp;YEAR(C411)&amp;""-""&amp;MONTH(C411)&amp;""-""&amp;DAY(C411)&amp;""'""))&gt;0,""Caixa Atendimento"",""Caixa Sangria"")),""""),""Caixa Sangria"")"),"")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""&amp;N412&amp;""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""&amp;N412&amp;"" and Col4 = date '""&amp;YEAR(C412)&amp;""-""&amp;MONTH(C412)&amp;""-""&amp;DAY(C412)&amp;""'""))&gt;0,""Caixa Atendimento"",""Caixa Sangria"")),""""),""Caixa Sangria"")"),"")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""&amp;N413&amp;""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""&amp;N413&amp;"" and Col4 = date '""&amp;YEAR(C413)&amp;""-""&amp;MONTH(C413)&amp;""-""&amp;DAY(C413)&amp;""'""))&gt;0,""Caixa Atendimento"",""Caixa Sangria"")),""""),""Caixa Sangria"")"),"")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""&amp;N414&amp;""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""&amp;N414&amp;"" and Col4 = date '""&amp;YEAR(C414)&amp;""-""&amp;MONTH(C414)&amp;""-""&amp;DAY(C414)&amp;""'""))&gt;0,""Caixa Atendimento"",""Caixa Sangria"")),""""),""Caixa Sangria"")"),"")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""&amp;N415&amp;""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""&amp;N415&amp;"" and Col4 = date '""&amp;YEAR(C415)&amp;""-""&amp;MONTH(C415)&amp;""-""&amp;DAY(C415)&amp;""'""))&gt;0,""Caixa Atendimento"",""Caixa Sangria"")),""""),""Caixa Sangria"")"),"")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""&amp;N416&amp;""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""&amp;N416&amp;"" and Col4 = date '""&amp;YEAR(C416)&amp;""-""&amp;MONTH(C416)&amp;""-""&amp;DAY(C416)&amp;""'""))&gt;0,""Caixa Atendimento"",""Caixa Sangria"")),""""),""Caixa Sangria"")"),"")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""&amp;N417&amp;""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""&amp;N417&amp;"" and Col4 = date '""&amp;YEAR(C417)&amp;""-""&amp;MONTH(C417)&amp;""-""&amp;DAY(C417)&amp;""'""))&gt;0,""Caixa Atendimento"",""Caixa Sangria"")),""""),""Caixa Sangria"")"),"")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""&amp;N418&amp;""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""&amp;N418&amp;"" and Col4 = date '""&amp;YEAR(C418)&amp;""-""&amp;MONTH(C418)&amp;""-""&amp;DAY(C418)&amp;""'""))&gt;0,""Caixa Atendimento"",""Caixa Sangria"")),""""),""Caixa Sangria"")"),"")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""&amp;N419&amp;""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""&amp;N419&amp;"" and Col4 = date '""&amp;YEAR(C419)&amp;""-""&amp;MONTH(C419)&amp;""-""&amp;DAY(C419)&amp;""'""))&gt;0,""Caixa Atendimento"",""Caixa Sangria"")),""""),""Caixa Sangria"")"),"")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""&amp;N420&amp;""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""&amp;N420&amp;"" and Col4 = date '""&amp;YEAR(C420)&amp;""-""&amp;MONTH(C420)&amp;""-""&amp;DAY(C420)&amp;""'""))&gt;0,""Caixa Atendimento"",""Caixa Sangria"")),""""),""Caixa Sangria"")"),"")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""&amp;N421&amp;""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""&amp;N421&amp;"" and Col4 = date '""&amp;YEAR(C421)&amp;""-""&amp;MONTH(C421)&amp;""-""&amp;DAY(C421)&amp;""'""))&gt;0,""Caixa Atendimento"",""Caixa Sangria"")),""""),""Caixa Sangria"")"),"")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""&amp;N422&amp;""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""&amp;N422&amp;"" and Col4 = date '""&amp;YEAR(C422)&amp;""-""&amp;MONTH(C422)&amp;""-""&amp;DAY(C422)&amp;""'""))&gt;0,""Caixa Atendimento"",""Caixa Sangria"")),""""),""Caixa Sangria"")"),"")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""&amp;N423&amp;""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""&amp;N423&amp;"" and Col4 = date '""&amp;YEAR(C423)&amp;""-""&amp;MONTH(C423)&amp;""-""&amp;DAY(C423)&amp;""'""))&gt;0,""Caixa Atendimento"",""Caixa Sangria"")),""""),""Caixa Sangria"")"),"")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""&amp;N424&amp;""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""&amp;N424&amp;"" and Col4 = date '""&amp;YEAR(C424)&amp;""-""&amp;MONTH(C424)&amp;""-""&amp;DAY(C424)&amp;""'""))&gt;0,""Caixa Atendimento"",""Caixa Sangria"")),""""),""Caixa Sangria"")"),"")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""&amp;N425&amp;""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""&amp;N425&amp;"" and Col4 = date '""&amp;YEAR(C425)&amp;""-""&amp;MONTH(C425)&amp;""-""&amp;DAY(C425)&amp;""'""))&gt;0,""Caixa Atendimento"",""Caixa Sangria"")),""""),""Caixa Sangria"")"),"")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""&amp;N426&amp;""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""&amp;N426&amp;"" and Col4 = date '""&amp;YEAR(C426)&amp;""-""&amp;MONTH(C426)&amp;""-""&amp;DAY(C426)&amp;""'""))&gt;0,""Caixa Atendimento"",""Caixa Sangria"")),""""),""Caixa Sangria"")"),"")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""&amp;N427&amp;""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""&amp;N427&amp;"" and Col4 = date '""&amp;YEAR(C427)&amp;""-""&amp;MONTH(C427)&amp;""-""&amp;DAY(C427)&amp;""'""))&gt;0,""Caixa Atendimento"",""Caixa Sangria"")),""""),""Caixa Sangria"")"),"")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""&amp;N428&amp;""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""&amp;N428&amp;"" and Col4 = date '""&amp;YEAR(C428)&amp;""-""&amp;MONTH(C428)&amp;""-""&amp;DAY(C428)&amp;""'""))&gt;0,""Caixa Atendimento"",""Caixa Sangria"")),""""),""Caixa Sangria"")"),"")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""&amp;N429&amp;""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""&amp;N429&amp;"" and Col4 = date '""&amp;YEAR(C429)&amp;""-""&amp;MONTH(C429)&amp;""-""&amp;DAY(C429)&amp;""'""))&gt;0,""Caixa Atendimento"",""Caixa Sangria"")),""""),""Caixa Sangria"")"),"")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""&amp;N430&amp;""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""&amp;N430&amp;"" and Col4 = date '""&amp;YEAR(C430)&amp;""-""&amp;MONTH(C430)&amp;""-""&amp;DAY(C430)&amp;""'""))&gt;0,""Caixa Atendimento"",""Caixa Sangria"")),""""),""Caixa Sangria"")"),"")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""&amp;N431&amp;""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""&amp;N431&amp;"" and Col4 = date '""&amp;YEAR(C431)&amp;""-""&amp;MONTH(C431)&amp;""-""&amp;DAY(C431)&amp;""'""))&gt;0,""Caixa Atendimento"",""Caixa Sangria"")),""""),""Caixa Sangria"")"),"")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""&amp;N432&amp;""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""&amp;N432&amp;"" and Col4 = date '""&amp;YEAR(C432)&amp;""-""&amp;MONTH(C432)&amp;""-""&amp;DAY(C432)&amp;""'""))&gt;0,""Caixa Atendimento"",""Caixa Sangria"")),""""),""Caixa Sangria"")"),"")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""&amp;N433&amp;""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""&amp;N433&amp;"" and Col4 = date '""&amp;YEAR(C433)&amp;""-""&amp;MONTH(C433)&amp;""-""&amp;DAY(C433)&amp;""'""))&gt;0,""Caixa Atendimento"",""Caixa Sangria"")),""""),""Caixa Sangria"")"),"")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""&amp;N434&amp;""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""&amp;N434&amp;"" and Col4 = date '""&amp;YEAR(C434)&amp;""-""&amp;MONTH(C434)&amp;""-""&amp;DAY(C434)&amp;""'""))&gt;0,""Caixa Atendimento"",""Caixa Sangria"")),""""),""Caixa Sangria"")"),"")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""&amp;N435&amp;""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""&amp;N435&amp;"" and Col4 = date '""&amp;YEAR(C435)&amp;""-""&amp;MONTH(C435)&amp;""-""&amp;DAY(C435)&amp;""'""))&gt;0,""Caixa Atendimento"",""Caixa Sangria"")),""""),""Caixa Sangria"")"),"")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""&amp;N436&amp;""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""&amp;N436&amp;"" and Col4 = date '""&amp;YEAR(C436)&amp;""-""&amp;MONTH(C436)&amp;""-""&amp;DAY(C436)&amp;""'""))&gt;0,""Caixa Atendimento"",""Caixa Sangria"")),""""),""Caixa Sangria"")"),"")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""&amp;N437&amp;""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""&amp;N437&amp;"" and Col4 = date '""&amp;YEAR(C437)&amp;""-""&amp;MONTH(C437)&amp;""-""&amp;DAY(C437)&amp;""'""))&gt;0,""Caixa Atendimento"",""Caixa Sangria"")),""""),""Caixa Sangria"")"),"")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""&amp;N438&amp;""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""&amp;N438&amp;"" and Col4 = date '""&amp;YEAR(C438)&amp;""-""&amp;MONTH(C438)&amp;""-""&amp;DAY(C438)&amp;""'""))&gt;0,""Caixa Atendimento"",""Caixa Sangria"")),""""),""Caixa Sangria"")"),"")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""&amp;N439&amp;""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""&amp;N439&amp;"" and Col4 = date '""&amp;YEAR(C439)&amp;""-""&amp;MONTH(C439)&amp;""-""&amp;DAY(C439)&amp;""'""))&gt;0,""Caixa Atendimento"",""Caixa Sangria"")),""""),""Caixa Sangria"")"),"")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""&amp;N440&amp;""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""&amp;N440&amp;"" and Col4 = date '""&amp;YEAR(C440)&amp;""-""&amp;MONTH(C440)&amp;""-""&amp;DAY(C440)&amp;""'""))&gt;0,""Caixa Atendimento"",""Caixa Sangria"")),""""),""Caixa Sangria"")"),"")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""&amp;N441&amp;""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""&amp;N441&amp;"" and Col4 = date '""&amp;YEAR(C441)&amp;""-""&amp;MONTH(C441)&amp;""-""&amp;DAY(C441)&amp;""'""))&gt;0,""Caixa Atendimento"",""Caixa Sangria"")),""""),""Caixa Sangria"")"),"")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""&amp;N442&amp;""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""&amp;N442&amp;"" and Col4 = date '""&amp;YEAR(C442)&amp;""-""&amp;MONTH(C442)&amp;""-""&amp;DAY(C442)&amp;""'""))&gt;0,""Caixa Atendimento"",""Caixa Sangria"")),""""),""Caixa Sangria"")"),"")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""&amp;N443&amp;""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""&amp;N443&amp;"" and Col4 = date '""&amp;YEAR(C443)&amp;""-""&amp;MONTH(C443)&amp;""-""&amp;DAY(C443)&amp;""'""))&gt;0,""Caixa Atendimento"",""Caixa Sangria"")),""""),""Caixa Sangria"")"),"")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""&amp;N444&amp;""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""&amp;N444&amp;"" and Col4 = date '""&amp;YEAR(C444)&amp;""-""&amp;MONTH(C444)&amp;""-""&amp;DAY(C444)&amp;""'""))&gt;0,""Caixa Atendimento"",""Caixa Sangria"")),""""),""Caixa Sangria"")"),"")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""&amp;N445&amp;""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""&amp;N445&amp;"" and Col4 = date '""&amp;YEAR(C445)&amp;""-""&amp;MONTH(C445)&amp;""-""&amp;DAY(C445)&amp;""'""))&gt;0,""Caixa Atendimento"",""Caixa Sangria"")),""""),""Caixa Sangria"")"),"")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""&amp;N446&amp;""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""&amp;N446&amp;"" and Col4 = date '""&amp;YEAR(C446)&amp;""-""&amp;MONTH(C446)&amp;""-""&amp;DAY(C446)&amp;""'""))&gt;0,""Caixa Atendimento"",""Caixa Sangria"")),""""),""Caixa Sangria"")"),"")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""&amp;N447&amp;""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""&amp;N447&amp;"" and Col4 = date '""&amp;YEAR(C447)&amp;""-""&amp;MONTH(C447)&amp;""-""&amp;DAY(C447)&amp;""'""))&gt;0,""Caixa Atendimento"",""Caixa Sangria"")),""""),""Caixa Sangria"")"),"")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""&amp;N448&amp;""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""&amp;N448&amp;"" and Col4 = date '""&amp;YEAR(C448)&amp;""-""&amp;MONTH(C448)&amp;""-""&amp;DAY(C448)&amp;""'""))&gt;0,""Caixa Atendimento"",""Caixa Sangria"")),""""),""Caixa Sangria"")"),"")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""&amp;N449&amp;""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""&amp;N449&amp;"" and Col4 = date '""&amp;YEAR(C449)&amp;""-""&amp;MONTH(C449)&amp;""-""&amp;DAY(C449)&amp;""'""))&gt;0,""Caixa Atendimento"",""Caixa Sangria"")),""""),""Caixa Sangria"")"),"")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""&amp;N450&amp;""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""&amp;N450&amp;"" and Col4 = date '""&amp;YEAR(C450)&amp;""-""&amp;MONTH(C450)&amp;""-""&amp;DAY(C450)&amp;""'""))&gt;0,""Caixa Atendimento"",""Caixa Sangria"")),""""),""Caixa Sangria"")"),"")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""&amp;N451&amp;""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""&amp;N451&amp;"" and Col4 = date '""&amp;YEAR(C451)&amp;""-""&amp;MONTH(C451)&amp;""-""&amp;DAY(C451)&amp;""'""))&gt;0,""Caixa Atendimento"",""Caixa Sangria"")),""""),""Caixa Sangria"")"),"")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""&amp;N452&amp;""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""&amp;N452&amp;"" and Col4 = date '""&amp;YEAR(C452)&amp;""-""&amp;MONTH(C452)&amp;""-""&amp;DAY(C452)&amp;""'""))&gt;0,""Caixa Atendimento"",""Caixa Sangria"")),""""),""Caixa Sangria"")"),"")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""&amp;N453&amp;""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""&amp;N453&amp;"" and Col4 = date '""&amp;YEAR(C453)&amp;""-""&amp;MONTH(C453)&amp;""-""&amp;DAY(C453)&amp;""'""))&gt;0,""Caixa Atendimento"",""Caixa Sangria"")),""""),""Caixa Sangria"")"),"")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""&amp;N454&amp;""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""&amp;N454&amp;"" and Col4 = date '""&amp;YEAR(C454)&amp;""-""&amp;MONTH(C454)&amp;""-""&amp;DAY(C454)&amp;""'""))&gt;0,""Caixa Atendimento"",""Caixa Sangria"")),""""),""Caixa Sangria"")"),"")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""&amp;N455&amp;""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""&amp;N455&amp;"" and Col4 = date '""&amp;YEAR(C455)&amp;""-""&amp;MONTH(C455)&amp;""-""&amp;DAY(C455)&amp;""'""))&gt;0,""Caixa Atendimento"",""Caixa Sangria"")),""""),""Caixa Sangria"")"),"")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""&amp;N456&amp;""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""&amp;N456&amp;"" and Col4 = date '""&amp;YEAR(C456)&amp;""-""&amp;MONTH(C456)&amp;""-""&amp;DAY(C456)&amp;""'""))&gt;0,""Caixa Atendimento"",""Caixa Sangria"")),""""),""Caixa Sangria"")"),"")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""&amp;N457&amp;""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""&amp;N457&amp;"" and Col4 = date '""&amp;YEAR(C457)&amp;""-""&amp;MONTH(C457)&amp;""-""&amp;DAY(C457)&amp;""'""))&gt;0,""Caixa Atendimento"",""Caixa Sangria"")),""""),""Caixa Sangria"")"),"")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""&amp;N458&amp;""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""&amp;N458&amp;"" and Col4 = date '""&amp;YEAR(C458)&amp;""-""&amp;MONTH(C458)&amp;""-""&amp;DAY(C458)&amp;""'""))&gt;0,""Caixa Atendimento"",""Caixa Sangria"")),""""),""Caixa Sangria"")"),"")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""&amp;N459&amp;""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""&amp;N459&amp;"" and Col4 = date '""&amp;YEAR(C459)&amp;""-""&amp;MONTH(C459)&amp;""-""&amp;DAY(C459)&amp;""'""))&gt;0,""Caixa Atendimento"",""Caixa Sangria"")),""""),""Caixa Sangria"")"),"")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""&amp;N460&amp;""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""&amp;N460&amp;"" and Col4 = date '""&amp;YEAR(C460)&amp;""-""&amp;MONTH(C460)&amp;""-""&amp;DAY(C460)&amp;""'""))&gt;0,""Caixa Atendimento"",""Caixa Sangria"")),""""),""Caixa Sangria"")"),"")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""&amp;N461&amp;""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""&amp;N461&amp;"" and Col4 = date '""&amp;YEAR(C461)&amp;""-""&amp;MONTH(C461)&amp;""-""&amp;DAY(C461)&amp;""'""))&gt;0,""Caixa Atendimento"",""Caixa Sangria"")),""""),""Caixa Sangria"")"),"")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""&amp;N462&amp;""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""&amp;N462&amp;"" and Col4 = date '""&amp;YEAR(C462)&amp;""-""&amp;MONTH(C462)&amp;""-""&amp;DAY(C462)&amp;""'""))&gt;0,""Caixa Atendimento"",""Caixa Sangria"")),""""),""Caixa Sangria"")"),"")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""&amp;N463&amp;""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""&amp;N463&amp;"" and Col4 = date '""&amp;YEAR(C463)&amp;""-""&amp;MONTH(C463)&amp;""-""&amp;DAY(C463)&amp;""'""))&gt;0,""Caixa Atendimento"",""Caixa Sangria"")),""""),""Caixa Sangria"")"),"")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""&amp;N464&amp;""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""&amp;N464&amp;"" and Col4 = date '""&amp;YEAR(C464)&amp;""-""&amp;MONTH(C464)&amp;""-""&amp;DAY(C464)&amp;""'""))&gt;0,""Caixa Atendimento"",""Caixa Sangria"")),""""),""Caixa Sangria"")"),"")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""&amp;N465&amp;""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""&amp;N465&amp;"" and Col4 = date '""&amp;YEAR(C465)&amp;""-""&amp;MONTH(C465)&amp;""-""&amp;DAY(C465)&amp;""'""))&gt;0,""Caixa Atendimento"",""Caixa Sangria"")),""""),""Caixa Sangria"")"),"")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""&amp;N466&amp;""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""&amp;N466&amp;"" and Col4 = date '""&amp;YEAR(C466)&amp;""-""&amp;MONTH(C466)&amp;""-""&amp;DAY(C466)&amp;""'""))&gt;0,""Caixa Atendimento"",""Caixa Sangria"")),""""),""Caixa Sangria"")"),"")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""&amp;N467&amp;""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""&amp;N467&amp;"" and Col4 = date '""&amp;YEAR(C467)&amp;""-""&amp;MONTH(C467)&amp;""-""&amp;DAY(C467)&amp;""'""))&gt;0,""Caixa Atendimento"",""Caixa Sangria"")),""""),""Caixa Sangria"")"),"")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""&amp;N468&amp;""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""&amp;N468&amp;"" and Col4 = date '""&amp;YEAR(C468)&amp;""-""&amp;MONTH(C468)&amp;""-""&amp;DAY(C468)&amp;""'""))&gt;0,""Caixa Atendimento"",""Caixa Sangria"")),""""),""Caixa Sangria"")"),"")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""&amp;N469&amp;""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""&amp;N469&amp;"" and Col4 = date '""&amp;YEAR(C469)&amp;""-""&amp;MONTH(C469)&amp;""-""&amp;DAY(C469)&amp;""'""))&gt;0,""Caixa Atendimento"",""Caixa Sangria"")),""""),""Caixa Sangria"")"),"")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""&amp;N470&amp;""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""&amp;N470&amp;"" and Col4 = date '""&amp;YEAR(C470)&amp;""-""&amp;MONTH(C470)&amp;""-""&amp;DAY(C470)&amp;""'""))&gt;0,""Caixa Atendimento"",""Caixa Sangria"")),""""),""Caixa Sangria"")"),"")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""&amp;N471&amp;""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""&amp;N471&amp;"" and Col4 = date '""&amp;YEAR(C471)&amp;""-""&amp;MONTH(C471)&amp;""-""&amp;DAY(C471)&amp;""'""))&gt;0,""Caixa Atendimento"",""Caixa Sangria"")),""""),""Caixa Sangria"")"),"")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""&amp;N472&amp;""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""&amp;N472&amp;"" and Col4 = date '""&amp;YEAR(C472)&amp;""-""&amp;MONTH(C472)&amp;""-""&amp;DAY(C472)&amp;""'""))&gt;0,""Caixa Atendimento"",""Caixa Sangria"")),""""),""Caixa Sangria"")"),"")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""&amp;N473&amp;""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""&amp;N473&amp;"" and Col4 = date '""&amp;YEAR(C473)&amp;""-""&amp;MONTH(C473)&amp;""-""&amp;DAY(C473)&amp;""'""))&gt;0,""Caixa Atendimento"",""Caixa Sangria"")),""""),""Caixa Sangria"")"),"")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""&amp;N474&amp;""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""&amp;N474&amp;"" and Col4 = date '""&amp;YEAR(C474)&amp;""-""&amp;MONTH(C474)&amp;""-""&amp;DAY(C474)&amp;""'""))&gt;0,""Caixa Atendimento"",""Caixa Sangria"")),""""),""Caixa Sangria"")"),"")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""&amp;N475&amp;""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""&amp;N475&amp;"" and Col4 = date '""&amp;YEAR(C475)&amp;""-""&amp;MONTH(C475)&amp;""-""&amp;DAY(C475)&amp;""'""))&gt;0,""Caixa Atendimento"",""Caixa Sangria"")),""""),""Caixa Sangria"")"),"")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""&amp;N476&amp;""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""&amp;N476&amp;"" and Col4 = date '""&amp;YEAR(C476)&amp;""-""&amp;MONTH(C476)&amp;""-""&amp;DAY(C476)&amp;""'""))&gt;0,""Caixa Atendimento"",""Caixa Sangria"")),""""),""Caixa Sangria"")"),"")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""&amp;N477&amp;""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""&amp;N477&amp;"" and Col4 = date '""&amp;YEAR(C477)&amp;""-""&amp;MONTH(C477)&amp;""-""&amp;DAY(C477)&amp;""'""))&gt;0,""Caixa Atendimento"",""Caixa Sangria"")),""""),""Caixa Sangria"")"),"")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""&amp;N478&amp;""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""&amp;N478&amp;"" and Col4 = date '""&amp;YEAR(C478)&amp;""-""&amp;MONTH(C478)&amp;""-""&amp;DAY(C478)&amp;""'""))&gt;0,""Caixa Atendimento"",""Caixa Sangria"")),""""),""Caixa Sangria"")"),"")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""&amp;N479&amp;""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""&amp;N479&amp;"" and Col4 = date '""&amp;YEAR(C479)&amp;""-""&amp;MONTH(C479)&amp;""-""&amp;DAY(C479)&amp;""'""))&gt;0,""Caixa Atendimento"",""Caixa Sangria"")),""""),""Caixa Sangria"")"),"")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""&amp;N480&amp;""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""&amp;N480&amp;"" and Col4 = date '""&amp;YEAR(C480)&amp;""-""&amp;MONTH(C480)&amp;""-""&amp;DAY(C480)&amp;""'""))&gt;0,""Caixa Atendimento"",""Caixa Sangria"")),""""),""Caixa Sangria"")"),"")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""&amp;N481&amp;""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""&amp;N481&amp;"" and Col4 = date '""&amp;YEAR(C481)&amp;""-""&amp;MONTH(C481)&amp;""-""&amp;DAY(C481)&amp;""'""))&gt;0,""Caixa Atendimento"",""Caixa Sangria"")),""""),""Caixa Sangria"")"),"")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""&amp;N482&amp;""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""&amp;N482&amp;"" and Col4 = date '""&amp;YEAR(C482)&amp;""-""&amp;MONTH(C482)&amp;""-""&amp;DAY(C482)&amp;""'""))&gt;0,""Caixa Atendimento"",""Caixa Sangria"")),""""),""Caixa Sangria"")"),"")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""&amp;N483&amp;""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""&amp;N483&amp;"" and Col4 = date '""&amp;YEAR(C483)&amp;""-""&amp;MONTH(C483)&amp;""-""&amp;DAY(C483)&amp;""'""))&gt;0,""Caixa Atendimento"",""Caixa Sangria"")),""""),""Caixa Sangria"")"),"")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""&amp;N484&amp;""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""&amp;N484&amp;"" and Col4 = date '""&amp;YEAR(C484)&amp;""-""&amp;MONTH(C484)&amp;""-""&amp;DAY(C484)&amp;""'""))&gt;0,""Caixa Atendimento"",""Caixa Sangria"")),""""),""Caixa Sangria"")"),"")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""&amp;N485&amp;""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""&amp;N485&amp;"" and Col4 = date '""&amp;YEAR(C485)&amp;""-""&amp;MONTH(C485)&amp;""-""&amp;DAY(C485)&amp;""'""))&gt;0,""Caixa Atendimento"",""Caixa Sangria"")),""""),""Caixa Sangria"")"),"")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""&amp;N486&amp;""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""&amp;N486&amp;"" and Col4 = date '""&amp;YEAR(C486)&amp;""-""&amp;MONTH(C486)&amp;""-""&amp;DAY(C486)&amp;""'""))&gt;0,""Caixa Atendimento"",""Caixa Sangria"")),""""),""Caixa Sangria"")"),"")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""&amp;N487&amp;""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""&amp;N487&amp;"" and Col4 = date '""&amp;YEAR(C487)&amp;""-""&amp;MONTH(C487)&amp;""-""&amp;DAY(C487)&amp;""'""))&gt;0,""Caixa Atendimento"",""Caixa Sangria"")),""""),""Caixa Sangria"")"),"")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""&amp;N488&amp;""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""&amp;N488&amp;"" and Col4 = date '""&amp;YEAR(C488)&amp;""-""&amp;MONTH(C488)&amp;""-""&amp;DAY(C488)&amp;""'""))&gt;0,""Caixa Atendimento"",""Caixa Sangria"")),""""),""Caixa Sangria"")"),"")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""&amp;N489&amp;""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""&amp;N489&amp;"" and Col4 = date '""&amp;YEAR(C489)&amp;""-""&amp;MONTH(C489)&amp;""-""&amp;DAY(C489)&amp;""'""))&gt;0,""Caixa Atendimento"",""Caixa Sangria"")),""""),""Caixa Sangria"")"),"")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""&amp;N490&amp;""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""&amp;N490&amp;"" and Col4 = date '""&amp;YEAR(C490)&amp;""-""&amp;MONTH(C490)&amp;""-""&amp;DAY(C490)&amp;""'""))&gt;0,""Caixa Atendimento"",""Caixa Sangria"")),""""),""Caixa Sangria"")"),"")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""&amp;N491&amp;""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""&amp;N491&amp;"" and Col4 = date '""&amp;YEAR(C491)&amp;""-""&amp;MONTH(C491)&amp;""-""&amp;DAY(C491)&amp;""'""))&gt;0,""Caixa Atendimento"",""Caixa Sangria"")),""""),""Caixa Sangria"")"),"")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""&amp;N492&amp;""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""&amp;N492&amp;"" and Col4 = date '""&amp;YEAR(C492)&amp;""-""&amp;MONTH(C492)&amp;""-""&amp;DAY(C492)&amp;""'""))&gt;0,""Caixa Atendimento"",""Caixa Sangria"")),""""),""Caixa Sangria"")"),"")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""&amp;N493&amp;""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""&amp;N493&amp;"" and Col4 = date '""&amp;YEAR(C493)&amp;""-""&amp;MONTH(C493)&amp;""-""&amp;DAY(C493)&amp;""'""))&gt;0,""Caixa Atendimento"",""Caixa Sangria"")),""""),""Caixa Sangria"")"),"")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""&amp;N494&amp;""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""&amp;N494&amp;"" and Col4 = date '""&amp;YEAR(C494)&amp;""-""&amp;MONTH(C494)&amp;""-""&amp;DAY(C494)&amp;""'""))&gt;0,""Caixa Atendimento"",""Caixa Sangria"")),""""),""Caixa Sangria"")"),"")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""&amp;N495&amp;""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""&amp;N495&amp;"" and Col4 = date '""&amp;YEAR(C495)&amp;""-""&amp;MONTH(C495)&amp;""-""&amp;DAY(C495)&amp;""'""))&gt;0,""Caixa Atendimento"",""Caixa Sangria"")),""""),""Caixa Sangria"")"),"")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""&amp;N496&amp;""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""&amp;N496&amp;"" and Col4 = date '""&amp;YEAR(C496)&amp;""-""&amp;MONTH(C496)&amp;""-""&amp;DAY(C496)&amp;""'""))&gt;0,""Caixa Atendimento"",""Caixa Sangria"")),""""),""Caixa Sangria"")"),"")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""&amp;N497&amp;""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""&amp;N497&amp;"" and Col4 = date '""&amp;YEAR(C497)&amp;""-""&amp;MONTH(C497)&amp;""-""&amp;DAY(C497)&amp;""'""))&gt;0,""Caixa Atendimento"",""Caixa Sangria"")),""""),""Caixa Sangria"")"),"")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""&amp;N498&amp;""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""&amp;N498&amp;"" and Col4 = date '""&amp;YEAR(C498)&amp;""-""&amp;MONTH(C498)&amp;""-""&amp;DAY(C498)&amp;""'""))&gt;0,""Caixa Atendimento"",""Caixa Sangria"")),""""),""Caixa Sangria"")"),"")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""&amp;N499&amp;""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""&amp;N499&amp;"" and Col4 = date '""&amp;YEAR(C499)&amp;""-""&amp;MONTH(C499)&amp;""-""&amp;DAY(C499)&amp;""'""))&gt;0,""Caixa Atendimento"",""Caixa Sangria"")),""""),""Caixa Sangria"")"),"")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""&amp;N500&amp;""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""&amp;N500&amp;"" and Col4 = date '""&amp;YEAR(C500)&amp;""-""&amp;MONTH(C500)&amp;""-""&amp;DAY(C500)&amp;""'""))&gt;0,""Caixa Atendimento"",""Caixa Sangria"")),""""),""Caixa Sangria"")"),"")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""&amp;N501&amp;""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""&amp;N501&amp;"" and Col4 = date '""&amp;YEAR(C501)&amp;""-""&amp;MONTH(C501)&amp;""-""&amp;DAY(C501)&amp;""'""))&gt;0,""Caixa Atendimento"",""Caixa Sangria"")),""""),""Caixa Sangria"")"),"")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""&amp;N502&amp;""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""&amp;N502&amp;"" and Col4 = date '""&amp;YEAR(C502)&amp;""-""&amp;MONTH(C502)&amp;""-""&amp;DAY(C502)&amp;""'""))&gt;0,""Caixa Atendimento"",""Caixa Sangria"")),""""),""Caixa Sangria"")"),"")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""&amp;N503&amp;""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""&amp;N503&amp;"" and Col4 = date '""&amp;YEAR(C503)&amp;""-""&amp;MONTH(C503)&amp;""-""&amp;DAY(C503)&amp;""'""))&gt;0,""Caixa Atendimento"",""Caixa Sangria"")),""""),""Caixa Sangria"")"),"")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""&amp;N504&amp;""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""&amp;N504&amp;"" and Col4 = date '""&amp;YEAR(C504)&amp;""-""&amp;MONTH(C504)&amp;""-""&amp;DAY(C504)&amp;""'""))&gt;0,""Caixa Atendimento"",""Caixa Sangria"")),""""),""Caixa Sangria"")"),"")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353"/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353"/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3"/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9:R39"/>
    <mergeCell ref="O61:T62"/>
    <mergeCell ref="S63:T63"/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30:U130"/>
    <mergeCell ref="S131:U131"/>
    <mergeCell ref="S132:U132"/>
    <mergeCell ref="S133:U133"/>
    <mergeCell ref="S134:U134"/>
    <mergeCell ref="S135:U135"/>
    <mergeCell ref="S136:U136"/>
    <mergeCell ref="S123:U123"/>
    <mergeCell ref="S124:U124"/>
    <mergeCell ref="S125:U125"/>
    <mergeCell ref="S126:U126"/>
    <mergeCell ref="S127:U127"/>
    <mergeCell ref="S128:U128"/>
    <mergeCell ref="S129:U129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9:W39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35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L4:W4 L11 D20 O20:W20 O40:W40 O49:W49 U69:W69">
    <cfRule type="cellIs" dxfId="6" priority="19" operator="greaterThanOrEqual">
      <formula>500</formula>
    </cfRule>
  </conditionalFormatting>
  <conditionalFormatting sqref="L4:W4 L11 D20 O20:W20 O40:W40 O49:W49 U69:W69">
    <cfRule type="cellIs" dxfId="7" priority="20" operator="between">
      <formula>400</formula>
      <formula>500</formula>
    </cfRule>
  </conditionalFormatting>
  <conditionalFormatting sqref="E36:E507">
    <cfRule type="containsText" dxfId="9" priority="21" operator="containsText" text="R$">
      <formula>NOT(ISERROR(SEARCH(("R$"),(E36))))</formula>
    </cfRule>
  </conditionalFormatting>
  <conditionalFormatting sqref="B29:K340">
    <cfRule type="expression" dxfId="5" priority="22">
      <formula>and($J$29:$J$504="Sangria",$D$29:$D$504="Saída")</formula>
    </cfRule>
  </conditionalFormatting>
  <conditionalFormatting sqref="K36:K507">
    <cfRule type="expression" dxfId="10" priority="23">
      <formula>or($J$29:$J$218="Compra Moedas",$J$29:$J$218="Cortesias",$J$29:$J$218="Troco")</formula>
    </cfRule>
  </conditionalFormatting>
  <conditionalFormatting sqref="K36:K507">
    <cfRule type="expression" dxfId="11" priority="2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5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6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7">
      <formula>LEN(TRIM(I43))&gt;0</formula>
    </cfRule>
  </conditionalFormatting>
  <conditionalFormatting sqref="I36:I507">
    <cfRule type="expression" dxfId="8" priority="28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9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30">
      <formula>and($C$29:$C$218="",or($D$29:$D$218="Entrada",$D$29:$D$218="Saída"))</formula>
    </cfRule>
  </conditionalFormatting>
  <conditionalFormatting sqref="I36:I507">
    <cfRule type="expression" dxfId="8" priority="31">
      <formula>and(K36 = "",or(J36="Consumo",J36="Adiantamento"))</formula>
    </cfRule>
  </conditionalFormatting>
  <conditionalFormatting sqref="M29:M507">
    <cfRule type="cellIs" dxfId="8" priority="32" operator="equal">
      <formula>"Não Encontrada"</formula>
    </cfRule>
  </conditionalFormatting>
  <conditionalFormatting sqref="L29:L507">
    <cfRule type="cellIs" dxfId="8" priority="33" operator="equal">
      <formula>"Caixa Sangria"</formula>
    </cfRule>
  </conditionalFormatting>
  <dataValidations>
    <dataValidation type="list" allowBlank="1" showErrorMessage="1" sqref="K29:K35">
      <formula1>'OUTUBRO 2025'!$B$4:$B$16</formula1>
    </dataValidation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  <dataValidation type="list" allowBlank="1" showErrorMessage="1" sqref="K36:K507">
      <formula1>'NOVEMBRO 2025'!$B$4:$B$16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6.13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B9</f>
        <v>Janaina</v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" t="str">
        <f>B4</f>
        <v>Marcos</v>
      </c>
      <c r="P3" s="27"/>
      <c r="Q3" s="27"/>
      <c r="R3" s="28"/>
      <c r="S3" s="37"/>
      <c r="T3" s="38" t="str">
        <f>B5</f>
        <v>Rayanna</v>
      </c>
      <c r="U3" s="27"/>
      <c r="V3" s="27"/>
      <c r="W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400</v>
      </c>
      <c r="E4" s="43" t="s">
        <v>1112</v>
      </c>
      <c r="F4" s="42">
        <f>SUMIFS(N29:N504,J29:J504,E4,K29:K504,E3)+SUMIF(Q64:Q106,A5,R64:R106)+F9</f>
        <v>500</v>
      </c>
      <c r="G4" s="43" t="s">
        <v>1112</v>
      </c>
      <c r="H4" s="42">
        <f>SUMIFS(N29:N504,J29:J504,G4,K29:K504,G3)+SUMIF(Q64:Q106,A9,R64:R106)+H9</f>
        <v>500</v>
      </c>
      <c r="I4" s="43" t="s">
        <v>1112</v>
      </c>
      <c r="J4" s="42">
        <f>SUMIFS(N29:N504,J29:J504,C4,K29:K504,I3)+SUMIF(Q64:Q106,A7,R64:R106)+J9</f>
        <v>150</v>
      </c>
      <c r="K4" s="43" t="s">
        <v>1112</v>
      </c>
      <c r="L4" s="44">
        <f>SUMIFS(N29:N504,J29:J504,C4,K29:K504,K3)+SUMIF(Q64:Q106,A8,R64:R106)+L9</f>
        <v>550</v>
      </c>
      <c r="M4" s="25"/>
      <c r="N4" s="25"/>
      <c r="O4" s="45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4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'""&amp;B5&amp;""'"",1)"),"#REF!")</f>
        <v>#REF!</v>
      </c>
      <c r="U4" s="49"/>
      <c r="V4" s="49"/>
      <c r="W4" s="50"/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281.39</v>
      </c>
      <c r="G5" s="43" t="s">
        <v>3044</v>
      </c>
      <c r="H5" s="42">
        <f>SUMIFS(N29:N504,J29:J504,C5,K29:K504,G3)</f>
        <v>86.18</v>
      </c>
      <c r="I5" s="43" t="s">
        <v>3044</v>
      </c>
      <c r="J5" s="42">
        <f>SUMIFS(N29:N504,J29:J504,C5,K29:K504,I3)</f>
        <v>238.75</v>
      </c>
      <c r="K5" s="43" t="s">
        <v>3044</v>
      </c>
      <c r="L5" s="44">
        <f>SUMIFS(N29:N504,J29:J504,C5,K29:K504,K3)</f>
        <v>258.83</v>
      </c>
      <c r="M5" s="25"/>
      <c r="N5" s="25"/>
      <c r="O5" s="51"/>
      <c r="P5" s="52"/>
      <c r="Q5" s="52"/>
      <c r="R5" s="53"/>
      <c r="S5" s="54"/>
      <c r="T5" s="52"/>
      <c r="U5" s="52"/>
      <c r="V5" s="52"/>
      <c r="W5" s="53"/>
    </row>
    <row r="6" ht="16.5" customHeight="1">
      <c r="A6" s="56"/>
      <c r="B6" s="40"/>
      <c r="C6" s="41" t="s">
        <v>3082</v>
      </c>
      <c r="D6" s="42">
        <f>D5*0.8</f>
        <v>0</v>
      </c>
      <c r="E6" s="43" t="s">
        <v>3082</v>
      </c>
      <c r="F6" s="42">
        <f>F5*0.8</f>
        <v>225.112</v>
      </c>
      <c r="G6" s="43" t="s">
        <v>3082</v>
      </c>
      <c r="H6" s="42">
        <f>H5*0.8</f>
        <v>68.944</v>
      </c>
      <c r="I6" s="43" t="s">
        <v>3082</v>
      </c>
      <c r="J6" s="42">
        <f>J5*0.8</f>
        <v>191</v>
      </c>
      <c r="K6" s="57" t="s">
        <v>3082</v>
      </c>
      <c r="L6" s="44">
        <f>L5*0.8</f>
        <v>207.064</v>
      </c>
      <c r="M6" s="25"/>
      <c r="N6" s="25"/>
      <c r="O6" s="51"/>
      <c r="P6" s="52"/>
      <c r="Q6" s="52"/>
      <c r="R6" s="53"/>
      <c r="S6" s="54"/>
      <c r="T6" s="52"/>
      <c r="U6" s="52"/>
      <c r="V6" s="52"/>
      <c r="W6" s="53"/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51"/>
      <c r="P7" s="52"/>
      <c r="Q7" s="52"/>
      <c r="R7" s="53"/>
      <c r="S7" s="54"/>
      <c r="T7" s="52"/>
      <c r="U7" s="52"/>
      <c r="V7" s="52"/>
      <c r="W7" s="53"/>
    </row>
    <row r="8" ht="14.25" customHeight="1">
      <c r="A8" s="12" t="s">
        <v>78</v>
      </c>
      <c r="B8" s="40" t="s">
        <v>7058</v>
      </c>
      <c r="C8" s="63" t="s">
        <v>3170</v>
      </c>
      <c r="D8" s="67">
        <v>45778.0</v>
      </c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51"/>
      <c r="P8" s="52"/>
      <c r="Q8" s="52"/>
      <c r="R8" s="53"/>
      <c r="S8" s="54"/>
      <c r="T8" s="52"/>
      <c r="U8" s="52"/>
      <c r="V8" s="52"/>
      <c r="W8" s="53"/>
    </row>
    <row r="9">
      <c r="A9" s="39" t="s">
        <v>1900</v>
      </c>
      <c r="B9" s="40" t="s">
        <v>6340</v>
      </c>
      <c r="C9" s="70" t="s">
        <v>41</v>
      </c>
      <c r="D9" s="71">
        <v>400.0</v>
      </c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51"/>
      <c r="P9" s="52"/>
      <c r="Q9" s="52"/>
      <c r="R9" s="53"/>
      <c r="S9" s="54"/>
      <c r="T9" s="52"/>
      <c r="U9" s="52"/>
      <c r="V9" s="52"/>
      <c r="W9" s="53"/>
    </row>
    <row r="10" ht="21.75" customHeight="1">
      <c r="A10" s="39"/>
      <c r="B10" s="40"/>
      <c r="C10" s="75" t="str">
        <f>B9</f>
        <v>Janaina</v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51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1112</v>
      </c>
      <c r="D11" s="85">
        <f>SUMIFS(N29:N514,J29:J514,C11,K29:K514,C10)+SUMIF(Q64:Q106,A9,R64:R106)+D16</f>
        <v>500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3044</v>
      </c>
      <c r="D12" s="85">
        <f>SUMIFS(N36:N514,J36:J514,C12,K36:K514,C10)</f>
        <v>86.18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82"/>
      <c r="B13" s="93"/>
      <c r="C13" s="84" t="s">
        <v>3082</v>
      </c>
      <c r="D13" s="85">
        <f>D12*0.8</f>
        <v>68.944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1700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191" t="str">
        <f>B7</f>
        <v>Ana Carolina</v>
      </c>
      <c r="P19" s="106"/>
      <c r="Q19" s="106"/>
      <c r="R19" s="106"/>
      <c r="S19" s="110"/>
      <c r="T19" s="123" t="str">
        <f>B8</f>
        <v>Sabrina</v>
      </c>
      <c r="U19" s="106"/>
      <c r="V19" s="106"/>
      <c r="W19" s="124"/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750</v>
      </c>
      <c r="J20" s="132">
        <f>SUMIF(J29:J504,J19,N29:N504)</f>
        <v>209.34</v>
      </c>
      <c r="K20" s="133" t="s">
        <v>3520</v>
      </c>
      <c r="L20" s="134"/>
      <c r="M20" s="24"/>
      <c r="N20" s="24"/>
      <c r="O20" s="45" t="str">
        <f>IFERROR(__xludf.DUMMYFUNCTION("query(C28:L507,""select Col1,Col3,Col8,Col9 where (Col8 = 'Adiantamento' or Col8 = 'Consumo') and Col9 = '""&amp;B7&amp;""'"",1)"),"#REF!")</f>
        <v>#REF!</v>
      </c>
      <c r="P20" s="46"/>
      <c r="Q20" s="46"/>
      <c r="R20" s="46"/>
      <c r="S20" s="48"/>
      <c r="T20" s="49" t="str">
        <f>IFERROR(__xludf.DUMMYFUNCTION("query(C28:L507,""select Col1,Col3,Col8,Col9 where (Col8 = 'Adiantamento' or Col8 = 'Consumo') and Col9 = '""&amp;B8&amp;""'"",1)"),"Data")</f>
        <v>Data</v>
      </c>
      <c r="U20" s="49" t="str">
        <f>IFERROR(__xludf.DUMMYFUNCTION("""COMPUTED_VALUE"""),"Valor ")</f>
        <v>Valor </v>
      </c>
      <c r="V20" s="49" t="str">
        <f>IFERROR(__xludf.DUMMYFUNCTION("""COMPUTED_VALUE"""),"Tipo")</f>
        <v>Tipo</v>
      </c>
      <c r="W20" s="50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19650</v>
      </c>
      <c r="I21" s="138"/>
      <c r="J21" s="139"/>
      <c r="K21" s="133" t="s">
        <v>3570</v>
      </c>
      <c r="L21" s="134"/>
      <c r="M21" s="24"/>
      <c r="N21" s="24"/>
      <c r="O21" s="51"/>
      <c r="P21" s="52"/>
      <c r="Q21" s="52"/>
      <c r="R21" s="52"/>
      <c r="S21" s="54"/>
      <c r="T21" s="55">
        <f>IFERROR(__xludf.DUMMYFUNCTION("""COMPUTED_VALUE"""),45987.90834490741)</f>
        <v>45987.90834</v>
      </c>
      <c r="U21" s="52" t="str">
        <f>IFERROR(__xludf.DUMMYFUNCTION("""COMPUTED_VALUE"""),"R$ 25,43")</f>
        <v>R$ 25,43</v>
      </c>
      <c r="V21" s="52" t="str">
        <f>IFERROR(__xludf.DUMMYFUNCTION("""COMPUTED_VALUE"""),"Consumo")</f>
        <v>Consumo</v>
      </c>
      <c r="W21" s="53" t="str">
        <f>IFERROR(__xludf.DUMMYFUNCTION("""COMPUTED_VALUE"""),"Sabrina")</f>
        <v>Sabrina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51"/>
      <c r="P22" s="52"/>
      <c r="Q22" s="52"/>
      <c r="R22" s="52"/>
      <c r="S22" s="54"/>
      <c r="T22" s="55">
        <f>IFERROR(__xludf.DUMMYFUNCTION("""COMPUTED_VALUE"""),45987.910162037035)</f>
        <v>45987.91016</v>
      </c>
      <c r="U22" s="52" t="str">
        <f>IFERROR(__xludf.DUMMYFUNCTION("""COMPUTED_VALUE"""),"R$ 10,00")</f>
        <v>R$ 10,00</v>
      </c>
      <c r="V22" s="52" t="str">
        <f>IFERROR(__xludf.DUMMYFUNCTION("""COMPUTED_VALUE"""),"Consumo")</f>
        <v>Consumo</v>
      </c>
      <c r="W22" s="53" t="str">
        <f>IFERROR(__xludf.DUMMYFUNCTION("""COMPUTED_VALUE"""),"Sabrina")</f>
        <v>Sabrina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51"/>
      <c r="P23" s="52"/>
      <c r="Q23" s="52"/>
      <c r="R23" s="52"/>
      <c r="S23" s="54"/>
      <c r="T23" s="55">
        <f>IFERROR(__xludf.DUMMYFUNCTION("""COMPUTED_VALUE"""),45988.91108796296)</f>
        <v>45988.91109</v>
      </c>
      <c r="U23" s="52" t="str">
        <f>IFERROR(__xludf.DUMMYFUNCTION("""COMPUTED_VALUE"""),"R$ 24,28")</f>
        <v>R$ 24,28</v>
      </c>
      <c r="V23" s="52" t="str">
        <f>IFERROR(__xludf.DUMMYFUNCTION("""COMPUTED_VALUE"""),"Consumo")</f>
        <v>Consumo</v>
      </c>
      <c r="W23" s="53" t="str">
        <f>IFERROR(__xludf.DUMMYFUNCTION("""COMPUTED_VALUE"""),"Sabrina")</f>
        <v>Sabrina</v>
      </c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0</v>
      </c>
      <c r="I24" s="157" t="s">
        <v>3653</v>
      </c>
      <c r="J24" s="150"/>
      <c r="K24" s="133" t="s">
        <v>3656</v>
      </c>
      <c r="L24" s="134"/>
      <c r="M24" s="24"/>
      <c r="N24" s="24"/>
      <c r="O24" s="51"/>
      <c r="P24" s="52"/>
      <c r="Q24" s="52"/>
      <c r="R24" s="52"/>
      <c r="S24" s="54"/>
      <c r="T24" s="55">
        <f>IFERROR(__xludf.DUMMYFUNCTION("""COMPUTED_VALUE"""),45989.924421296295)</f>
        <v>45989.92442</v>
      </c>
      <c r="U24" s="52" t="str">
        <f>IFERROR(__xludf.DUMMYFUNCTION("""COMPUTED_VALUE"""),"R$ 10,00")</f>
        <v>R$ 10,00</v>
      </c>
      <c r="V24" s="52" t="str">
        <f>IFERROR(__xludf.DUMMYFUNCTION("""COMPUTED_VALUE"""),"Consumo")</f>
        <v>Consumo</v>
      </c>
      <c r="W24" s="53" t="str">
        <f>IFERROR(__xludf.DUMMYFUNCTION("""COMPUTED_VALUE"""),"Sabrina")</f>
        <v>Sabrina</v>
      </c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15950</v>
      </c>
      <c r="I25" s="151">
        <f>SUMIF(J29:J504,I24,N29:N504)</f>
        <v>0</v>
      </c>
      <c r="J25" s="152"/>
      <c r="K25" s="162"/>
      <c r="L25" s="163"/>
      <c r="M25" s="25"/>
      <c r="N25" s="25"/>
      <c r="O25" s="51"/>
      <c r="P25" s="52"/>
      <c r="Q25" s="52"/>
      <c r="R25" s="52"/>
      <c r="S25" s="54"/>
      <c r="T25" s="55">
        <f>IFERROR(__xludf.DUMMYFUNCTION("""COMPUTED_VALUE"""),45989.93266203704)</f>
        <v>45989.93266</v>
      </c>
      <c r="U25" s="52" t="str">
        <f>IFERROR(__xludf.DUMMYFUNCTION("""COMPUTED_VALUE"""),"R$ 24,79")</f>
        <v>R$ 24,79</v>
      </c>
      <c r="V25" s="52" t="str">
        <f>IFERROR(__xludf.DUMMYFUNCTION("""COMPUTED_VALUE"""),"Consumo")</f>
        <v>Consumo</v>
      </c>
      <c r="W25" s="53" t="str">
        <f>IFERROR(__xludf.DUMMYFUNCTION("""COMPUTED_VALUE"""),"Sabrina")</f>
        <v>Sabrina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51"/>
      <c r="P26" s="79"/>
      <c r="Q26" s="79"/>
      <c r="R26" s="79"/>
      <c r="S26" s="81"/>
      <c r="T26" s="55">
        <f>IFERROR(__xludf.DUMMYFUNCTION("""COMPUTED_VALUE"""),45993.79090277778)</f>
        <v>45993.7909</v>
      </c>
      <c r="U26" s="79" t="str">
        <f>IFERROR(__xludf.DUMMYFUNCTION("""COMPUTED_VALUE"""),"R$ 5,00")</f>
        <v>R$ 5,00</v>
      </c>
      <c r="V26" s="79" t="str">
        <f>IFERROR(__xludf.DUMMYFUNCTION("""COMPUTED_VALUE"""),"Consumo")</f>
        <v>Consumo</v>
      </c>
      <c r="W26" s="80" t="str">
        <f>IFERROR(__xludf.DUMMYFUNCTION("""COMPUTED_VALUE"""),"Sabrina")</f>
        <v>Sabrina</v>
      </c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88"/>
      <c r="P27" s="89"/>
      <c r="Q27" s="89"/>
      <c r="R27" s="89"/>
      <c r="S27" s="91"/>
      <c r="T27" s="236">
        <f>IFERROR(__xludf.DUMMYFUNCTION("""COMPUTED_VALUE"""),45993.846712962964)</f>
        <v>45993.84671</v>
      </c>
      <c r="U27" s="89" t="str">
        <f>IFERROR(__xludf.DUMMYFUNCTION("""COMPUTED_VALUE"""),"R$ 20,06")</f>
        <v>R$ 20,06</v>
      </c>
      <c r="V27" s="89" t="str">
        <f>IFERROR(__xludf.DUMMYFUNCTION("""COMPUTED_VALUE"""),"Consumo")</f>
        <v>Consumo</v>
      </c>
      <c r="W27" s="90" t="str">
        <f>IFERROR(__xludf.DUMMYFUNCTION("""COMPUTED_VALUE"""),"Sabrina")</f>
        <v>Sabrina</v>
      </c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340" t="s">
        <v>3724</v>
      </c>
      <c r="M28" s="274" t="s">
        <v>12</v>
      </c>
      <c r="N28" s="167"/>
      <c r="O28" s="88"/>
      <c r="P28" s="89"/>
      <c r="Q28" s="89"/>
      <c r="R28" s="89"/>
      <c r="S28" s="91"/>
      <c r="T28" s="236">
        <f>IFERROR(__xludf.DUMMYFUNCTION("""COMPUTED_VALUE"""),45994.52616898148)</f>
        <v>45994.52617</v>
      </c>
      <c r="U28" s="89" t="str">
        <f>IFERROR(__xludf.DUMMYFUNCTION("""COMPUTED_VALUE"""),"R$ 25,90")</f>
        <v>R$ 25,90</v>
      </c>
      <c r="V28" s="89" t="str">
        <f>IFERROR(__xludf.DUMMYFUNCTION("""COMPUTED_VALUE"""),"Consumo")</f>
        <v>Consumo</v>
      </c>
      <c r="W28" s="90" t="str">
        <f>IFERROR(__xludf.DUMMYFUNCTION("""COMPUTED_VALUE"""),"Sabrina")</f>
        <v>Sabrina</v>
      </c>
    </row>
    <row r="29" ht="14.25" customHeight="1">
      <c r="A29" s="178"/>
      <c r="B29" s="10">
        <v>1821336.0</v>
      </c>
      <c r="C29" s="11">
        <v>45987.607777777775</v>
      </c>
      <c r="D29" s="179" t="s">
        <v>50</v>
      </c>
      <c r="E29" s="180" t="s">
        <v>157</v>
      </c>
      <c r="F29" s="181"/>
      <c r="G29" s="179" t="s">
        <v>6513</v>
      </c>
      <c r="H29" s="190"/>
      <c r="I29" s="190"/>
      <c r="J29" s="187" t="s">
        <v>3044</v>
      </c>
      <c r="K29" s="187" t="s">
        <v>7052</v>
      </c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IFERROR(__xludf.DUMMYFUNCTION("ifna(VALUE(REGEXEXTRACT(E29,""[0-9.]+[,]+[0-9]+"")))"),5.0)</f>
        <v>5</v>
      </c>
      <c r="O29" s="88"/>
      <c r="P29" s="89"/>
      <c r="Q29" s="89"/>
      <c r="R29" s="89"/>
      <c r="S29" s="91"/>
      <c r="T29" s="236">
        <f>IFERROR(__xludf.DUMMYFUNCTION("""COMPUTED_VALUE"""),45994.805625)</f>
        <v>45994.80563</v>
      </c>
      <c r="U29" s="89" t="str">
        <f>IFERROR(__xludf.DUMMYFUNCTION("""COMPUTED_VALUE"""),"R$ 14,31")</f>
        <v>R$ 14,31</v>
      </c>
      <c r="V29" s="89" t="str">
        <f>IFERROR(__xludf.DUMMYFUNCTION("""COMPUTED_VALUE"""),"Consumo")</f>
        <v>Consumo</v>
      </c>
      <c r="W29" s="90" t="str">
        <f>IFERROR(__xludf.DUMMYFUNCTION("""COMPUTED_VALUE"""),"Sabrina")</f>
        <v>Sabrina</v>
      </c>
    </row>
    <row r="30">
      <c r="A30" s="178"/>
      <c r="B30" s="10">
        <v>1821808.0</v>
      </c>
      <c r="C30" s="11">
        <v>45987.739166666666</v>
      </c>
      <c r="D30" s="179" t="s">
        <v>50</v>
      </c>
      <c r="E30" s="180" t="s">
        <v>157</v>
      </c>
      <c r="F30" s="181"/>
      <c r="G30" s="179" t="s">
        <v>6513</v>
      </c>
      <c r="H30" s="190"/>
      <c r="I30" s="190"/>
      <c r="J30" s="187" t="s">
        <v>3044</v>
      </c>
      <c r="K30" s="187" t="s">
        <v>7052</v>
      </c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IFERROR(__xludf.DUMMYFUNCTION("ifna(VALUE(REGEXEXTRACT(E30,""[0-9.]+[,]+[0-9]+"")))"),5.0)</f>
        <v>5</v>
      </c>
      <c r="O30" s="88"/>
      <c r="P30" s="89"/>
      <c r="Q30" s="89"/>
      <c r="R30" s="89"/>
      <c r="S30" s="91"/>
      <c r="T30" s="236">
        <f>IFERROR(__xludf.DUMMYFUNCTION("""COMPUTED_VALUE"""),45995.703564814816)</f>
        <v>45995.70356</v>
      </c>
      <c r="U30" s="89" t="str">
        <f>IFERROR(__xludf.DUMMYFUNCTION("""COMPUTED_VALUE"""),"R$ 17,25")</f>
        <v>R$ 17,25</v>
      </c>
      <c r="V30" s="89" t="str">
        <f>IFERROR(__xludf.DUMMYFUNCTION("""COMPUTED_VALUE"""),"Consumo")</f>
        <v>Consumo</v>
      </c>
      <c r="W30" s="90" t="str">
        <f>IFERROR(__xludf.DUMMYFUNCTION("""COMPUTED_VALUE"""),"Sabrina")</f>
        <v>Sabrina</v>
      </c>
    </row>
    <row r="31" ht="14.25" customHeight="1">
      <c r="A31" s="178"/>
      <c r="B31" s="10">
        <v>1822388.0</v>
      </c>
      <c r="C31" s="11">
        <v>45987.90834490741</v>
      </c>
      <c r="D31" s="179" t="s">
        <v>50</v>
      </c>
      <c r="E31" s="180" t="s">
        <v>6805</v>
      </c>
      <c r="F31" s="181"/>
      <c r="G31" s="10" t="s">
        <v>4960</v>
      </c>
      <c r="H31" s="190"/>
      <c r="I31" s="190"/>
      <c r="J31" s="187" t="s">
        <v>3044</v>
      </c>
      <c r="K31" s="187" t="s">
        <v>7058</v>
      </c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IFERROR(__xludf.DUMMYFUNCTION("ifna(VALUE(REGEXEXTRACT(E31,""[0-9.]+[,]+[0-9]+"")))"),25.43)</f>
        <v>25.43</v>
      </c>
      <c r="O31" s="192"/>
      <c r="P31" s="193"/>
      <c r="Q31" s="194"/>
      <c r="R31" s="195"/>
      <c r="S31" s="91"/>
      <c r="T31" s="236">
        <f>IFERROR(__xludf.DUMMYFUNCTION("""COMPUTED_VALUE"""),46000.91758101852)</f>
        <v>46000.91758</v>
      </c>
      <c r="U31" s="89" t="str">
        <f>IFERROR(__xludf.DUMMYFUNCTION("""COMPUTED_VALUE"""),"R$ 41,41")</f>
        <v>R$ 41,41</v>
      </c>
      <c r="V31" s="89" t="str">
        <f>IFERROR(__xludf.DUMMYFUNCTION("""COMPUTED_VALUE"""),"Consumo")</f>
        <v>Consumo</v>
      </c>
      <c r="W31" s="90" t="str">
        <f>IFERROR(__xludf.DUMMYFUNCTION("""COMPUTED_VALUE"""),"Sabrina")</f>
        <v>Sabrina</v>
      </c>
    </row>
    <row r="32" ht="14.25" customHeight="1">
      <c r="A32" s="178"/>
      <c r="B32" s="10">
        <v>1822397.0</v>
      </c>
      <c r="C32" s="11">
        <v>45987.910162037035</v>
      </c>
      <c r="D32" s="179" t="s">
        <v>50</v>
      </c>
      <c r="E32" s="180" t="s">
        <v>205</v>
      </c>
      <c r="F32" s="181"/>
      <c r="G32" s="179" t="s">
        <v>4960</v>
      </c>
      <c r="H32" s="190"/>
      <c r="I32" s="190"/>
      <c r="J32" s="187" t="s">
        <v>3044</v>
      </c>
      <c r="K32" s="187" t="s">
        <v>7058</v>
      </c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IFERROR(__xludf.DUMMYFUNCTION("ifna(VALUE(REGEXEXTRACT(E32,""[0-9.]+[,]+[0-9]+"")))"),10.0)</f>
        <v>10</v>
      </c>
      <c r="O32" s="88"/>
      <c r="P32" s="89"/>
      <c r="Q32" s="89"/>
      <c r="R32" s="89"/>
      <c r="S32" s="91"/>
      <c r="T32" s="236">
        <f>IFERROR(__xludf.DUMMYFUNCTION("""COMPUTED_VALUE"""),46002.930439814816)</f>
        <v>46002.93044</v>
      </c>
      <c r="U32" s="89" t="str">
        <f>IFERROR(__xludf.DUMMYFUNCTION("""COMPUTED_VALUE"""),"R$ 18,40")</f>
        <v>R$ 18,40</v>
      </c>
      <c r="V32" s="89" t="str">
        <f>IFERROR(__xludf.DUMMYFUNCTION("""COMPUTED_VALUE"""),"Consumo")</f>
        <v>Consumo</v>
      </c>
      <c r="W32" s="90" t="str">
        <f>IFERROR(__xludf.DUMMYFUNCTION("""COMPUTED_VALUE"""),"Sabrina")</f>
        <v>Sabrina</v>
      </c>
    </row>
    <row r="33" ht="14.25" customHeight="1">
      <c r="A33" s="178"/>
      <c r="B33" s="10">
        <v>1822600.0</v>
      </c>
      <c r="C33" s="11">
        <v>45987.93378472222</v>
      </c>
      <c r="D33" s="179" t="s">
        <v>50</v>
      </c>
      <c r="E33" s="180" t="s">
        <v>6479</v>
      </c>
      <c r="F33" s="181"/>
      <c r="G33" s="179" t="s">
        <v>7278</v>
      </c>
      <c r="H33" s="190"/>
      <c r="I33" s="190"/>
      <c r="J33" s="187" t="s">
        <v>3903</v>
      </c>
      <c r="K33" s="187"/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"""")"),"Encontrada")</f>
        <v>Encontrada</v>
      </c>
      <c r="N33" s="185">
        <f>IFERROR(__xludf.DUMMYFUNCTION("ifna(VALUE(REGEXEXTRACT(E33,""[0-9.]+[,]+[0-9]+"")))"),300.0)</f>
        <v>300</v>
      </c>
      <c r="O33" s="88"/>
      <c r="P33" s="89"/>
      <c r="Q33" s="89"/>
      <c r="R33" s="89"/>
      <c r="S33" s="91"/>
      <c r="T33" s="236">
        <f>IFERROR(__xludf.DUMMYFUNCTION("""COMPUTED_VALUE"""),46004.54042824074)</f>
        <v>46004.54043</v>
      </c>
      <c r="U33" s="89" t="str">
        <f>IFERROR(__xludf.DUMMYFUNCTION("""COMPUTED_VALUE"""),"R$ 10,00")</f>
        <v>R$ 10,00</v>
      </c>
      <c r="V33" s="89" t="str">
        <f>IFERROR(__xludf.DUMMYFUNCTION("""COMPUTED_VALUE"""),"Consumo")</f>
        <v>Consumo</v>
      </c>
      <c r="W33" s="90" t="str">
        <f>IFERROR(__xludf.DUMMYFUNCTION("""COMPUTED_VALUE"""),"Sabrina")</f>
        <v>Sabrina</v>
      </c>
    </row>
    <row r="34" ht="14.25" customHeight="1">
      <c r="A34" s="178"/>
      <c r="B34" s="10">
        <v>1822602.0</v>
      </c>
      <c r="C34" s="11">
        <v>45987.9341087963</v>
      </c>
      <c r="D34" s="179" t="s">
        <v>50</v>
      </c>
      <c r="E34" s="180" t="s">
        <v>6761</v>
      </c>
      <c r="F34" s="181"/>
      <c r="G34" s="179" t="s">
        <v>7279</v>
      </c>
      <c r="H34" s="190"/>
      <c r="I34" s="190"/>
      <c r="J34" s="187" t="s">
        <v>3903</v>
      </c>
      <c r="K34" s="187"/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85">
        <f>IFERROR(__xludf.DUMMYFUNCTION("ifna(VALUE(REGEXEXTRACT(E34,""[0-9.]+[,]+[0-9]+"")))"),30.9)</f>
        <v>30.9</v>
      </c>
      <c r="O34" s="108"/>
      <c r="P34" s="109"/>
      <c r="Q34" s="109"/>
      <c r="R34" s="109"/>
      <c r="S34" s="110"/>
      <c r="T34" s="236">
        <f>IFERROR(__xludf.DUMMYFUNCTION("""COMPUTED_VALUE"""),46005.57072916666)</f>
        <v>46005.57073</v>
      </c>
      <c r="U34" s="109" t="str">
        <f>IFERROR(__xludf.DUMMYFUNCTION("""COMPUTED_VALUE"""),"R$ 12,00")</f>
        <v>R$ 12,00</v>
      </c>
      <c r="V34" s="109" t="str">
        <f>IFERROR(__xludf.DUMMYFUNCTION("""COMPUTED_VALUE"""),"Consumo")</f>
        <v>Consumo</v>
      </c>
      <c r="W34" s="111" t="str">
        <f>IFERROR(__xludf.DUMMYFUNCTION("""COMPUTED_VALUE"""),"Sabrina")</f>
        <v>Sabrina</v>
      </c>
    </row>
    <row r="35" ht="18.75" customHeight="1">
      <c r="A35" s="178"/>
      <c r="B35" s="10">
        <v>1822609.0</v>
      </c>
      <c r="C35" s="11">
        <v>45987.93614583334</v>
      </c>
      <c r="D35" s="179" t="s">
        <v>50</v>
      </c>
      <c r="E35" s="180" t="s">
        <v>3899</v>
      </c>
      <c r="F35" s="181"/>
      <c r="G35" s="179" t="s">
        <v>7280</v>
      </c>
      <c r="H35" s="190"/>
      <c r="I35" s="190"/>
      <c r="J35" s="187" t="s">
        <v>3746</v>
      </c>
      <c r="K35" s="187" t="s">
        <v>7058</v>
      </c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"),"Depositada")</f>
        <v>Depositada</v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IFERROR(__xludf.DUMMYFUNCTION("ifna(VALUE(REGEXEXTRACT(E35,""[0-9.]+[,]+[0-9]+"")))"),1000.0)</f>
        <v>1000</v>
      </c>
      <c r="O35" s="239"/>
      <c r="P35" s="239"/>
      <c r="Q35" s="239"/>
      <c r="R35" s="239"/>
      <c r="S35" s="24"/>
    </row>
    <row r="36" ht="14.25" customHeight="1">
      <c r="A36" s="178"/>
      <c r="B36" s="10">
        <v>1823596.0</v>
      </c>
      <c r="C36" s="11">
        <v>45988.74612268519</v>
      </c>
      <c r="D36" s="179" t="s">
        <v>50</v>
      </c>
      <c r="E36" s="180" t="s">
        <v>6690</v>
      </c>
      <c r="F36" s="181"/>
      <c r="G36" s="179" t="s">
        <v>6446</v>
      </c>
      <c r="H36" s="186"/>
      <c r="I36" s="186"/>
      <c r="J36" s="187" t="s">
        <v>3044</v>
      </c>
      <c r="K36" s="187" t="s">
        <v>6664</v>
      </c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IFERROR(__xludf.DUMMYFUNCTION("ifna(VALUE(REGEXEXTRACT(E36,""[0-9.]+[,]+[0-9]+"")))"),12.14)</f>
        <v>12.14</v>
      </c>
      <c r="O36" s="239"/>
      <c r="P36" s="239"/>
      <c r="Q36" s="239"/>
      <c r="R36" s="239"/>
      <c r="S36" s="24"/>
    </row>
    <row r="37" ht="14.25" customHeight="1">
      <c r="A37" s="178"/>
      <c r="B37" s="10">
        <v>1823629.0</v>
      </c>
      <c r="C37" s="11">
        <v>45988.75680555555</v>
      </c>
      <c r="D37" s="179" t="s">
        <v>50</v>
      </c>
      <c r="E37" s="180" t="s">
        <v>157</v>
      </c>
      <c r="F37" s="181"/>
      <c r="G37" s="179" t="s">
        <v>6593</v>
      </c>
      <c r="H37" s="186"/>
      <c r="I37" s="186"/>
      <c r="J37" s="187"/>
      <c r="K37" s="187"/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IFERROR(__xludf.DUMMYFUNCTION("ifna(VALUE(REGEXEXTRACT(E37,""[0-9.]+[,]+[0-9]+"")))"),5.0)</f>
        <v>5</v>
      </c>
      <c r="O37" s="239"/>
      <c r="P37" s="239"/>
      <c r="Q37" s="239"/>
      <c r="R37" s="239"/>
      <c r="S37" s="24"/>
    </row>
    <row r="38" ht="14.25" customHeight="1">
      <c r="A38" s="178"/>
      <c r="B38" s="10">
        <v>1823757.0</v>
      </c>
      <c r="C38" s="11">
        <v>45988.79584490741</v>
      </c>
      <c r="D38" s="179" t="s">
        <v>50</v>
      </c>
      <c r="E38" s="180" t="s">
        <v>146</v>
      </c>
      <c r="F38" s="181"/>
      <c r="G38" s="179" t="s">
        <v>6513</v>
      </c>
      <c r="H38" s="186"/>
      <c r="I38" s="186"/>
      <c r="J38" s="187" t="s">
        <v>3044</v>
      </c>
      <c r="K38" s="187" t="s">
        <v>7052</v>
      </c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IFERROR(__xludf.DUMMYFUNCTION("ifna(VALUE(REGEXEXTRACT(E38,""[0-9.]+[,]+[0-9]+"")))"),3.0)</f>
        <v>3</v>
      </c>
      <c r="O38" s="239"/>
      <c r="P38" s="239"/>
      <c r="Q38" s="239"/>
      <c r="R38" s="239"/>
      <c r="S38" s="24"/>
    </row>
    <row r="39" ht="21.75" customHeight="1">
      <c r="A39" s="178"/>
      <c r="B39" s="10">
        <v>1824144.0</v>
      </c>
      <c r="C39" s="11">
        <v>45988.911087962966</v>
      </c>
      <c r="D39" s="179" t="s">
        <v>50</v>
      </c>
      <c r="E39" s="180" t="s">
        <v>7282</v>
      </c>
      <c r="F39" s="181"/>
      <c r="G39" s="179" t="s">
        <v>4960</v>
      </c>
      <c r="H39" s="186"/>
      <c r="I39" s="186"/>
      <c r="J39" s="187" t="s">
        <v>3044</v>
      </c>
      <c r="K39" s="187" t="s">
        <v>7058</v>
      </c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IFERROR(__xludf.DUMMYFUNCTION("ifna(VALUE(REGEXEXTRACT(E39,""[0-9.]+[,]+[0-9]+"")))"),24.28)</f>
        <v>24.28</v>
      </c>
      <c r="O39" s="191" t="str">
        <f>B9</f>
        <v>Janaina</v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</row>
    <row r="40" ht="14.25" customHeight="1">
      <c r="A40" s="178"/>
      <c r="B40" s="10">
        <v>1824147.0</v>
      </c>
      <c r="C40" s="11">
        <v>45988.911516203705</v>
      </c>
      <c r="D40" s="179" t="s">
        <v>50</v>
      </c>
      <c r="E40" s="180" t="s">
        <v>494</v>
      </c>
      <c r="F40" s="181"/>
      <c r="G40" s="179" t="s">
        <v>7284</v>
      </c>
      <c r="H40" s="186"/>
      <c r="I40" s="186"/>
      <c r="J40" s="187"/>
      <c r="K40" s="187"/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IFERROR(__xludf.DUMMYFUNCTION("ifna(VALUE(REGEXEXTRACT(E40,""[0-9.]+[,]+[0-9]+"")))"),0.01)</f>
        <v>0.01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</row>
    <row r="41" ht="27.0" customHeight="1">
      <c r="A41" s="178"/>
      <c r="B41" s="10">
        <v>1824150.0</v>
      </c>
      <c r="C41" s="11">
        <v>45988.91197916667</v>
      </c>
      <c r="D41" s="179" t="s">
        <v>50</v>
      </c>
      <c r="E41" s="180" t="s">
        <v>7286</v>
      </c>
      <c r="F41" s="181"/>
      <c r="G41" s="179" t="s">
        <v>7288</v>
      </c>
      <c r="H41" s="186"/>
      <c r="I41" s="186"/>
      <c r="J41" s="187" t="s">
        <v>3467</v>
      </c>
      <c r="K41" s="187"/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IFERROR(__xludf.DUMMYFUNCTION("ifna(VALUE(REGEXEXTRACT(E41,""[0-9.]+[,]+[0-9]+"")))"),67.73)</f>
        <v>67.73</v>
      </c>
      <c r="O41" s="51">
        <f>IFERROR(__xludf.DUMMYFUNCTION("""COMPUTED_VALUE"""),45990.917337962965)</f>
        <v>45990.91734</v>
      </c>
      <c r="P41" s="52" t="str">
        <f>IFERROR(__xludf.DUMMYFUNCTION("""COMPUTED_VALUE"""),"R$ 5,00")</f>
        <v>R$ 5,00</v>
      </c>
      <c r="Q41" s="52" t="str">
        <f>IFERROR(__xludf.DUMMYFUNCTION("""COMPUTED_VALUE"""),"Consumo")</f>
        <v>Consumo</v>
      </c>
      <c r="R41" s="52" t="str">
        <f>IFERROR(__xludf.DUMMYFUNCTION("""COMPUTED_VALUE"""),"Janaina")</f>
        <v>Janaina</v>
      </c>
      <c r="S41" s="54"/>
      <c r="T41" s="52"/>
      <c r="U41" s="52"/>
      <c r="V41" s="52"/>
      <c r="W41" s="53"/>
    </row>
    <row r="42" ht="14.25" customHeight="1">
      <c r="A42" s="178"/>
      <c r="B42" s="10">
        <v>1824165.0</v>
      </c>
      <c r="C42" s="11">
        <v>45988.91447916667</v>
      </c>
      <c r="D42" s="179" t="s">
        <v>50</v>
      </c>
      <c r="E42" s="180" t="s">
        <v>1158</v>
      </c>
      <c r="F42" s="181"/>
      <c r="G42" s="179" t="s">
        <v>7290</v>
      </c>
      <c r="H42" s="186"/>
      <c r="I42" s="186"/>
      <c r="J42" s="187" t="s">
        <v>3746</v>
      </c>
      <c r="K42" s="187" t="s">
        <v>7058</v>
      </c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"),"Depositada")</f>
        <v>Depositada</v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IFERROR(__xludf.DUMMYFUNCTION("ifna(VALUE(REGEXEXTRACT(E42,""[0-9.]+[,]+[0-9]+"")))"),800.0)</f>
        <v>800</v>
      </c>
      <c r="O42" s="51">
        <f>IFERROR(__xludf.DUMMYFUNCTION("""COMPUTED_VALUE"""),46000.91677083333)</f>
        <v>46000.91677</v>
      </c>
      <c r="P42" s="52" t="str">
        <f>IFERROR(__xludf.DUMMYFUNCTION("""COMPUTED_VALUE"""),"R$ 61,34")</f>
        <v>R$ 61,34</v>
      </c>
      <c r="Q42" s="52" t="str">
        <f>IFERROR(__xludf.DUMMYFUNCTION("""COMPUTED_VALUE"""),"Consumo")</f>
        <v>Consumo</v>
      </c>
      <c r="R42" s="52" t="str">
        <f>IFERROR(__xludf.DUMMYFUNCTION("""COMPUTED_VALUE"""),"Janaina")</f>
        <v>Janaina</v>
      </c>
      <c r="S42" s="54"/>
      <c r="T42" s="52"/>
      <c r="U42" s="52"/>
      <c r="V42" s="52"/>
      <c r="W42" s="53"/>
    </row>
    <row r="43" ht="14.25" customHeight="1">
      <c r="A43" s="178"/>
      <c r="B43" s="10">
        <v>1826119.0</v>
      </c>
      <c r="C43" s="11">
        <v>45989.899930555555</v>
      </c>
      <c r="D43" s="179" t="s">
        <v>50</v>
      </c>
      <c r="E43" s="180" t="s">
        <v>7293</v>
      </c>
      <c r="F43" s="181"/>
      <c r="G43" s="179" t="s">
        <v>7294</v>
      </c>
      <c r="H43" s="189"/>
      <c r="I43" s="189"/>
      <c r="J43" s="187" t="s">
        <v>3825</v>
      </c>
      <c r="K43" s="187"/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IFERROR(__xludf.DUMMYFUNCTION("ifna(VALUE(REGEXEXTRACT(E43,""[0-9.]+[,]+[0-9]+"")))"),84.0)</f>
        <v>84</v>
      </c>
      <c r="O43" s="51">
        <f>IFERROR(__xludf.DUMMYFUNCTION("""COMPUTED_VALUE"""),46003.90049768519)</f>
        <v>46003.9005</v>
      </c>
      <c r="P43" s="52" t="str">
        <f>IFERROR(__xludf.DUMMYFUNCTION("""COMPUTED_VALUE"""),"R$ 5,00")</f>
        <v>R$ 5,00</v>
      </c>
      <c r="Q43" s="52" t="str">
        <f>IFERROR(__xludf.DUMMYFUNCTION("""COMPUTED_VALUE"""),"Consumo")</f>
        <v>Consumo</v>
      </c>
      <c r="R43" s="52" t="str">
        <f>IFERROR(__xludf.DUMMYFUNCTION("""COMPUTED_VALUE"""),"Janaina")</f>
        <v>Janaina</v>
      </c>
      <c r="S43" s="54"/>
      <c r="T43" s="52"/>
      <c r="U43" s="52"/>
      <c r="V43" s="52"/>
      <c r="W43" s="53"/>
    </row>
    <row r="44" ht="14.25" customHeight="1">
      <c r="A44" s="178"/>
      <c r="B44" s="10">
        <v>1826122.0</v>
      </c>
      <c r="C44" s="11">
        <v>45989.90027777778</v>
      </c>
      <c r="D44" s="179" t="s">
        <v>50</v>
      </c>
      <c r="E44" s="180" t="s">
        <v>7297</v>
      </c>
      <c r="F44" s="181"/>
      <c r="G44" s="179" t="s">
        <v>7298</v>
      </c>
      <c r="H44" s="189"/>
      <c r="I44" s="189"/>
      <c r="J44" s="187" t="s">
        <v>3903</v>
      </c>
      <c r="K44" s="187"/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"""")"),"Encontrada")</f>
        <v>Encontrada</v>
      </c>
      <c r="N44" s="185">
        <f>IFERROR(__xludf.DUMMYFUNCTION("ifna(VALUE(REGEXEXTRACT(E44,""[0-9.]+[,]+[0-9]+"")))"),375.0)</f>
        <v>375</v>
      </c>
      <c r="O44" s="51">
        <f>IFERROR(__xludf.DUMMYFUNCTION("""COMPUTED_VALUE"""),46004.86297453704)</f>
        <v>46004.86297</v>
      </c>
      <c r="P44" s="52" t="str">
        <f>IFERROR(__xludf.DUMMYFUNCTION("""COMPUTED_VALUE"""),"R$ 4,73")</f>
        <v>R$ 4,73</v>
      </c>
      <c r="Q44" s="52" t="str">
        <f>IFERROR(__xludf.DUMMYFUNCTION("""COMPUTED_VALUE"""),"Consumo")</f>
        <v>Consumo</v>
      </c>
      <c r="R44" s="52" t="str">
        <f>IFERROR(__xludf.DUMMYFUNCTION("""COMPUTED_VALUE"""),"Janaina")</f>
        <v>Janaina</v>
      </c>
      <c r="S44" s="54"/>
      <c r="T44" s="52"/>
      <c r="U44" s="52"/>
      <c r="V44" s="52"/>
      <c r="W44" s="53"/>
    </row>
    <row r="45" ht="14.25" customHeight="1">
      <c r="A45" s="178"/>
      <c r="B45" s="10">
        <v>1826131.0</v>
      </c>
      <c r="C45" s="11">
        <v>45989.90126157407</v>
      </c>
      <c r="D45" s="179" t="s">
        <v>50</v>
      </c>
      <c r="E45" s="180" t="s">
        <v>548</v>
      </c>
      <c r="F45" s="181"/>
      <c r="G45" s="179" t="s">
        <v>7299</v>
      </c>
      <c r="H45" s="190"/>
      <c r="I45" s="190"/>
      <c r="J45" s="187" t="s">
        <v>3825</v>
      </c>
      <c r="K45" s="187"/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IFERROR(__xludf.DUMMYFUNCTION("ifna(VALUE(REGEXEXTRACT(E45,""[0-9.]+[,]+[0-9]+"")))"),70.0)</f>
        <v>70</v>
      </c>
      <c r="O45" s="51">
        <f>IFERROR(__xludf.DUMMYFUNCTION("""COMPUTED_VALUE"""),46008.83060185185)</f>
        <v>46008.8306</v>
      </c>
      <c r="P45" s="52" t="str">
        <f>IFERROR(__xludf.DUMMYFUNCTION("""COMPUTED_VALUE"""),"R$ 10,11")</f>
        <v>R$ 10,11</v>
      </c>
      <c r="Q45" s="52" t="str">
        <f>IFERROR(__xludf.DUMMYFUNCTION("""COMPUTED_VALUE"""),"Consumo")</f>
        <v>Consumo</v>
      </c>
      <c r="R45" s="52" t="str">
        <f>IFERROR(__xludf.DUMMYFUNCTION("""COMPUTED_VALUE"""),"Janaina")</f>
        <v>Janaina</v>
      </c>
      <c r="S45" s="54"/>
      <c r="T45" s="52"/>
      <c r="U45" s="52"/>
      <c r="V45" s="52"/>
      <c r="W45" s="53"/>
    </row>
    <row r="46" ht="18.75" customHeight="1">
      <c r="A46" s="178"/>
      <c r="B46" s="10">
        <v>1826334.0</v>
      </c>
      <c r="C46" s="11">
        <v>45989.924421296295</v>
      </c>
      <c r="D46" s="179" t="s">
        <v>50</v>
      </c>
      <c r="E46" s="180" t="s">
        <v>205</v>
      </c>
      <c r="F46" s="181"/>
      <c r="G46" s="179" t="s">
        <v>4960</v>
      </c>
      <c r="H46" s="190"/>
      <c r="I46" s="190"/>
      <c r="J46" s="187" t="s">
        <v>3044</v>
      </c>
      <c r="K46" s="187" t="s">
        <v>7058</v>
      </c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IFERROR(__xludf.DUMMYFUNCTION("ifna(VALUE(REGEXEXTRACT(E46,""[0-9.]+[,]+[0-9]+"")))"),10.0)</f>
        <v>10</v>
      </c>
      <c r="O46" s="51"/>
      <c r="P46" s="79"/>
      <c r="Q46" s="79"/>
      <c r="R46" s="79"/>
      <c r="S46" s="81"/>
      <c r="T46" s="79"/>
      <c r="U46" s="79"/>
      <c r="V46" s="79"/>
      <c r="W46" s="80"/>
    </row>
    <row r="47" ht="14.25" customHeight="1">
      <c r="A47" s="178"/>
      <c r="B47" s="10">
        <v>1826370.0</v>
      </c>
      <c r="C47" s="11">
        <v>45989.92769675926</v>
      </c>
      <c r="D47" s="179" t="s">
        <v>50</v>
      </c>
      <c r="E47" s="180" t="s">
        <v>7302</v>
      </c>
      <c r="F47" s="181"/>
      <c r="G47" s="179" t="s">
        <v>7303</v>
      </c>
      <c r="H47" s="190"/>
      <c r="I47" s="190"/>
      <c r="J47" s="187" t="s">
        <v>3903</v>
      </c>
      <c r="K47" s="187"/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85">
        <f>IFERROR(__xludf.DUMMYFUNCTION("ifna(VALUE(REGEXEXTRACT(E47,""[0-9.]+[,]+[0-9]+"")))"),373.0)</f>
        <v>373</v>
      </c>
      <c r="O47" s="88"/>
      <c r="P47" s="89"/>
      <c r="Q47" s="89"/>
      <c r="R47" s="89"/>
      <c r="S47" s="91"/>
      <c r="T47" s="89"/>
      <c r="U47" s="89"/>
      <c r="V47" s="89"/>
      <c r="W47" s="90"/>
    </row>
    <row r="48">
      <c r="A48" s="178"/>
      <c r="B48" s="10">
        <v>1826377.0</v>
      </c>
      <c r="C48" s="11">
        <v>45989.928148148145</v>
      </c>
      <c r="D48" s="179" t="s">
        <v>50</v>
      </c>
      <c r="E48" s="180" t="s">
        <v>7306</v>
      </c>
      <c r="F48" s="188"/>
      <c r="G48" s="179" t="s">
        <v>7307</v>
      </c>
      <c r="H48" s="190"/>
      <c r="I48" s="190"/>
      <c r="J48" s="187" t="s">
        <v>3903</v>
      </c>
      <c r="K48" s="187"/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"""")"),"Encontrada")</f>
        <v>Encontrada</v>
      </c>
      <c r="N48" s="185">
        <f>IFERROR(__xludf.DUMMYFUNCTION("ifna(VALUE(REGEXEXTRACT(E48,""[0-9.]+[,]+[0-9]+"")))"),350.99)</f>
        <v>350.99</v>
      </c>
      <c r="O48" s="192"/>
      <c r="P48" s="193"/>
      <c r="Q48" s="194"/>
      <c r="R48" s="195"/>
      <c r="S48" s="91"/>
      <c r="T48" s="89"/>
      <c r="U48" s="89"/>
      <c r="V48" s="89"/>
      <c r="W48" s="90"/>
    </row>
    <row r="49" ht="21.0" customHeight="1">
      <c r="A49" s="178"/>
      <c r="B49" s="10">
        <v>1826429.0</v>
      </c>
      <c r="C49" s="11">
        <v>45989.932662037034</v>
      </c>
      <c r="D49" s="179" t="s">
        <v>50</v>
      </c>
      <c r="E49" s="180" t="s">
        <v>7308</v>
      </c>
      <c r="F49" s="181"/>
      <c r="G49" s="179" t="s">
        <v>4960</v>
      </c>
      <c r="H49" s="190"/>
      <c r="I49" s="190"/>
      <c r="J49" s="187" t="s">
        <v>3044</v>
      </c>
      <c r="K49" s="187" t="s">
        <v>7058</v>
      </c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IFERROR(__xludf.DUMMYFUNCTION("ifna(VALUE(REGEXEXTRACT(E49,""[0-9.]+[,]+[0-9]+"")))"),24.79)</f>
        <v>24.79</v>
      </c>
      <c r="O49" s="192"/>
      <c r="P49" s="193"/>
      <c r="Q49" s="194"/>
      <c r="R49" s="195"/>
      <c r="S49" s="91"/>
      <c r="T49" s="89"/>
      <c r="U49" s="89"/>
      <c r="V49" s="89"/>
      <c r="W49" s="90"/>
    </row>
    <row r="50" ht="14.25" customHeight="1">
      <c r="A50" s="178"/>
      <c r="B50" s="10">
        <v>1828277.0</v>
      </c>
      <c r="C50" s="11">
        <v>45990.81182870371</v>
      </c>
      <c r="D50" s="179" t="s">
        <v>50</v>
      </c>
      <c r="E50" s="180" t="s">
        <v>3944</v>
      </c>
      <c r="F50" s="181"/>
      <c r="G50" s="179" t="s">
        <v>7310</v>
      </c>
      <c r="H50" s="190"/>
      <c r="I50" s="190"/>
      <c r="J50" s="187" t="s">
        <v>3825</v>
      </c>
      <c r="K50" s="187"/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IFERROR(__xludf.DUMMYFUNCTION("ifna(VALUE(REGEXEXTRACT(E50,""[0-9.]+[,]+[0-9]+"")))"),85.0)</f>
        <v>85</v>
      </c>
      <c r="O50" s="192"/>
      <c r="P50" s="193"/>
      <c r="Q50" s="194"/>
      <c r="R50" s="195"/>
      <c r="S50" s="91"/>
      <c r="T50" s="89"/>
      <c r="U50" s="89"/>
      <c r="V50" s="89"/>
      <c r="W50" s="90"/>
    </row>
    <row r="51" ht="24.75" customHeight="1">
      <c r="A51" s="178"/>
      <c r="B51" s="10">
        <v>1828469.0</v>
      </c>
      <c r="C51" s="11">
        <v>45990.854525462964</v>
      </c>
      <c r="D51" s="179" t="s">
        <v>50</v>
      </c>
      <c r="E51" s="180" t="s">
        <v>7313</v>
      </c>
      <c r="F51" s="181"/>
      <c r="G51" s="179" t="s">
        <v>6513</v>
      </c>
      <c r="H51" s="190"/>
      <c r="I51" s="190"/>
      <c r="J51" s="187" t="s">
        <v>3044</v>
      </c>
      <c r="K51" s="187" t="s">
        <v>7052</v>
      </c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IFERROR(__xludf.DUMMYFUNCTION("ifna(VALUE(REGEXEXTRACT(E51,""[0-9.]+[,]+[0-9]+"")))"),41.52)</f>
        <v>41.52</v>
      </c>
      <c r="O51" s="192"/>
      <c r="P51" s="193"/>
      <c r="Q51" s="194"/>
      <c r="R51" s="195"/>
      <c r="S51" s="91"/>
      <c r="T51" s="89"/>
      <c r="U51" s="89"/>
      <c r="V51" s="89"/>
      <c r="W51" s="90"/>
    </row>
    <row r="52" ht="14.25" customHeight="1">
      <c r="A52" s="178"/>
      <c r="B52" s="10">
        <v>1828486.0</v>
      </c>
      <c r="C52" s="11">
        <v>45990.857407407406</v>
      </c>
      <c r="D52" s="179" t="s">
        <v>50</v>
      </c>
      <c r="E52" s="180" t="s">
        <v>7316</v>
      </c>
      <c r="F52" s="181"/>
      <c r="G52" s="179" t="s">
        <v>7317</v>
      </c>
      <c r="H52" s="190"/>
      <c r="I52" s="190"/>
      <c r="J52" s="187" t="s">
        <v>3903</v>
      </c>
      <c r="K52" s="187"/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"""")"),"Encontrada")</f>
        <v>Encontrada</v>
      </c>
      <c r="N52" s="185">
        <f>IFERROR(__xludf.DUMMYFUNCTION("ifna(VALUE(REGEXEXTRACT(E52,""[0-9.]+[,]+[0-9]+"")))"),154.97)</f>
        <v>154.97</v>
      </c>
      <c r="O52" s="88"/>
      <c r="P52" s="89"/>
      <c r="Q52" s="89"/>
      <c r="R52" s="89"/>
      <c r="S52" s="91"/>
      <c r="T52" s="89"/>
      <c r="U52" s="89"/>
      <c r="V52" s="89"/>
      <c r="W52" s="90"/>
    </row>
    <row r="53" ht="14.25" customHeight="1">
      <c r="A53" s="178"/>
      <c r="B53" s="10">
        <v>1828491.0</v>
      </c>
      <c r="C53" s="11">
        <v>45990.857777777775</v>
      </c>
      <c r="D53" s="179" t="s">
        <v>50</v>
      </c>
      <c r="E53" s="180" t="s">
        <v>7319</v>
      </c>
      <c r="F53" s="181"/>
      <c r="G53" s="179" t="s">
        <v>7320</v>
      </c>
      <c r="H53" s="190"/>
      <c r="I53" s="190"/>
      <c r="J53" s="187" t="s">
        <v>3903</v>
      </c>
      <c r="K53" s="187"/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185">
        <f>IFERROR(__xludf.DUMMYFUNCTION("ifna(VALUE(REGEXEXTRACT(E53,""[0-9.]+[,]+[0-9]+"")))"),40.63)</f>
        <v>40.63</v>
      </c>
      <c r="O53" s="88"/>
      <c r="P53" s="89"/>
      <c r="Q53" s="89"/>
      <c r="R53" s="89"/>
      <c r="S53" s="91"/>
      <c r="T53" s="89"/>
      <c r="U53" s="89"/>
      <c r="V53" s="89"/>
      <c r="W53" s="90"/>
    </row>
    <row r="54" ht="14.25" customHeight="1">
      <c r="A54" s="178"/>
      <c r="B54" s="10">
        <v>1828492.0</v>
      </c>
      <c r="C54" s="11">
        <v>45990.858819444446</v>
      </c>
      <c r="D54" s="179" t="s">
        <v>50</v>
      </c>
      <c r="E54" s="180" t="s">
        <v>7322</v>
      </c>
      <c r="F54" s="181"/>
      <c r="G54" s="179" t="s">
        <v>7323</v>
      </c>
      <c r="H54" s="190"/>
      <c r="I54" s="190"/>
      <c r="J54" s="187" t="s">
        <v>3903</v>
      </c>
      <c r="K54" s="187"/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"""")"),"Encontrada")</f>
        <v>Encontrada</v>
      </c>
      <c r="N54" s="185">
        <f>IFERROR(__xludf.DUMMYFUNCTION("ifna(VALUE(REGEXEXTRACT(E54,""[0-9.]+[,]+[0-9]+"")))"),1.49)</f>
        <v>1.49</v>
      </c>
      <c r="O54" s="108"/>
      <c r="P54" s="109"/>
      <c r="Q54" s="109"/>
      <c r="R54" s="109"/>
      <c r="S54" s="91"/>
      <c r="T54" s="109"/>
      <c r="U54" s="109"/>
      <c r="V54" s="109"/>
      <c r="W54" s="111"/>
    </row>
    <row r="55" ht="14.25" customHeight="1">
      <c r="A55" s="178"/>
      <c r="B55" s="10">
        <v>1828508.0</v>
      </c>
      <c r="C55" s="11">
        <v>45990.86189814815</v>
      </c>
      <c r="D55" s="179" t="s">
        <v>50</v>
      </c>
      <c r="E55" s="180" t="s">
        <v>7327</v>
      </c>
      <c r="F55" s="181"/>
      <c r="G55" s="179" t="s">
        <v>7328</v>
      </c>
      <c r="H55" s="190"/>
      <c r="I55" s="190"/>
      <c r="J55" s="187" t="s">
        <v>3903</v>
      </c>
      <c r="K55" s="187"/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"""")"),"Encontrada")</f>
        <v>Encontrada</v>
      </c>
      <c r="N55" s="185">
        <f>IFERROR(__xludf.DUMMYFUNCTION("ifna(VALUE(REGEXEXTRACT(E55,""[0-9.]+[,]+[0-9]+"")))"),89.9)</f>
        <v>89.9</v>
      </c>
      <c r="O55" s="197"/>
      <c r="P55" s="198"/>
      <c r="Q55" s="198"/>
      <c r="R55" s="198"/>
      <c r="S55" s="91"/>
      <c r="T55" s="198"/>
      <c r="U55" s="198"/>
      <c r="V55" s="198"/>
      <c r="W55" s="199"/>
    </row>
    <row r="56" ht="14.25" customHeight="1">
      <c r="A56" s="178"/>
      <c r="B56" s="10">
        <v>1828510.0</v>
      </c>
      <c r="C56" s="11">
        <v>45990.86241898148</v>
      </c>
      <c r="D56" s="179" t="s">
        <v>50</v>
      </c>
      <c r="E56" s="180" t="s">
        <v>6906</v>
      </c>
      <c r="F56" s="181"/>
      <c r="G56" s="179" t="s">
        <v>7329</v>
      </c>
      <c r="H56" s="190"/>
      <c r="I56" s="190"/>
      <c r="J56" s="187" t="s">
        <v>3903</v>
      </c>
      <c r="K56" s="187"/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185">
        <f>IFERROR(__xludf.DUMMYFUNCTION("ifna(VALUE(REGEXEXTRACT(E56,""[0-9.]+[,]+[0-9]+"")))"),45.0)</f>
        <v>45</v>
      </c>
      <c r="O56" s="197"/>
      <c r="P56" s="198"/>
      <c r="Q56" s="198"/>
      <c r="R56" s="198"/>
      <c r="S56" s="91"/>
      <c r="T56" s="198"/>
      <c r="U56" s="198"/>
      <c r="V56" s="198"/>
      <c r="W56" s="199"/>
    </row>
    <row r="57" ht="17.25" customHeight="1">
      <c r="A57" s="178"/>
      <c r="B57" s="10">
        <v>1828511.0</v>
      </c>
      <c r="C57" s="11">
        <v>45990.862708333334</v>
      </c>
      <c r="D57" s="179" t="s">
        <v>50</v>
      </c>
      <c r="E57" s="180" t="s">
        <v>7331</v>
      </c>
      <c r="F57" s="181"/>
      <c r="G57" s="179" t="s">
        <v>7332</v>
      </c>
      <c r="H57" s="190"/>
      <c r="I57" s="190"/>
      <c r="J57" s="187" t="s">
        <v>3903</v>
      </c>
      <c r="K57" s="187"/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"""")"),"Encontrada")</f>
        <v>Encontrada</v>
      </c>
      <c r="N57" s="185">
        <f>IFERROR(__xludf.DUMMYFUNCTION("ifna(VALUE(REGEXEXTRACT(E57,""[0-9.]+[,]+[0-9]+"")))"),69.9)</f>
        <v>69.9</v>
      </c>
      <c r="O57" s="197"/>
      <c r="P57" s="198"/>
      <c r="Q57" s="198"/>
      <c r="R57" s="198"/>
      <c r="S57" s="91"/>
      <c r="T57" s="198"/>
      <c r="U57" s="198"/>
      <c r="V57" s="198"/>
      <c r="W57" s="199"/>
    </row>
    <row r="58" ht="14.25" customHeight="1">
      <c r="A58" s="178"/>
      <c r="B58" s="10">
        <v>1828862.0</v>
      </c>
      <c r="C58" s="11">
        <v>45990.916655092595</v>
      </c>
      <c r="D58" s="179" t="s">
        <v>50</v>
      </c>
      <c r="E58" s="180" t="s">
        <v>4449</v>
      </c>
      <c r="F58" s="188"/>
      <c r="G58" s="179" t="s">
        <v>7334</v>
      </c>
      <c r="H58" s="190"/>
      <c r="I58" s="190"/>
      <c r="J58" s="187" t="s">
        <v>3825</v>
      </c>
      <c r="K58" s="187"/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IFERROR(__xludf.DUMMYFUNCTION("ifna(VALUE(REGEXEXTRACT(E58,""[0-9.]+[,]+[0-9]+"")))"),124.0)</f>
        <v>124</v>
      </c>
      <c r="O58" s="197"/>
      <c r="P58" s="198"/>
      <c r="Q58" s="198"/>
      <c r="R58" s="198"/>
      <c r="S58" s="91"/>
      <c r="T58" s="198"/>
      <c r="U58" s="198"/>
      <c r="V58" s="198"/>
      <c r="W58" s="199"/>
    </row>
    <row r="59" ht="14.25" customHeight="1">
      <c r="A59" s="178"/>
      <c r="B59" s="10">
        <v>1828870.0</v>
      </c>
      <c r="C59" s="11">
        <v>45990.917337962965</v>
      </c>
      <c r="D59" s="10" t="s">
        <v>50</v>
      </c>
      <c r="E59" s="10" t="s">
        <v>157</v>
      </c>
      <c r="F59" s="13"/>
      <c r="G59" s="10" t="s">
        <v>6826</v>
      </c>
      <c r="H59" s="190"/>
      <c r="I59" s="190"/>
      <c r="J59" s="187" t="s">
        <v>3044</v>
      </c>
      <c r="K59" s="187" t="s">
        <v>6340</v>
      </c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IFERROR(__xludf.DUMMYFUNCTION("ifna(VALUE(REGEXEXTRACT(E59,""[0-9.]+[,]+[0-9]+"")))"),5.0)</f>
        <v>5</v>
      </c>
      <c r="O59" s="200"/>
      <c r="P59" s="201"/>
      <c r="Q59" s="201"/>
      <c r="R59" s="201"/>
      <c r="S59" s="202"/>
      <c r="T59" s="201"/>
      <c r="U59" s="201"/>
      <c r="V59" s="201"/>
      <c r="W59" s="203"/>
    </row>
    <row r="60" ht="14.25" customHeight="1">
      <c r="A60" s="178"/>
      <c r="B60" s="10">
        <v>1828886.0</v>
      </c>
      <c r="C60" s="11">
        <v>45990.91824074074</v>
      </c>
      <c r="D60" s="179" t="s">
        <v>50</v>
      </c>
      <c r="E60" s="180" t="s">
        <v>6848</v>
      </c>
      <c r="F60" s="181"/>
      <c r="G60" s="179" t="s">
        <v>7342</v>
      </c>
      <c r="H60" s="190"/>
      <c r="I60" s="190"/>
      <c r="J60" s="187" t="s">
        <v>3746</v>
      </c>
      <c r="K60" s="187" t="s">
        <v>7058</v>
      </c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"),"Depositada")</f>
        <v>Depositada</v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IFERROR(__xludf.DUMMYFUNCTION("ifna(VALUE(REGEXEXTRACT(E60,""[0-9.]+[,]+[0-9]+"")))"),1350.0)</f>
        <v>1350</v>
      </c>
      <c r="O60" s="24"/>
      <c r="P60" s="24"/>
      <c r="Q60" s="24"/>
      <c r="R60" s="24"/>
      <c r="S60" s="24"/>
      <c r="T60" s="24"/>
      <c r="U60" s="24"/>
      <c r="V60" s="24"/>
      <c r="W60" s="24"/>
    </row>
    <row r="61">
      <c r="A61" s="178"/>
      <c r="B61" s="10">
        <v>1829828.0</v>
      </c>
      <c r="C61" s="11">
        <v>45991.58099537037</v>
      </c>
      <c r="D61" s="179" t="s">
        <v>50</v>
      </c>
      <c r="E61" s="180" t="s">
        <v>146</v>
      </c>
      <c r="F61" s="181"/>
      <c r="G61" s="179" t="s">
        <v>6446</v>
      </c>
      <c r="H61" s="190"/>
      <c r="I61" s="190"/>
      <c r="J61" s="187" t="s">
        <v>3044</v>
      </c>
      <c r="K61" s="187" t="s">
        <v>6664</v>
      </c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IFERROR(__xludf.DUMMYFUNCTION("ifna(VALUE(REGEXEXTRACT(E61,""[0-9.]+[,]+[0-9]+"")))"),3.0)</f>
        <v>3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</row>
    <row r="62" ht="14.25" customHeight="1">
      <c r="A62" s="178"/>
      <c r="B62" s="10">
        <v>1831193.0</v>
      </c>
      <c r="C62" s="11">
        <v>45991.84761574074</v>
      </c>
      <c r="D62" s="179" t="s">
        <v>50</v>
      </c>
      <c r="E62" s="180" t="s">
        <v>179</v>
      </c>
      <c r="F62" s="181"/>
      <c r="G62" s="179" t="s">
        <v>6513</v>
      </c>
      <c r="H62" s="190"/>
      <c r="I62" s="190"/>
      <c r="J62" s="187" t="s">
        <v>3044</v>
      </c>
      <c r="K62" s="187" t="s">
        <v>7052</v>
      </c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IFERROR(__xludf.DUMMYFUNCTION("ifna(VALUE(REGEXEXTRACT(E62,""[0-9.]+[,]+[0-9]+"")))"),9.71)</f>
        <v>9.71</v>
      </c>
      <c r="O62" s="206"/>
      <c r="T62" s="207"/>
      <c r="U62" s="24"/>
      <c r="V62" s="24"/>
      <c r="W62" s="24"/>
    </row>
    <row r="63" ht="14.25" customHeight="1">
      <c r="A63" s="178"/>
      <c r="B63" s="10">
        <v>1831578.0</v>
      </c>
      <c r="C63" s="11">
        <v>45991.893854166665</v>
      </c>
      <c r="D63" s="179" t="s">
        <v>50</v>
      </c>
      <c r="E63" s="180" t="s">
        <v>3819</v>
      </c>
      <c r="F63" s="181"/>
      <c r="G63" s="179" t="s">
        <v>7353</v>
      </c>
      <c r="H63" s="190"/>
      <c r="I63" s="190"/>
      <c r="J63" s="187" t="s">
        <v>3825</v>
      </c>
      <c r="K63" s="187"/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IFERROR(__xludf.DUMMYFUNCTION("ifna(VALUE(REGEXEXTRACT(E63,""[0-9.]+[,]+[0-9]+"")))"),110.5)</f>
        <v>110.5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</row>
    <row r="64" ht="14.25" customHeight="1">
      <c r="A64" s="178"/>
      <c r="B64" s="10">
        <v>1831581.0</v>
      </c>
      <c r="C64" s="11">
        <v>45991.89425925926</v>
      </c>
      <c r="D64" s="179" t="s">
        <v>50</v>
      </c>
      <c r="E64" s="180" t="s">
        <v>1238</v>
      </c>
      <c r="F64" s="188"/>
      <c r="G64" s="179" t="s">
        <v>7357</v>
      </c>
      <c r="H64" s="190"/>
      <c r="I64" s="190"/>
      <c r="J64" s="187" t="s">
        <v>3825</v>
      </c>
      <c r="K64" s="187"/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IFERROR(__xludf.DUMMYFUNCTION("ifna(VALUE(REGEXEXTRACT(E64,""[0-9.]+[,]+[0-9]+"")))"),105.0)</f>
        <v>105</v>
      </c>
      <c r="O64" s="283" t="s">
        <v>2100</v>
      </c>
      <c r="P64" s="284">
        <v>45988.0</v>
      </c>
      <c r="Q64" s="285" t="s">
        <v>1183</v>
      </c>
      <c r="R64" s="286">
        <v>500.0</v>
      </c>
      <c r="S64" s="287"/>
      <c r="T64" s="288" t="str">
        <f t="shared" ref="T64:T82" si="1">IFERROR(VLOOKUP(Q64, $A$4:$B$11, 2, FALSE), "")</f>
        <v>Rayanna</v>
      </c>
      <c r="U64" s="24"/>
      <c r="V64" s="24"/>
      <c r="W64" s="24"/>
    </row>
    <row r="65" ht="14.25" customHeight="1">
      <c r="A65" s="178"/>
      <c r="B65" s="10">
        <v>1831607.0</v>
      </c>
      <c r="C65" s="11">
        <v>45991.89693287037</v>
      </c>
      <c r="D65" s="179" t="s">
        <v>50</v>
      </c>
      <c r="E65" s="180" t="s">
        <v>7360</v>
      </c>
      <c r="F65" s="181"/>
      <c r="G65" s="179" t="s">
        <v>7361</v>
      </c>
      <c r="H65" s="190"/>
      <c r="I65" s="190"/>
      <c r="J65" s="187" t="s">
        <v>3903</v>
      </c>
      <c r="K65" s="187"/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"""")"),"Encontrada")</f>
        <v>Encontrada</v>
      </c>
      <c r="N65" s="185">
        <f>IFERROR(__xludf.DUMMYFUNCTION("ifna(VALUE(REGEXEXTRACT(E65,""[0-9.]+[,]+[0-9]+"")))"),46.47)</f>
        <v>46.47</v>
      </c>
      <c r="O65" s="289" t="s">
        <v>2104</v>
      </c>
      <c r="P65" s="290">
        <v>45988.0</v>
      </c>
      <c r="Q65" s="291" t="s">
        <v>78</v>
      </c>
      <c r="R65" s="292">
        <v>150.0</v>
      </c>
      <c r="S65" s="293"/>
      <c r="T65" s="294" t="str">
        <f t="shared" si="1"/>
        <v>Sabrina</v>
      </c>
      <c r="U65" s="24"/>
      <c r="V65" s="24"/>
      <c r="W65" s="24"/>
    </row>
    <row r="66" ht="14.25" customHeight="1">
      <c r="A66" s="178"/>
      <c r="B66" s="10">
        <v>1831720.0</v>
      </c>
      <c r="C66" s="11">
        <v>45991.908159722225</v>
      </c>
      <c r="D66" s="179" t="s">
        <v>50</v>
      </c>
      <c r="E66" s="180" t="s">
        <v>7362</v>
      </c>
      <c r="F66" s="181"/>
      <c r="G66" s="179" t="s">
        <v>6446</v>
      </c>
      <c r="H66" s="190"/>
      <c r="I66" s="190"/>
      <c r="J66" s="187" t="s">
        <v>3044</v>
      </c>
      <c r="K66" s="187" t="s">
        <v>6664</v>
      </c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IFERROR(__xludf.DUMMYFUNCTION("ifna(VALUE(REGEXEXTRACT(E66,""[0-9.]+[,]+[0-9]+"")))"),34.12)</f>
        <v>34.12</v>
      </c>
      <c r="O66" s="283" t="s">
        <v>2108</v>
      </c>
      <c r="P66" s="284">
        <v>45988.0</v>
      </c>
      <c r="Q66" s="295" t="s">
        <v>1900</v>
      </c>
      <c r="R66" s="286">
        <v>300.0</v>
      </c>
      <c r="S66" s="296"/>
      <c r="T66" s="288" t="str">
        <f t="shared" si="1"/>
        <v>Janaina</v>
      </c>
      <c r="U66" s="24"/>
      <c r="V66" s="24"/>
      <c r="W66" s="24"/>
    </row>
    <row r="67" ht="14.25" customHeight="1">
      <c r="A67" s="178"/>
      <c r="B67" s="10">
        <v>1831727.0</v>
      </c>
      <c r="C67" s="11">
        <v>45991.908483796295</v>
      </c>
      <c r="D67" s="179" t="s">
        <v>50</v>
      </c>
      <c r="E67" s="180" t="s">
        <v>7364</v>
      </c>
      <c r="F67" s="181"/>
      <c r="G67" s="179" t="s">
        <v>6513</v>
      </c>
      <c r="H67" s="190"/>
      <c r="I67" s="190"/>
      <c r="J67" s="187" t="s">
        <v>3044</v>
      </c>
      <c r="K67" s="187" t="s">
        <v>7052</v>
      </c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IFERROR(__xludf.DUMMYFUNCTION("ifna(VALUE(REGEXEXTRACT(E67,""[0-9.]+[,]+[0-9]+"")))"),23.0)</f>
        <v>23</v>
      </c>
      <c r="O67" s="289" t="s">
        <v>2121</v>
      </c>
      <c r="P67" s="290">
        <v>45997.0</v>
      </c>
      <c r="Q67" s="291" t="s">
        <v>1900</v>
      </c>
      <c r="R67" s="292">
        <v>200.0</v>
      </c>
      <c r="S67" s="297"/>
      <c r="T67" s="294" t="str">
        <f t="shared" si="1"/>
        <v>Janaina</v>
      </c>
      <c r="U67" s="24"/>
      <c r="V67" s="24"/>
      <c r="W67" s="24"/>
    </row>
    <row r="68">
      <c r="A68" s="178"/>
      <c r="B68" s="10">
        <v>1831794.0</v>
      </c>
      <c r="C68" s="11">
        <v>45991.913194444445</v>
      </c>
      <c r="D68" s="179" t="s">
        <v>50</v>
      </c>
      <c r="E68" s="180" t="s">
        <v>4794</v>
      </c>
      <c r="F68" s="181"/>
      <c r="G68" s="179" t="s">
        <v>7368</v>
      </c>
      <c r="H68" s="190"/>
      <c r="I68" s="190"/>
      <c r="J68" s="187" t="s">
        <v>3746</v>
      </c>
      <c r="K68" s="187" t="s">
        <v>7052</v>
      </c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"),"Depositada")</f>
        <v>Depositada</v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IFERROR(__xludf.DUMMYFUNCTION("ifna(VALUE(REGEXEXTRACT(E68,""[0-9.]+[,]+[0-9]+"")))"),750.0)</f>
        <v>750</v>
      </c>
      <c r="O68" s="283"/>
      <c r="P68" s="284">
        <v>46000.0</v>
      </c>
      <c r="Q68" s="295" t="s">
        <v>78</v>
      </c>
      <c r="R68" s="286">
        <v>200.0</v>
      </c>
      <c r="S68" s="296"/>
      <c r="T68" s="288" t="str">
        <f t="shared" si="1"/>
        <v>Sabrina</v>
      </c>
      <c r="U68" s="24"/>
      <c r="V68" s="24"/>
      <c r="W68" s="24"/>
    </row>
    <row r="69" ht="14.25" customHeight="1">
      <c r="A69" s="178"/>
      <c r="B69" s="10">
        <v>1832842.0</v>
      </c>
      <c r="C69" s="11">
        <v>45992.51540509259</v>
      </c>
      <c r="D69" s="179" t="s">
        <v>50</v>
      </c>
      <c r="E69" s="180" t="s">
        <v>7370</v>
      </c>
      <c r="F69" s="181"/>
      <c r="G69" s="179" t="s">
        <v>7371</v>
      </c>
      <c r="H69" s="190"/>
      <c r="I69" s="190"/>
      <c r="J69" s="187" t="s">
        <v>3903</v>
      </c>
      <c r="K69" s="187"/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"""")"),"Encontrada")</f>
        <v>Encontrada</v>
      </c>
      <c r="N69" s="185">
        <f>IFERROR(__xludf.DUMMYFUNCTION("ifna(VALUE(REGEXEXTRACT(E69,""[0-9.]+[,]+[0-9]+"")))"),35.52)</f>
        <v>35.52</v>
      </c>
      <c r="O69" s="289" t="s">
        <v>2216</v>
      </c>
      <c r="P69" s="290">
        <v>46009.0</v>
      </c>
      <c r="Q69" s="291" t="s">
        <v>727</v>
      </c>
      <c r="R69" s="292"/>
      <c r="S69" s="297"/>
      <c r="T69" s="294" t="str">
        <f t="shared" si="1"/>
        <v>Marcos</v>
      </c>
      <c r="U69" s="24"/>
      <c r="V69" s="24"/>
      <c r="W69" s="24"/>
    </row>
    <row r="70">
      <c r="A70" s="178"/>
      <c r="B70" s="10">
        <v>1832854.0</v>
      </c>
      <c r="C70" s="11">
        <v>45992.51850694444</v>
      </c>
      <c r="D70" s="179" t="s">
        <v>50</v>
      </c>
      <c r="E70" s="180" t="s">
        <v>7373</v>
      </c>
      <c r="F70" s="188"/>
      <c r="G70" s="179" t="s">
        <v>7374</v>
      </c>
      <c r="H70" s="190"/>
      <c r="I70" s="190"/>
      <c r="J70" s="187" t="s">
        <v>3903</v>
      </c>
      <c r="K70" s="187"/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"""")"),"Encontrada")</f>
        <v>Encontrada</v>
      </c>
      <c r="N70" s="185">
        <f>IFERROR(__xludf.DUMMYFUNCTION("ifna(VALUE(REGEXEXTRACT(E70,""[0-9.]+[,]+[0-9]+"")))"),2.78)</f>
        <v>2.78</v>
      </c>
      <c r="O70" s="283" t="s">
        <v>2221</v>
      </c>
      <c r="P70" s="284">
        <v>46010.0</v>
      </c>
      <c r="Q70" s="295" t="s">
        <v>78</v>
      </c>
      <c r="R70" s="286">
        <v>100.0</v>
      </c>
      <c r="S70" s="296" t="str">
        <f t="shared" ref="S70:S82" si="2">IFERROR(VLOOKUP(Q70, $A$4:$B$18, 2, FALSE), "")</f>
        <v>Sabrina</v>
      </c>
      <c r="T70" s="288" t="str">
        <f t="shared" si="1"/>
        <v>Sabrina</v>
      </c>
      <c r="U70" s="24"/>
      <c r="V70" s="24"/>
      <c r="W70" s="24"/>
    </row>
    <row r="71" ht="14.25" customHeight="1">
      <c r="A71" s="178"/>
      <c r="B71" s="10">
        <v>1832961.0</v>
      </c>
      <c r="C71" s="11">
        <v>45992.569074074076</v>
      </c>
      <c r="D71" s="179" t="s">
        <v>50</v>
      </c>
      <c r="E71" s="180" t="s">
        <v>7379</v>
      </c>
      <c r="F71" s="181"/>
      <c r="G71" s="179" t="s">
        <v>7380</v>
      </c>
      <c r="H71" s="190"/>
      <c r="I71" s="190"/>
      <c r="J71" s="187" t="s">
        <v>3903</v>
      </c>
      <c r="K71" s="187"/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"""")"),"Encontrada")</f>
        <v>Encontrada</v>
      </c>
      <c r="N71" s="185">
        <f>IFERROR(__xludf.DUMMYFUNCTION("ifna(VALUE(REGEXEXTRACT(E71,""[0-9.]+[,]+[0-9]+"")))"),325.0)</f>
        <v>325</v>
      </c>
      <c r="O71" s="289"/>
      <c r="P71" s="290">
        <v>45987.0</v>
      </c>
      <c r="Q71" s="291" t="s">
        <v>62</v>
      </c>
      <c r="R71" s="292">
        <v>150.0</v>
      </c>
      <c r="S71" s="297" t="str">
        <f t="shared" si="2"/>
        <v>Ana Carolina</v>
      </c>
      <c r="T71" s="294" t="str">
        <f t="shared" si="1"/>
        <v>Ana Carolina</v>
      </c>
      <c r="U71" s="24"/>
      <c r="V71" s="24"/>
      <c r="W71" s="24"/>
    </row>
    <row r="72" ht="14.25" customHeight="1">
      <c r="A72" s="178"/>
      <c r="B72" s="10">
        <v>1832983.0</v>
      </c>
      <c r="C72" s="11">
        <v>45992.58167824074</v>
      </c>
      <c r="D72" s="179" t="s">
        <v>50</v>
      </c>
      <c r="E72" s="180" t="s">
        <v>7383</v>
      </c>
      <c r="F72" s="181"/>
      <c r="G72" s="179" t="s">
        <v>6513</v>
      </c>
      <c r="H72" s="190"/>
      <c r="I72" s="190"/>
      <c r="J72" s="187" t="s">
        <v>3044</v>
      </c>
      <c r="K72" s="187" t="s">
        <v>7052</v>
      </c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IFERROR(__xludf.DUMMYFUNCTION("ifna(VALUE(REGEXEXTRACT(E72,""[0-9.]+[,]+[0-9]+"")))"),16.52)</f>
        <v>16.52</v>
      </c>
      <c r="O72" s="283" t="s">
        <v>2104</v>
      </c>
      <c r="P72" s="284">
        <v>45991.0</v>
      </c>
      <c r="Q72" s="295" t="s">
        <v>78</v>
      </c>
      <c r="R72" s="286">
        <v>100.0</v>
      </c>
      <c r="S72" s="296" t="str">
        <f t="shared" si="2"/>
        <v>Sabrina</v>
      </c>
      <c r="T72" s="288" t="str">
        <f t="shared" si="1"/>
        <v>Sabrina</v>
      </c>
      <c r="U72" s="24"/>
      <c r="V72" s="24"/>
      <c r="W72" s="24"/>
    </row>
    <row r="73">
      <c r="A73" s="178"/>
      <c r="B73" s="10">
        <v>1833526.0</v>
      </c>
      <c r="C73" s="11">
        <v>45992.725497685184</v>
      </c>
      <c r="D73" s="179" t="s">
        <v>50</v>
      </c>
      <c r="E73" s="180" t="s">
        <v>6900</v>
      </c>
      <c r="F73" s="188"/>
      <c r="G73" s="179" t="s">
        <v>7386</v>
      </c>
      <c r="H73" s="190"/>
      <c r="I73" s="190"/>
      <c r="J73" s="187" t="s">
        <v>3903</v>
      </c>
      <c r="K73" s="187"/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"""")"),"Encontrada")</f>
        <v>Encontrada</v>
      </c>
      <c r="N73" s="185">
        <f>IFERROR(__xludf.DUMMYFUNCTION("ifna(VALUE(REGEXEXTRACT(E73,""[0-9.]+[,]+[0-9]+"")))"),121.2)</f>
        <v>121.2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</row>
    <row r="74" ht="14.25" customHeight="1">
      <c r="A74" s="178"/>
      <c r="B74" s="10">
        <v>1833561.0</v>
      </c>
      <c r="C74" s="11">
        <v>45992.73454861111</v>
      </c>
      <c r="D74" s="179" t="s">
        <v>50</v>
      </c>
      <c r="E74" s="180" t="s">
        <v>236</v>
      </c>
      <c r="F74" s="181"/>
      <c r="G74" s="179" t="s">
        <v>7390</v>
      </c>
      <c r="H74" s="190"/>
      <c r="I74" s="190"/>
      <c r="J74" s="187" t="s">
        <v>3903</v>
      </c>
      <c r="K74" s="187"/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"""")"),"Encontrada")</f>
        <v>Encontrada</v>
      </c>
      <c r="N74" s="185">
        <f>IFERROR(__xludf.DUMMYFUNCTION("ifna(VALUE(REGEXEXTRACT(E74,""[0-9.]+[,]+[0-9]+"")))"),30.0)</f>
        <v>30</v>
      </c>
      <c r="O74" s="283"/>
      <c r="P74" s="284"/>
      <c r="Q74" s="295"/>
      <c r="R74" s="286"/>
      <c r="S74" s="296" t="str">
        <f t="shared" si="2"/>
        <v/>
      </c>
      <c r="T74" s="288" t="str">
        <f t="shared" si="1"/>
        <v/>
      </c>
      <c r="U74" s="24"/>
      <c r="V74" s="24"/>
      <c r="W74" s="24"/>
    </row>
    <row r="75" ht="14.25" customHeight="1">
      <c r="A75" s="178"/>
      <c r="B75" s="10">
        <v>1833668.0</v>
      </c>
      <c r="C75" s="11">
        <v>45992.758055555554</v>
      </c>
      <c r="D75" s="179" t="s">
        <v>50</v>
      </c>
      <c r="E75" s="180" t="s">
        <v>157</v>
      </c>
      <c r="F75" s="181"/>
      <c r="G75" s="179" t="s">
        <v>6446</v>
      </c>
      <c r="H75" s="190"/>
      <c r="I75" s="190"/>
      <c r="J75" s="187" t="s">
        <v>3044</v>
      </c>
      <c r="K75" s="187" t="s">
        <v>6664</v>
      </c>
      <c r="L75" s="252" t="str">
        <f>IFERROR(__xludf.DUMMYFUNCTION("IF(
  AND(D75=""Saída"", #REF!=""Sangria""),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"&amp;"        QUERY(
            IMPORTRANGE(""https://docs.google.com/spreadsheets/d/1wBSFbIXYswW2S5SMKo44LPsdTG4P4kfP5VRdAS5E_4o"",
            ""Movimentações de Sangrias!A:I""),
            ""select Col6 
             where Col7 = 'Caixa Atendimento'
      "&amp;"         and Col9 = '""&amp;K75&amp;""'
               and Col6 = ""&amp;N75&amp;""
               and Col4 = date '""&amp;TEXT(C75,""yyyy-mm-dd"")&amp;""'""
          )
        )&gt;0,
        ""Caixa Atendimento"",
        IF(
          SUM(
            QUERY(
              IMPO"&amp;"RTRANGE(""https://docs.google.com/spreadsheets/d/1wBSFbIXYswW2S5SMKo44LPsdTG4P4kfP5VRdAS5E_4o"",
              ""Movimentações de Sangrias!A:I""),
              ""select Col6 
               where Col7 = 'Confirmada'
                 and Col9 = '""&amp;K75&amp;"""&amp;"'
                 and Col6 = ""&amp;N75&amp;""
                 and Col4 = date '""&amp;TEXT(C75,""yyyy-mm-dd"")&amp;""'""
            )
          )&gt;0,
          ""Confirmada"",
          ""Caixa Sangria""
        )
      )
    ),
    """"
  ),
  """"
)
"),"#REF!")</f>
        <v>#REF!</v>
      </c>
      <c r="M75" s="281" t="str">
        <f>IFERROR(__xludf.DUMMYFUNCTION("IF(#REF!=""Compra de Mercadorias"",
   IF(
      COUNTIF(ARRAYFORMULA(TRIM(CLEAN(TO_TEXT(Notas!BS:BS)))), TRIM(CLEAN(TO_TEXT(B75)))) &gt; 0,
      ""Encontrada"",
      ""Não Encontrada""
   ),
"""")"),"#REF!")</f>
        <v>#REF!</v>
      </c>
      <c r="N75" s="185">
        <f>IFERROR(__xludf.DUMMYFUNCTION("ifna(VALUE(REGEXEXTRACT(E75,""[0-9.]+[,]+[0-9]+"")))"),5.0)</f>
        <v>5</v>
      </c>
      <c r="O75" s="303"/>
      <c r="P75" s="121"/>
      <c r="Q75" s="121"/>
      <c r="R75" s="304" t="str">
        <f t="shared" ref="R75:R82" si="3">IFERROR(VLOOKUP(Q75, $B$4:$C$18, 2, FALSE), "")</f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</row>
    <row r="76" ht="14.25" customHeight="1">
      <c r="A76" s="178"/>
      <c r="B76" s="10">
        <v>1835120.0</v>
      </c>
      <c r="C76" s="11">
        <v>45993.652337962965</v>
      </c>
      <c r="D76" s="179" t="s">
        <v>50</v>
      </c>
      <c r="E76" s="180" t="s">
        <v>6989</v>
      </c>
      <c r="F76" s="181"/>
      <c r="G76" s="179" t="s">
        <v>7397</v>
      </c>
      <c r="H76" s="190"/>
      <c r="I76" s="190"/>
      <c r="J76" s="187" t="s">
        <v>3903</v>
      </c>
      <c r="K76" s="187"/>
      <c r="L76" s="252" t="str">
        <f>IFERROR(__xludf.DUMMYFUNCTION("IF(
  AND(D76=""Saída"",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IFERROR(__xludf.DUMMYFUNCTION("IF(J75=""Compra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IFERROR(__xludf.DUMMYFUNCTION("ifna(VALUE(REGEXEXTRACT(E76,""[0-9.]+[,]+[0-9]+"")))"),125.64)</f>
        <v>125.64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</row>
    <row r="77" ht="14.25" customHeight="1">
      <c r="A77" s="178"/>
      <c r="B77" s="10">
        <v>1835125.0</v>
      </c>
      <c r="C77" s="11">
        <v>45993.652916666666</v>
      </c>
      <c r="D77" s="179" t="s">
        <v>50</v>
      </c>
      <c r="E77" s="180" t="s">
        <v>7400</v>
      </c>
      <c r="F77" s="181"/>
      <c r="G77" s="179" t="s">
        <v>6446</v>
      </c>
      <c r="H77" s="190"/>
      <c r="I77" s="190"/>
      <c r="J77" s="187" t="s">
        <v>3044</v>
      </c>
      <c r="K77" s="187" t="s">
        <v>6664</v>
      </c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IFERROR(__xludf.DUMMYFUNCTION("ifna(VALUE(REGEXEXTRACT(E77,""[0-9.]+[,]+[0-9]+"")))"),14.31)</f>
        <v>14.31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</row>
    <row r="78">
      <c r="A78" s="178"/>
      <c r="B78" s="10">
        <v>1835611.0</v>
      </c>
      <c r="C78" s="11">
        <v>45993.75880787037</v>
      </c>
      <c r="D78" s="179" t="s">
        <v>50</v>
      </c>
      <c r="E78" s="180" t="s">
        <v>7402</v>
      </c>
      <c r="F78" s="188"/>
      <c r="G78" s="179" t="s">
        <v>7403</v>
      </c>
      <c r="H78" s="190"/>
      <c r="I78" s="190"/>
      <c r="J78" s="187" t="s">
        <v>4159</v>
      </c>
      <c r="K78" s="187"/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IFERROR(__xludf.DUMMYFUNCTION("ifna(VALUE(REGEXEXTRACT(E78,""[0-9.]+[,]+[0-9]+"")))"),47.5)</f>
        <v>47.5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</row>
    <row r="79" ht="14.25" customHeight="1">
      <c r="A79" s="178"/>
      <c r="B79" s="10">
        <v>1835698.0</v>
      </c>
      <c r="C79" s="11">
        <v>45993.79090277778</v>
      </c>
      <c r="D79" s="179" t="s">
        <v>50</v>
      </c>
      <c r="E79" s="180" t="s">
        <v>157</v>
      </c>
      <c r="F79" s="181"/>
      <c r="G79" s="179" t="s">
        <v>4690</v>
      </c>
      <c r="H79" s="190"/>
      <c r="I79" s="190"/>
      <c r="J79" s="187" t="s">
        <v>3044</v>
      </c>
      <c r="K79" s="187" t="s">
        <v>7058</v>
      </c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IFERROR(__xludf.DUMMYFUNCTION("ifna(VALUE(REGEXEXTRACT(E79,""[0-9.]+[,]+[0-9]+"")))"),5.0)</f>
        <v>5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</row>
    <row r="80" ht="14.25" customHeight="1">
      <c r="A80" s="178"/>
      <c r="B80" s="10">
        <v>1835847.0</v>
      </c>
      <c r="C80" s="11">
        <v>45993.846712962964</v>
      </c>
      <c r="D80" s="179" t="s">
        <v>50</v>
      </c>
      <c r="E80" s="180" t="s">
        <v>6456</v>
      </c>
      <c r="F80" s="181"/>
      <c r="G80" s="179" t="s">
        <v>4690</v>
      </c>
      <c r="H80" s="190"/>
      <c r="I80" s="190"/>
      <c r="J80" s="187" t="s">
        <v>3044</v>
      </c>
      <c r="K80" s="187" t="s">
        <v>7058</v>
      </c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IFERROR(__xludf.DUMMYFUNCTION("ifna(VALUE(REGEXEXTRACT(E80,""[0-9.]+[,]+[0-9]+"")))"),20.06)</f>
        <v>20.06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</row>
    <row r="81" ht="14.25" customHeight="1">
      <c r="A81" s="178"/>
      <c r="B81" s="10">
        <v>1835946.0</v>
      </c>
      <c r="C81" s="11">
        <v>45993.878067129626</v>
      </c>
      <c r="D81" s="179" t="s">
        <v>50</v>
      </c>
      <c r="E81" s="180" t="s">
        <v>7411</v>
      </c>
      <c r="F81" s="181"/>
      <c r="G81" s="179" t="s">
        <v>6513</v>
      </c>
      <c r="H81" s="190"/>
      <c r="I81" s="190"/>
      <c r="J81" s="187" t="s">
        <v>3044</v>
      </c>
      <c r="K81" s="187" t="s">
        <v>7052</v>
      </c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IFERROR(__xludf.DUMMYFUNCTION("ifna(VALUE(REGEXEXTRACT(E81,""[0-9.]+[,]+[0-9]+"")))"),35.26)</f>
        <v>35.26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</row>
    <row r="82" ht="14.25" customHeight="1">
      <c r="A82" s="178"/>
      <c r="B82" s="10">
        <v>1836278.0</v>
      </c>
      <c r="C82" s="11">
        <v>45993.931284722225</v>
      </c>
      <c r="D82" s="179" t="s">
        <v>50</v>
      </c>
      <c r="E82" s="180" t="s">
        <v>3899</v>
      </c>
      <c r="F82" s="181"/>
      <c r="G82" s="179" t="s">
        <v>7413</v>
      </c>
      <c r="H82" s="190"/>
      <c r="I82" s="190"/>
      <c r="J82" s="187" t="s">
        <v>3746</v>
      </c>
      <c r="K82" s="187" t="s">
        <v>7058</v>
      </c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"),"Depositada")</f>
        <v>Depositada</v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IFERROR(__xludf.DUMMYFUNCTION("ifna(VALUE(REGEXEXTRACT(E82,""[0-9.]+[,]+[0-9]+"")))"),1000.0)</f>
        <v>1000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</row>
    <row r="83" ht="14.25" customHeight="1">
      <c r="A83" s="178"/>
      <c r="B83" s="10">
        <v>1836657.0</v>
      </c>
      <c r="C83" s="11">
        <v>45994.52616898148</v>
      </c>
      <c r="D83" s="179" t="s">
        <v>50</v>
      </c>
      <c r="E83" s="180" t="s">
        <v>7415</v>
      </c>
      <c r="F83" s="181"/>
      <c r="G83" s="179" t="s">
        <v>4960</v>
      </c>
      <c r="H83" s="190"/>
      <c r="I83" s="190"/>
      <c r="J83" s="187" t="s">
        <v>3044</v>
      </c>
      <c r="K83" s="187" t="s">
        <v>7058</v>
      </c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IFERROR(__xludf.DUMMYFUNCTION("ifna(VALUE(REGEXEXTRACT(E83,""[0-9.]+[,]+[0-9]+"")))"),25.9)</f>
        <v>25.9</v>
      </c>
      <c r="O83" s="305"/>
      <c r="P83" s="305"/>
      <c r="Q83" s="305"/>
      <c r="R83" s="306"/>
      <c r="S83" s="305"/>
      <c r="T83" s="91"/>
      <c r="U83" s="24"/>
      <c r="V83" s="24"/>
      <c r="W83" s="24"/>
    </row>
    <row r="84" ht="14.25" customHeight="1">
      <c r="A84" s="178"/>
      <c r="B84" s="10">
        <v>1836736.0</v>
      </c>
      <c r="C84" s="11">
        <v>45994.57659722222</v>
      </c>
      <c r="D84" s="179" t="s">
        <v>50</v>
      </c>
      <c r="E84" s="180" t="s">
        <v>7421</v>
      </c>
      <c r="F84" s="181"/>
      <c r="G84" s="179" t="s">
        <v>7422</v>
      </c>
      <c r="H84" s="190"/>
      <c r="I84" s="190"/>
      <c r="J84" s="187" t="s">
        <v>3903</v>
      </c>
      <c r="K84" s="187"/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85">
        <f>IFERROR(__xludf.DUMMYFUNCTION("ifna(VALUE(REGEXEXTRACT(E84,""[0-9.]+[,]+[0-9]+"")))"),145.0)</f>
        <v>145</v>
      </c>
      <c r="O84" s="307" t="s">
        <v>7170</v>
      </c>
      <c r="W84" s="24"/>
    </row>
    <row r="85" ht="14.25" customHeight="1">
      <c r="A85" s="178"/>
      <c r="B85" s="10">
        <v>1836977.0</v>
      </c>
      <c r="C85" s="11">
        <v>45994.65114583333</v>
      </c>
      <c r="D85" s="179" t="s">
        <v>50</v>
      </c>
      <c r="E85" s="180" t="s">
        <v>7427</v>
      </c>
      <c r="F85" s="181"/>
      <c r="G85" s="179" t="s">
        <v>7428</v>
      </c>
      <c r="H85" s="190"/>
      <c r="I85" s="190"/>
      <c r="J85" s="187" t="s">
        <v>3903</v>
      </c>
      <c r="K85" s="187"/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85">
        <f>IFERROR(__xludf.DUMMYFUNCTION("ifna(VALUE(REGEXEXTRACT(E85,""[0-9.]+[,]+[0-9]+"")))"),309.48)</f>
        <v>309.48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</row>
    <row r="86" ht="14.25" customHeight="1">
      <c r="A86" s="178"/>
      <c r="B86" s="10">
        <v>1836987.0</v>
      </c>
      <c r="C86" s="11">
        <v>45994.65295138889</v>
      </c>
      <c r="D86" s="179" t="s">
        <v>50</v>
      </c>
      <c r="E86" s="180" t="s">
        <v>6989</v>
      </c>
      <c r="F86" s="181"/>
      <c r="G86" s="179" t="s">
        <v>7428</v>
      </c>
      <c r="H86" s="190"/>
      <c r="I86" s="190"/>
      <c r="J86" s="187" t="s">
        <v>3903</v>
      </c>
      <c r="K86" s="187"/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85">
        <f>IFERROR(__xludf.DUMMYFUNCTION("ifna(VALUE(REGEXEXTRACT(E86,""[0-9.]+[,]+[0-9]+"")))"),125.64)</f>
        <v>125.64</v>
      </c>
      <c r="O86" s="311">
        <f>IFERROR(__xludf.DUMMYFUNCTION("""COMPUTED_VALUE"""),1842304.0)</f>
        <v>1842304</v>
      </c>
      <c r="P86" s="312">
        <f>IFERROR(__xludf.DUMMYFUNCTION("""COMPUTED_VALUE"""),45996.92321759259)</f>
        <v>45996.92322</v>
      </c>
      <c r="Q86" s="311" t="str">
        <f>IFERROR(__xludf.DUMMYFUNCTION("""COMPUTED_VALUE"""),"Saída")</f>
        <v>Saída</v>
      </c>
      <c r="R86" s="313" t="str">
        <f>IFERROR(__xludf.DUMMYFUNCTION("""COMPUTED_VALUE"""),"R$ 75,00")</f>
        <v>R$ 75,00</v>
      </c>
      <c r="S86" s="311" t="str">
        <f>IFERROR(__xludf.DUMMYFUNCTION("""COMPUTED_VALUE"""),"COMPRA DE CENTRO DE SALGADOS PARA FUNCIONÁRIOS 05/12 (não foi pego recibo)")</f>
        <v>COMPRA DE CENTRO DE SALGADOS PARA FUNCIONÁRIOS 05/12 (não foi pego recibo)</v>
      </c>
      <c r="V86" s="314" t="str">
        <f>IFERROR(__xludf.DUMMYFUNCTION("""COMPUTED_VALUE"""),"Não Encontrada")</f>
        <v>Não Encontrada</v>
      </c>
      <c r="W86" s="24"/>
    </row>
    <row r="87" ht="14.25" customHeight="1">
      <c r="A87" s="178"/>
      <c r="B87" s="10">
        <v>1837239.0</v>
      </c>
      <c r="C87" s="11">
        <v>45994.70606481482</v>
      </c>
      <c r="D87" s="179" t="s">
        <v>50</v>
      </c>
      <c r="E87" s="180" t="s">
        <v>157</v>
      </c>
      <c r="F87" s="181"/>
      <c r="G87" s="179" t="s">
        <v>6513</v>
      </c>
      <c r="H87" s="190"/>
      <c r="I87" s="190"/>
      <c r="J87" s="187" t="s">
        <v>3044</v>
      </c>
      <c r="K87" s="187" t="s">
        <v>7052</v>
      </c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IFERROR(__xludf.DUMMYFUNCTION("ifna(VALUE(REGEXEXTRACT(E87,""[0-9.]+[,]+[0-9]+"")))"),5.0)</f>
        <v>5</v>
      </c>
      <c r="O87" s="315">
        <f>IFERROR(__xludf.DUMMYFUNCTION("""COMPUTED_VALUE"""),1864905.0)</f>
        <v>1864905</v>
      </c>
      <c r="P87" s="316">
        <f>IFERROR(__xludf.DUMMYFUNCTION("""COMPUTED_VALUE"""),46006.93618055555)</f>
        <v>46006.93618</v>
      </c>
      <c r="Q87" s="315" t="str">
        <f>IFERROR(__xludf.DUMMYFUNCTION("""COMPUTED_VALUE"""),"Saída")</f>
        <v>Saída</v>
      </c>
      <c r="R87" s="317" t="str">
        <f>IFERROR(__xludf.DUMMYFUNCTION("""COMPUTED_VALUE"""),"R$ 20,00")</f>
        <v>R$ 20,00</v>
      </c>
      <c r="S87" s="315" t="str">
        <f>IFERROR(__xludf.DUMMYFUNCTION("""COMPUTED_VALUE"""),"brincadeira do amigo secreto (daniel e joice)")</f>
        <v>brincadeira do amigo secreto (daniel e joice)</v>
      </c>
      <c r="V87" s="318" t="str">
        <f>IFERROR(__xludf.DUMMYFUNCTION("""COMPUTED_VALUE"""),"Não Encontrada")</f>
        <v>Não Encontrada</v>
      </c>
      <c r="W87" s="24"/>
    </row>
    <row r="88" ht="14.25" customHeight="1">
      <c r="A88" s="178"/>
      <c r="B88" s="10">
        <v>1837441.0</v>
      </c>
      <c r="C88" s="11">
        <v>45994.74518518519</v>
      </c>
      <c r="D88" s="179" t="s">
        <v>50</v>
      </c>
      <c r="E88" s="180" t="s">
        <v>7003</v>
      </c>
      <c r="F88" s="181"/>
      <c r="G88" s="179" t="s">
        <v>6446</v>
      </c>
      <c r="H88" s="190"/>
      <c r="I88" s="190"/>
      <c r="J88" s="187" t="s">
        <v>3044</v>
      </c>
      <c r="K88" s="187" t="s">
        <v>6664</v>
      </c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IFERROR(__xludf.DUMMYFUNCTION("ifna(VALUE(REGEXEXTRACT(E88,""[0-9.]+[,]+[0-9]+"")))"),8.69)</f>
        <v>8.69</v>
      </c>
      <c r="O88" s="319">
        <f>IFERROR(__xludf.DUMMYFUNCTION("""COMPUTED_VALUE"""),1874838.0)</f>
        <v>1874838</v>
      </c>
      <c r="P88" s="320">
        <f>IFERROR(__xludf.DUMMYFUNCTION("""COMPUTED_VALUE"""),46011.90170138889)</f>
        <v>46011.9017</v>
      </c>
      <c r="Q88" s="319" t="str">
        <f>IFERROR(__xludf.DUMMYFUNCTION("""COMPUTED_VALUE"""),"Saída")</f>
        <v>Saída</v>
      </c>
      <c r="R88" s="321" t="str">
        <f>IFERROR(__xludf.DUMMYFUNCTION("""COMPUTED_VALUE"""),"R$ 202,00")</f>
        <v>R$ 202,00</v>
      </c>
      <c r="S88" s="319" t="str">
        <f>IFERROR(__xludf.DUMMYFUNCTION("""COMPUTED_VALUE"""),"lanche para equipe e frutas para loja. obs; a notinha foi jogada fora sem querer. dia 20/12/2025.")</f>
        <v>lanche para equipe e frutas para loja. obs; a notinha foi jogada fora sem querer. dia 20/12/2025.</v>
      </c>
      <c r="V88" s="322" t="str">
        <f>IFERROR(__xludf.DUMMYFUNCTION("""COMPUTED_VALUE"""),"Não Encontrada")</f>
        <v>Não Encontrada</v>
      </c>
      <c r="W88" s="24"/>
    </row>
    <row r="89" ht="14.25" customHeight="1">
      <c r="A89" s="178"/>
      <c r="B89" s="10">
        <v>1837478.0</v>
      </c>
      <c r="C89" s="11">
        <v>45994.75164351852</v>
      </c>
      <c r="D89" s="179" t="s">
        <v>50</v>
      </c>
      <c r="E89" s="180" t="s">
        <v>7435</v>
      </c>
      <c r="F89" s="181"/>
      <c r="G89" s="179" t="s">
        <v>7436</v>
      </c>
      <c r="H89" s="323"/>
      <c r="I89" s="190"/>
      <c r="J89" s="187" t="s">
        <v>3903</v>
      </c>
      <c r="K89" s="187"/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85">
        <f>IFERROR(__xludf.DUMMYFUNCTION("ifna(VALUE(REGEXEXTRACT(E89,""[0-9.]+[,]+[0-9]+"")))"),9.94)</f>
        <v>9.94</v>
      </c>
      <c r="O89" s="315"/>
      <c r="P89" s="316"/>
      <c r="Q89" s="315"/>
      <c r="R89" s="317"/>
      <c r="S89" s="315"/>
      <c r="V89" s="318"/>
      <c r="W89" s="24"/>
    </row>
    <row r="90" ht="14.25" customHeight="1">
      <c r="A90" s="178"/>
      <c r="B90" s="10">
        <v>1837672.0</v>
      </c>
      <c r="C90" s="11">
        <v>45994.805625</v>
      </c>
      <c r="D90" s="179" t="s">
        <v>50</v>
      </c>
      <c r="E90" s="180" t="s">
        <v>7400</v>
      </c>
      <c r="F90" s="181"/>
      <c r="G90" s="179" t="s">
        <v>4960</v>
      </c>
      <c r="H90" s="190"/>
      <c r="I90" s="190"/>
      <c r="J90" s="187" t="s">
        <v>3044</v>
      </c>
      <c r="K90" s="187" t="s">
        <v>7058</v>
      </c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IFERROR(__xludf.DUMMYFUNCTION("ifna(VALUE(REGEXEXTRACT(E90,""[0-9.]+[,]+[0-9]+"")))"),14.31)</f>
        <v>14.31</v>
      </c>
      <c r="O90" s="319"/>
      <c r="P90" s="320"/>
      <c r="Q90" s="319"/>
      <c r="R90" s="321"/>
      <c r="S90" s="319"/>
      <c r="V90" s="322"/>
      <c r="W90" s="24"/>
    </row>
    <row r="91" ht="14.25" customHeight="1">
      <c r="A91" s="178"/>
      <c r="B91" s="10">
        <v>1838123.0</v>
      </c>
      <c r="C91" s="11">
        <v>45994.9249537037</v>
      </c>
      <c r="D91" s="179" t="s">
        <v>50</v>
      </c>
      <c r="E91" s="180" t="s">
        <v>4794</v>
      </c>
      <c r="F91" s="181"/>
      <c r="G91" s="179" t="s">
        <v>7438</v>
      </c>
      <c r="H91" s="190"/>
      <c r="I91" s="190"/>
      <c r="J91" s="187" t="s">
        <v>3746</v>
      </c>
      <c r="K91" s="187" t="s">
        <v>7058</v>
      </c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"),"Depositada")</f>
        <v>Depositada</v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IFERROR(__xludf.DUMMYFUNCTION("ifna(VALUE(REGEXEXTRACT(E91,""[0-9.]+[,]+[0-9]+"")))"),750.0)</f>
        <v>750</v>
      </c>
      <c r="O91" s="315"/>
      <c r="P91" s="316"/>
      <c r="Q91" s="315"/>
      <c r="R91" s="317"/>
      <c r="S91" s="315"/>
      <c r="V91" s="318"/>
      <c r="W91" s="24"/>
    </row>
    <row r="92" ht="14.25" customHeight="1">
      <c r="A92" s="178"/>
      <c r="B92" s="10">
        <v>1838929.0</v>
      </c>
      <c r="C92" s="11">
        <v>45995.66045138889</v>
      </c>
      <c r="D92" s="179" t="s">
        <v>50</v>
      </c>
      <c r="E92" s="180" t="s">
        <v>7439</v>
      </c>
      <c r="F92" s="181"/>
      <c r="G92" s="179" t="s">
        <v>7440</v>
      </c>
      <c r="H92" s="190"/>
      <c r="I92" s="190"/>
      <c r="J92" s="187" t="s">
        <v>3903</v>
      </c>
      <c r="K92" s="187"/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85">
        <f>IFERROR(__xludf.DUMMYFUNCTION("ifna(VALUE(REGEXEXTRACT(E92,""[0-9.]+[,]+[0-9]+"")))"),457.5)</f>
        <v>457.5</v>
      </c>
      <c r="O92" s="319"/>
      <c r="P92" s="320"/>
      <c r="Q92" s="319"/>
      <c r="R92" s="321"/>
      <c r="S92" s="319"/>
      <c r="V92" s="281"/>
      <c r="W92" s="185"/>
    </row>
    <row r="93" ht="14.25" customHeight="1">
      <c r="A93" s="178"/>
      <c r="B93" s="10">
        <v>1838933.0</v>
      </c>
      <c r="C93" s="11">
        <v>45995.661087962966</v>
      </c>
      <c r="D93" s="179" t="s">
        <v>50</v>
      </c>
      <c r="E93" s="180" t="s">
        <v>7441</v>
      </c>
      <c r="F93" s="181"/>
      <c r="G93" s="179" t="s">
        <v>7442</v>
      </c>
      <c r="H93" s="190"/>
      <c r="I93" s="190"/>
      <c r="J93" s="187" t="s">
        <v>3903</v>
      </c>
      <c r="K93" s="187"/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"""")"),"Encontrada")</f>
        <v>Encontrada</v>
      </c>
      <c r="N93" s="185">
        <f>IFERROR(__xludf.DUMMYFUNCTION("ifna(VALUE(REGEXEXTRACT(E93,""[0-9.]+[,]+[0-9]+"")))"),496.46)</f>
        <v>496.46</v>
      </c>
      <c r="O93" s="315"/>
      <c r="P93" s="316"/>
      <c r="Q93" s="315"/>
      <c r="R93" s="317"/>
      <c r="S93" s="315"/>
      <c r="V93" s="279"/>
      <c r="W93" s="185"/>
    </row>
    <row r="94" ht="14.25" customHeight="1">
      <c r="A94" s="178"/>
      <c r="B94" s="10">
        <v>1838934.0</v>
      </c>
      <c r="C94" s="11">
        <v>45995.66142361111</v>
      </c>
      <c r="D94" s="179" t="s">
        <v>227</v>
      </c>
      <c r="E94" s="180" t="s">
        <v>6700</v>
      </c>
      <c r="F94" s="188"/>
      <c r="G94" s="179" t="s">
        <v>7444</v>
      </c>
      <c r="H94" s="190"/>
      <c r="I94" s="190"/>
      <c r="J94" s="187" t="s">
        <v>4159</v>
      </c>
      <c r="K94" s="187"/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IFERROR(__xludf.DUMMYFUNCTION("ifna(VALUE(REGEXEXTRACT(E94,""[0-9.]+[,]+[0-9]+"")))"),400.0)</f>
        <v>400</v>
      </c>
      <c r="O94" s="319"/>
      <c r="P94" s="320"/>
      <c r="Q94" s="319"/>
      <c r="R94" s="321"/>
      <c r="S94" s="319"/>
      <c r="V94" s="281"/>
      <c r="W94" s="185"/>
    </row>
    <row r="95" ht="14.25" customHeight="1">
      <c r="A95" s="178"/>
      <c r="B95" s="10">
        <v>839123.0</v>
      </c>
      <c r="C95" s="11">
        <v>45995.703564814816</v>
      </c>
      <c r="D95" s="179" t="s">
        <v>50</v>
      </c>
      <c r="E95" s="180" t="s">
        <v>290</v>
      </c>
      <c r="F95" s="181"/>
      <c r="G95" s="179" t="s">
        <v>4960</v>
      </c>
      <c r="H95" s="190"/>
      <c r="I95" s="190"/>
      <c r="J95" s="187" t="s">
        <v>3044</v>
      </c>
      <c r="K95" s="187" t="s">
        <v>7058</v>
      </c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IFERROR(__xludf.DUMMYFUNCTION("ifna(VALUE(REGEXEXTRACT(E95,""[0-9.]+[,]+[0-9]+"")))"),17.25)</f>
        <v>17.25</v>
      </c>
      <c r="O95" s="315"/>
      <c r="P95" s="316"/>
      <c r="Q95" s="315"/>
      <c r="R95" s="317"/>
      <c r="S95" s="315"/>
      <c r="V95" s="279"/>
      <c r="W95" s="185"/>
    </row>
    <row r="96" ht="14.25" customHeight="1">
      <c r="A96" s="178"/>
      <c r="B96" s="10">
        <v>1839385.0</v>
      </c>
      <c r="C96" s="11">
        <v>45995.76188657407</v>
      </c>
      <c r="D96" s="179" t="s">
        <v>50</v>
      </c>
      <c r="E96" s="180" t="s">
        <v>871</v>
      </c>
      <c r="F96" s="181"/>
      <c r="G96" s="179" t="s">
        <v>6446</v>
      </c>
      <c r="H96" s="190"/>
      <c r="I96" s="190"/>
      <c r="J96" s="187" t="s">
        <v>3044</v>
      </c>
      <c r="K96" s="187" t="s">
        <v>6664</v>
      </c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IFERROR(__xludf.DUMMYFUNCTION("ifna(VALUE(REGEXEXTRACT(E96,""[0-9.]+[,]+[0-9]+"")))"),9.0)</f>
        <v>9</v>
      </c>
      <c r="O96" s="325"/>
      <c r="P96" s="326"/>
      <c r="Q96" s="326"/>
      <c r="R96" s="321"/>
      <c r="S96" s="319"/>
      <c r="V96" s="281"/>
      <c r="W96" s="185"/>
    </row>
    <row r="97" ht="14.25" customHeight="1">
      <c r="A97" s="178"/>
      <c r="B97" s="10">
        <v>1839876.0</v>
      </c>
      <c r="C97" s="11">
        <v>45995.89815972222</v>
      </c>
      <c r="D97" s="179" t="s">
        <v>50</v>
      </c>
      <c r="E97" s="180" t="s">
        <v>7445</v>
      </c>
      <c r="F97" s="181"/>
      <c r="G97" s="179" t="s">
        <v>7446</v>
      </c>
      <c r="H97" s="190"/>
      <c r="I97" s="190"/>
      <c r="J97" s="187" t="s">
        <v>3467</v>
      </c>
      <c r="K97" s="187"/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IFERROR(__xludf.DUMMYFUNCTION("ifna(VALUE(REGEXEXTRACT(E97,""[0-9.]+[,]+[0-9]+"")))"),33.36)</f>
        <v>33.36</v>
      </c>
      <c r="O97" s="315"/>
      <c r="P97" s="316"/>
      <c r="Q97" s="315"/>
      <c r="R97" s="317"/>
      <c r="S97" s="315"/>
      <c r="V97" s="279"/>
      <c r="W97" s="185"/>
    </row>
    <row r="98" ht="14.25" customHeight="1">
      <c r="A98" s="178"/>
      <c r="B98" s="10">
        <v>1839887.0</v>
      </c>
      <c r="C98" s="11">
        <v>45995.8990625</v>
      </c>
      <c r="D98" s="179" t="s">
        <v>227</v>
      </c>
      <c r="E98" s="180" t="s">
        <v>494</v>
      </c>
      <c r="F98" s="181"/>
      <c r="G98" s="179" t="s">
        <v>7447</v>
      </c>
      <c r="H98" s="190"/>
      <c r="I98" s="190"/>
      <c r="J98" s="187" t="s">
        <v>4159</v>
      </c>
      <c r="K98" s="187"/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IFERROR(__xludf.DUMMYFUNCTION("ifna(VALUE(REGEXEXTRACT(E98,""[0-9.]+[,]+[0-9]+"")))"),0.01)</f>
        <v>0.01</v>
      </c>
      <c r="O98" s="319"/>
      <c r="P98" s="320"/>
      <c r="Q98" s="319"/>
      <c r="R98" s="321"/>
      <c r="S98" s="319"/>
      <c r="V98" s="281"/>
      <c r="W98" s="185"/>
    </row>
    <row r="99" ht="14.25" customHeight="1">
      <c r="A99" s="178"/>
      <c r="B99" s="10">
        <v>1839893.0</v>
      </c>
      <c r="C99" s="11">
        <v>45995.89976851852</v>
      </c>
      <c r="D99" s="179" t="s">
        <v>50</v>
      </c>
      <c r="E99" s="180" t="s">
        <v>7450</v>
      </c>
      <c r="F99" s="181"/>
      <c r="G99" s="179" t="s">
        <v>7451</v>
      </c>
      <c r="H99" s="190"/>
      <c r="I99" s="190"/>
      <c r="J99" s="187" t="s">
        <v>4159</v>
      </c>
      <c r="K99" s="187"/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IFERROR(__xludf.DUMMYFUNCTION("ifna(VALUE(REGEXEXTRACT(E99,""[0-9.]+[,]+[0-9]+"")))"),370.0)</f>
        <v>370</v>
      </c>
      <c r="O99" s="315"/>
      <c r="P99" s="316"/>
      <c r="Q99" s="315"/>
      <c r="R99" s="317"/>
      <c r="S99" s="315"/>
      <c r="V99" s="279"/>
      <c r="W99" s="185"/>
    </row>
    <row r="100" ht="14.25" customHeight="1">
      <c r="A100" s="178"/>
      <c r="B100" s="10">
        <v>1839898.0</v>
      </c>
      <c r="C100" s="11">
        <v>45995.900243055556</v>
      </c>
      <c r="D100" s="179" t="s">
        <v>50</v>
      </c>
      <c r="E100" s="180" t="s">
        <v>6551</v>
      </c>
      <c r="F100" s="181"/>
      <c r="G100" s="179" t="s">
        <v>7454</v>
      </c>
      <c r="H100" s="190"/>
      <c r="I100" s="190"/>
      <c r="J100" s="187" t="s">
        <v>3903</v>
      </c>
      <c r="K100" s="187"/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185">
        <f>IFERROR(__xludf.DUMMYFUNCTION("ifna(VALUE(REGEXEXTRACT(E100,""[0-9.]+[,]+[0-9]+"")))"),11.5)</f>
        <v>11.5</v>
      </c>
      <c r="O100" s="319"/>
      <c r="P100" s="320"/>
      <c r="Q100" s="319"/>
      <c r="R100" s="321"/>
      <c r="S100" s="319"/>
      <c r="V100" s="281"/>
      <c r="W100" s="185"/>
    </row>
    <row r="101" ht="14.25" customHeight="1">
      <c r="A101" s="178"/>
      <c r="B101" s="10">
        <v>1839902.0</v>
      </c>
      <c r="C101" s="11">
        <v>45995.90069444444</v>
      </c>
      <c r="D101" s="179" t="s">
        <v>50</v>
      </c>
      <c r="E101" s="180" t="s">
        <v>7455</v>
      </c>
      <c r="F101" s="181"/>
      <c r="G101" s="179" t="s">
        <v>7456</v>
      </c>
      <c r="H101" s="190"/>
      <c r="I101" s="190"/>
      <c r="J101" s="187" t="s">
        <v>3903</v>
      </c>
      <c r="K101" s="187"/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"""")"),"Encontrada")</f>
        <v>Encontrada</v>
      </c>
      <c r="N101" s="185">
        <f>IFERROR(__xludf.DUMMYFUNCTION("ifna(VALUE(REGEXEXTRACT(E101,""[0-9.]+[,]+[0-9]+"")))"),74.36)</f>
        <v>74.36</v>
      </c>
      <c r="O101" s="315"/>
      <c r="P101" s="316"/>
      <c r="Q101" s="315"/>
      <c r="R101" s="317"/>
      <c r="S101" s="315"/>
      <c r="V101" s="279"/>
      <c r="W101" s="185"/>
    </row>
    <row r="102" ht="17.25" customHeight="1">
      <c r="A102" s="178"/>
      <c r="B102" s="10">
        <v>1839905.0</v>
      </c>
      <c r="C102" s="11">
        <v>45995.90105324074</v>
      </c>
      <c r="D102" s="179" t="s">
        <v>50</v>
      </c>
      <c r="E102" s="180" t="s">
        <v>7457</v>
      </c>
      <c r="F102" s="188"/>
      <c r="G102" s="179" t="s">
        <v>7458</v>
      </c>
      <c r="H102" s="190"/>
      <c r="I102" s="190"/>
      <c r="J102" s="187" t="s">
        <v>3903</v>
      </c>
      <c r="K102" s="187"/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85">
        <f>IFERROR(__xludf.DUMMYFUNCTION("ifna(VALUE(REGEXEXTRACT(E102,""[0-9.]+[,]+[0-9]+"")))"),5.5)</f>
        <v>5.5</v>
      </c>
      <c r="O102" s="319"/>
      <c r="P102" s="320"/>
      <c r="Q102" s="319"/>
      <c r="R102" s="321"/>
      <c r="S102" s="319"/>
      <c r="V102" s="281"/>
      <c r="W102" s="185"/>
    </row>
    <row r="103" ht="14.25" customHeight="1">
      <c r="A103" s="178"/>
      <c r="B103" s="10">
        <v>1840957.0</v>
      </c>
      <c r="C103" s="11">
        <v>45996.64275462963</v>
      </c>
      <c r="D103" s="179" t="s">
        <v>50</v>
      </c>
      <c r="E103" s="180" t="s">
        <v>1507</v>
      </c>
      <c r="F103" s="181"/>
      <c r="G103" s="179" t="s">
        <v>7460</v>
      </c>
      <c r="H103" s="190"/>
      <c r="I103" s="190"/>
      <c r="J103" s="187" t="s">
        <v>3044</v>
      </c>
      <c r="K103" s="187" t="s">
        <v>7052</v>
      </c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TRIM(CLEAN(TO_TEXT(#REF!)))) &gt; 0,
      ""Encontrada"",
      ""Não Encontrada""
   ),
"""")"),"")</f>
        <v/>
      </c>
      <c r="N103" s="185">
        <f>IFERROR(__xludf.DUMMYFUNCTION("ifna(VALUE(REGEXEXTRACT(E103,""[0-9.]+[,]+[0-9]+"")))"),14.82)</f>
        <v>14.82</v>
      </c>
      <c r="O103" s="315"/>
      <c r="P103" s="316"/>
      <c r="Q103" s="315"/>
      <c r="R103" s="317"/>
      <c r="S103" s="315"/>
      <c r="V103" s="279"/>
      <c r="W103" s="185"/>
    </row>
    <row r="104" ht="14.25" customHeight="1">
      <c r="A104" s="178"/>
      <c r="B104" s="10">
        <v>1841548.0</v>
      </c>
      <c r="C104" s="11">
        <v>45996.7637962963</v>
      </c>
      <c r="D104" s="10" t="s">
        <v>50</v>
      </c>
      <c r="E104" s="10" t="s">
        <v>7463</v>
      </c>
      <c r="F104" s="13"/>
      <c r="G104" s="10" t="s">
        <v>4639</v>
      </c>
      <c r="H104" s="190"/>
      <c r="I104" s="190"/>
      <c r="J104" s="187" t="s">
        <v>3044</v>
      </c>
      <c r="K104" s="187" t="s">
        <v>6664</v>
      </c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TRIM(CLEAN(TO_TEXT(B103)))) &gt; 0,
      ""Encontrada"",
      ""Não Encontrada""
   ),
"""")"),"")</f>
        <v/>
      </c>
      <c r="N104" s="185">
        <f>IFERROR(__xludf.DUMMYFUNCTION("ifna(VALUE(REGEXEXTRACT(E104,""[0-9.]+[,]+[0-9]+"")))"),12.52)</f>
        <v>12.52</v>
      </c>
      <c r="O104" s="319"/>
      <c r="P104" s="320"/>
      <c r="Q104" s="319"/>
      <c r="R104" s="321"/>
      <c r="S104" s="319"/>
      <c r="V104" s="281"/>
      <c r="W104" s="185"/>
    </row>
    <row r="105" ht="14.25" customHeight="1">
      <c r="A105" s="178"/>
      <c r="B105" s="10">
        <v>1841768.0</v>
      </c>
      <c r="C105" s="11">
        <v>45996.81932870371</v>
      </c>
      <c r="D105" s="179" t="s">
        <v>50</v>
      </c>
      <c r="E105" s="180" t="s">
        <v>7466</v>
      </c>
      <c r="F105" s="181"/>
      <c r="G105" s="179" t="s">
        <v>7467</v>
      </c>
      <c r="H105" s="190"/>
      <c r="I105" s="190"/>
      <c r="J105" s="187" t="s">
        <v>3903</v>
      </c>
      <c r="K105" s="187"/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"""")"),"Encontrada")</f>
        <v>Encontrada</v>
      </c>
      <c r="N105" s="185">
        <f>IFERROR(__xludf.DUMMYFUNCTION("ifna(VALUE(REGEXEXTRACT(E105,""[0-9.]+[,]+[0-9]+"")))"),595.04)</f>
        <v>595.04</v>
      </c>
      <c r="O105" s="315"/>
      <c r="P105" s="315"/>
      <c r="Q105" s="315"/>
      <c r="R105" s="317"/>
      <c r="S105" s="315"/>
      <c r="V105" s="279"/>
      <c r="W105" s="185"/>
    </row>
    <row r="106" ht="14.25" customHeight="1">
      <c r="A106" s="178"/>
      <c r="B106" s="10">
        <v>1842296.0</v>
      </c>
      <c r="C106" s="11">
        <v>45996.92269675926</v>
      </c>
      <c r="D106" s="179" t="s">
        <v>50</v>
      </c>
      <c r="E106" s="180" t="s">
        <v>4794</v>
      </c>
      <c r="F106" s="181"/>
      <c r="G106" s="179" t="s">
        <v>7470</v>
      </c>
      <c r="H106" s="190"/>
      <c r="I106" s="190"/>
      <c r="J106" s="187" t="s">
        <v>3903</v>
      </c>
      <c r="K106" s="187"/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"""")"),"Encontrada")</f>
        <v>Encontrada</v>
      </c>
      <c r="N106" s="185">
        <f>IFERROR(__xludf.DUMMYFUNCTION("ifna(VALUE(REGEXEXTRACT(E106,""[0-9.]+[,]+[0-9]+"")))"),750.0)</f>
        <v>750</v>
      </c>
      <c r="O106" s="319"/>
      <c r="P106" s="319"/>
      <c r="Q106" s="319"/>
      <c r="R106" s="321"/>
      <c r="S106" s="319"/>
      <c r="V106" s="281"/>
      <c r="W106" s="185"/>
    </row>
    <row r="107" ht="18.75" customHeight="1">
      <c r="A107" s="178"/>
      <c r="B107" s="10">
        <v>1842304.0</v>
      </c>
      <c r="C107" s="11">
        <v>45996.92321759259</v>
      </c>
      <c r="D107" s="179" t="s">
        <v>50</v>
      </c>
      <c r="E107" s="180" t="s">
        <v>6909</v>
      </c>
      <c r="F107" s="181"/>
      <c r="G107" s="345" t="s">
        <v>7472</v>
      </c>
      <c r="H107" s="190"/>
      <c r="I107" s="190"/>
      <c r="J107" s="187" t="s">
        <v>3903</v>
      </c>
      <c r="K107" s="187"/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"""")"),"Não Encontrada")</f>
        <v>Não Encontrada</v>
      </c>
      <c r="N107" s="185">
        <f>IFERROR(__xludf.DUMMYFUNCTION("ifna(VALUE(REGEXEXTRACT(E107,""[0-9.]+[,]+[0-9]+"")))"),75.0)</f>
        <v>75</v>
      </c>
      <c r="O107" s="331"/>
      <c r="P107" s="331"/>
      <c r="Q107" s="331"/>
      <c r="R107" s="317"/>
      <c r="S107" s="331"/>
      <c r="V107" s="279"/>
      <c r="W107" s="185"/>
    </row>
    <row r="108" ht="14.25" customHeight="1">
      <c r="A108" s="178"/>
      <c r="B108" s="10">
        <v>1843211.0</v>
      </c>
      <c r="C108" s="11">
        <v>45997.63099537037</v>
      </c>
      <c r="D108" s="179" t="s">
        <v>50</v>
      </c>
      <c r="E108" s="180" t="s">
        <v>205</v>
      </c>
      <c r="F108" s="181"/>
      <c r="G108" s="179" t="s">
        <v>6446</v>
      </c>
      <c r="H108" s="190"/>
      <c r="I108" s="190"/>
      <c r="J108" s="187" t="s">
        <v>3044</v>
      </c>
      <c r="K108" s="187" t="s">
        <v>6664</v>
      </c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IFERROR(__xludf.DUMMYFUNCTION("ifna(VALUE(REGEXEXTRACT(E108,""[0-9.]+[,]+[0-9]+"")))"),10.0)</f>
        <v>10</v>
      </c>
      <c r="O108" s="332"/>
      <c r="P108" s="332"/>
      <c r="Q108" s="332"/>
      <c r="R108" s="321"/>
      <c r="S108" s="332"/>
      <c r="V108" s="281"/>
      <c r="W108" s="185"/>
    </row>
    <row r="109" ht="15.75" customHeight="1">
      <c r="A109" s="178"/>
      <c r="B109" s="10">
        <v>1843837.0</v>
      </c>
      <c r="C109" s="11">
        <v>45997.757060185184</v>
      </c>
      <c r="D109" s="179" t="s">
        <v>50</v>
      </c>
      <c r="E109" s="180" t="s">
        <v>6797</v>
      </c>
      <c r="F109" s="181"/>
      <c r="G109" s="179" t="s">
        <v>6513</v>
      </c>
      <c r="H109" s="190"/>
      <c r="I109" s="190"/>
      <c r="J109" s="187" t="s">
        <v>3044</v>
      </c>
      <c r="K109" s="187" t="s">
        <v>7052</v>
      </c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IFERROR(__xludf.DUMMYFUNCTION("ifna(VALUE(REGEXEXTRACT(E109,""[0-9.]+[,]+[0-9]+"")))"),9.97)</f>
        <v>9.97</v>
      </c>
      <c r="O109" s="333"/>
      <c r="P109" s="331"/>
      <c r="Q109" s="331"/>
      <c r="R109" s="317"/>
      <c r="S109" s="331"/>
      <c r="V109" s="279"/>
      <c r="W109" s="185"/>
    </row>
    <row r="110" ht="14.25" customHeight="1">
      <c r="A110" s="178"/>
      <c r="B110" s="10">
        <v>1844568.0</v>
      </c>
      <c r="C110" s="11">
        <v>45997.89003472222</v>
      </c>
      <c r="D110" s="179" t="s">
        <v>50</v>
      </c>
      <c r="E110" s="180" t="s">
        <v>7476</v>
      </c>
      <c r="F110" s="181"/>
      <c r="G110" s="179" t="s">
        <v>7477</v>
      </c>
      <c r="H110" s="190"/>
      <c r="I110" s="190"/>
      <c r="J110" s="187" t="s">
        <v>3903</v>
      </c>
      <c r="K110" s="187"/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"""")"),"Encontrada")</f>
        <v>Encontrada</v>
      </c>
      <c r="N110" s="185">
        <f>IFERROR(__xludf.DUMMYFUNCTION("ifna(VALUE(REGEXEXTRACT(E110,""[0-9.]+[,]+[0-9]+"")))"),315.52)</f>
        <v>315.52</v>
      </c>
      <c r="O110" s="332"/>
      <c r="P110" s="332"/>
      <c r="Q110" s="332"/>
      <c r="R110" s="321"/>
      <c r="S110" s="332"/>
      <c r="V110" s="281"/>
      <c r="W110" s="185"/>
    </row>
    <row r="111" ht="17.25" customHeight="1">
      <c r="A111" s="178"/>
      <c r="B111" s="10">
        <v>1844579.0</v>
      </c>
      <c r="C111" s="11">
        <v>45997.89065972222</v>
      </c>
      <c r="D111" s="179" t="s">
        <v>50</v>
      </c>
      <c r="E111" s="180" t="s">
        <v>7478</v>
      </c>
      <c r="F111" s="181"/>
      <c r="G111" s="179" t="s">
        <v>7479</v>
      </c>
      <c r="H111" s="190"/>
      <c r="I111" s="190"/>
      <c r="J111" s="187" t="s">
        <v>3903</v>
      </c>
      <c r="K111" s="187"/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85">
        <f>IFERROR(__xludf.DUMMYFUNCTION("ifna(VALUE(REGEXEXTRACT(E111,""[0-9.]+[,]+[0-9]+"")))"),17.35)</f>
        <v>17.35</v>
      </c>
      <c r="O111" s="331"/>
      <c r="P111" s="331"/>
      <c r="Q111" s="331"/>
      <c r="R111" s="317"/>
      <c r="S111" s="331"/>
      <c r="V111" s="279"/>
      <c r="W111" s="185"/>
    </row>
    <row r="112" ht="14.25" customHeight="1">
      <c r="A112" s="178"/>
      <c r="B112" s="10">
        <v>1844594.0</v>
      </c>
      <c r="C112" s="11">
        <v>45997.893009259256</v>
      </c>
      <c r="D112" s="179" t="s">
        <v>50</v>
      </c>
      <c r="E112" s="180" t="s">
        <v>4019</v>
      </c>
      <c r="F112" s="181"/>
      <c r="G112" s="179" t="s">
        <v>7481</v>
      </c>
      <c r="H112" s="190"/>
      <c r="I112" s="190"/>
      <c r="J112" s="187" t="s">
        <v>3825</v>
      </c>
      <c r="K112" s="187"/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IFERROR(__xludf.DUMMYFUNCTION("ifna(VALUE(REGEXEXTRACT(E112,""[0-9.]+[,]+[0-9]+"")))"),117.0)</f>
        <v>117</v>
      </c>
      <c r="O112" s="332"/>
      <c r="P112" s="332"/>
      <c r="Q112" s="332"/>
      <c r="R112" s="321"/>
      <c r="S112" s="332"/>
      <c r="V112" s="281"/>
      <c r="W112" s="185"/>
    </row>
    <row r="113" ht="14.25" customHeight="1">
      <c r="A113" s="178"/>
      <c r="B113" s="10">
        <v>1844597.0</v>
      </c>
      <c r="C113" s="11">
        <v>45997.89349537037</v>
      </c>
      <c r="D113" s="179" t="s">
        <v>50</v>
      </c>
      <c r="E113" s="180" t="s">
        <v>4019</v>
      </c>
      <c r="F113" s="181"/>
      <c r="G113" s="179" t="s">
        <v>7484</v>
      </c>
      <c r="H113" s="190"/>
      <c r="I113" s="190"/>
      <c r="J113" s="187" t="s">
        <v>3825</v>
      </c>
      <c r="K113" s="187"/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IFERROR(__xludf.DUMMYFUNCTION("ifna(VALUE(REGEXEXTRACT(E113,""[0-9.]+[,]+[0-9]+"")))"),117.0)</f>
        <v>117</v>
      </c>
      <c r="O113" s="331"/>
      <c r="P113" s="331"/>
      <c r="Q113" s="331"/>
      <c r="R113" s="331"/>
      <c r="S113" s="331"/>
      <c r="V113" s="279"/>
      <c r="W113" s="185"/>
    </row>
    <row r="114" ht="14.25" customHeight="1">
      <c r="A114" s="178"/>
      <c r="B114" s="10">
        <v>1844702.0</v>
      </c>
      <c r="C114" s="11">
        <v>45997.90877314815</v>
      </c>
      <c r="D114" s="179" t="s">
        <v>50</v>
      </c>
      <c r="E114" s="180" t="s">
        <v>7486</v>
      </c>
      <c r="F114" s="181"/>
      <c r="G114" s="179" t="s">
        <v>7487</v>
      </c>
      <c r="H114" s="190"/>
      <c r="I114" s="190"/>
      <c r="J114" s="187" t="s">
        <v>3746</v>
      </c>
      <c r="K114" s="187" t="s">
        <v>7052</v>
      </c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"),"Depositada")</f>
        <v>Depositada</v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IFERROR(__xludf.DUMMYFUNCTION("ifna(VALUE(REGEXEXTRACT(E114,""[0-9.]+[,]+[0-9]+"")))"),1700.0)</f>
        <v>1700</v>
      </c>
      <c r="O114" s="332"/>
      <c r="P114" s="332"/>
      <c r="Q114" s="332"/>
      <c r="R114" s="332"/>
      <c r="S114" s="332"/>
      <c r="V114" s="281"/>
      <c r="W114" s="185"/>
    </row>
    <row r="115" ht="14.25" customHeight="1">
      <c r="A115" s="178"/>
      <c r="B115" s="10">
        <v>1844736.0</v>
      </c>
      <c r="C115" s="11">
        <v>45997.91226851852</v>
      </c>
      <c r="D115" s="179" t="s">
        <v>50</v>
      </c>
      <c r="E115" s="180" t="s">
        <v>943</v>
      </c>
      <c r="F115" s="181"/>
      <c r="G115" s="179" t="s">
        <v>6513</v>
      </c>
      <c r="H115" s="190"/>
      <c r="I115" s="190"/>
      <c r="J115" s="187" t="s">
        <v>3044</v>
      </c>
      <c r="K115" s="187" t="s">
        <v>7052</v>
      </c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IFERROR(__xludf.DUMMYFUNCTION("ifna(VALUE(REGEXEXTRACT(E115,""[0-9.]+[,]+[0-9]+"")))"),12.0)</f>
        <v>12</v>
      </c>
      <c r="O115" s="331"/>
      <c r="P115" s="331"/>
      <c r="Q115" s="331"/>
      <c r="R115" s="331"/>
      <c r="S115" s="331"/>
      <c r="V115" s="279"/>
      <c r="W115" s="185"/>
    </row>
    <row r="116" ht="14.25" customHeight="1">
      <c r="A116" s="178"/>
      <c r="B116" s="10">
        <v>1846952.0</v>
      </c>
      <c r="C116" s="11">
        <v>45998.793032407404</v>
      </c>
      <c r="D116" s="179" t="s">
        <v>50</v>
      </c>
      <c r="E116" s="180" t="s">
        <v>7489</v>
      </c>
      <c r="F116" s="181"/>
      <c r="G116" s="179" t="s">
        <v>6513</v>
      </c>
      <c r="H116" s="190"/>
      <c r="I116" s="190"/>
      <c r="J116" s="187" t="s">
        <v>3044</v>
      </c>
      <c r="K116" s="187" t="s">
        <v>7052</v>
      </c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IFERROR(__xludf.DUMMYFUNCTION("ifna(VALUE(REGEXEXTRACT(E116,""[0-9.]+[,]+[0-9]+"")))"),23.4)</f>
        <v>23.4</v>
      </c>
      <c r="O116" s="332"/>
      <c r="P116" s="332"/>
      <c r="Q116" s="332"/>
      <c r="R116" s="332"/>
      <c r="S116" s="332"/>
      <c r="V116" s="281"/>
      <c r="W116" s="185"/>
    </row>
    <row r="117" ht="14.25" customHeight="1">
      <c r="A117" s="178"/>
      <c r="B117" s="10">
        <v>1847373.0</v>
      </c>
      <c r="C117" s="11">
        <v>45998.84873842593</v>
      </c>
      <c r="D117" s="179" t="s">
        <v>50</v>
      </c>
      <c r="E117" s="180" t="s">
        <v>427</v>
      </c>
      <c r="F117" s="181"/>
      <c r="G117" s="179" t="s">
        <v>6446</v>
      </c>
      <c r="H117" s="190"/>
      <c r="I117" s="190"/>
      <c r="J117" s="187" t="s">
        <v>3044</v>
      </c>
      <c r="K117" s="187" t="s">
        <v>6664</v>
      </c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IFERROR(__xludf.DUMMYFUNCTION("ifna(VALUE(REGEXEXTRACT(E117,""[0-9.]+[,]+[0-9]+"")))"),15.0)</f>
        <v>15</v>
      </c>
      <c r="O117" s="334"/>
      <c r="P117" s="335"/>
      <c r="Q117" s="336"/>
      <c r="R117" s="331"/>
      <c r="S117" s="331"/>
      <c r="V117" s="279"/>
      <c r="W117" s="185"/>
    </row>
    <row r="118" ht="14.25" customHeight="1">
      <c r="A118" s="178"/>
      <c r="B118" s="10">
        <v>1847398.0</v>
      </c>
      <c r="C118" s="11">
        <v>45998.85207175926</v>
      </c>
      <c r="D118" s="179" t="s">
        <v>50</v>
      </c>
      <c r="E118" s="180" t="s">
        <v>6960</v>
      </c>
      <c r="F118" s="181"/>
      <c r="G118" s="179" t="s">
        <v>7493</v>
      </c>
      <c r="H118" s="190"/>
      <c r="I118" s="190"/>
      <c r="J118" s="187" t="s">
        <v>3825</v>
      </c>
      <c r="K118" s="187"/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IFERROR(__xludf.DUMMYFUNCTION("ifna(VALUE(REGEXEXTRACT(E118,""[0-9.]+[,]+[0-9]+"")))"),97.0)</f>
        <v>97</v>
      </c>
      <c r="O118" s="325"/>
      <c r="P118" s="326"/>
      <c r="Q118" s="337"/>
      <c r="R118" s="332"/>
      <c r="S118" s="332"/>
      <c r="V118" s="281"/>
      <c r="W118" s="185"/>
    </row>
    <row r="119" ht="14.25" customHeight="1">
      <c r="A119" s="178"/>
      <c r="B119" s="10">
        <v>1848038.0</v>
      </c>
      <c r="C119" s="11">
        <v>45998.92107638889</v>
      </c>
      <c r="D119" s="179" t="s">
        <v>50</v>
      </c>
      <c r="E119" s="180" t="s">
        <v>6612</v>
      </c>
      <c r="F119" s="181"/>
      <c r="G119" s="179" t="s">
        <v>7496</v>
      </c>
      <c r="H119" s="190"/>
      <c r="I119" s="190"/>
      <c r="J119" s="187" t="s">
        <v>3746</v>
      </c>
      <c r="K119" s="187" t="s">
        <v>7058</v>
      </c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"),"Confirmada")</f>
        <v>Confirmada</v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IFERROR(__xludf.DUMMYFUNCTION("ifna(VALUE(REGEXEXTRACT(E119,""[0-9.]+[,]+[0-9]+"")))"),2000.0)</f>
        <v>2000</v>
      </c>
      <c r="O119" s="331"/>
      <c r="P119" s="331"/>
      <c r="Q119" s="331"/>
      <c r="R119" s="331"/>
      <c r="S119" s="331"/>
      <c r="V119" s="279"/>
      <c r="W119" s="185"/>
    </row>
    <row r="120" ht="14.25" customHeight="1">
      <c r="A120" s="178"/>
      <c r="B120" s="10">
        <v>1848046.0</v>
      </c>
      <c r="C120" s="11">
        <v>45998.921747685185</v>
      </c>
      <c r="D120" s="179" t="s">
        <v>50</v>
      </c>
      <c r="E120" s="180" t="s">
        <v>624</v>
      </c>
      <c r="F120" s="181"/>
      <c r="G120" s="179" t="s">
        <v>7497</v>
      </c>
      <c r="H120" s="190"/>
      <c r="I120" s="190"/>
      <c r="J120" s="187" t="s">
        <v>3825</v>
      </c>
      <c r="K120" s="187"/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IFERROR(__xludf.DUMMYFUNCTION("ifna(VALUE(REGEXEXTRACT(E120,""[0-9.]+[,]+[0-9]+"")))"),130.0)</f>
        <v>130</v>
      </c>
      <c r="O120" s="332"/>
      <c r="P120" s="332"/>
      <c r="Q120" s="332"/>
      <c r="R120" s="332"/>
      <c r="S120" s="332"/>
      <c r="V120" s="281"/>
      <c r="W120" s="185"/>
    </row>
    <row r="121" ht="14.25" customHeight="1">
      <c r="A121" s="178"/>
      <c r="B121" s="10">
        <v>1848051.0</v>
      </c>
      <c r="C121" s="11">
        <v>45998.92197916667</v>
      </c>
      <c r="D121" s="179" t="s">
        <v>50</v>
      </c>
      <c r="E121" s="180" t="s">
        <v>624</v>
      </c>
      <c r="F121" s="181"/>
      <c r="G121" s="179" t="s">
        <v>7498</v>
      </c>
      <c r="H121" s="190"/>
      <c r="I121" s="190"/>
      <c r="J121" s="187" t="s">
        <v>3825</v>
      </c>
      <c r="K121" s="187"/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IFERROR(__xludf.DUMMYFUNCTION("ifna(VALUE(REGEXEXTRACT(E121,""[0-9.]+[,]+[0-9]+"")))"),130.0)</f>
        <v>130</v>
      </c>
      <c r="O121" s="331"/>
      <c r="P121" s="331"/>
      <c r="Q121" s="331"/>
      <c r="R121" s="331"/>
      <c r="S121" s="331"/>
      <c r="V121" s="279"/>
      <c r="W121" s="185"/>
    </row>
    <row r="122" ht="14.25" customHeight="1">
      <c r="A122" s="178"/>
      <c r="B122" s="10">
        <v>1848194.0</v>
      </c>
      <c r="C122" s="11">
        <v>45998.928611111114</v>
      </c>
      <c r="D122" s="179" t="s">
        <v>227</v>
      </c>
      <c r="E122" s="180" t="s">
        <v>7499</v>
      </c>
      <c r="F122" s="181"/>
      <c r="G122" s="179" t="s">
        <v>7500</v>
      </c>
      <c r="H122" s="190"/>
      <c r="I122" s="190"/>
      <c r="J122" s="187" t="s">
        <v>4159</v>
      </c>
      <c r="K122" s="187"/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IFERROR(__xludf.DUMMYFUNCTION("ifna(VALUE(REGEXEXTRACT(E122,""[0-9.]+[,]+[0-9]+"")))"),420.0)</f>
        <v>420</v>
      </c>
      <c r="O122" s="332"/>
      <c r="P122" s="332"/>
      <c r="Q122" s="332"/>
      <c r="R122" s="332"/>
      <c r="S122" s="332"/>
      <c r="V122" s="281"/>
      <c r="W122" s="185"/>
    </row>
    <row r="123" ht="14.25" customHeight="1">
      <c r="A123" s="178"/>
      <c r="B123" s="10">
        <v>1849182.0</v>
      </c>
      <c r="C123" s="11">
        <v>45999.59831018518</v>
      </c>
      <c r="D123" s="179" t="s">
        <v>50</v>
      </c>
      <c r="E123" s="180" t="s">
        <v>6965</v>
      </c>
      <c r="F123" s="181"/>
      <c r="G123" s="179" t="s">
        <v>6513</v>
      </c>
      <c r="H123" s="190"/>
      <c r="I123" s="190"/>
      <c r="J123" s="187" t="s">
        <v>3044</v>
      </c>
      <c r="K123" s="187" t="s">
        <v>7052</v>
      </c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IFERROR(__xludf.DUMMYFUNCTION("ifna(VALUE(REGEXEXTRACT(E123,""[0-9.]+[,]+[0-9]+"")))"),20.9)</f>
        <v>20.9</v>
      </c>
      <c r="O123" s="331"/>
      <c r="P123" s="331"/>
      <c r="Q123" s="331"/>
      <c r="R123" s="331"/>
      <c r="S123" s="331"/>
      <c r="V123" s="279"/>
      <c r="W123" s="185"/>
    </row>
    <row r="124" ht="14.25" customHeight="1">
      <c r="A124" s="178"/>
      <c r="B124" s="10">
        <v>1849282.0</v>
      </c>
      <c r="C124" s="11">
        <v>45999.63079861111</v>
      </c>
      <c r="D124" s="179" t="s">
        <v>50</v>
      </c>
      <c r="E124" s="180" t="s">
        <v>7503</v>
      </c>
      <c r="F124" s="188"/>
      <c r="G124" s="179" t="s">
        <v>7504</v>
      </c>
      <c r="H124" s="190"/>
      <c r="I124" s="190"/>
      <c r="J124" s="187" t="s">
        <v>3903</v>
      </c>
      <c r="K124" s="187"/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85">
        <f>IFERROR(__xludf.DUMMYFUNCTION("ifna(VALUE(REGEXEXTRACT(E124,""[0-9.]+[,]+[0-9]+"")))"),307.5)</f>
        <v>307.5</v>
      </c>
      <c r="O124" s="332"/>
      <c r="P124" s="332"/>
      <c r="Q124" s="332"/>
      <c r="R124" s="332"/>
      <c r="S124" s="332"/>
      <c r="V124" s="281"/>
      <c r="W124" s="185"/>
    </row>
    <row r="125" ht="14.25" customHeight="1">
      <c r="A125" s="178"/>
      <c r="B125" s="10">
        <v>1849794.0</v>
      </c>
      <c r="C125" s="11">
        <v>45999.76280092593</v>
      </c>
      <c r="D125" s="179" t="s">
        <v>50</v>
      </c>
      <c r="E125" s="180" t="s">
        <v>6382</v>
      </c>
      <c r="F125" s="181"/>
      <c r="G125" s="179" t="s">
        <v>7505</v>
      </c>
      <c r="H125" s="190"/>
      <c r="I125" s="190"/>
      <c r="J125" s="187" t="s">
        <v>3825</v>
      </c>
      <c r="K125" s="187"/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IFERROR(__xludf.DUMMYFUNCTION("ifna(VALUE(REGEXEXTRACT(E125,""[0-9.]+[,]+[0-9]+"")))"),65.0)</f>
        <v>65</v>
      </c>
      <c r="O125" s="331"/>
      <c r="P125" s="331"/>
      <c r="Q125" s="331"/>
      <c r="R125" s="331"/>
      <c r="S125" s="331"/>
      <c r="V125" s="279"/>
      <c r="W125" s="185"/>
    </row>
    <row r="126" ht="16.5" customHeight="1">
      <c r="A126" s="178"/>
      <c r="B126" s="10">
        <v>1850218.0</v>
      </c>
      <c r="C126" s="11">
        <v>45999.89493055556</v>
      </c>
      <c r="D126" s="179" t="s">
        <v>50</v>
      </c>
      <c r="E126" s="180" t="s">
        <v>4300</v>
      </c>
      <c r="F126" s="181"/>
      <c r="G126" s="179" t="s">
        <v>7506</v>
      </c>
      <c r="H126" s="190"/>
      <c r="I126" s="190"/>
      <c r="J126" s="187" t="s">
        <v>3825</v>
      </c>
      <c r="K126" s="187"/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IFERROR(__xludf.DUMMYFUNCTION("ifna(VALUE(REGEXEXTRACT(E126,""[0-9.]+[,]+[0-9]+"")))"),104.0)</f>
        <v>104</v>
      </c>
      <c r="O126" s="332"/>
      <c r="P126" s="332"/>
      <c r="Q126" s="332"/>
      <c r="R126" s="332"/>
      <c r="S126" s="332"/>
      <c r="V126" s="281"/>
      <c r="W126" s="185"/>
    </row>
    <row r="127" ht="18.75" customHeight="1">
      <c r="A127" s="178"/>
      <c r="B127" s="10">
        <v>1850222.0</v>
      </c>
      <c r="C127" s="11">
        <v>45999.895416666666</v>
      </c>
      <c r="D127" s="179" t="s">
        <v>50</v>
      </c>
      <c r="E127" s="180" t="s">
        <v>4300</v>
      </c>
      <c r="F127" s="181"/>
      <c r="G127" s="179" t="s">
        <v>7509</v>
      </c>
      <c r="H127" s="190"/>
      <c r="I127" s="190"/>
      <c r="J127" s="187" t="s">
        <v>3825</v>
      </c>
      <c r="K127" s="187"/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IFERROR(__xludf.DUMMYFUNCTION("ifna(VALUE(REGEXEXTRACT(E127,""[0-9.]+[,]+[0-9]+"")))"),104.0)</f>
        <v>104</v>
      </c>
      <c r="O127" s="331"/>
      <c r="P127" s="331"/>
      <c r="Q127" s="331"/>
      <c r="R127" s="331"/>
      <c r="S127" s="331"/>
      <c r="V127" s="279"/>
      <c r="W127" s="185"/>
    </row>
    <row r="128" ht="17.25" customHeight="1">
      <c r="A128" s="178"/>
      <c r="B128" s="10">
        <v>1851747.0</v>
      </c>
      <c r="C128" s="11">
        <v>46000.892372685186</v>
      </c>
      <c r="D128" s="179" t="s">
        <v>50</v>
      </c>
      <c r="E128" s="180" t="s">
        <v>194</v>
      </c>
      <c r="F128" s="181"/>
      <c r="G128" s="179" t="s">
        <v>7511</v>
      </c>
      <c r="H128" s="190"/>
      <c r="I128" s="190"/>
      <c r="J128" s="187" t="s">
        <v>3903</v>
      </c>
      <c r="K128" s="187"/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85">
        <f>IFERROR(__xludf.DUMMYFUNCTION("ifna(VALUE(REGEXEXTRACT(E128,""[0-9.]+[,]+[0-9]+"")))"),250.0)</f>
        <v>250</v>
      </c>
      <c r="O128" s="332"/>
      <c r="P128" s="332"/>
      <c r="Q128" s="332"/>
      <c r="R128" s="332"/>
      <c r="S128" s="332"/>
      <c r="V128" s="281"/>
      <c r="W128" s="185"/>
    </row>
    <row r="129" ht="17.25" customHeight="1">
      <c r="A129" s="178"/>
      <c r="B129" s="10">
        <v>1851875.0</v>
      </c>
      <c r="C129" s="11">
        <v>46000.91677083333</v>
      </c>
      <c r="D129" s="179" t="s">
        <v>50</v>
      </c>
      <c r="E129" s="180" t="s">
        <v>7512</v>
      </c>
      <c r="F129" s="188"/>
      <c r="G129" s="179" t="s">
        <v>6826</v>
      </c>
      <c r="H129" s="190"/>
      <c r="I129" s="190"/>
      <c r="J129" s="187" t="s">
        <v>3044</v>
      </c>
      <c r="K129" s="187" t="s">
        <v>6340</v>
      </c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IFERROR(__xludf.DUMMYFUNCTION("ifna(VALUE(REGEXEXTRACT(E129,""[0-9.]+[,]+[0-9]+"")))"),61.34)</f>
        <v>61.34</v>
      </c>
      <c r="O129" s="331"/>
      <c r="P129" s="331"/>
      <c r="Q129" s="331"/>
      <c r="R129" s="331"/>
      <c r="S129" s="331"/>
      <c r="V129" s="279"/>
      <c r="W129" s="185"/>
    </row>
    <row r="130" ht="14.25" customHeight="1">
      <c r="A130" s="178"/>
      <c r="B130" s="10">
        <v>1851880.0</v>
      </c>
      <c r="C130" s="11">
        <v>46000.91758101852</v>
      </c>
      <c r="D130" s="179" t="s">
        <v>50</v>
      </c>
      <c r="E130" s="180" t="s">
        <v>7513</v>
      </c>
      <c r="F130" s="181"/>
      <c r="G130" s="179" t="s">
        <v>4960</v>
      </c>
      <c r="H130" s="190"/>
      <c r="I130" s="190"/>
      <c r="J130" s="187" t="s">
        <v>3044</v>
      </c>
      <c r="K130" s="187" t="s">
        <v>7058</v>
      </c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IFERROR(__xludf.DUMMYFUNCTION("ifna(VALUE(REGEXEXTRACT(E130,""[0-9.]+[,]+[0-9]+"")))"),41.41)</f>
        <v>41.41</v>
      </c>
      <c r="O130" s="332"/>
      <c r="P130" s="332"/>
      <c r="Q130" s="332"/>
      <c r="R130" s="332"/>
      <c r="S130" s="332"/>
      <c r="V130" s="281"/>
      <c r="W130" s="185"/>
    </row>
    <row r="131" ht="14.25" customHeight="1">
      <c r="A131" s="178"/>
      <c r="B131" s="10">
        <v>1852305.0</v>
      </c>
      <c r="C131" s="11">
        <v>46001.520891203705</v>
      </c>
      <c r="D131" s="179" t="s">
        <v>50</v>
      </c>
      <c r="E131" s="180" t="s">
        <v>943</v>
      </c>
      <c r="F131" s="181"/>
      <c r="G131" s="179" t="s">
        <v>6513</v>
      </c>
      <c r="H131" s="190"/>
      <c r="I131" s="190"/>
      <c r="J131" s="187" t="s">
        <v>3044</v>
      </c>
      <c r="K131" s="187" t="s">
        <v>7052</v>
      </c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IFERROR(__xludf.DUMMYFUNCTION("ifna(VALUE(REGEXEXTRACT(E131,""[0-9.]+[,]+[0-9]+"")))"),12.0)</f>
        <v>12</v>
      </c>
      <c r="O131" s="331"/>
      <c r="P131" s="331"/>
      <c r="Q131" s="331"/>
      <c r="R131" s="331"/>
      <c r="S131" s="331"/>
      <c r="V131" s="279"/>
      <c r="W131" s="185"/>
    </row>
    <row r="132" ht="14.25" customHeight="1">
      <c r="A132" s="178"/>
      <c r="B132" s="10">
        <v>1852315.0</v>
      </c>
      <c r="C132" s="11">
        <v>46001.529502314814</v>
      </c>
      <c r="D132" s="179" t="s">
        <v>50</v>
      </c>
      <c r="E132" s="180" t="s">
        <v>7517</v>
      </c>
      <c r="F132" s="181"/>
      <c r="G132" s="179" t="s">
        <v>7518</v>
      </c>
      <c r="H132" s="190"/>
      <c r="I132" s="190"/>
      <c r="J132" s="187" t="s">
        <v>3903</v>
      </c>
      <c r="K132" s="187"/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"""")"),"Encontrada")</f>
        <v>Encontrada</v>
      </c>
      <c r="N132" s="185">
        <f>IFERROR(__xludf.DUMMYFUNCTION("ifna(VALUE(REGEXEXTRACT(E132,""[0-9.]+[,]+[0-9]+"")))"),260.71)</f>
        <v>260.71</v>
      </c>
      <c r="O132" s="332"/>
      <c r="P132" s="332"/>
      <c r="Q132" s="332"/>
      <c r="R132" s="332"/>
      <c r="S132" s="332"/>
      <c r="V132" s="281"/>
      <c r="W132" s="185"/>
    </row>
    <row r="133" ht="14.25" customHeight="1">
      <c r="A133" s="178"/>
      <c r="B133" s="10">
        <v>1852320.0</v>
      </c>
      <c r="C133" s="11">
        <v>46001.53193287037</v>
      </c>
      <c r="D133" s="179" t="s">
        <v>50</v>
      </c>
      <c r="E133" s="180" t="s">
        <v>205</v>
      </c>
      <c r="F133" s="181"/>
      <c r="G133" s="179" t="s">
        <v>6446</v>
      </c>
      <c r="H133" s="190"/>
      <c r="I133" s="190"/>
      <c r="J133" s="187" t="s">
        <v>3044</v>
      </c>
      <c r="K133" s="187" t="s">
        <v>6664</v>
      </c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IFERROR(__xludf.DUMMYFUNCTION("ifna(VALUE(REGEXEXTRACT(E133,""[0-9.]+[,]+[0-9]+"")))"),10.0)</f>
        <v>10</v>
      </c>
      <c r="O133" s="331"/>
      <c r="P133" s="331"/>
      <c r="Q133" s="331"/>
      <c r="R133" s="331"/>
      <c r="S133" s="331"/>
      <c r="V133" s="279"/>
      <c r="W133" s="185"/>
    </row>
    <row r="134" ht="14.25" customHeight="1">
      <c r="A134" s="178"/>
      <c r="B134" s="10">
        <v>1852477.0</v>
      </c>
      <c r="C134" s="11">
        <v>46001.634571759256</v>
      </c>
      <c r="D134" s="179" t="s">
        <v>50</v>
      </c>
      <c r="E134" s="180" t="s">
        <v>670</v>
      </c>
      <c r="F134" s="181"/>
      <c r="G134" s="179" t="s">
        <v>6513</v>
      </c>
      <c r="H134" s="190"/>
      <c r="I134" s="190"/>
      <c r="J134" s="187" t="s">
        <v>3044</v>
      </c>
      <c r="K134" s="187" t="s">
        <v>6664</v>
      </c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IFERROR(__xludf.DUMMYFUNCTION("ifna(VALUE(REGEXEXTRACT(E134,""[0-9.]+[,]+[0-9]+"")))"),9.58)</f>
        <v>9.58</v>
      </c>
      <c r="O134" s="332"/>
      <c r="P134" s="332"/>
      <c r="Q134" s="332"/>
      <c r="R134" s="332"/>
      <c r="S134" s="332"/>
      <c r="V134" s="281"/>
      <c r="W134" s="185"/>
    </row>
    <row r="135" ht="14.25" customHeight="1">
      <c r="A135" s="178"/>
      <c r="B135" s="10">
        <v>1852668.0</v>
      </c>
      <c r="C135" s="11">
        <v>46001.70512731482</v>
      </c>
      <c r="D135" s="179" t="s">
        <v>50</v>
      </c>
      <c r="E135" s="180" t="s">
        <v>157</v>
      </c>
      <c r="F135" s="181"/>
      <c r="G135" s="179" t="s">
        <v>6593</v>
      </c>
      <c r="H135" s="190"/>
      <c r="I135" s="190"/>
      <c r="J135" s="187" t="s">
        <v>3044</v>
      </c>
      <c r="K135" s="187" t="s">
        <v>6664</v>
      </c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IFERROR(__xludf.DUMMYFUNCTION("ifna(VALUE(REGEXEXTRACT(E135,""[0-9.]+[,]+[0-9]+"")))"),5.0)</f>
        <v>5</v>
      </c>
      <c r="O135" s="331"/>
      <c r="P135" s="331"/>
      <c r="Q135" s="331"/>
      <c r="R135" s="331"/>
      <c r="S135" s="331"/>
      <c r="V135" s="279"/>
      <c r="W135" s="185"/>
    </row>
    <row r="136" ht="14.25" customHeight="1">
      <c r="A136" s="178"/>
      <c r="B136" s="346"/>
      <c r="C136" s="347"/>
      <c r="D136" s="348"/>
      <c r="E136" s="349"/>
      <c r="F136" s="348"/>
      <c r="G136" s="348"/>
      <c r="H136" s="190"/>
      <c r="I136" s="190"/>
      <c r="J136" s="187"/>
      <c r="K136" s="187"/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 t="str">
        <f>IFERROR(__xludf.DUMMYFUNCTION("ifna(VALUE(REGEXEXTRACT(E136,""[0-9.]+[,]+[0-9]+"")))"),"")</f>
        <v/>
      </c>
      <c r="O136" s="332"/>
      <c r="P136" s="332"/>
      <c r="Q136" s="332"/>
      <c r="R136" s="332"/>
      <c r="S136" s="332"/>
      <c r="V136" s="281"/>
      <c r="W136" s="185"/>
    </row>
    <row r="137" ht="14.25" customHeight="1">
      <c r="A137" s="178"/>
      <c r="B137" s="10">
        <v>1852669.0</v>
      </c>
      <c r="C137" s="11">
        <v>46001.705625</v>
      </c>
      <c r="D137" s="179" t="s">
        <v>50</v>
      </c>
      <c r="E137" s="180" t="s">
        <v>494</v>
      </c>
      <c r="F137" s="188"/>
      <c r="G137" s="179" t="s">
        <v>7528</v>
      </c>
      <c r="H137" s="190"/>
      <c r="I137" s="190"/>
      <c r="J137" s="187"/>
      <c r="K137" s="187"/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IFERROR(__xludf.DUMMYFUNCTION("ifna(VALUE(REGEXEXTRACT(E137,""[0-9.]+[,]+[0-9]+"")))"),0.01)</f>
        <v>0.01</v>
      </c>
      <c r="O137" s="24"/>
      <c r="P137" s="24"/>
      <c r="Q137" s="24"/>
      <c r="R137" s="24"/>
      <c r="S137" s="24"/>
      <c r="T137" s="24"/>
      <c r="U137" s="185"/>
      <c r="V137" s="185"/>
      <c r="W137" s="185"/>
    </row>
    <row r="138" ht="14.25" customHeight="1">
      <c r="A138" s="178"/>
      <c r="B138" s="10">
        <v>1854954.0</v>
      </c>
      <c r="C138" s="11">
        <v>46002.80912037037</v>
      </c>
      <c r="D138" s="179" t="s">
        <v>50</v>
      </c>
      <c r="E138" s="180" t="s">
        <v>4847</v>
      </c>
      <c r="F138" s="181"/>
      <c r="G138" s="179" t="s">
        <v>7416</v>
      </c>
      <c r="H138" s="190"/>
      <c r="I138" s="190"/>
      <c r="J138" s="187" t="s">
        <v>3467</v>
      </c>
      <c r="K138" s="187"/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IFERROR(__xludf.DUMMYFUNCTION("ifna(VALUE(REGEXEXTRACT(E138,""[0-9.]+[,]+[0-9]+"")))"),23.77)</f>
        <v>23.77</v>
      </c>
      <c r="O138" s="24"/>
      <c r="P138" s="24"/>
      <c r="Q138" s="24"/>
      <c r="R138" s="24"/>
      <c r="S138" s="24"/>
      <c r="T138" s="24"/>
      <c r="U138" s="185"/>
      <c r="V138" s="185"/>
      <c r="W138" s="185"/>
    </row>
    <row r="139" ht="14.25" customHeight="1">
      <c r="A139" s="178"/>
      <c r="B139" s="10">
        <v>1855058.0</v>
      </c>
      <c r="C139" s="11">
        <v>46002.841898148145</v>
      </c>
      <c r="D139" s="179" t="s">
        <v>50</v>
      </c>
      <c r="E139" s="180" t="s">
        <v>7419</v>
      </c>
      <c r="F139" s="188"/>
      <c r="G139" s="179" t="s">
        <v>7420</v>
      </c>
      <c r="H139" s="190"/>
      <c r="I139" s="190"/>
      <c r="J139" s="187" t="s">
        <v>3903</v>
      </c>
      <c r="K139" s="187"/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"""")"),"Encontrada")</f>
        <v>Encontrada</v>
      </c>
      <c r="N139" s="185">
        <f>IFERROR(__xludf.DUMMYFUNCTION("ifna(VALUE(REGEXEXTRACT(E139,""[0-9.]+[,]+[0-9]+"")))"),58.79)</f>
        <v>58.79</v>
      </c>
      <c r="O139" s="185"/>
      <c r="P139" s="185"/>
      <c r="Q139" s="185"/>
      <c r="R139" s="185"/>
      <c r="S139" s="185"/>
      <c r="T139" s="185"/>
      <c r="U139" s="185"/>
      <c r="V139" s="185"/>
      <c r="W139" s="185"/>
    </row>
    <row r="140" ht="14.25" customHeight="1">
      <c r="A140" s="178"/>
      <c r="B140" s="10">
        <v>1855070.0</v>
      </c>
      <c r="C140" s="11">
        <v>46002.84619212963</v>
      </c>
      <c r="D140" s="179" t="s">
        <v>50</v>
      </c>
      <c r="E140" s="180" t="s">
        <v>7425</v>
      </c>
      <c r="F140" s="181"/>
      <c r="G140" s="179" t="s">
        <v>7426</v>
      </c>
      <c r="H140" s="190"/>
      <c r="I140" s="190"/>
      <c r="J140" s="187" t="s">
        <v>3903</v>
      </c>
      <c r="K140" s="187"/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"""")"),"Encontrada")</f>
        <v>Encontrada</v>
      </c>
      <c r="N140" s="185">
        <f>IFERROR(__xludf.DUMMYFUNCTION("ifna(VALUE(REGEXEXTRACT(E140,""[0-9.]+[,]+[0-9]+"")))"),5.7)</f>
        <v>5.7</v>
      </c>
      <c r="O140" s="185"/>
      <c r="P140" s="185"/>
      <c r="Q140" s="185"/>
      <c r="R140" s="185"/>
      <c r="S140" s="185"/>
      <c r="T140" s="185"/>
      <c r="U140" s="185"/>
      <c r="V140" s="185"/>
      <c r="W140" s="185"/>
    </row>
    <row r="141" ht="14.25" customHeight="1">
      <c r="A141" s="178"/>
      <c r="B141" s="10">
        <v>1855071.0</v>
      </c>
      <c r="C141" s="11">
        <v>46002.84668981482</v>
      </c>
      <c r="D141" s="179" t="s">
        <v>50</v>
      </c>
      <c r="E141" s="180" t="s">
        <v>7429</v>
      </c>
      <c r="F141" s="181"/>
      <c r="G141" s="179" t="s">
        <v>7430</v>
      </c>
      <c r="H141" s="190"/>
      <c r="I141" s="190"/>
      <c r="J141" s="187" t="s">
        <v>3903</v>
      </c>
      <c r="K141" s="187"/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185">
        <f>IFERROR(__xludf.DUMMYFUNCTION("ifna(VALUE(REGEXEXTRACT(E141,""[0-9.]+[,]+[0-9]+"")))"),91.96)</f>
        <v>91.96</v>
      </c>
      <c r="O141" s="185"/>
      <c r="P141" s="185"/>
      <c r="Q141" s="185"/>
      <c r="R141" s="185"/>
      <c r="S141" s="185"/>
      <c r="T141" s="185"/>
      <c r="U141" s="185"/>
      <c r="V141" s="185"/>
      <c r="W141" s="185"/>
    </row>
    <row r="142" ht="14.25" customHeight="1">
      <c r="A142" s="178"/>
      <c r="B142" s="10">
        <v>1855072.0</v>
      </c>
      <c r="C142" s="11">
        <v>46002.84706018519</v>
      </c>
      <c r="D142" s="179" t="s">
        <v>50</v>
      </c>
      <c r="E142" s="180" t="s">
        <v>7533</v>
      </c>
      <c r="F142" s="181"/>
      <c r="G142" s="179" t="s">
        <v>7534</v>
      </c>
      <c r="H142" s="190"/>
      <c r="I142" s="190"/>
      <c r="J142" s="187" t="s">
        <v>3903</v>
      </c>
      <c r="K142" s="187"/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"""")"),"Encontrada")</f>
        <v>Encontrada</v>
      </c>
      <c r="N142" s="185">
        <f>IFERROR(__xludf.DUMMYFUNCTION("ifna(VALUE(REGEXEXTRACT(E142,""[0-9.]+[,]+[0-9]+"")))"),147.42)</f>
        <v>147.42</v>
      </c>
      <c r="O142" s="185"/>
      <c r="P142" s="185"/>
      <c r="Q142" s="185"/>
      <c r="R142" s="185"/>
      <c r="S142" s="185"/>
      <c r="T142" s="185"/>
      <c r="U142" s="185"/>
      <c r="V142" s="185"/>
      <c r="W142" s="185"/>
    </row>
    <row r="143" ht="14.25" customHeight="1">
      <c r="A143" s="178"/>
      <c r="B143" s="10">
        <v>1855502.0</v>
      </c>
      <c r="C143" s="11">
        <v>46002.926574074074</v>
      </c>
      <c r="D143" s="179" t="s">
        <v>50</v>
      </c>
      <c r="E143" s="180" t="s">
        <v>6739</v>
      </c>
      <c r="F143" s="181"/>
      <c r="G143" s="179" t="s">
        <v>7535</v>
      </c>
      <c r="H143" s="190"/>
      <c r="I143" s="190"/>
      <c r="J143" s="187" t="s">
        <v>3746</v>
      </c>
      <c r="K143" s="187" t="s">
        <v>7058</v>
      </c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"),"Depositada")</f>
        <v>Depositada</v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IFERROR(__xludf.DUMMYFUNCTION("ifna(VALUE(REGEXEXTRACT(E143,""[0-9.]+[,]+[0-9]+"")))"),350.0)</f>
        <v>350</v>
      </c>
      <c r="O143" s="185"/>
      <c r="P143" s="185"/>
      <c r="Q143" s="185"/>
      <c r="R143" s="185"/>
      <c r="S143" s="185"/>
      <c r="T143" s="185"/>
      <c r="U143" s="185"/>
      <c r="V143" s="185"/>
      <c r="W143" s="185"/>
    </row>
    <row r="144" ht="14.25" customHeight="1">
      <c r="A144" s="178"/>
      <c r="B144" s="10">
        <v>1855543.0</v>
      </c>
      <c r="C144" s="11">
        <v>46002.930138888885</v>
      </c>
      <c r="D144" s="179" t="s">
        <v>50</v>
      </c>
      <c r="E144" s="180" t="s">
        <v>7537</v>
      </c>
      <c r="F144" s="181"/>
      <c r="G144" s="179" t="s">
        <v>7539</v>
      </c>
      <c r="H144" s="190"/>
      <c r="I144" s="190"/>
      <c r="J144" s="187"/>
      <c r="K144" s="187"/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IFERROR(__xludf.DUMMYFUNCTION("ifna(VALUE(REGEXEXTRACT(E144,""[0-9.]+[,]+[0-9]+"")))"),25.82)</f>
        <v>25.82</v>
      </c>
      <c r="O144" s="185"/>
      <c r="P144" s="185"/>
      <c r="Q144" s="185"/>
      <c r="R144" s="185"/>
      <c r="S144" s="185"/>
      <c r="T144" s="185"/>
      <c r="U144" s="185"/>
      <c r="V144" s="185"/>
      <c r="W144" s="185"/>
    </row>
    <row r="145" ht="14.25" customHeight="1">
      <c r="A145" s="178"/>
      <c r="B145" s="10">
        <v>1855546.0</v>
      </c>
      <c r="C145" s="11">
        <v>46002.930439814816</v>
      </c>
      <c r="D145" s="179" t="s">
        <v>50</v>
      </c>
      <c r="E145" s="180" t="s">
        <v>7541</v>
      </c>
      <c r="F145" s="181"/>
      <c r="G145" s="179" t="s">
        <v>4960</v>
      </c>
      <c r="H145" s="190"/>
      <c r="I145" s="190"/>
      <c r="J145" s="187" t="s">
        <v>3044</v>
      </c>
      <c r="K145" s="187" t="s">
        <v>7058</v>
      </c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IFERROR(__xludf.DUMMYFUNCTION("ifna(VALUE(REGEXEXTRACT(E145,""[0-9.]+[,]+[0-9]+"")))"),18.4)</f>
        <v>18.4</v>
      </c>
      <c r="O145" s="185"/>
      <c r="P145" s="185"/>
      <c r="Q145" s="185"/>
      <c r="R145" s="185"/>
      <c r="S145" s="185"/>
      <c r="T145" s="185"/>
      <c r="U145" s="185"/>
      <c r="V145" s="185"/>
      <c r="W145" s="185"/>
    </row>
    <row r="146" ht="16.5" customHeight="1">
      <c r="A146" s="178"/>
      <c r="B146" s="10">
        <v>1856225.0</v>
      </c>
      <c r="C146" s="11">
        <v>46003.61200231482</v>
      </c>
      <c r="D146" s="179" t="s">
        <v>50</v>
      </c>
      <c r="E146" s="180" t="s">
        <v>7544</v>
      </c>
      <c r="F146" s="181"/>
      <c r="G146" s="179" t="s">
        <v>7545</v>
      </c>
      <c r="H146" s="190"/>
      <c r="I146" s="190"/>
      <c r="J146" s="187" t="s">
        <v>3903</v>
      </c>
      <c r="K146" s="187"/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"""")"),"Encontrada")</f>
        <v>Encontrada</v>
      </c>
      <c r="N146" s="185">
        <f>IFERROR(__xludf.DUMMYFUNCTION("ifna(VALUE(REGEXEXTRACT(E146,""[0-9.]+[,]+[0-9]+"")))"),462.0)</f>
        <v>462</v>
      </c>
      <c r="O146" s="185"/>
      <c r="P146" s="185"/>
      <c r="Q146" s="185"/>
      <c r="R146" s="185"/>
      <c r="S146" s="185"/>
      <c r="T146" s="185"/>
      <c r="U146" s="185"/>
      <c r="V146" s="185"/>
      <c r="W146" s="185"/>
    </row>
    <row r="147" ht="14.25" customHeight="1">
      <c r="A147" s="178"/>
      <c r="B147" s="10">
        <v>1856293.0</v>
      </c>
      <c r="C147" s="11">
        <v>46003.6300462963</v>
      </c>
      <c r="D147" s="179" t="s">
        <v>227</v>
      </c>
      <c r="E147" s="180" t="s">
        <v>1228</v>
      </c>
      <c r="F147" s="181"/>
      <c r="G147" s="179" t="s">
        <v>7547</v>
      </c>
      <c r="H147" s="190"/>
      <c r="I147" s="190"/>
      <c r="J147" s="187" t="s">
        <v>4159</v>
      </c>
      <c r="K147" s="187"/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IFERROR(__xludf.DUMMYFUNCTION("ifna(VALUE(REGEXEXTRACT(E147,""[0-9.]+[,]+[0-9]+"")))"),450.0)</f>
        <v>450</v>
      </c>
      <c r="O147" s="185"/>
      <c r="P147" s="185"/>
      <c r="Q147" s="185"/>
      <c r="R147" s="185"/>
      <c r="S147" s="185"/>
      <c r="T147" s="185"/>
      <c r="U147" s="185"/>
      <c r="V147" s="185"/>
      <c r="W147" s="185"/>
    </row>
    <row r="148" ht="14.25" customHeight="1">
      <c r="A148" s="178"/>
      <c r="B148" s="10">
        <v>1856337.0</v>
      </c>
      <c r="C148" s="11">
        <v>46003.64087962963</v>
      </c>
      <c r="D148" s="179" t="s">
        <v>50</v>
      </c>
      <c r="E148" s="180" t="s">
        <v>205</v>
      </c>
      <c r="F148" s="181"/>
      <c r="G148" s="179" t="s">
        <v>6446</v>
      </c>
      <c r="H148" s="190"/>
      <c r="I148" s="190"/>
      <c r="J148" s="187" t="s">
        <v>3044</v>
      </c>
      <c r="K148" s="187" t="s">
        <v>6664</v>
      </c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IFERROR(__xludf.DUMMYFUNCTION("ifna(VALUE(REGEXEXTRACT(E148,""[0-9.]+[,]+[0-9]+"")))"),10.0)</f>
        <v>10</v>
      </c>
      <c r="O148" s="185"/>
      <c r="P148" s="185"/>
      <c r="Q148" s="185"/>
      <c r="R148" s="185"/>
      <c r="S148" s="185"/>
      <c r="T148" s="185"/>
      <c r="U148" s="185"/>
      <c r="V148" s="185"/>
      <c r="W148" s="185"/>
    </row>
    <row r="149" ht="14.25" customHeight="1">
      <c r="A149" s="178"/>
      <c r="B149" s="10">
        <v>1856339.0</v>
      </c>
      <c r="C149" s="11">
        <v>46003.64121527778</v>
      </c>
      <c r="D149" s="179" t="s">
        <v>50</v>
      </c>
      <c r="E149" s="180" t="s">
        <v>157</v>
      </c>
      <c r="F149" s="181"/>
      <c r="G149" s="179" t="s">
        <v>6513</v>
      </c>
      <c r="H149" s="190"/>
      <c r="I149" s="190"/>
      <c r="J149" s="187" t="s">
        <v>3044</v>
      </c>
      <c r="K149" s="187" t="s">
        <v>7052</v>
      </c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IFERROR(__xludf.DUMMYFUNCTION("ifna(VALUE(REGEXEXTRACT(E149,""[0-9.]+[,]+[0-9]+"")))"),5.0)</f>
        <v>5</v>
      </c>
      <c r="O149" s="185"/>
      <c r="P149" s="185"/>
      <c r="Q149" s="185"/>
      <c r="R149" s="185"/>
      <c r="S149" s="185"/>
      <c r="T149" s="185"/>
      <c r="U149" s="185"/>
      <c r="V149" s="185"/>
      <c r="W149" s="185"/>
    </row>
    <row r="150" ht="14.25" customHeight="1">
      <c r="A150" s="178"/>
      <c r="B150" s="10">
        <v>1856518.0</v>
      </c>
      <c r="C150" s="11">
        <v>46003.68635416667</v>
      </c>
      <c r="D150" s="179" t="s">
        <v>50</v>
      </c>
      <c r="E150" s="180" t="s">
        <v>302</v>
      </c>
      <c r="F150" s="181"/>
      <c r="G150" s="179" t="s">
        <v>6446</v>
      </c>
      <c r="H150" s="190"/>
      <c r="I150" s="190"/>
      <c r="J150" s="187" t="s">
        <v>3044</v>
      </c>
      <c r="K150" s="187" t="s">
        <v>6664</v>
      </c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IFERROR(__xludf.DUMMYFUNCTION("ifna(VALUE(REGEXEXTRACT(E150,""[0-9.]+[,]+[0-9]+"")))"),12.78)</f>
        <v>12.78</v>
      </c>
      <c r="O150" s="185"/>
      <c r="P150" s="185"/>
      <c r="Q150" s="185"/>
      <c r="R150" s="185"/>
      <c r="S150" s="185"/>
      <c r="T150" s="185"/>
      <c r="U150" s="185"/>
      <c r="V150" s="185"/>
      <c r="W150" s="185"/>
    </row>
    <row r="151" ht="14.25" customHeight="1">
      <c r="A151" s="178"/>
      <c r="B151" s="10">
        <v>1856871.0</v>
      </c>
      <c r="C151" s="11">
        <v>46003.77837962963</v>
      </c>
      <c r="D151" s="179" t="s">
        <v>50</v>
      </c>
      <c r="E151" s="180" t="s">
        <v>7552</v>
      </c>
      <c r="F151" s="181"/>
      <c r="G151" s="179" t="s">
        <v>6446</v>
      </c>
      <c r="H151" s="190"/>
      <c r="I151" s="190"/>
      <c r="J151" s="187" t="s">
        <v>3044</v>
      </c>
      <c r="K151" s="187" t="s">
        <v>6664</v>
      </c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IFERROR(__xludf.DUMMYFUNCTION("ifna(VALUE(REGEXEXTRACT(E151,""[0-9.]+[,]+[0-9]+"")))"),9.2)</f>
        <v>9.2</v>
      </c>
      <c r="O151" s="185"/>
      <c r="P151" s="185"/>
      <c r="Q151" s="185"/>
      <c r="R151" s="185"/>
      <c r="S151" s="185"/>
      <c r="T151" s="185"/>
      <c r="U151" s="185"/>
      <c r="V151" s="185"/>
      <c r="W151" s="185"/>
    </row>
    <row r="152" ht="14.25" customHeight="1">
      <c r="A152" s="178"/>
      <c r="B152" s="10">
        <v>1857247.0</v>
      </c>
      <c r="C152" s="11">
        <v>46003.90049768519</v>
      </c>
      <c r="D152" s="179" t="s">
        <v>50</v>
      </c>
      <c r="E152" s="180" t="s">
        <v>157</v>
      </c>
      <c r="F152" s="181"/>
      <c r="G152" s="179" t="s">
        <v>6826</v>
      </c>
      <c r="H152" s="190"/>
      <c r="I152" s="190"/>
      <c r="J152" s="187" t="s">
        <v>3044</v>
      </c>
      <c r="K152" s="187" t="s">
        <v>6340</v>
      </c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IFERROR(__xludf.DUMMYFUNCTION("ifna(VALUE(REGEXEXTRACT(E152,""[0-9.]+[,]+[0-9]+"")))"),5.0)</f>
        <v>5</v>
      </c>
      <c r="O152" s="185"/>
      <c r="P152" s="185"/>
      <c r="Q152" s="185"/>
      <c r="R152" s="185"/>
      <c r="S152" s="185"/>
      <c r="T152" s="185"/>
      <c r="U152" s="185"/>
      <c r="V152" s="185"/>
      <c r="W152" s="185"/>
    </row>
    <row r="153" ht="14.25" customHeight="1">
      <c r="A153" s="178"/>
      <c r="B153" s="10">
        <v>1857300.0</v>
      </c>
      <c r="C153" s="11">
        <v>46003.91375</v>
      </c>
      <c r="D153" s="179" t="s">
        <v>50</v>
      </c>
      <c r="E153" s="180" t="s">
        <v>6700</v>
      </c>
      <c r="F153" s="181"/>
      <c r="G153" s="179" t="s">
        <v>7557</v>
      </c>
      <c r="H153" s="190"/>
      <c r="I153" s="190"/>
      <c r="J153" s="187" t="s">
        <v>3746</v>
      </c>
      <c r="K153" s="187" t="s">
        <v>7058</v>
      </c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"),"Depositada")</f>
        <v>Depositada</v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IFERROR(__xludf.DUMMYFUNCTION("ifna(VALUE(REGEXEXTRACT(E153,""[0-9.]+[,]+[0-9]+"")))"),400.0)</f>
        <v>400</v>
      </c>
      <c r="O153" s="185"/>
      <c r="P153" s="185"/>
      <c r="Q153" s="185"/>
      <c r="R153" s="185"/>
      <c r="S153" s="185"/>
      <c r="T153" s="185"/>
      <c r="U153" s="185"/>
      <c r="V153" s="185"/>
      <c r="W153" s="185"/>
    </row>
    <row r="154" ht="14.25" customHeight="1">
      <c r="A154" s="178"/>
      <c r="B154" s="10">
        <v>1857927.0</v>
      </c>
      <c r="C154" s="11">
        <v>46004.54042824074</v>
      </c>
      <c r="D154" s="179" t="s">
        <v>50</v>
      </c>
      <c r="E154" s="180" t="s">
        <v>205</v>
      </c>
      <c r="F154" s="181"/>
      <c r="G154" s="179" t="s">
        <v>4960</v>
      </c>
      <c r="H154" s="190"/>
      <c r="I154" s="190"/>
      <c r="J154" s="187" t="s">
        <v>3044</v>
      </c>
      <c r="K154" s="187" t="s">
        <v>7058</v>
      </c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IFERROR(__xludf.DUMMYFUNCTION("ifna(VALUE(REGEXEXTRACT(E154,""[0-9.]+[,]+[0-9]+"")))"),10.0)</f>
        <v>10</v>
      </c>
      <c r="O154" s="185"/>
      <c r="P154" s="185"/>
      <c r="Q154" s="185"/>
      <c r="R154" s="185"/>
      <c r="S154" s="185"/>
      <c r="T154" s="185"/>
      <c r="U154" s="185"/>
      <c r="V154" s="185"/>
      <c r="W154" s="185"/>
    </row>
    <row r="155" ht="14.25" customHeight="1">
      <c r="A155" s="178"/>
      <c r="B155" s="10">
        <v>1858664.0</v>
      </c>
      <c r="C155" s="11">
        <v>46004.74375</v>
      </c>
      <c r="D155" s="179" t="s">
        <v>50</v>
      </c>
      <c r="E155" s="180" t="s">
        <v>7311</v>
      </c>
      <c r="F155" s="188"/>
      <c r="G155" s="179" t="s">
        <v>7562</v>
      </c>
      <c r="H155" s="190"/>
      <c r="I155" s="190"/>
      <c r="J155" s="187" t="s">
        <v>3825</v>
      </c>
      <c r="K155" s="187"/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IFERROR(__xludf.DUMMYFUNCTION("ifna(VALUE(REGEXEXTRACT(E155,""[0-9.]+[,]+[0-9]+"")))"),58.0)</f>
        <v>58</v>
      </c>
      <c r="O155" s="185"/>
      <c r="P155" s="185"/>
      <c r="Q155" s="185"/>
      <c r="R155" s="185"/>
      <c r="S155" s="185"/>
      <c r="T155" s="185"/>
      <c r="U155" s="185"/>
      <c r="V155" s="185"/>
      <c r="W155" s="185"/>
    </row>
    <row r="156" ht="14.25" customHeight="1">
      <c r="A156" s="178"/>
      <c r="B156" s="10">
        <v>1859176.0</v>
      </c>
      <c r="C156" s="11">
        <v>46004.862974537034</v>
      </c>
      <c r="D156" s="179" t="s">
        <v>50</v>
      </c>
      <c r="E156" s="180" t="s">
        <v>7565</v>
      </c>
      <c r="F156" s="181"/>
      <c r="G156" s="179" t="s">
        <v>6826</v>
      </c>
      <c r="H156" s="190"/>
      <c r="I156" s="190"/>
      <c r="J156" s="187" t="s">
        <v>3044</v>
      </c>
      <c r="K156" s="187" t="s">
        <v>6340</v>
      </c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IFERROR(__xludf.DUMMYFUNCTION("ifna(VALUE(REGEXEXTRACT(E156,""[0-9.]+[,]+[0-9]+"")))"),4.73)</f>
        <v>4.73</v>
      </c>
      <c r="O156" s="185"/>
      <c r="P156" s="185"/>
      <c r="Q156" s="185"/>
      <c r="R156" s="185"/>
      <c r="S156" s="185"/>
      <c r="T156" s="185"/>
      <c r="U156" s="185"/>
      <c r="V156" s="185"/>
      <c r="W156" s="185"/>
    </row>
    <row r="157" ht="14.25" customHeight="1">
      <c r="A157" s="178"/>
      <c r="B157" s="10">
        <v>1859655.0</v>
      </c>
      <c r="C157" s="11">
        <v>46004.9246875</v>
      </c>
      <c r="D157" s="179" t="s">
        <v>50</v>
      </c>
      <c r="E157" s="180" t="s">
        <v>7568</v>
      </c>
      <c r="F157" s="181"/>
      <c r="G157" s="179" t="s">
        <v>7569</v>
      </c>
      <c r="H157" s="190"/>
      <c r="I157" s="190"/>
      <c r="J157" s="187" t="s">
        <v>3825</v>
      </c>
      <c r="K157" s="187"/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IFERROR(__xludf.DUMMYFUNCTION("ifna(VALUE(REGEXEXTRACT(E157,""[0-9.]+[,]+[0-9]+"")))"),115.0)</f>
        <v>115</v>
      </c>
      <c r="O157" s="185"/>
      <c r="P157" s="185"/>
      <c r="Q157" s="185"/>
      <c r="R157" s="185"/>
      <c r="S157" s="185"/>
      <c r="T157" s="185"/>
      <c r="U157" s="185"/>
      <c r="V157" s="185"/>
      <c r="W157" s="185"/>
    </row>
    <row r="158" ht="19.5" customHeight="1">
      <c r="A158" s="178"/>
      <c r="B158" s="10">
        <v>1859661.0</v>
      </c>
      <c r="C158" s="11">
        <v>46004.925462962965</v>
      </c>
      <c r="D158" s="179" t="s">
        <v>50</v>
      </c>
      <c r="E158" s="180" t="s">
        <v>4019</v>
      </c>
      <c r="F158" s="181"/>
      <c r="G158" s="179" t="s">
        <v>7570</v>
      </c>
      <c r="H158" s="190"/>
      <c r="I158" s="190"/>
      <c r="J158" s="187" t="s">
        <v>3825</v>
      </c>
      <c r="K158" s="187"/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IFERROR(__xludf.DUMMYFUNCTION("ifna(VALUE(REGEXEXTRACT(E158,""[0-9.]+[,]+[0-9]+"")))"),117.0)</f>
        <v>117</v>
      </c>
      <c r="O158" s="185"/>
      <c r="P158" s="185"/>
      <c r="Q158" s="185"/>
      <c r="R158" s="185"/>
      <c r="S158" s="185"/>
      <c r="T158" s="185"/>
      <c r="U158" s="185"/>
      <c r="V158" s="185"/>
      <c r="W158" s="185"/>
    </row>
    <row r="159" ht="18.75" customHeight="1">
      <c r="A159" s="178"/>
      <c r="B159" s="10">
        <v>1859691.0</v>
      </c>
      <c r="C159" s="11">
        <v>46004.928449074076</v>
      </c>
      <c r="D159" s="179" t="s">
        <v>50</v>
      </c>
      <c r="E159" s="180" t="s">
        <v>7265</v>
      </c>
      <c r="F159" s="181"/>
      <c r="G159" s="179" t="s">
        <v>7573</v>
      </c>
      <c r="H159" s="190"/>
      <c r="I159" s="190"/>
      <c r="J159" s="187" t="s">
        <v>3746</v>
      </c>
      <c r="K159" s="187" t="s">
        <v>7058</v>
      </c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"),"Depositada")</f>
        <v>Depositada</v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IFERROR(__xludf.DUMMYFUNCTION("ifna(VALUE(REGEXEXTRACT(E159,""[0-9.]+[,]+[0-9]+"")))"),1400.0)</f>
        <v>1400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</row>
    <row r="160" ht="16.5" customHeight="1">
      <c r="A160" s="178"/>
      <c r="B160" s="10">
        <v>1860412.0</v>
      </c>
      <c r="C160" s="11">
        <v>46005.57072916667</v>
      </c>
      <c r="D160" s="179" t="s">
        <v>50</v>
      </c>
      <c r="E160" s="180" t="s">
        <v>943</v>
      </c>
      <c r="F160" s="181"/>
      <c r="G160" s="179" t="s">
        <v>4960</v>
      </c>
      <c r="H160" s="190"/>
      <c r="I160" s="190"/>
      <c r="J160" s="187" t="s">
        <v>3044</v>
      </c>
      <c r="K160" s="187" t="s">
        <v>7058</v>
      </c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IFERROR(__xludf.DUMMYFUNCTION("ifna(VALUE(REGEXEXTRACT(E160,""[0-9.]+[,]+[0-9]+"")))"),12.0)</f>
        <v>12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6.5" customHeight="1">
      <c r="A161" s="178"/>
      <c r="B161" s="10">
        <v>1861952.0</v>
      </c>
      <c r="C161" s="11">
        <v>46005.877962962964</v>
      </c>
      <c r="D161" s="179" t="s">
        <v>50</v>
      </c>
      <c r="E161" s="180" t="s">
        <v>871</v>
      </c>
      <c r="F161" s="181"/>
      <c r="G161" s="179" t="s">
        <v>6513</v>
      </c>
      <c r="H161" s="190"/>
      <c r="I161" s="190"/>
      <c r="J161" s="187" t="s">
        <v>3044</v>
      </c>
      <c r="K161" s="187" t="s">
        <v>7052</v>
      </c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IFERROR(__xludf.DUMMYFUNCTION("ifna(VALUE(REGEXEXTRACT(E161,""[0-9.]+[,]+[0-9]+"")))"),9.0)</f>
        <v>9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0">
        <v>1861982.0</v>
      </c>
      <c r="C162" s="11">
        <v>46005.88297453704</v>
      </c>
      <c r="D162" s="179" t="s">
        <v>50</v>
      </c>
      <c r="E162" s="180" t="s">
        <v>3819</v>
      </c>
      <c r="F162" s="181"/>
      <c r="G162" s="179" t="s">
        <v>7577</v>
      </c>
      <c r="H162" s="190"/>
      <c r="I162" s="190"/>
      <c r="J162" s="187" t="s">
        <v>3825</v>
      </c>
      <c r="K162" s="187"/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>
        <f>IFERROR(__xludf.DUMMYFUNCTION("ifna(VALUE(REGEXEXTRACT(E162,""[0-9.]+[,]+[0-9]+"")))"),110.5)</f>
        <v>110.5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0">
        <v>1861989.0</v>
      </c>
      <c r="C163" s="11">
        <v>46005.883888888886</v>
      </c>
      <c r="D163" s="179" t="s">
        <v>50</v>
      </c>
      <c r="E163" s="180" t="s">
        <v>3819</v>
      </c>
      <c r="F163" s="181"/>
      <c r="G163" s="179" t="s">
        <v>7580</v>
      </c>
      <c r="H163" s="190"/>
      <c r="I163" s="190"/>
      <c r="J163" s="187" t="s">
        <v>3825</v>
      </c>
      <c r="K163" s="187"/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>
        <f>IFERROR(__xludf.DUMMYFUNCTION("ifna(VALUE(REGEXEXTRACT(E163,""[0-9.]+[,]+[0-9]+"")))"),110.5)</f>
        <v>110.5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0">
        <v>1862096.0</v>
      </c>
      <c r="C164" s="11">
        <v>46005.89791666667</v>
      </c>
      <c r="D164" s="179" t="s">
        <v>50</v>
      </c>
      <c r="E164" s="180" t="s">
        <v>7125</v>
      </c>
      <c r="F164" s="181"/>
      <c r="G164" s="179" t="s">
        <v>7584</v>
      </c>
      <c r="H164" s="190"/>
      <c r="I164" s="190"/>
      <c r="J164" s="187" t="s">
        <v>3746</v>
      </c>
      <c r="K164" s="187" t="s">
        <v>7052</v>
      </c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"),"Depositada")</f>
        <v>Depositada</v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IFERROR(__xludf.DUMMYFUNCTION("ifna(VALUE(REGEXEXTRACT(E164,""[0-9.]+[,]+[0-9]+"")))"),1800.0)</f>
        <v>1800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0">
        <v>1862211.0</v>
      </c>
      <c r="C165" s="11">
        <v>46005.90724537037</v>
      </c>
      <c r="D165" s="179" t="s">
        <v>50</v>
      </c>
      <c r="E165" s="180" t="s">
        <v>7588</v>
      </c>
      <c r="F165" s="181"/>
      <c r="G165" s="179" t="s">
        <v>7589</v>
      </c>
      <c r="H165" s="190"/>
      <c r="I165" s="190"/>
      <c r="J165" s="187" t="s">
        <v>3903</v>
      </c>
      <c r="K165" s="187"/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"""")"),"Encontrada")</f>
        <v>Encontrada</v>
      </c>
      <c r="N165" s="185">
        <f>IFERROR(__xludf.DUMMYFUNCTION("ifna(VALUE(REGEXEXTRACT(E165,""[0-9.]+[,]+[0-9]+"")))"),516.65)</f>
        <v>516.65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0">
        <v>1863496.0</v>
      </c>
      <c r="C166" s="11">
        <v>46006.61813657408</v>
      </c>
      <c r="D166" s="179" t="s">
        <v>50</v>
      </c>
      <c r="E166" s="180" t="s">
        <v>708</v>
      </c>
      <c r="F166" s="181"/>
      <c r="G166" s="179" t="s">
        <v>6446</v>
      </c>
      <c r="H166" s="190"/>
      <c r="I166" s="190"/>
      <c r="J166" s="187" t="s">
        <v>3044</v>
      </c>
      <c r="K166" s="187" t="s">
        <v>6664</v>
      </c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>
        <f>IFERROR(__xludf.DUMMYFUNCTION("ifna(VALUE(REGEXEXTRACT(E166,""[0-9.]+[,]+[0-9]+"")))"),8.0)</f>
        <v>8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0">
        <v>1863656.0</v>
      </c>
      <c r="C167" s="11">
        <v>46006.66846064815</v>
      </c>
      <c r="D167" s="179" t="s">
        <v>50</v>
      </c>
      <c r="E167" s="180" t="s">
        <v>7592</v>
      </c>
      <c r="F167" s="181"/>
      <c r="G167" s="179" t="s">
        <v>7593</v>
      </c>
      <c r="H167" s="190"/>
      <c r="I167" s="190"/>
      <c r="J167" s="187" t="s">
        <v>3903</v>
      </c>
      <c r="K167" s="187"/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185">
        <f>IFERROR(__xludf.DUMMYFUNCTION("ifna(VALUE(REGEXEXTRACT(E167,""[0-9.]+[,]+[0-9]+"")))"),531.24)</f>
        <v>531.24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0">
        <v>1863809.0</v>
      </c>
      <c r="C168" s="11">
        <v>46006.69836805556</v>
      </c>
      <c r="D168" s="179" t="s">
        <v>50</v>
      </c>
      <c r="E168" s="180" t="s">
        <v>6900</v>
      </c>
      <c r="F168" s="181"/>
      <c r="G168" s="179" t="s">
        <v>7596</v>
      </c>
      <c r="H168" s="190"/>
      <c r="I168" s="190"/>
      <c r="J168" s="187" t="s">
        <v>3903</v>
      </c>
      <c r="K168" s="187"/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"""")"),"Encontrada")</f>
        <v>Encontrada</v>
      </c>
      <c r="N168" s="185">
        <f>IFERROR(__xludf.DUMMYFUNCTION("ifna(VALUE(REGEXEXTRACT(E168,""[0-9.]+[,]+[0-9]+"")))"),121.2)</f>
        <v>121.2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0">
        <v>1863835.0</v>
      </c>
      <c r="C169" s="11">
        <v>46006.702314814815</v>
      </c>
      <c r="D169" s="179" t="s">
        <v>50</v>
      </c>
      <c r="E169" s="180" t="s">
        <v>7598</v>
      </c>
      <c r="F169" s="181"/>
      <c r="G169" s="179" t="s">
        <v>7600</v>
      </c>
      <c r="H169" s="190"/>
      <c r="I169" s="190"/>
      <c r="J169" s="187" t="s">
        <v>3903</v>
      </c>
      <c r="K169" s="187"/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185">
        <f>IFERROR(__xludf.DUMMYFUNCTION("ifna(VALUE(REGEXEXTRACT(E169,""[0-9.]+[,]+[0-9]+"")))"),4.43)</f>
        <v>4.43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0">
        <v>1863874.0</v>
      </c>
      <c r="C170" s="11">
        <v>46006.71003472222</v>
      </c>
      <c r="D170" s="179" t="s">
        <v>50</v>
      </c>
      <c r="E170" s="180" t="s">
        <v>7603</v>
      </c>
      <c r="F170" s="181"/>
      <c r="G170" s="179" t="s">
        <v>7604</v>
      </c>
      <c r="H170" s="190"/>
      <c r="I170" s="190"/>
      <c r="J170" s="187" t="s">
        <v>3903</v>
      </c>
      <c r="K170" s="187"/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"""")"),"Encontrada")</f>
        <v>Encontrada</v>
      </c>
      <c r="N170" s="185">
        <f>IFERROR(__xludf.DUMMYFUNCTION("ifna(VALUE(REGEXEXTRACT(E170,""[0-9.]+[,]+[0-9]+"")))"),202.86)</f>
        <v>202.86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0">
        <v>1863931.0</v>
      </c>
      <c r="C171" s="11">
        <v>46006.721180555556</v>
      </c>
      <c r="D171" s="179" t="s">
        <v>50</v>
      </c>
      <c r="E171" s="180" t="s">
        <v>157</v>
      </c>
      <c r="F171" s="181"/>
      <c r="G171" s="179" t="s">
        <v>6513</v>
      </c>
      <c r="H171" s="190"/>
      <c r="I171" s="190"/>
      <c r="J171" s="187" t="s">
        <v>3044</v>
      </c>
      <c r="K171" s="187" t="s">
        <v>7052</v>
      </c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IFERROR(__xludf.DUMMYFUNCTION("ifna(VALUE(REGEXEXTRACT(E171,""[0-9.]+[,]+[0-9]+"")))"),5.0)</f>
        <v>5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0">
        <v>1864122.0</v>
      </c>
      <c r="C172" s="11">
        <v>46006.76460648148</v>
      </c>
      <c r="D172" s="179" t="s">
        <v>50</v>
      </c>
      <c r="E172" s="180" t="s">
        <v>943</v>
      </c>
      <c r="F172" s="181"/>
      <c r="G172" s="179" t="s">
        <v>6513</v>
      </c>
      <c r="H172" s="190"/>
      <c r="I172" s="190"/>
      <c r="J172" s="187" t="s">
        <v>3044</v>
      </c>
      <c r="K172" s="187" t="s">
        <v>7052</v>
      </c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IFERROR(__xludf.DUMMYFUNCTION("ifna(VALUE(REGEXEXTRACT(E172,""[0-9.]+[,]+[0-9]+"")))"),12.0)</f>
        <v>12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0">
        <v>1864452.0</v>
      </c>
      <c r="C173" s="11">
        <v>46006.875243055554</v>
      </c>
      <c r="D173" s="179" t="s">
        <v>50</v>
      </c>
      <c r="E173" s="180" t="s">
        <v>452</v>
      </c>
      <c r="F173" s="188"/>
      <c r="G173" s="179" t="s">
        <v>4960</v>
      </c>
      <c r="H173" s="190"/>
      <c r="I173" s="190"/>
      <c r="J173" s="187" t="s">
        <v>3044</v>
      </c>
      <c r="K173" s="187" t="s">
        <v>7052</v>
      </c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IFERROR(__xludf.DUMMYFUNCTION("ifna(VALUE(REGEXEXTRACT(E173,""[0-9.]+[,]+[0-9]+"")))"),13.29)</f>
        <v>13.29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0">
        <v>1864905.0</v>
      </c>
      <c r="C174" s="11">
        <v>46006.93618055555</v>
      </c>
      <c r="D174" s="179" t="s">
        <v>50</v>
      </c>
      <c r="E174" s="180" t="s">
        <v>6545</v>
      </c>
      <c r="F174" s="181"/>
      <c r="G174" s="179" t="s">
        <v>7613</v>
      </c>
      <c r="H174" s="190"/>
      <c r="I174" s="190"/>
      <c r="J174" s="187" t="s">
        <v>3903</v>
      </c>
      <c r="K174" s="187"/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"""")"),"Não Encontrada")</f>
        <v>Não Encontrada</v>
      </c>
      <c r="N174" s="185">
        <f>IFERROR(__xludf.DUMMYFUNCTION("ifna(VALUE(REGEXEXTRACT(E174,""[0-9.]+[,]+[0-9]+"")))"),20.0)</f>
        <v>20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0">
        <v>1865377.0</v>
      </c>
      <c r="C175" s="11">
        <v>46007.570023148146</v>
      </c>
      <c r="D175" s="179" t="s">
        <v>50</v>
      </c>
      <c r="E175" s="180" t="s">
        <v>7616</v>
      </c>
      <c r="F175" s="181"/>
      <c r="G175" s="179" t="s">
        <v>7617</v>
      </c>
      <c r="H175" s="190"/>
      <c r="I175" s="190"/>
      <c r="J175" s="187" t="s">
        <v>3903</v>
      </c>
      <c r="K175" s="187"/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"""")"),"Encontrada")</f>
        <v>Encontrada</v>
      </c>
      <c r="N175" s="185">
        <f>IFERROR(__xludf.DUMMYFUNCTION("ifna(VALUE(REGEXEXTRACT(E175,""[0-9.]+[,]+[0-9]+"")))"),396.0)</f>
        <v>396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0">
        <v>1865379.0</v>
      </c>
      <c r="C176" s="11">
        <v>46007.57090277778</v>
      </c>
      <c r="D176" s="179" t="s">
        <v>50</v>
      </c>
      <c r="E176" s="180" t="s">
        <v>7620</v>
      </c>
      <c r="F176" s="181"/>
      <c r="G176" s="179" t="s">
        <v>6446</v>
      </c>
      <c r="H176" s="190"/>
      <c r="I176" s="190"/>
      <c r="J176" s="187" t="s">
        <v>3044</v>
      </c>
      <c r="K176" s="187" t="s">
        <v>6664</v>
      </c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IFERROR(__xludf.DUMMYFUNCTION("ifna(VALUE(REGEXEXTRACT(E176,""[0-9.]+[,]+[0-9]+"")))"),7.41)</f>
        <v>7.41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0">
        <v>1866669.0</v>
      </c>
      <c r="C177" s="11">
        <v>46007.92114583333</v>
      </c>
      <c r="D177" s="179" t="s">
        <v>50</v>
      </c>
      <c r="E177" s="180" t="s">
        <v>7433</v>
      </c>
      <c r="F177" s="181"/>
      <c r="G177" s="179" t="s">
        <v>7623</v>
      </c>
      <c r="H177" s="190"/>
      <c r="I177" s="190"/>
      <c r="J177" s="187" t="s">
        <v>3467</v>
      </c>
      <c r="K177" s="187"/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IFERROR(__xludf.DUMMYFUNCTION("ifna(VALUE(REGEXEXTRACT(E177,""[0-9.]+[,]+[0-9]+"")))"),28.63)</f>
        <v>28.63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0">
        <v>1866687.0</v>
      </c>
      <c r="C178" s="11">
        <v>46007.9234375</v>
      </c>
      <c r="D178" s="179" t="s">
        <v>50</v>
      </c>
      <c r="E178" s="180" t="s">
        <v>1151</v>
      </c>
      <c r="F178" s="181"/>
      <c r="G178" s="179" t="s">
        <v>7625</v>
      </c>
      <c r="H178" s="190"/>
      <c r="I178" s="190"/>
      <c r="J178" s="187" t="s">
        <v>3746</v>
      </c>
      <c r="K178" s="187" t="s">
        <v>7058</v>
      </c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"),"Depositada")</f>
        <v>Depositada</v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IFERROR(__xludf.DUMMYFUNCTION("ifna(VALUE(REGEXEXTRACT(E178,""[0-9.]+[,]+[0-9]+"")))"),900.0)</f>
        <v>900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0">
        <v>1867238.0</v>
      </c>
      <c r="C179" s="11">
        <v>46008.56891203704</v>
      </c>
      <c r="D179" s="179" t="s">
        <v>50</v>
      </c>
      <c r="E179" s="180" t="s">
        <v>7628</v>
      </c>
      <c r="F179" s="181"/>
      <c r="G179" s="179" t="s">
        <v>7629</v>
      </c>
      <c r="H179" s="190"/>
      <c r="I179" s="190"/>
      <c r="J179" s="187" t="s">
        <v>3903</v>
      </c>
      <c r="K179" s="187"/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"""")"),"Encontrada")</f>
        <v>Encontrada</v>
      </c>
      <c r="N179" s="185">
        <f>IFERROR(__xludf.DUMMYFUNCTION("ifna(VALUE(REGEXEXTRACT(E179,""[0-9.]+[,]+[0-9]+"")))"),109.89)</f>
        <v>109.89</v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0">
        <v>1868004.0</v>
      </c>
      <c r="C180" s="11">
        <v>46008.83060185185</v>
      </c>
      <c r="D180" s="179" t="s">
        <v>50</v>
      </c>
      <c r="E180" s="180" t="s">
        <v>7631</v>
      </c>
      <c r="F180" s="181"/>
      <c r="G180" s="179" t="s">
        <v>6826</v>
      </c>
      <c r="H180" s="190"/>
      <c r="I180" s="190"/>
      <c r="J180" s="187" t="s">
        <v>3044</v>
      </c>
      <c r="K180" s="187" t="s">
        <v>6340</v>
      </c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>
        <f>IFERROR(__xludf.DUMMYFUNCTION("ifna(VALUE(REGEXEXTRACT(E180,""[0-9.]+[,]+[0-9]+"")))"),10.11)</f>
        <v>10.11</v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0">
        <v>1868298.0</v>
      </c>
      <c r="C181" s="11">
        <v>46008.91434027778</v>
      </c>
      <c r="D181" s="179" t="s">
        <v>50</v>
      </c>
      <c r="E181" s="180" t="s">
        <v>1279</v>
      </c>
      <c r="F181" s="181"/>
      <c r="G181" s="179" t="s">
        <v>7632</v>
      </c>
      <c r="H181" s="190"/>
      <c r="I181" s="190"/>
      <c r="J181" s="187" t="s">
        <v>3746</v>
      </c>
      <c r="K181" s="187" t="s">
        <v>7058</v>
      </c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"),"Depositada")</f>
        <v>Depositada</v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IFERROR(__xludf.DUMMYFUNCTION("ifna(VALUE(REGEXEXTRACT(E181,""[0-9.]+[,]+[0-9]+"")))"),600.0)</f>
        <v>600</v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0">
        <v>1868998.0</v>
      </c>
      <c r="C182" s="11">
        <v>46009.58813657407</v>
      </c>
      <c r="D182" s="179" t="s">
        <v>227</v>
      </c>
      <c r="E182" s="180" t="s">
        <v>329</v>
      </c>
      <c r="F182" s="181"/>
      <c r="G182" s="179" t="s">
        <v>7635</v>
      </c>
      <c r="H182" s="190"/>
      <c r="I182" s="190"/>
      <c r="J182" s="187" t="s">
        <v>3874</v>
      </c>
      <c r="K182" s="187"/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IFERROR(__xludf.DUMMYFUNCTION("ifna(VALUE(REGEXEXTRACT(E182,""[0-9.]+[,]+[0-9]+"")))"),200.0)</f>
        <v>200</v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0">
        <v>1869001.0</v>
      </c>
      <c r="C183" s="11">
        <v>46009.58855324074</v>
      </c>
      <c r="D183" s="179" t="s">
        <v>50</v>
      </c>
      <c r="E183" s="180" t="s">
        <v>7638</v>
      </c>
      <c r="F183" s="181"/>
      <c r="G183" s="179" t="s">
        <v>7640</v>
      </c>
      <c r="H183" s="190"/>
      <c r="I183" s="190"/>
      <c r="J183" s="187" t="s">
        <v>3874</v>
      </c>
      <c r="K183" s="187"/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>
        <f>IFERROR(__xludf.DUMMYFUNCTION("ifna(VALUE(REGEXEXTRACT(E183,""[0-9.]+[,]+[0-9]+"")))"),340.0)</f>
        <v>340</v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0">
        <v>1869100.0</v>
      </c>
      <c r="C184" s="11">
        <v>46009.6294212963</v>
      </c>
      <c r="D184" s="179" t="s">
        <v>50</v>
      </c>
      <c r="E184" s="180" t="s">
        <v>708</v>
      </c>
      <c r="F184" s="181"/>
      <c r="G184" s="179" t="s">
        <v>6446</v>
      </c>
      <c r="H184" s="190"/>
      <c r="I184" s="190"/>
      <c r="J184" s="187" t="s">
        <v>3044</v>
      </c>
      <c r="K184" s="187" t="s">
        <v>6664</v>
      </c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IFERROR(__xludf.DUMMYFUNCTION("ifna(VALUE(REGEXEXTRACT(E184,""[0-9.]+[,]+[0-9]+"")))"),8.0)</f>
        <v>8</v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0">
        <v>1869207.0</v>
      </c>
      <c r="C185" s="11">
        <v>46009.665497685186</v>
      </c>
      <c r="D185" s="179" t="s">
        <v>50</v>
      </c>
      <c r="E185" s="180" t="s">
        <v>7643</v>
      </c>
      <c r="F185" s="181"/>
      <c r="G185" s="179" t="s">
        <v>7644</v>
      </c>
      <c r="H185" s="190"/>
      <c r="I185" s="190"/>
      <c r="J185" s="187" t="s">
        <v>3903</v>
      </c>
      <c r="K185" s="187"/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"""")"),"Encontrada")</f>
        <v>Encontrada</v>
      </c>
      <c r="N185" s="185">
        <f>IFERROR(__xludf.DUMMYFUNCTION("ifna(VALUE(REGEXEXTRACT(E185,""[0-9.]+[,]+[0-9]+"")))"),276.0)</f>
        <v>276</v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0">
        <v>1869724.0</v>
      </c>
      <c r="C186" s="11">
        <v>46009.78196759259</v>
      </c>
      <c r="D186" s="179" t="s">
        <v>50</v>
      </c>
      <c r="E186" s="180" t="s">
        <v>1702</v>
      </c>
      <c r="F186" s="181"/>
      <c r="G186" s="179" t="s">
        <v>7647</v>
      </c>
      <c r="H186" s="190"/>
      <c r="I186" s="190"/>
      <c r="J186" s="187" t="s">
        <v>4159</v>
      </c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>
        <f>IFERROR(__xludf.DUMMYFUNCTION("ifna(VALUE(REGEXEXTRACT(E186,""[0-9.]+[,]+[0-9]+"")))"),90.0)</f>
        <v>90</v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0">
        <v>1869728.0</v>
      </c>
      <c r="C187" s="11">
        <v>46009.782430555555</v>
      </c>
      <c r="D187" s="179" t="s">
        <v>227</v>
      </c>
      <c r="E187" s="180" t="s">
        <v>494</v>
      </c>
      <c r="F187" s="181"/>
      <c r="G187" s="179" t="s">
        <v>7650</v>
      </c>
      <c r="H187" s="190"/>
      <c r="I187" s="190"/>
      <c r="J187" s="187" t="s">
        <v>4159</v>
      </c>
      <c r="K187" s="187"/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IFERROR(__xludf.DUMMYFUNCTION("ifna(VALUE(REGEXEXTRACT(E187,""[0-9.]+[,]+[0-9]+"")))"),0.01)</f>
        <v>0.01</v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0">
        <v>1870114.0</v>
      </c>
      <c r="C188" s="11">
        <v>46009.897685185184</v>
      </c>
      <c r="D188" s="179" t="s">
        <v>50</v>
      </c>
      <c r="E188" s="180" t="s">
        <v>7652</v>
      </c>
      <c r="F188" s="181"/>
      <c r="G188" s="179" t="s">
        <v>7653</v>
      </c>
      <c r="H188" s="190"/>
      <c r="I188" s="190"/>
      <c r="J188" s="187" t="s">
        <v>3467</v>
      </c>
      <c r="K188" s="187"/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>
        <f>IFERROR(__xludf.DUMMYFUNCTION("ifna(VALUE(REGEXEXTRACT(E188,""[0-9.]+[,]+[0-9]+"")))"),37.06)</f>
        <v>37.06</v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0">
        <v>1870314.0</v>
      </c>
      <c r="C189" s="11">
        <v>46009.92344907407</v>
      </c>
      <c r="D189" s="179" t="s">
        <v>50</v>
      </c>
      <c r="E189" s="180" t="s">
        <v>7656</v>
      </c>
      <c r="F189" s="181"/>
      <c r="G189" s="179" t="s">
        <v>7657</v>
      </c>
      <c r="H189" s="190"/>
      <c r="I189" s="190"/>
      <c r="J189" s="187" t="s">
        <v>3903</v>
      </c>
      <c r="K189" s="187"/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"""")"),"Encontrada")</f>
        <v>Encontrada</v>
      </c>
      <c r="N189" s="185">
        <f>IFERROR(__xludf.DUMMYFUNCTION("ifna(VALUE(REGEXEXTRACT(E189,""[0-9.]+[,]+[0-9]+"")))"),869.87)</f>
        <v>869.87</v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0">
        <v>1870854.0</v>
      </c>
      <c r="C190" s="11">
        <v>46010.54152777778</v>
      </c>
      <c r="D190" s="179" t="s">
        <v>50</v>
      </c>
      <c r="E190" s="180" t="s">
        <v>6846</v>
      </c>
      <c r="F190" s="181"/>
      <c r="G190" s="179" t="s">
        <v>6446</v>
      </c>
      <c r="H190" s="190"/>
      <c r="I190" s="190"/>
      <c r="J190" s="187" t="s">
        <v>3044</v>
      </c>
      <c r="K190" s="187" t="s">
        <v>6664</v>
      </c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>
        <f>IFERROR(__xludf.DUMMYFUNCTION("ifna(VALUE(REGEXEXTRACT(E190,""[0-9.]+[,]+[0-9]+"")))"),13.0)</f>
        <v>13</v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0">
        <v>1870898.0</v>
      </c>
      <c r="C191" s="11">
        <v>46010.561898148146</v>
      </c>
      <c r="D191" s="179" t="s">
        <v>50</v>
      </c>
      <c r="E191" s="180" t="s">
        <v>6719</v>
      </c>
      <c r="F191" s="181"/>
      <c r="G191" s="179" t="s">
        <v>7661</v>
      </c>
      <c r="H191" s="190"/>
      <c r="I191" s="190"/>
      <c r="J191" s="187" t="s">
        <v>3903</v>
      </c>
      <c r="K191" s="187"/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"""")"),"Encontrada")</f>
        <v>Encontrada</v>
      </c>
      <c r="N191" s="185">
        <f>IFERROR(__xludf.DUMMYFUNCTION("ifna(VALUE(REGEXEXTRACT(E191,""[0-9.]+[,]+[0-9]+"")))"),330.0)</f>
        <v>330</v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0">
        <v>1872077.0</v>
      </c>
      <c r="C192" s="11">
        <v>46010.84577546296</v>
      </c>
      <c r="D192" s="179" t="s">
        <v>50</v>
      </c>
      <c r="E192" s="180" t="s">
        <v>7663</v>
      </c>
      <c r="F192" s="181"/>
      <c r="G192" s="179" t="s">
        <v>7664</v>
      </c>
      <c r="H192" s="190"/>
      <c r="I192" s="190"/>
      <c r="J192" s="187" t="s">
        <v>4159</v>
      </c>
      <c r="K192" s="187"/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>
        <f>IFERROR(__xludf.DUMMYFUNCTION("ifna(VALUE(REGEXEXTRACT(E192,""[0-9.]+[,]+[0-9]+"")))"),142.0)</f>
        <v>142</v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0">
        <v>1872078.0</v>
      </c>
      <c r="C193" s="11">
        <v>46010.84636574074</v>
      </c>
      <c r="D193" s="179" t="s">
        <v>227</v>
      </c>
      <c r="E193" s="180" t="s">
        <v>494</v>
      </c>
      <c r="F193" s="181"/>
      <c r="G193" s="179" t="s">
        <v>7667</v>
      </c>
      <c r="H193" s="190"/>
      <c r="I193" s="190"/>
      <c r="J193" s="187" t="s">
        <v>4159</v>
      </c>
      <c r="K193" s="187"/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>
        <f>IFERROR(__xludf.DUMMYFUNCTION("ifna(VALUE(REGEXEXTRACT(E193,""[0-9.]+[,]+[0-9]+"")))"),0.01)</f>
        <v>0.01</v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0">
        <v>1872081.0</v>
      </c>
      <c r="C194" s="11">
        <v>46010.84695601852</v>
      </c>
      <c r="D194" s="179" t="s">
        <v>50</v>
      </c>
      <c r="E194" s="180" t="s">
        <v>7253</v>
      </c>
      <c r="F194" s="181"/>
      <c r="G194" s="179" t="s">
        <v>7670</v>
      </c>
      <c r="H194" s="190"/>
      <c r="I194" s="190"/>
      <c r="J194" s="187" t="s">
        <v>3903</v>
      </c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185">
        <f>IFERROR(__xludf.DUMMYFUNCTION("ifna(VALUE(REGEXEXTRACT(E194,""[0-9.]+[,]+[0-9]+"")))"),250.44)</f>
        <v>250.44</v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0">
        <v>1872556.0</v>
      </c>
      <c r="C195" s="11">
        <v>46010.92592592593</v>
      </c>
      <c r="D195" s="179" t="s">
        <v>50</v>
      </c>
      <c r="E195" s="180" t="s">
        <v>3899</v>
      </c>
      <c r="F195" s="188"/>
      <c r="G195" s="179" t="s">
        <v>7673</v>
      </c>
      <c r="H195" s="190"/>
      <c r="I195" s="190"/>
      <c r="J195" s="187" t="s">
        <v>3746</v>
      </c>
      <c r="K195" s="187" t="s">
        <v>7058</v>
      </c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"),"Depositada")</f>
        <v>Depositada</v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>
        <f>IFERROR(__xludf.DUMMYFUNCTION("ifna(VALUE(REGEXEXTRACT(E195,""[0-9.]+[,]+[0-9]+"")))"),1000.0)</f>
        <v>1000</v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0">
        <v>1874838.0</v>
      </c>
      <c r="C196" s="11">
        <v>46011.90170138889</v>
      </c>
      <c r="D196" s="179" t="s">
        <v>50</v>
      </c>
      <c r="E196" s="180" t="s">
        <v>6808</v>
      </c>
      <c r="F196" s="188"/>
      <c r="G196" s="179" t="s">
        <v>7677</v>
      </c>
      <c r="H196" s="190"/>
      <c r="I196" s="190"/>
      <c r="J196" s="187" t="s">
        <v>3903</v>
      </c>
      <c r="K196" s="187"/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"""")"),"Não Encontrada")</f>
        <v>Não Encontrada</v>
      </c>
      <c r="N196" s="185">
        <f>IFERROR(__xludf.DUMMYFUNCTION("ifna(VALUE(REGEXEXTRACT(E196,""[0-9.]+[,]+[0-9]+"")))"),202.0)</f>
        <v>202</v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0">
        <v>1874942.0</v>
      </c>
      <c r="C197" s="11">
        <v>46011.913993055554</v>
      </c>
      <c r="D197" s="179" t="s">
        <v>50</v>
      </c>
      <c r="E197" s="180" t="s">
        <v>3885</v>
      </c>
      <c r="F197" s="181"/>
      <c r="G197" s="179" t="s">
        <v>7681</v>
      </c>
      <c r="H197" s="190"/>
      <c r="I197" s="190"/>
      <c r="J197" s="187" t="s">
        <v>3825</v>
      </c>
      <c r="K197" s="187"/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>
        <f>IFERROR(__xludf.DUMMYFUNCTION("ifna(VALUE(REGEXEXTRACT(E197,""[0-9.]+[,]+[0-9]+"")))"),78.0)</f>
        <v>78</v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0">
        <v>1874956.0</v>
      </c>
      <c r="C198" s="11">
        <v>46011.91516203704</v>
      </c>
      <c r="D198" s="179" t="s">
        <v>50</v>
      </c>
      <c r="E198" s="180" t="s">
        <v>3819</v>
      </c>
      <c r="F198" s="181"/>
      <c r="G198" s="179" t="s">
        <v>7683</v>
      </c>
      <c r="H198" s="190"/>
      <c r="I198" s="190"/>
      <c r="J198" s="187" t="s">
        <v>3825</v>
      </c>
      <c r="K198" s="187"/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>
        <f>IFERROR(__xludf.DUMMYFUNCTION("ifna(VALUE(REGEXEXTRACT(E198,""[0-9.]+[,]+[0-9]+"")))"),110.5)</f>
        <v>110.5</v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0">
        <v>1874994.0</v>
      </c>
      <c r="C199" s="11">
        <v>46011.9184837963</v>
      </c>
      <c r="D199" s="179" t="s">
        <v>50</v>
      </c>
      <c r="E199" s="180" t="s">
        <v>6848</v>
      </c>
      <c r="F199" s="181"/>
      <c r="G199" s="179" t="s">
        <v>7685</v>
      </c>
      <c r="H199" s="190"/>
      <c r="I199" s="190"/>
      <c r="J199" s="187" t="s">
        <v>3746</v>
      </c>
      <c r="K199" s="187" t="s">
        <v>7052</v>
      </c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"),"Depositada")</f>
        <v>Depositada</v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>
        <f>IFERROR(__xludf.DUMMYFUNCTION("ifna(VALUE(REGEXEXTRACT(E199,""[0-9.]+[,]+[0-9]+"")))"),1350.0)</f>
        <v>1350</v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0">
        <v>1875069.0</v>
      </c>
      <c r="C200" s="11">
        <v>46011.92282407408</v>
      </c>
      <c r="D200" s="179" t="s">
        <v>50</v>
      </c>
      <c r="E200" s="180" t="s">
        <v>4449</v>
      </c>
      <c r="F200" s="181"/>
      <c r="G200" s="179" t="s">
        <v>7687</v>
      </c>
      <c r="H200" s="190"/>
      <c r="I200" s="190"/>
      <c r="J200" s="187" t="s">
        <v>3825</v>
      </c>
      <c r="K200" s="187"/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>
        <f>IFERROR(__xludf.DUMMYFUNCTION("ifna(VALUE(REGEXEXTRACT(E200,""[0-9.]+[,]+[0-9]+"")))"),124.0)</f>
        <v>124</v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0">
        <v>1875081.0</v>
      </c>
      <c r="C201" s="11">
        <v>46011.923425925925</v>
      </c>
      <c r="D201" s="179" t="s">
        <v>50</v>
      </c>
      <c r="E201" s="180" t="s">
        <v>4449</v>
      </c>
      <c r="F201" s="181"/>
      <c r="G201" s="179" t="s">
        <v>7689</v>
      </c>
      <c r="H201" s="190"/>
      <c r="I201" s="190"/>
      <c r="J201" s="187" t="s">
        <v>3825</v>
      </c>
      <c r="K201" s="187"/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>
        <f>IFERROR(__xludf.DUMMYFUNCTION("ifna(VALUE(REGEXEXTRACT(E201,""[0-9.]+[,]+[0-9]+"")))"),124.0)</f>
        <v>124</v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0">
        <v>1878103.0</v>
      </c>
      <c r="C202" s="11">
        <v>46012.92607638889</v>
      </c>
      <c r="D202" s="179" t="s">
        <v>50</v>
      </c>
      <c r="E202" s="180" t="s">
        <v>1129</v>
      </c>
      <c r="F202" s="181"/>
      <c r="G202" s="179" t="s">
        <v>7691</v>
      </c>
      <c r="H202" s="190"/>
      <c r="I202" s="190"/>
      <c r="J202" s="187" t="s">
        <v>3825</v>
      </c>
      <c r="K202" s="187"/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>
        <f>IFERROR(__xludf.DUMMYFUNCTION("ifna(VALUE(REGEXEXTRACT(E202,""[0-9.]+[,]+[0-9]+"")))"),120.0)</f>
        <v>120</v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0">
        <v>1878115.0</v>
      </c>
      <c r="C203" s="11">
        <v>46012.92665509259</v>
      </c>
      <c r="D203" s="179" t="s">
        <v>50</v>
      </c>
      <c r="E203" s="180" t="s">
        <v>1129</v>
      </c>
      <c r="F203" s="181"/>
      <c r="G203" s="179" t="s">
        <v>7694</v>
      </c>
      <c r="H203" s="190"/>
      <c r="I203" s="190"/>
      <c r="J203" s="187" t="s">
        <v>3825</v>
      </c>
      <c r="K203" s="187"/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>
        <f>IFERROR(__xludf.DUMMYFUNCTION("ifna(VALUE(REGEXEXTRACT(E203,""[0-9.]+[,]+[0-9]+"")))"),120.0)</f>
        <v>120</v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0">
        <v>1878122.0</v>
      </c>
      <c r="C204" s="11">
        <v>46012.92694444444</v>
      </c>
      <c r="D204" s="179" t="s">
        <v>50</v>
      </c>
      <c r="E204" s="180" t="s">
        <v>4449</v>
      </c>
      <c r="F204" s="181"/>
      <c r="G204" s="179" t="s">
        <v>7349</v>
      </c>
      <c r="H204" s="190"/>
      <c r="I204" s="190"/>
      <c r="J204" s="187" t="s">
        <v>3825</v>
      </c>
      <c r="K204" s="187"/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>
        <f>IFERROR(__xludf.DUMMYFUNCTION("ifna(VALUE(REGEXEXTRACT(E204,""[0-9.]+[,]+[0-9]+"")))"),124.0)</f>
        <v>124</v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0">
        <v>1878215.0</v>
      </c>
      <c r="C205" s="11">
        <v>46012.930393518516</v>
      </c>
      <c r="D205" s="179" t="s">
        <v>50</v>
      </c>
      <c r="E205" s="180" t="s">
        <v>7486</v>
      </c>
      <c r="F205" s="181"/>
      <c r="G205" s="179" t="s">
        <v>7698</v>
      </c>
      <c r="H205" s="190"/>
      <c r="I205" s="190"/>
      <c r="J205" s="187" t="s">
        <v>3746</v>
      </c>
      <c r="K205" s="187" t="s">
        <v>2949</v>
      </c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"),"Caixa Sangria")</f>
        <v>Caixa Sangria</v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>
        <f>IFERROR(__xludf.DUMMYFUNCTION("ifna(VALUE(REGEXEXTRACT(E205,""[0-9.]+[,]+[0-9]+"")))"),1700.0)</f>
        <v>1700</v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0">
        <v>1879055.0</v>
      </c>
      <c r="C206" s="11">
        <v>46013.50769675926</v>
      </c>
      <c r="D206" s="179" t="s">
        <v>50</v>
      </c>
      <c r="E206" s="180" t="s">
        <v>146</v>
      </c>
      <c r="F206" s="181"/>
      <c r="G206" s="179" t="s">
        <v>6446</v>
      </c>
      <c r="H206" s="190"/>
      <c r="I206" s="190"/>
      <c r="J206" s="187" t="s">
        <v>3044</v>
      </c>
      <c r="K206" s="187" t="s">
        <v>6664</v>
      </c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>
        <f>IFERROR(__xludf.DUMMYFUNCTION("ifna(VALUE(REGEXEXTRACT(E206,""[0-9.]+[,]+[0-9]+"")))"),3.0)</f>
        <v>3</v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0">
        <v>1879896.0</v>
      </c>
      <c r="C207" s="11">
        <v>46013.73609953704</v>
      </c>
      <c r="D207" s="179" t="s">
        <v>50</v>
      </c>
      <c r="E207" s="180" t="s">
        <v>7549</v>
      </c>
      <c r="F207" s="181"/>
      <c r="G207" s="179" t="s">
        <v>6584</v>
      </c>
      <c r="H207" s="190"/>
      <c r="I207" s="190"/>
      <c r="J207" s="187" t="s">
        <v>3903</v>
      </c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"""")"),"Encontrada")</f>
        <v>Encontrada</v>
      </c>
      <c r="N207" s="185">
        <f>IFERROR(__xludf.DUMMYFUNCTION("ifna(VALUE(REGEXEXTRACT(E207,""[0-9.]+[,]+[0-9]+"")))"),267.6)</f>
        <v>267.6</v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0">
        <v>1879981.0</v>
      </c>
      <c r="C208" s="11">
        <v>46013.750625</v>
      </c>
      <c r="D208" s="179" t="s">
        <v>50</v>
      </c>
      <c r="E208" s="180" t="s">
        <v>6382</v>
      </c>
      <c r="F208" s="188"/>
      <c r="G208" s="179" t="s">
        <v>7702</v>
      </c>
      <c r="H208" s="190"/>
      <c r="I208" s="190"/>
      <c r="J208" s="187" t="s">
        <v>3825</v>
      </c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>
        <f>IFERROR(__xludf.DUMMYFUNCTION("ifna(VALUE(REGEXEXTRACT(E208,""[0-9.]+[,]+[0-9]+"")))"),65.0)</f>
        <v>65</v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0">
        <v>1880012.0</v>
      </c>
      <c r="C209" s="11">
        <v>46013.75739583333</v>
      </c>
      <c r="D209" s="179" t="s">
        <v>50</v>
      </c>
      <c r="E209" s="180" t="s">
        <v>7706</v>
      </c>
      <c r="F209" s="181"/>
      <c r="G209" s="179" t="s">
        <v>6446</v>
      </c>
      <c r="H209" s="190"/>
      <c r="I209" s="190"/>
      <c r="J209" s="187" t="s">
        <v>3044</v>
      </c>
      <c r="K209" s="187" t="s">
        <v>6664</v>
      </c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>
        <f>IFERROR(__xludf.DUMMYFUNCTION("ifna(VALUE(REGEXEXTRACT(E209,""[0-9.]+[,]+[0-9]+"")))"),16.0)</f>
        <v>16</v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0">
        <v>1880015.0</v>
      </c>
      <c r="C210" s="11">
        <v>46013.75795138889</v>
      </c>
      <c r="D210" s="179" t="s">
        <v>50</v>
      </c>
      <c r="E210" s="180" t="s">
        <v>7708</v>
      </c>
      <c r="F210" s="181"/>
      <c r="G210" s="179" t="s">
        <v>7709</v>
      </c>
      <c r="H210" s="190"/>
      <c r="I210" s="190"/>
      <c r="J210" s="187" t="s">
        <v>3903</v>
      </c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"""")"),"Encontrada")</f>
        <v>Encontrada</v>
      </c>
      <c r="N210" s="185">
        <f>IFERROR(__xludf.DUMMYFUNCTION("ifna(VALUE(REGEXEXTRACT(E210,""[0-9.]+[,]+[0-9]+"")))"),633.89)</f>
        <v>633.89</v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0">
        <v>1880501.0</v>
      </c>
      <c r="C211" s="11">
        <v>46013.87364583334</v>
      </c>
      <c r="D211" s="179" t="s">
        <v>50</v>
      </c>
      <c r="E211" s="180" t="s">
        <v>7712</v>
      </c>
      <c r="F211" s="181"/>
      <c r="G211" s="179" t="s">
        <v>7713</v>
      </c>
      <c r="H211" s="190"/>
      <c r="I211" s="190"/>
      <c r="J211" s="187" t="s">
        <v>3467</v>
      </c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>
        <f>IFERROR(__xludf.DUMMYFUNCTION("ifna(VALUE(REGEXEXTRACT(E211,""[0-9.]+[,]+[0-9]+"")))"),18.79)</f>
        <v>18.79</v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0">
        <v>1880845.0</v>
      </c>
      <c r="C212" s="11">
        <v>46013.924259259256</v>
      </c>
      <c r="D212" s="179" t="s">
        <v>50</v>
      </c>
      <c r="E212" s="180" t="s">
        <v>1158</v>
      </c>
      <c r="F212" s="181"/>
      <c r="G212" s="179" t="s">
        <v>7715</v>
      </c>
      <c r="H212" s="190"/>
      <c r="I212" s="190"/>
      <c r="J212" s="187" t="s">
        <v>3746</v>
      </c>
      <c r="K212" s="187" t="s">
        <v>7058</v>
      </c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"),"Depositada")</f>
        <v>Depositada</v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>
        <f>IFERROR(__xludf.DUMMYFUNCTION("ifna(VALUE(REGEXEXTRACT(E212,""[0-9.]+[,]+[0-9]+"")))"),800.0)</f>
        <v>800</v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0">
        <v>1881544.0</v>
      </c>
      <c r="C213" s="11">
        <v>46014.55847222222</v>
      </c>
      <c r="D213" s="179" t="s">
        <v>50</v>
      </c>
      <c r="E213" s="180" t="s">
        <v>146</v>
      </c>
      <c r="F213" s="181"/>
      <c r="G213" s="179" t="s">
        <v>6446</v>
      </c>
      <c r="H213" s="190"/>
      <c r="I213" s="190"/>
      <c r="J213" s="187" t="s">
        <v>3044</v>
      </c>
      <c r="K213" s="187" t="s">
        <v>6664</v>
      </c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>
        <f>IFERROR(__xludf.DUMMYFUNCTION("ifna(VALUE(REGEXEXTRACT(E213,""[0-9.]+[,]+[0-9]+"")))"),3.0)</f>
        <v>3</v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0">
        <v>1882208.0</v>
      </c>
      <c r="C214" s="11">
        <v>46014.721666666665</v>
      </c>
      <c r="D214" s="179" t="s">
        <v>50</v>
      </c>
      <c r="E214" s="180" t="s">
        <v>7721</v>
      </c>
      <c r="F214" s="181"/>
      <c r="G214" s="179" t="s">
        <v>7722</v>
      </c>
      <c r="H214" s="190"/>
      <c r="I214" s="190"/>
      <c r="J214" s="187" t="s">
        <v>3466</v>
      </c>
      <c r="K214" s="187"/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>
        <f>IFERROR(__xludf.DUMMYFUNCTION("ifna(VALUE(REGEXEXTRACT(E214,""[0-9.]+[,]+[0-9]+"")))"),355.0)</f>
        <v>355</v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0">
        <v>1882213.0</v>
      </c>
      <c r="C215" s="11">
        <v>46014.72204861111</v>
      </c>
      <c r="D215" s="179" t="s">
        <v>227</v>
      </c>
      <c r="E215" s="180" t="s">
        <v>494</v>
      </c>
      <c r="F215" s="181"/>
      <c r="G215" s="179" t="s">
        <v>7724</v>
      </c>
      <c r="H215" s="190"/>
      <c r="I215" s="190"/>
      <c r="J215" s="187" t="s">
        <v>4159</v>
      </c>
      <c r="K215" s="187"/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>
        <f>IFERROR(__xludf.DUMMYFUNCTION("ifna(VALUE(REGEXEXTRACT(E215,""[0-9.]+[,]+[0-9]+"")))"),0.01)</f>
        <v>0.01</v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0">
        <v>883432.0</v>
      </c>
      <c r="C216" s="11">
        <v>46014.95130787037</v>
      </c>
      <c r="D216" s="179" t="s">
        <v>50</v>
      </c>
      <c r="E216" s="180" t="s">
        <v>6536</v>
      </c>
      <c r="F216" s="181"/>
      <c r="G216" s="179" t="s">
        <v>7727</v>
      </c>
      <c r="H216" s="190"/>
      <c r="I216" s="190"/>
      <c r="J216" s="187" t="s">
        <v>3825</v>
      </c>
      <c r="K216" s="187"/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>
        <f>IFERROR(__xludf.DUMMYFUNCTION("ifna(VALUE(REGEXEXTRACT(E216,""[0-9.]+[,]+[0-9]+"")))"),72.0)</f>
        <v>72</v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0">
        <v>1883440.0</v>
      </c>
      <c r="C217" s="11">
        <v>46014.95193287037</v>
      </c>
      <c r="D217" s="179" t="s">
        <v>50</v>
      </c>
      <c r="E217" s="180" t="s">
        <v>4300</v>
      </c>
      <c r="F217" s="181"/>
      <c r="G217" s="179" t="s">
        <v>7730</v>
      </c>
      <c r="H217" s="190"/>
      <c r="I217" s="190"/>
      <c r="J217" s="187" t="s">
        <v>3825</v>
      </c>
      <c r="K217" s="187"/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>
        <f>IFERROR(__xludf.DUMMYFUNCTION("ifna(VALUE(REGEXEXTRACT(E217,""[0-9.]+[,]+[0-9]+"")))"),104.0)</f>
        <v>104</v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0">
        <v>1883445.0</v>
      </c>
      <c r="C218" s="11">
        <v>46014.952569444446</v>
      </c>
      <c r="D218" s="179" t="s">
        <v>50</v>
      </c>
      <c r="E218" s="180" t="s">
        <v>6382</v>
      </c>
      <c r="F218" s="181"/>
      <c r="G218" s="179" t="s">
        <v>7734</v>
      </c>
      <c r="H218" s="190"/>
      <c r="I218" s="190"/>
      <c r="J218" s="187" t="s">
        <v>3825</v>
      </c>
      <c r="K218" s="187"/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>
        <f>IFERROR(__xludf.DUMMYFUNCTION("ifna(VALUE(REGEXEXTRACT(E218,""[0-9.]+[,]+[0-9]+"")))"),65.0)</f>
        <v>65</v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0">
        <v>1883459.0</v>
      </c>
      <c r="C219" s="11">
        <v>46014.95471064815</v>
      </c>
      <c r="D219" s="179" t="s">
        <v>50</v>
      </c>
      <c r="E219" s="180" t="s">
        <v>7736</v>
      </c>
      <c r="F219" s="181"/>
      <c r="G219" s="179" t="s">
        <v>7739</v>
      </c>
      <c r="H219" s="190"/>
      <c r="I219" s="190"/>
      <c r="J219" s="187" t="s">
        <v>3466</v>
      </c>
      <c r="K219" s="187"/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>
        <f>IFERROR(__xludf.DUMMYFUNCTION("ifna(VALUE(REGEXEXTRACT(E219,""[0-9.]+[,]+[0-9]+"")))"),395.0)</f>
        <v>395</v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0"/>
      <c r="C220" s="11"/>
      <c r="D220" s="179"/>
      <c r="E220" s="180"/>
      <c r="F220" s="181"/>
      <c r="G220" s="179"/>
      <c r="H220" s="190"/>
      <c r="I220" s="190"/>
      <c r="J220" s="187"/>
      <c r="K220" s="187"/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0"/>
      <c r="C221" s="11"/>
      <c r="D221" s="179"/>
      <c r="E221" s="180"/>
      <c r="F221" s="188"/>
      <c r="G221" s="179"/>
      <c r="H221" s="190"/>
      <c r="I221" s="190"/>
      <c r="J221" s="187"/>
      <c r="K221" s="187"/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0"/>
      <c r="C222" s="11"/>
      <c r="D222" s="179"/>
      <c r="E222" s="180"/>
      <c r="F222" s="181"/>
      <c r="G222" s="179"/>
      <c r="H222" s="190"/>
      <c r="I222" s="190"/>
      <c r="J222" s="187"/>
      <c r="K222" s="187"/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0"/>
      <c r="C223" s="11"/>
      <c r="D223" s="179"/>
      <c r="E223" s="180"/>
      <c r="F223" s="181"/>
      <c r="G223" s="179"/>
      <c r="H223" s="190"/>
      <c r="I223" s="190"/>
      <c r="J223" s="187"/>
      <c r="K223" s="187"/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0"/>
      <c r="C224" s="11"/>
      <c r="D224" s="179"/>
      <c r="E224" s="180"/>
      <c r="F224" s="181"/>
      <c r="G224" s="179"/>
      <c r="H224" s="190"/>
      <c r="I224" s="190"/>
      <c r="J224" s="187"/>
      <c r="K224" s="187"/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0"/>
      <c r="C225" s="11"/>
      <c r="D225" s="179"/>
      <c r="E225" s="180"/>
      <c r="F225" s="188"/>
      <c r="G225" s="179"/>
      <c r="H225" s="190"/>
      <c r="I225" s="190"/>
      <c r="J225" s="187"/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0"/>
      <c r="C226" s="11"/>
      <c r="D226" s="179"/>
      <c r="E226" s="180"/>
      <c r="F226" s="181"/>
      <c r="G226" s="179"/>
      <c r="H226" s="190"/>
      <c r="I226" s="190"/>
      <c r="J226" s="187"/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0"/>
      <c r="C227" s="11"/>
      <c r="D227" s="179"/>
      <c r="E227" s="180"/>
      <c r="F227" s="181"/>
      <c r="G227" s="179"/>
      <c r="H227" s="190"/>
      <c r="I227" s="190"/>
      <c r="J227" s="187"/>
      <c r="K227" s="187"/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0"/>
      <c r="C228" s="11"/>
      <c r="D228" s="179"/>
      <c r="E228" s="180"/>
      <c r="F228" s="188"/>
      <c r="G228" s="179"/>
      <c r="H228" s="190"/>
      <c r="I228" s="190"/>
      <c r="J228" s="187"/>
      <c r="K228" s="187"/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0"/>
      <c r="C232" s="11"/>
      <c r="D232" s="179"/>
      <c r="E232" s="180"/>
      <c r="F232" s="181"/>
      <c r="G232" s="179"/>
      <c r="H232" s="190"/>
      <c r="I232" s="190"/>
      <c r="J232" s="187"/>
      <c r="K232" s="187"/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0"/>
      <c r="C234" s="11"/>
      <c r="D234" s="179"/>
      <c r="E234" s="180"/>
      <c r="F234" s="188"/>
      <c r="G234" s="179"/>
      <c r="H234" s="190"/>
      <c r="I234" s="190"/>
      <c r="J234" s="187"/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1"/>
      <c r="D235" s="179"/>
      <c r="E235" s="180"/>
      <c r="F235" s="181"/>
      <c r="G235" s="179"/>
      <c r="H235" s="190"/>
      <c r="I235" s="190"/>
      <c r="J235" s="187"/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IFERROR(__xludf.DUMMYFUNCTION("IF(
  AND(D282=""Saída"", J282=""Sangria""),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IFERROR(__xludf.DUMMYFUNCTION("IF(
  AND(D283=""Saída"", J283=""Sangria""),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IFERROR(__xludf.DUMMYFUNCTION("IF(
  AND(D284=""Saída"", J284=""Sangria""),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IFERROR(__xludf.DUMMYFUNCTION("IF(
  AND(D285=""Saída"", J285=""Sangria""),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IFERROR(__xludf.DUMMYFUNCTION("IF(
  AND(D286=""Saída"", J286=""Sangria""),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IFERROR(__xludf.DUMMYFUNCTION("IF(
  AND(D287=""Saída"", J287=""Sangria""),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IFERROR(__xludf.DUMMYFUNCTION("IF(
  AND(D288=""Saída"", J288=""Sangria""),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IFERROR(__xludf.DUMMYFUNCTION("IF(
  AND(D289=""Saída"", J289=""Sangria""),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IFERROR(__xludf.DUMMYFUNCTION("IF(
  AND(D290=""Saída"", J290=""Sangria""),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IFERROR(__xludf.DUMMYFUNCTION("IF(
  AND(D291=""Saída"", J291=""Sangria""),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IFERROR(__xludf.DUMMYFUNCTION("IF(
  AND(D292=""Saída"", J292=""Sangria""),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IFERROR(__xludf.DUMMYFUNCTION("IF(
  AND(D293=""Saída"", J293=""Sangria""),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IFERROR(__xludf.DUMMYFUNCTION("IF(
  AND(D294=""Saída"", J294=""Sangria""),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IFERROR(__xludf.DUMMYFUNCTION("IF(
  AND(D295=""Saída"", J295=""Sangria""),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IFERROR(__xludf.DUMMYFUNCTION("IF(
  AND(D296=""Saída"", J296=""Sangria""),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IFERROR(__xludf.DUMMYFUNCTION("IF(
  AND(D297=""Saída"", J297=""Sangria""),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IFERROR(__xludf.DUMMYFUNCTION("IF(
  AND(D298=""Saída"", J298=""Sangria""),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IFERROR(__xludf.DUMMYFUNCTION("IF(
  AND(D299=""Saída"", J299=""Sangria""),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IFERROR(__xludf.DUMMYFUNCTION("IF(
  AND(D300=""Saída"", J300=""Sangria""),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IFERROR(__xludf.DUMMYFUNCTION("IF(
  AND(D301=""Saída"", J301=""Sangria""),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IFERROR(__xludf.DUMMYFUNCTION("IF(
  AND(D302=""Saída"", J302=""Sangria""),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IFERROR(__xludf.DUMMYFUNCTION("IF(
  AND(D303=""Saída"", J303=""Sangria""),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IFERROR(__xludf.DUMMYFUNCTION("IF(
  AND(D304=""Saída"", J304=""Sangria""),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IFERROR(__xludf.DUMMYFUNCTION("IF(
  AND(D305=""Saída"", J305=""Sangria""),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IFERROR(__xludf.DUMMYFUNCTION("IF(
  AND(D306=""Saída"", J306=""Sangria""),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IFERROR(__xludf.DUMMYFUNCTION("IF(
  AND(D307=""Saída"", J307=""Sangria""),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IFERROR(__xludf.DUMMYFUNCTION("IF(
  AND(D308=""Saída"", J308=""Sangria""),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IFERROR(__xludf.DUMMYFUNCTION("IF(
  AND(D309=""Saída"", J309=""Sangria""),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IFERROR(__xludf.DUMMYFUNCTION("IF(
  AND(D310=""Saída"", J310=""Sangria""),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IFERROR(__xludf.DUMMYFUNCTION("IF(
  AND(D311=""Saída"", J311=""Sangria""),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IFERROR(__xludf.DUMMYFUNCTION("IF(
  AND(D312=""Saída"", J312=""Sangria""),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IFERROR(__xludf.DUMMYFUNCTION("IF(
  AND(D313=""Saída"", J313=""Sangria""),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IFERROR(__xludf.DUMMYFUNCTION("IF(
  AND(D314=""Saída"", J314=""Sangria""),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IFERROR(__xludf.DUMMYFUNCTION("IF(
  AND(D315=""Saída"", J315=""Sangria""),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IFERROR(__xludf.DUMMYFUNCTION("IF(
  AND(D316=""Saída"", J316=""Sangria""),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IFERROR(__xludf.DUMMYFUNCTION("IF(
  AND(D317=""Saída"", J317=""Sangria""),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IFERROR(__xludf.DUMMYFUNCTION("IF(
  AND(D318=""Saída"", J318=""Sangria""),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IFERROR(__xludf.DUMMYFUNCTION("IF(
  AND(D319=""Saída"", J319=""Sangria""),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IFERROR(__xludf.DUMMYFUNCTION("IF(
  AND(D320=""Saída"", J320=""Sangria""),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IFERROR(__xludf.DUMMYFUNCTION("IF(
  AND(D321=""Saída"", J321=""Sangria""),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IFERROR(__xludf.DUMMYFUNCTION("IF(
  AND(D322=""Saída"", J322=""Sangria""),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IFERROR(__xludf.DUMMYFUNCTION("IF(
  AND(D323=""Saída"", J323=""Sangria""),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IFERROR(__xludf.DUMMYFUNCTION("IF(
  AND(D324=""Saída"", J324=""Sangria""),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IFERROR(__xludf.DUMMYFUNCTION("IF(
  AND(D325=""Saída"", J325=""Sangria""),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IFERROR(__xludf.DUMMYFUNCTION("IF(
  AND(D326=""Saída"", J326=""Sangria""),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IFERROR(__xludf.DUMMYFUNCTION("IF(
  AND(D327=""Saída"", J327=""Sangria""),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IFERROR(__xludf.DUMMYFUNCTION("IF(
  AND(D328=""Saída"", J328=""Sangria""),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IFERROR(__xludf.DUMMYFUNCTION("IF(
  AND(D329=""Saída"", J329=""Sangria""),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IFERROR(__xludf.DUMMYFUNCTION("IF(
  AND(D330=""Saída"", J330=""Sangria""),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IFERROR(__xludf.DUMMYFUNCTION("IF(
  AND(D331=""Saída"", J331=""Sangria""),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IFERROR(__xludf.DUMMYFUNCTION("IF(
  AND(D332=""Saída"", J332=""Sangria""),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IFERROR(__xludf.DUMMYFUNCTION("IF(
  AND(D333=""Saída"", J333=""Sangria""),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IFERROR(__xludf.DUMMYFUNCTION("IF(
  AND(D334=""Saída"", J334=""Sangria""),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IFERROR(__xludf.DUMMYFUNCTION("IF(
  AND(D335=""Saída"", J335=""Sangria""),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IFERROR(__xludf.DUMMYFUNCTION("IF(
  AND(D336=""Saída"", J336=""Sangria""),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IFERROR(__xludf.DUMMYFUNCTION("IF(
  AND(D337=""Saída"", J337=""Sangria""),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IFERROR(__xludf.DUMMYFUNCTION("IF(
  AND(D338=""Saída"", J338=""Sangria""),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IFERROR(__xludf.DUMMYFUNCTION("IF(
  AND(D339=""Saída"", J339=""Sangria""),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IFERROR(__xludf.DUMMYFUNCTION("IF(
  AND(D340=""Saída"", J340=""Sangria""),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IFERROR(__xludf.DUMMYFUNCTION("IF(
  AND(D341=""Saída"", J341=""Sangria""),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IFERROR(__xludf.DUMMYFUNCTION("IF(
  AND(D342=""Saída"", J342=""Sangria""),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IFERROR(__xludf.DUMMYFUNCTION("IF(
  AND(D343=""Saída"", J343=""Sangria""),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IFERROR(__xludf.DUMMYFUNCTION("IF(
  AND(D344=""Saída"", J344=""Sangria""),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IFERROR(__xludf.DUMMYFUNCTION("IF(
  AND(D345=""Saída"", J345=""Sangria""),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IFERROR(__xludf.DUMMYFUNCTION("IF(
  AND(D346=""Saída"", J346=""Sangria""),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IFERROR(__xludf.DUMMYFUNCTION("IF(
  AND(D347=""Saída"", J347=""Sangria""),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IFERROR(__xludf.DUMMYFUNCTION("IF(
  AND(D348=""Saída"", J348=""Sangria""),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IFERROR(__xludf.DUMMYFUNCTION("IF(
  AND(D349=""Saída"", J349=""Sangria""),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IFERROR(__xludf.DUMMYFUNCTION("IF(
  AND(D350=""Saída"", J350=""Sangria""),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IFERROR(__xludf.DUMMYFUNCTION("IF(
  AND(D351=""Saída"", J351=""Sangria""),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IFERROR(__xludf.DUMMYFUNCTION("IF(
  AND(D352=""Saída"", J352=""Sangria""),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IFERROR(__xludf.DUMMYFUNCTION("IF(
  AND(D353=""Saída"", J353=""Sangria""),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IFERROR(__xludf.DUMMYFUNCTION("IF(
  AND(D354=""Saída"", J354=""Sangria""),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IFERROR(__xludf.DUMMYFUNCTION("IF(
  AND(D355=""Saída"", J355=""Sangria""),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IFERROR(__xludf.DUMMYFUNCTION("IF(
  AND(D356=""Saída"", J356=""Sangria""),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IFERROR(__xludf.DUMMYFUNCTION("IF(
  AND(D357=""Saída"", J357=""Sangria""),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IFERROR(__xludf.DUMMYFUNCTION("IF(
  AND(D358=""Saída"", J358=""Sangria""),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IFERROR(__xludf.DUMMYFUNCTION("IF(
  AND(D359=""Saída"", J359=""Sangria""),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IFERROR(__xludf.DUMMYFUNCTION("IF(
  AND(D360=""Saída"", J360=""Sangria""),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IFERROR(__xludf.DUMMYFUNCTION("IF(
  AND(D361=""Saída"", J361=""Sangria""),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IFERROR(__xludf.DUMMYFUNCTION("IF(
  AND(D362=""Saída"", J362=""Sangria""),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IFERROR(__xludf.DUMMYFUNCTION("IF(
  AND(D363=""Saída"", J363=""Sangria""),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IFERROR(__xludf.DUMMYFUNCTION("IF(
  AND(D364=""Saída"", J364=""Sangria""),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IFERROR(__xludf.DUMMYFUNCTION("IF(
  AND(D365=""Saída"", J365=""Sangria""),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IFERROR(__xludf.DUMMYFUNCTION("IF(
  AND(D366=""Saída"", J366=""Sangria""),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IFERROR(__xludf.DUMMYFUNCTION("IF(
  AND(D367=""Saída"", J367=""Sangria""),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IFERROR(__xludf.DUMMYFUNCTION("IF(
  AND(D368=""Saída"", J368=""Sangria""),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IFERROR(__xludf.DUMMYFUNCTION("IF(
  AND(D369=""Saída"", J369=""Sangria""),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IFERROR(__xludf.DUMMYFUNCTION("IF(
  AND(D370=""Saída"", J370=""Sangria""),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IFERROR(__xludf.DUMMYFUNCTION("IF(
  AND(D371=""Saída"", J371=""Sangria""),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IFERROR(__xludf.DUMMYFUNCTION("IF(
  AND(D372=""Saída"", J372=""Sangria""),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IFERROR(__xludf.DUMMYFUNCTION("IF(
  AND(D373=""Saída"", J373=""Sangria""),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IFERROR(__xludf.DUMMYFUNCTION("IF(
  AND(D374=""Saída"", J374=""Sangria""),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IFERROR(__xludf.DUMMYFUNCTION("IF(
  AND(D375=""Saída"", J375=""Sangria""),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IFERROR(__xludf.DUMMYFUNCTION("IF(
  AND(D376=""Saída"", J376=""Sangria""),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IFERROR(__xludf.DUMMYFUNCTION("IF(
  AND(D377=""Saída"", J377=""Sangria""),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IFERROR(__xludf.DUMMYFUNCTION("IF(
  AND(D378=""Saída"", J378=""Sangria""),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IFERROR(__xludf.DUMMYFUNCTION("IF(
  AND(D379=""Saída"", J379=""Sangria""),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IFERROR(__xludf.DUMMYFUNCTION("IF(
  AND(D380=""Saída"", J380=""Sangria""),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IFERROR(__xludf.DUMMYFUNCTION("IF(
  AND(D381=""Saída"", J381=""Sangria""),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IFERROR(__xludf.DUMMYFUNCTION("IF(
  AND(D382=""Saída"", J382=""Sangria""),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IFERROR(__xludf.DUMMYFUNCTION("IF(
  AND(D383=""Saída"", J383=""Sangria""),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IFERROR(__xludf.DUMMYFUNCTION("IF(
  AND(D384=""Saída"", J384=""Sangria""),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IFERROR(__xludf.DUMMYFUNCTION("IF(
  AND(D385=""Saída"", J385=""Sangria""),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IFERROR(__xludf.DUMMYFUNCTION("IF(
  AND(D386=""Saída"", J386=""Sangria""),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IFERROR(__xludf.DUMMYFUNCTION("IF(
  AND(D387=""Saída"", J387=""Sangria""),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IFERROR(__xludf.DUMMYFUNCTION("IF(
  AND(D388=""Saída"", J388=""Sangria""),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IFERROR(__xludf.DUMMYFUNCTION("IF(
  AND(D389=""Saída"", J389=""Sangria""),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IFERROR(__xludf.DUMMYFUNCTION("IF(
  AND(D390=""Saída"", J390=""Sangria""),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IFERROR(__xludf.DUMMYFUNCTION("IF(
  AND(D391=""Saída"", J391=""Sangria""),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IFERROR(__xludf.DUMMYFUNCTION("IF(
  AND(D392=""Saída"", J392=""Sangria""),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IFERROR(__xludf.DUMMYFUNCTION("IF(
  AND(D393=""Saída"", J393=""Sangria""),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IFERROR(__xludf.DUMMYFUNCTION("IF(
  AND(D394=""Saída"", J394=""Sangria""),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IFERROR(__xludf.DUMMYFUNCTION("IF(
  AND(D395=""Saída"", J395=""Sangria""),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IFERROR(__xludf.DUMMYFUNCTION("IF(
  AND(D396=""Saída"", J396=""Sangria""),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IFERROR(__xludf.DUMMYFUNCTION("IF(
  AND(D397=""Saída"", J397=""Sangria""),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IFERROR(__xludf.DUMMYFUNCTION("IF(
  AND(D398=""Saída"", J398=""Sangria""),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IFERROR(__xludf.DUMMYFUNCTION("IF(
  AND(D399=""Saída"", J399=""Sangria""),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IFERROR(__xludf.DUMMYFUNCTION("IF(
  AND(D400=""Saída"", J400=""Sangria""),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IFERROR(__xludf.DUMMYFUNCTION("IF(
  AND(D401=""Saída"", J401=""Sangria""),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IFERROR(__xludf.DUMMYFUNCTION("IF(
  AND(D402=""Saída"", J402=""Sangria""),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IFERROR(__xludf.DUMMYFUNCTION("IF(
  AND(D403=""Saída"", J403=""Sangria""),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IFERROR(__xludf.DUMMYFUNCTION("IF(
  AND(D404=""Saída"", J404=""Sangria""),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IFERROR(__xludf.DUMMYFUNCTION("IF(
  AND(D405=""Saída"", J405=""Sangria""),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IFERROR(__xludf.DUMMYFUNCTION("IF(
  AND(D406=""Saída"", J406=""Sangria""),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IFERROR(__xludf.DUMMYFUNCTION("IF(
  AND(D407=""Saída"", J407=""Sangria""),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IFERROR(__xludf.DUMMYFUNCTION("IF(
  AND(D408=""Saída"", J408=""Sangria""),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IFERROR(__xludf.DUMMYFUNCTION("IF(
  AND(D409=""Saída"", J409=""Sangria""),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IFERROR(__xludf.DUMMYFUNCTION("IF(
  AND(D410=""Saída"", J410=""Sangria""),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IFERROR(__xludf.DUMMYFUNCTION("IF(
  AND(D411=""Saída"", J411=""Sangria""),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IFERROR(__xludf.DUMMYFUNCTION("IF(
  AND(D412=""Saída"", J412=""Sangria""),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IFERROR(__xludf.DUMMYFUNCTION("IF(
  AND(D413=""Saída"", J413=""Sangria""),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IFERROR(__xludf.DUMMYFUNCTION("IF(
  AND(D414=""Saída"", J414=""Sangria""),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IFERROR(__xludf.DUMMYFUNCTION("IF(
  AND(D415=""Saída"", J415=""Sangria""),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IFERROR(__xludf.DUMMYFUNCTION("IF(
  AND(D416=""Saída"", J416=""Sangria""),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IFERROR(__xludf.DUMMYFUNCTION("IF(
  AND(D417=""Saída"", J417=""Sangria""),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IFERROR(__xludf.DUMMYFUNCTION("IF(
  AND(D418=""Saída"", J418=""Sangria""),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IFERROR(__xludf.DUMMYFUNCTION("IF(
  AND(D419=""Saída"", J419=""Sangria""),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IFERROR(__xludf.DUMMYFUNCTION("IF(
  AND(D420=""Saída"", J420=""Sangria""),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IFERROR(__xludf.DUMMYFUNCTION("IF(
  AND(D421=""Saída"", J421=""Sangria""),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IFERROR(__xludf.DUMMYFUNCTION("IF(
  AND(D422=""Saída"", J422=""Sangria""),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IFERROR(__xludf.DUMMYFUNCTION("IF(
  AND(D423=""Saída"", J423=""Sangria""),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IFERROR(__xludf.DUMMYFUNCTION("IF(
  AND(D424=""Saída"", J424=""Sangria""),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IFERROR(__xludf.DUMMYFUNCTION("IF(
  AND(D425=""Saída"", J425=""Sangria""),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IFERROR(__xludf.DUMMYFUNCTION("IF(
  AND(D426=""Saída"", J426=""Sangria""),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IFERROR(__xludf.DUMMYFUNCTION("IF(
  AND(D427=""Saída"", J427=""Sangria""),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IFERROR(__xludf.DUMMYFUNCTION("IF(
  AND(D428=""Saída"", J428=""Sangria""),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IFERROR(__xludf.DUMMYFUNCTION("IF(
  AND(D429=""Saída"", J429=""Sangria""),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IFERROR(__xludf.DUMMYFUNCTION("IF(
  AND(D430=""Saída"", J430=""Sangria""),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IFERROR(__xludf.DUMMYFUNCTION("IF(
  AND(D431=""Saída"", J431=""Sangria""),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IFERROR(__xludf.DUMMYFUNCTION("IF(
  AND(D432=""Saída"", J432=""Sangria""),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IFERROR(__xludf.DUMMYFUNCTION("IF(
  AND(D433=""Saída"", J433=""Sangria""),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IFERROR(__xludf.DUMMYFUNCTION("IF(
  AND(D434=""Saída"", J434=""Sangria""),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IFERROR(__xludf.DUMMYFUNCTION("IF(
  AND(D435=""Saída"", J435=""Sangria""),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IFERROR(__xludf.DUMMYFUNCTION("IF(
  AND(D436=""Saída"", J436=""Sangria""),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IFERROR(__xludf.DUMMYFUNCTION("IF(
  AND(D437=""Saída"", J437=""Sangria""),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IFERROR(__xludf.DUMMYFUNCTION("IF(
  AND(D438=""Saída"", J438=""Sangria""),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IFERROR(__xludf.DUMMYFUNCTION("IF(
  AND(D439=""Saída"", J439=""Sangria""),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IFERROR(__xludf.DUMMYFUNCTION("IF(
  AND(D440=""Saída"", J440=""Sangria""),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IFERROR(__xludf.DUMMYFUNCTION("IF(
  AND(D441=""Saída"", J441=""Sangria""),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IFERROR(__xludf.DUMMYFUNCTION("IF(
  AND(D442=""Saída"", J442=""Sangria""),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IFERROR(__xludf.DUMMYFUNCTION("IF(
  AND(D443=""Saída"", J443=""Sangria""),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IFERROR(__xludf.DUMMYFUNCTION("IF(
  AND(D444=""Saída"", J444=""Sangria""),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IFERROR(__xludf.DUMMYFUNCTION("IF(
  AND(D445=""Saída"", J445=""Sangria""),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IFERROR(__xludf.DUMMYFUNCTION("IF(
  AND(D446=""Saída"", J446=""Sangria""),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IFERROR(__xludf.DUMMYFUNCTION("IF(
  AND(D447=""Saída"", J447=""Sangria""),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IFERROR(__xludf.DUMMYFUNCTION("IF(
  AND(D448=""Saída"", J448=""Sangria""),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IFERROR(__xludf.DUMMYFUNCTION("IF(
  AND(D449=""Saída"", J449=""Sangria""),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IFERROR(__xludf.DUMMYFUNCTION("IF(
  AND(D450=""Saída"", J450=""Sangria""),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IFERROR(__xludf.DUMMYFUNCTION("IF(
  AND(D451=""Saída"", J451=""Sangria""),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IFERROR(__xludf.DUMMYFUNCTION("IF(
  AND(D452=""Saída"", J452=""Sangria""),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IFERROR(__xludf.DUMMYFUNCTION("IF(
  AND(D453=""Saída"", J453=""Sangria""),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IFERROR(__xludf.DUMMYFUNCTION("IF(
  AND(D454=""Saída"", J454=""Sangria""),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IFERROR(__xludf.DUMMYFUNCTION("IF(
  AND(D455=""Saída"", J455=""Sangria""),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IFERROR(__xludf.DUMMYFUNCTION("IF(
  AND(D456=""Saída"", J456=""Sangria""),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IFERROR(__xludf.DUMMYFUNCTION("IF(
  AND(D457=""Saída"", J457=""Sangria""),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IFERROR(__xludf.DUMMYFUNCTION("IF(
  AND(D458=""Saída"", J458=""Sangria""),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IFERROR(__xludf.DUMMYFUNCTION("IF(
  AND(D459=""Saída"", J459=""Sangria""),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IFERROR(__xludf.DUMMYFUNCTION("IF(
  AND(D460=""Saída"", J460=""Sangria""),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IFERROR(__xludf.DUMMYFUNCTION("IF(
  AND(D461=""Saída"", J461=""Sangria""),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IFERROR(__xludf.DUMMYFUNCTION("IF(
  AND(D462=""Saída"", J462=""Sangria""),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IFERROR(__xludf.DUMMYFUNCTION("IF(
  AND(D463=""Saída"", J463=""Sangria""),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IFERROR(__xludf.DUMMYFUNCTION("IF(
  AND(D464=""Saída"", J464=""Sangria""),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IFERROR(__xludf.DUMMYFUNCTION("IF(
  AND(D465=""Saída"", J465=""Sangria""),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IFERROR(__xludf.DUMMYFUNCTION("IF(
  AND(D466=""Saída"", J466=""Sangria""),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IFERROR(__xludf.DUMMYFUNCTION("IF(
  AND(D467=""Saída"", J467=""Sangria""),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IFERROR(__xludf.DUMMYFUNCTION("IF(
  AND(D468=""Saída"", J468=""Sangria""),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IFERROR(__xludf.DUMMYFUNCTION("IF(
  AND(D469=""Saída"", J469=""Sangria""),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IFERROR(__xludf.DUMMYFUNCTION("IF(
  AND(D470=""Saída"", J470=""Sangria""),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IFERROR(__xludf.DUMMYFUNCTION("IF(
  AND(D471=""Saída"", J471=""Sangria""),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IFERROR(__xludf.DUMMYFUNCTION("IF(
  AND(D472=""Saída"", J472=""Sangria""),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IFERROR(__xludf.DUMMYFUNCTION("IF(
  AND(D473=""Saída"", J473=""Sangria""),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IFERROR(__xludf.DUMMYFUNCTION("IF(
  AND(D474=""Saída"", J474=""Sangria""),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IFERROR(__xludf.DUMMYFUNCTION("IF(
  AND(D475=""Saída"", J475=""Sangria""),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IFERROR(__xludf.DUMMYFUNCTION("IF(
  AND(D476=""Saída"", J476=""Sangria""),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IFERROR(__xludf.DUMMYFUNCTION("IF(
  AND(D477=""Saída"", J477=""Sangria""),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IFERROR(__xludf.DUMMYFUNCTION("IF(
  AND(D478=""Saída"", J478=""Sangria""),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IFERROR(__xludf.DUMMYFUNCTION("IF(
  AND(D479=""Saída"", J479=""Sangria""),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IFERROR(__xludf.DUMMYFUNCTION("IF(
  AND(D480=""Saída"", J480=""Sangria""),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IFERROR(__xludf.DUMMYFUNCTION("IF(
  AND(D481=""Saída"", J481=""Sangria""),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IFERROR(__xludf.DUMMYFUNCTION("IF(
  AND(D482=""Saída"", J482=""Sangria""),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IFERROR(__xludf.DUMMYFUNCTION("IF(
  AND(D483=""Saída"", J483=""Sangria""),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IFERROR(__xludf.DUMMYFUNCTION("IF(
  AND(D484=""Saída"", J484=""Sangria""),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IFERROR(__xludf.DUMMYFUNCTION("IF(
  AND(D485=""Saída"", J485=""Sangria""),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IFERROR(__xludf.DUMMYFUNCTION("IF(
  AND(D486=""Saída"", J486=""Sangria""),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IFERROR(__xludf.DUMMYFUNCTION("IF(
  AND(D487=""Saída"", J487=""Sangria""),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IFERROR(__xludf.DUMMYFUNCTION("IF(
  AND(D488=""Saída"", J488=""Sangria""),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IFERROR(__xludf.DUMMYFUNCTION("IF(
  AND(D489=""Saída"", J489=""Sangria""),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IFERROR(__xludf.DUMMYFUNCTION("IF(
  AND(D490=""Saída"", J490=""Sangria""),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IFERROR(__xludf.DUMMYFUNCTION("IF(
  AND(D491=""Saída"", J491=""Sangria""),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IFERROR(__xludf.DUMMYFUNCTION("IF(
  AND(D492=""Saída"", J492=""Sangria""),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IFERROR(__xludf.DUMMYFUNCTION("IF(
  AND(D493=""Saída"", J493=""Sangria""),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IFERROR(__xludf.DUMMYFUNCTION("IF(
  AND(D494=""Saída"", J494=""Sangria""),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IFERROR(__xludf.DUMMYFUNCTION("IF(
  AND(D495=""Saída"", J495=""Sangria""),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IFERROR(__xludf.DUMMYFUNCTION("IF(
  AND(D496=""Saída"", J496=""Sangria""),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IFERROR(__xludf.DUMMYFUNCTION("IF(
  AND(D497=""Saída"", J497=""Sangria""),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IFERROR(__xludf.DUMMYFUNCTION("IF(
  AND(D498=""Saída"", J498=""Sangria""),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IFERROR(__xludf.DUMMYFUNCTION("IF(
  AND(D499=""Saída"", J499=""Sangria""),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IFERROR(__xludf.DUMMYFUNCTION("IF(
  AND(D500=""Saída"", J500=""Sangria""),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IFERROR(__xludf.DUMMYFUNCTION("IF(
  AND(D501=""Saída"", J501=""Sangria""),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IFERROR(__xludf.DUMMYFUNCTION("IF(
  AND(D502=""Saída"", J502=""Sangria""),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IFERROR(__xludf.DUMMYFUNCTION("IF(
  AND(D503=""Saída"", J503=""Sangria""),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IFERROR(__xludf.DUMMYFUNCTION("IF(
  AND(D504=""Saída"", J504=""Sangria""),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252" t="str">
        <f>IFERROR(__xludf.DUMMYFUNCTION("IF(
  AND(D505=""Saída"", J505=""Sangria""),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252" t="str">
        <f>IFERROR(__xludf.DUMMYFUNCTION("IF(
  AND(D506=""Saída"", J506=""Sangria""),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7" t="str">
        <f>IFERROR(__xludf.DUMMYFUNCTION("IF(
  AND(D507=""Saída"", J507=""Sangria""),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9:R39"/>
    <mergeCell ref="O61:T62"/>
    <mergeCell ref="S63:T63"/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30:U130"/>
    <mergeCell ref="S131:U131"/>
    <mergeCell ref="S132:U132"/>
    <mergeCell ref="S133:U133"/>
    <mergeCell ref="S134:U134"/>
    <mergeCell ref="S135:U135"/>
    <mergeCell ref="S136:U136"/>
    <mergeCell ref="S123:U123"/>
    <mergeCell ref="S124:U124"/>
    <mergeCell ref="S125:U125"/>
    <mergeCell ref="S126:U126"/>
    <mergeCell ref="S127:U127"/>
    <mergeCell ref="S128:U128"/>
    <mergeCell ref="S129:U129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9:W39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507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L4:W4 L11 D20 O20:W20 O40:W40 O49:W49 U69:W69">
    <cfRule type="cellIs" dxfId="6" priority="19" operator="greaterThanOrEqual">
      <formula>500</formula>
    </cfRule>
  </conditionalFormatting>
  <conditionalFormatting sqref="L4:W4 L11 D20 O20:W20 O40:W40 O49:W49 U69:W69">
    <cfRule type="cellIs" dxfId="7" priority="20" operator="between">
      <formula>400</formula>
      <formula>500</formula>
    </cfRule>
  </conditionalFormatting>
  <conditionalFormatting sqref="E36:E507">
    <cfRule type="containsText" dxfId="9" priority="21" operator="containsText" text="R$">
      <formula>NOT(ISERROR(SEARCH(("R$"),(E36))))</formula>
    </cfRule>
  </conditionalFormatting>
  <conditionalFormatting sqref="K36:K507">
    <cfRule type="expression" dxfId="10" priority="22">
      <formula>or($J$29:$J$218="Compra Moedas",$J$29:$J$218="Cortesias",$J$29:$J$218="Troco")</formula>
    </cfRule>
  </conditionalFormatting>
  <conditionalFormatting sqref="K36:K507">
    <cfRule type="expression" dxfId="11" priority="23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4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5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6">
      <formula>LEN(TRIM(I43))&gt;0</formula>
    </cfRule>
  </conditionalFormatting>
  <conditionalFormatting sqref="I36:I507">
    <cfRule type="expression" dxfId="8" priority="27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8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29">
      <formula>and($C$29:$C$218="",or($D$29:$D$218="Entrada",$D$29:$D$218="Saída"))</formula>
    </cfRule>
  </conditionalFormatting>
  <conditionalFormatting sqref="I36:I507">
    <cfRule type="expression" dxfId="8" priority="30">
      <formula>and(K36 = "",or(J36="Consumo",J36="Adiantamento"))</formula>
    </cfRule>
  </conditionalFormatting>
  <conditionalFormatting sqref="M29:M507">
    <cfRule type="cellIs" dxfId="8" priority="31" operator="equal">
      <formula>"Não Encontrada"</formula>
    </cfRule>
  </conditionalFormatting>
  <conditionalFormatting sqref="L29:L507">
    <cfRule type="cellIs" dxfId="8" priority="32" operator="equal">
      <formula>"Caixa Sangria"</formula>
    </cfRule>
  </conditionalFormatting>
  <dataValidations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  <dataValidation type="list" allowBlank="1" showErrorMessage="1" sqref="K29:K507">
      <formula1>'DEZEMBRO 2025'!$B$4:$B$16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6.13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B9</f>
        <v>Janaina</v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" t="str">
        <f>B4</f>
        <v>Marcos</v>
      </c>
      <c r="P3" s="27"/>
      <c r="Q3" s="27"/>
      <c r="R3" s="28"/>
      <c r="S3" s="37"/>
      <c r="T3" s="38" t="str">
        <f>B5</f>
        <v>Rayanna</v>
      </c>
      <c r="U3" s="27"/>
      <c r="V3" s="27"/>
      <c r="W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400</v>
      </c>
      <c r="E4" s="43" t="s">
        <v>1112</v>
      </c>
      <c r="F4" s="42">
        <f>SUMIFS(N29:N504,J29:J504,E4,K29:K504,E3)+SUMIF(Q64:Q106,A5,R64:R106)+F9</f>
        <v>650</v>
      </c>
      <c r="G4" s="43" t="s">
        <v>1112</v>
      </c>
      <c r="H4" s="42">
        <f>SUMIFS(N29:N504,J29:J504,G4,K29:K504,G3)+SUMIF(Q64:Q106,A9,R64:R106)+H9</f>
        <v>500</v>
      </c>
      <c r="I4" s="43" t="s">
        <v>1112</v>
      </c>
      <c r="J4" s="42">
        <f>SUMIFS(N29:N504,J29:J504,C4,K29:K504,I3)+SUMIF(Q64:Q106,A7,R64:R106)+J9</f>
        <v>750</v>
      </c>
      <c r="K4" s="43" t="s">
        <v>1112</v>
      </c>
      <c r="L4" s="44">
        <f>SUMIFS(N29:N504,J29:J504,C4,K29:K504,K3)+SUMIF(Q64:Q106,A8,R64:R106)+L9</f>
        <v>500</v>
      </c>
      <c r="M4" s="25"/>
      <c r="N4" s="25"/>
      <c r="O4" s="45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4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'""&amp;B5&amp;""'"",1)"),"#REF!")</f>
        <v>#REF!</v>
      </c>
      <c r="U4" s="49"/>
      <c r="V4" s="49"/>
      <c r="W4" s="50"/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202.56</v>
      </c>
      <c r="G5" s="43" t="s">
        <v>3044</v>
      </c>
      <c r="H5" s="42">
        <f>SUMIFS(N29:N504,J29:J504,C5,K29:K504,G3)</f>
        <v>144.68</v>
      </c>
      <c r="I5" s="43" t="s">
        <v>3044</v>
      </c>
      <c r="J5" s="42">
        <f>SUMIFS(N29:N504,J29:J504,C5,K29:K504,I3)</f>
        <v>261.38</v>
      </c>
      <c r="K5" s="43" t="s">
        <v>3044</v>
      </c>
      <c r="L5" s="44">
        <f>SUMIFS(N29:N504,J29:J504,C5,K29:K504,K3)</f>
        <v>257.8</v>
      </c>
      <c r="M5" s="25"/>
      <c r="N5" s="25"/>
      <c r="O5" s="51"/>
      <c r="P5" s="52"/>
      <c r="Q5" s="52"/>
      <c r="R5" s="53"/>
      <c r="S5" s="54"/>
      <c r="T5" s="52"/>
      <c r="U5" s="52"/>
      <c r="V5" s="52"/>
      <c r="W5" s="53"/>
    </row>
    <row r="6" ht="16.5" customHeight="1">
      <c r="A6" s="56"/>
      <c r="B6" s="40"/>
      <c r="C6" s="41" t="s">
        <v>3082</v>
      </c>
      <c r="D6" s="42">
        <f>D5*0.8</f>
        <v>0</v>
      </c>
      <c r="E6" s="43" t="s">
        <v>3082</v>
      </c>
      <c r="F6" s="42">
        <f>F5*0.8</f>
        <v>162.048</v>
      </c>
      <c r="G6" s="43" t="s">
        <v>3082</v>
      </c>
      <c r="H6" s="42">
        <f>H5*0.8</f>
        <v>115.744</v>
      </c>
      <c r="I6" s="43" t="s">
        <v>3082</v>
      </c>
      <c r="J6" s="42">
        <f>J5*0.8</f>
        <v>209.104</v>
      </c>
      <c r="K6" s="57" t="s">
        <v>3082</v>
      </c>
      <c r="L6" s="44">
        <f>L5*0.8</f>
        <v>206.24</v>
      </c>
      <c r="M6" s="25"/>
      <c r="N6" s="25"/>
      <c r="O6" s="51"/>
      <c r="P6" s="52"/>
      <c r="Q6" s="52"/>
      <c r="R6" s="53"/>
      <c r="S6" s="54"/>
      <c r="T6" s="52"/>
      <c r="U6" s="52"/>
      <c r="V6" s="52"/>
      <c r="W6" s="53"/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51"/>
      <c r="P7" s="52"/>
      <c r="Q7" s="52"/>
      <c r="R7" s="53"/>
      <c r="S7" s="54"/>
      <c r="T7" s="52"/>
      <c r="U7" s="52"/>
      <c r="V7" s="52"/>
      <c r="W7" s="53"/>
    </row>
    <row r="8" ht="14.25" customHeight="1">
      <c r="A8" s="12" t="s">
        <v>78</v>
      </c>
      <c r="B8" s="40" t="s">
        <v>7058</v>
      </c>
      <c r="C8" s="63" t="s">
        <v>3170</v>
      </c>
      <c r="D8" s="67">
        <v>45779.0</v>
      </c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51"/>
      <c r="P8" s="52"/>
      <c r="Q8" s="52"/>
      <c r="R8" s="53"/>
      <c r="S8" s="54"/>
      <c r="T8" s="52"/>
      <c r="U8" s="52"/>
      <c r="V8" s="52"/>
      <c r="W8" s="53"/>
    </row>
    <row r="9">
      <c r="A9" s="39" t="s">
        <v>1900</v>
      </c>
      <c r="B9" s="40" t="s">
        <v>6340</v>
      </c>
      <c r="C9" s="70" t="s">
        <v>41</v>
      </c>
      <c r="D9" s="71">
        <v>400.0</v>
      </c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51"/>
      <c r="P9" s="52"/>
      <c r="Q9" s="52"/>
      <c r="R9" s="53"/>
      <c r="S9" s="54"/>
      <c r="T9" s="52"/>
      <c r="U9" s="52"/>
      <c r="V9" s="52"/>
      <c r="W9" s="53"/>
    </row>
    <row r="10" ht="21.75" customHeight="1">
      <c r="A10" s="39"/>
      <c r="B10" s="40"/>
      <c r="C10" s="75" t="str">
        <f>B9</f>
        <v>Janaina</v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51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1112</v>
      </c>
      <c r="D11" s="85">
        <f>SUMIFS(N29:N514,J29:J514,C11,K29:K514,C10)+SUMIF(Q64:Q106,A9,R64:R106)+D16</f>
        <v>500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3044</v>
      </c>
      <c r="D12" s="85">
        <f>SUMIFS(N36:N514,J36:J514,C12,K36:K514,C10)</f>
        <v>144.68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82"/>
      <c r="B13" s="93"/>
      <c r="C13" s="84" t="s">
        <v>3082</v>
      </c>
      <c r="D13" s="85">
        <f>D12*0.8</f>
        <v>115.744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3500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191" t="str">
        <f>B7</f>
        <v>Ana Carolina</v>
      </c>
      <c r="P19" s="106"/>
      <c r="Q19" s="106"/>
      <c r="R19" s="106"/>
      <c r="S19" s="110"/>
      <c r="T19" s="123" t="str">
        <f>B8</f>
        <v>Sabrina</v>
      </c>
      <c r="U19" s="106"/>
      <c r="V19" s="106"/>
      <c r="W19" s="124"/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769.76</v>
      </c>
      <c r="J20" s="132">
        <f>SUMIF(J29:J504,J19,N29:N504)</f>
        <v>298.55</v>
      </c>
      <c r="K20" s="133" t="s">
        <v>3520</v>
      </c>
      <c r="L20" s="134"/>
      <c r="M20" s="24"/>
      <c r="N20" s="24"/>
      <c r="O20" s="45" t="str">
        <f>IFERROR(__xludf.DUMMYFUNCTION("query(C28:L507,""select Col1,Col3,Col8,Col9 where (Col8 = 'Adiantamento' or Col8 = 'Consumo') and Col9 = '""&amp;B7&amp;""'"",1)"),"Data")</f>
        <v>Data</v>
      </c>
      <c r="P20" s="46" t="str">
        <f>IFERROR(__xludf.DUMMYFUNCTION("""COMPUTED_VALUE"""),"Valor ")</f>
        <v>Valor </v>
      </c>
      <c r="Q20" s="46" t="str">
        <f>IFERROR(__xludf.DUMMYFUNCTION("""COMPUTED_VALUE"""),"Tipo")</f>
        <v>Tipo</v>
      </c>
      <c r="R20" s="46" t="str">
        <f>IFERROR(__xludf.DUMMYFUNCTION("""COMPUTED_VALUE"""),"Funcionário")</f>
        <v>Funcionário</v>
      </c>
      <c r="S20" s="48"/>
      <c r="T20" s="49" t="str">
        <f>IFERROR(__xludf.DUMMYFUNCTION("query(C28:L507,""select Col1,Col3,Col8,Col9 where (Col8 = 'Adiantamento' or Col8 = 'Consumo') and Col9 = '""&amp;B8&amp;""'"",1)"),"Data")</f>
        <v>Data</v>
      </c>
      <c r="U20" s="49" t="str">
        <f>IFERROR(__xludf.DUMMYFUNCTION("""COMPUTED_VALUE"""),"Valor ")</f>
        <v>Valor </v>
      </c>
      <c r="V20" s="49" t="str">
        <f>IFERROR(__xludf.DUMMYFUNCTION("""COMPUTED_VALUE"""),"Tipo")</f>
        <v>Tipo</v>
      </c>
      <c r="W20" s="50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22600</v>
      </c>
      <c r="I21" s="138"/>
      <c r="J21" s="139"/>
      <c r="K21" s="133" t="s">
        <v>3570</v>
      </c>
      <c r="L21" s="134"/>
      <c r="M21" s="24"/>
      <c r="N21" s="24"/>
      <c r="O21" s="51">
        <f>IFERROR(__xludf.DUMMYFUNCTION("""COMPUTED_VALUE"""),46020.56668981482)</f>
        <v>46020.56669</v>
      </c>
      <c r="P21" s="52" t="str">
        <f>IFERROR(__xludf.DUMMYFUNCTION("""COMPUTED_VALUE"""),"R$ 12,00")</f>
        <v>R$ 12,00</v>
      </c>
      <c r="Q21" s="52" t="str">
        <f>IFERROR(__xludf.DUMMYFUNCTION("""COMPUTED_VALUE"""),"Consumo")</f>
        <v>Consumo</v>
      </c>
      <c r="R21" s="52" t="str">
        <f>IFERROR(__xludf.DUMMYFUNCTION("""COMPUTED_VALUE"""),"Ana Carolina")</f>
        <v>Ana Carolina</v>
      </c>
      <c r="S21" s="54"/>
      <c r="T21" s="55">
        <f>IFERROR(__xludf.DUMMYFUNCTION("""COMPUTED_VALUE"""),46020.56637731481)</f>
        <v>46020.56638</v>
      </c>
      <c r="U21" s="52" t="str">
        <f>IFERROR(__xludf.DUMMYFUNCTION("""COMPUTED_VALUE"""),"R$ 24,28")</f>
        <v>R$ 24,28</v>
      </c>
      <c r="V21" s="52" t="str">
        <f>IFERROR(__xludf.DUMMYFUNCTION("""COMPUTED_VALUE"""),"Consumo")</f>
        <v>Consumo</v>
      </c>
      <c r="W21" s="53" t="str">
        <f>IFERROR(__xludf.DUMMYFUNCTION("""COMPUTED_VALUE"""),"Sabrina")</f>
        <v>Sabrina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51">
        <f>IFERROR(__xludf.DUMMYFUNCTION("""COMPUTED_VALUE"""),46020.758472222224)</f>
        <v>46020.75847</v>
      </c>
      <c r="P22" s="52" t="str">
        <f>IFERROR(__xludf.DUMMYFUNCTION("""COMPUTED_VALUE"""),"R$ 9,00")</f>
        <v>R$ 9,00</v>
      </c>
      <c r="Q22" s="52" t="str">
        <f>IFERROR(__xludf.DUMMYFUNCTION("""COMPUTED_VALUE"""),"Consumo")</f>
        <v>Consumo</v>
      </c>
      <c r="R22" s="52" t="str">
        <f>IFERROR(__xludf.DUMMYFUNCTION("""COMPUTED_VALUE"""),"Ana Carolina")</f>
        <v>Ana Carolina</v>
      </c>
      <c r="S22" s="54"/>
      <c r="T22" s="55">
        <f>IFERROR(__xludf.DUMMYFUNCTION("""COMPUTED_VALUE"""),46022.514085648145)</f>
        <v>46022.51409</v>
      </c>
      <c r="U22" s="52" t="str">
        <f>IFERROR(__xludf.DUMMYFUNCTION("""COMPUTED_VALUE"""),"R$ 5,00")</f>
        <v>R$ 5,00</v>
      </c>
      <c r="V22" s="52" t="str">
        <f>IFERROR(__xludf.DUMMYFUNCTION("""COMPUTED_VALUE"""),"Consumo")</f>
        <v>Consumo</v>
      </c>
      <c r="W22" s="53" t="str">
        <f>IFERROR(__xludf.DUMMYFUNCTION("""COMPUTED_VALUE"""),"Sabrina")</f>
        <v>Sabrina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51">
        <f>IFERROR(__xludf.DUMMYFUNCTION("""COMPUTED_VALUE"""),46021.785682870366)</f>
        <v>46021.78568</v>
      </c>
      <c r="P23" s="52" t="str">
        <f>IFERROR(__xludf.DUMMYFUNCTION("""COMPUTED_VALUE"""),"R$ 36,04")</f>
        <v>R$ 36,04</v>
      </c>
      <c r="Q23" s="52" t="str">
        <f>IFERROR(__xludf.DUMMYFUNCTION("""COMPUTED_VALUE"""),"Consumo")</f>
        <v>Consumo</v>
      </c>
      <c r="R23" s="52" t="str">
        <f>IFERROR(__xludf.DUMMYFUNCTION("""COMPUTED_VALUE"""),"Ana Carolina")</f>
        <v>Ana Carolina</v>
      </c>
      <c r="S23" s="54"/>
      <c r="T23" s="55">
        <f>IFERROR(__xludf.DUMMYFUNCTION("""COMPUTED_VALUE"""),46022.72760416666)</f>
        <v>46022.7276</v>
      </c>
      <c r="U23" s="52" t="str">
        <f>IFERROR(__xludf.DUMMYFUNCTION("""COMPUTED_VALUE"""),"R$ 28,63")</f>
        <v>R$ 28,63</v>
      </c>
      <c r="V23" s="52" t="str">
        <f>IFERROR(__xludf.DUMMYFUNCTION("""COMPUTED_VALUE"""),"Consumo")</f>
        <v>Consumo</v>
      </c>
      <c r="W23" s="53" t="str">
        <f>IFERROR(__xludf.DUMMYFUNCTION("""COMPUTED_VALUE"""),"Sabrina")</f>
        <v>Sabrina</v>
      </c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2050</v>
      </c>
      <c r="I24" s="157" t="s">
        <v>3653</v>
      </c>
      <c r="J24" s="150"/>
      <c r="K24" s="133" t="s">
        <v>3656</v>
      </c>
      <c r="L24" s="134"/>
      <c r="M24" s="24"/>
      <c r="N24" s="24"/>
      <c r="O24" s="51">
        <f>IFERROR(__xludf.DUMMYFUNCTION("""COMPUTED_VALUE"""),46021.79288194445)</f>
        <v>46021.79288</v>
      </c>
      <c r="P24" s="52" t="str">
        <f>IFERROR(__xludf.DUMMYFUNCTION("""COMPUTED_VALUE"""),"R$ 20,90")</f>
        <v>R$ 20,90</v>
      </c>
      <c r="Q24" s="52" t="str">
        <f>IFERROR(__xludf.DUMMYFUNCTION("""COMPUTED_VALUE"""),"Consumo")</f>
        <v>Consumo</v>
      </c>
      <c r="R24" s="52" t="str">
        <f>IFERROR(__xludf.DUMMYFUNCTION("""COMPUTED_VALUE"""),"Ana Carolina")</f>
        <v>Ana Carolina</v>
      </c>
      <c r="S24" s="54"/>
      <c r="T24" s="55">
        <f>IFERROR(__xludf.DUMMYFUNCTION("""COMPUTED_VALUE"""),46025.55484953704)</f>
        <v>46025.55485</v>
      </c>
      <c r="U24" s="52" t="str">
        <f>IFERROR(__xludf.DUMMYFUNCTION("""COMPUTED_VALUE"""),"R$ 5,00")</f>
        <v>R$ 5,00</v>
      </c>
      <c r="V24" s="52" t="str">
        <f>IFERROR(__xludf.DUMMYFUNCTION("""COMPUTED_VALUE"""),"Consumo")</f>
        <v>Consumo</v>
      </c>
      <c r="W24" s="53" t="str">
        <f>IFERROR(__xludf.DUMMYFUNCTION("""COMPUTED_VALUE"""),"Sabrina")</f>
        <v>Sabrina</v>
      </c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17050</v>
      </c>
      <c r="I25" s="151">
        <f>SUMIF(J29:J504,I24,N29:N504)</f>
        <v>0</v>
      </c>
      <c r="J25" s="152"/>
      <c r="K25" s="162"/>
      <c r="L25" s="163"/>
      <c r="M25" s="25"/>
      <c r="N25" s="25"/>
      <c r="O25" s="51">
        <f>IFERROR(__xludf.DUMMYFUNCTION("""COMPUTED_VALUE"""),46025.89109953704)</f>
        <v>46025.8911</v>
      </c>
      <c r="P25" s="52" t="str">
        <f>IFERROR(__xludf.DUMMYFUNCTION("""COMPUTED_VALUE"""),"R$ 124,00")</f>
        <v>R$ 124,00</v>
      </c>
      <c r="Q25" s="52" t="str">
        <f>IFERROR(__xludf.DUMMYFUNCTION("""COMPUTED_VALUE"""),"Consumo")</f>
        <v>Consumo</v>
      </c>
      <c r="R25" s="52" t="str">
        <f>IFERROR(__xludf.DUMMYFUNCTION("""COMPUTED_VALUE"""),"Ana Carolina")</f>
        <v>Ana Carolina</v>
      </c>
      <c r="S25" s="54"/>
      <c r="T25" s="55">
        <f>IFERROR(__xludf.DUMMYFUNCTION("""COMPUTED_VALUE"""),46025.920625)</f>
        <v>46025.92063</v>
      </c>
      <c r="U25" s="52" t="str">
        <f>IFERROR(__xludf.DUMMYFUNCTION("""COMPUTED_VALUE"""),"R$ 21,47")</f>
        <v>R$ 21,47</v>
      </c>
      <c r="V25" s="52" t="str">
        <f>IFERROR(__xludf.DUMMYFUNCTION("""COMPUTED_VALUE"""),"Consumo")</f>
        <v>Consumo</v>
      </c>
      <c r="W25" s="53" t="str">
        <f>IFERROR(__xludf.DUMMYFUNCTION("""COMPUTED_VALUE"""),"Sabrina")</f>
        <v>Sabrina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51">
        <f>IFERROR(__xludf.DUMMYFUNCTION("""COMPUTED_VALUE"""),46026.550833333335)</f>
        <v>46026.55083</v>
      </c>
      <c r="P26" s="79" t="str">
        <f>IFERROR(__xludf.DUMMYFUNCTION("""COMPUTED_VALUE"""),"R$ 3,00")</f>
        <v>R$ 3,00</v>
      </c>
      <c r="Q26" s="79" t="str">
        <f>IFERROR(__xludf.DUMMYFUNCTION("""COMPUTED_VALUE"""),"Consumo")</f>
        <v>Consumo</v>
      </c>
      <c r="R26" s="79" t="str">
        <f>IFERROR(__xludf.DUMMYFUNCTION("""COMPUTED_VALUE"""),"Ana Carolina")</f>
        <v>Ana Carolina</v>
      </c>
      <c r="S26" s="81"/>
      <c r="T26" s="55">
        <f>IFERROR(__xludf.DUMMYFUNCTION("""COMPUTED_VALUE"""),46026.83957175926)</f>
        <v>46026.83957</v>
      </c>
      <c r="U26" s="79" t="str">
        <f>IFERROR(__xludf.DUMMYFUNCTION("""COMPUTED_VALUE"""),"R$ 12,00")</f>
        <v>R$ 12,00</v>
      </c>
      <c r="V26" s="79" t="str">
        <f>IFERROR(__xludf.DUMMYFUNCTION("""COMPUTED_VALUE"""),"Consumo")</f>
        <v>Consumo</v>
      </c>
      <c r="W26" s="80" t="str">
        <f>IFERROR(__xludf.DUMMYFUNCTION("""COMPUTED_VALUE"""),"Sabrina")</f>
        <v>Sabrina</v>
      </c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247">
        <f>IFERROR(__xludf.DUMMYFUNCTION("""COMPUTED_VALUE"""),46028.69824074074)</f>
        <v>46028.69824</v>
      </c>
      <c r="P27" s="89" t="str">
        <f>IFERROR(__xludf.DUMMYFUNCTION("""COMPUTED_VALUE"""),"R$ 5,00")</f>
        <v>R$ 5,00</v>
      </c>
      <c r="Q27" s="89" t="str">
        <f>IFERROR(__xludf.DUMMYFUNCTION("""COMPUTED_VALUE"""),"Consumo")</f>
        <v>Consumo</v>
      </c>
      <c r="R27" s="89" t="str">
        <f>IFERROR(__xludf.DUMMYFUNCTION("""COMPUTED_VALUE"""),"Ana Carolina")</f>
        <v>Ana Carolina</v>
      </c>
      <c r="S27" s="91"/>
      <c r="T27" s="236">
        <f>IFERROR(__xludf.DUMMYFUNCTION("""COMPUTED_VALUE"""),46027.93163194445)</f>
        <v>46027.93163</v>
      </c>
      <c r="U27" s="89" t="str">
        <f>IFERROR(__xludf.DUMMYFUNCTION("""COMPUTED_VALUE"""),"R$ 15,90")</f>
        <v>R$ 15,90</v>
      </c>
      <c r="V27" s="89" t="str">
        <f>IFERROR(__xludf.DUMMYFUNCTION("""COMPUTED_VALUE"""),"Consumo")</f>
        <v>Consumo</v>
      </c>
      <c r="W27" s="90" t="str">
        <f>IFERROR(__xludf.DUMMYFUNCTION("""COMPUTED_VALUE"""),"Sabrina")</f>
        <v>Sabrina</v>
      </c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340" t="s">
        <v>3724</v>
      </c>
      <c r="M28" s="274" t="s">
        <v>12</v>
      </c>
      <c r="N28" s="167"/>
      <c r="O28" s="247">
        <f>IFERROR(__xludf.DUMMYFUNCTION("""COMPUTED_VALUE"""),46029.55603009259)</f>
        <v>46029.55603</v>
      </c>
      <c r="P28" s="89" t="str">
        <f>IFERROR(__xludf.DUMMYFUNCTION("""COMPUTED_VALUE"""),"R$ 12,40")</f>
        <v>R$ 12,40</v>
      </c>
      <c r="Q28" s="89" t="str">
        <f>IFERROR(__xludf.DUMMYFUNCTION("""COMPUTED_VALUE"""),"Consumo")</f>
        <v>Consumo</v>
      </c>
      <c r="R28" s="89" t="str">
        <f>IFERROR(__xludf.DUMMYFUNCTION("""COMPUTED_VALUE"""),"Ana Carolina")</f>
        <v>Ana Carolina</v>
      </c>
      <c r="S28" s="91"/>
      <c r="T28" s="236">
        <f>IFERROR(__xludf.DUMMYFUNCTION("""COMPUTED_VALUE"""),46028.69490740741)</f>
        <v>46028.69491</v>
      </c>
      <c r="U28" s="89" t="str">
        <f>IFERROR(__xludf.DUMMYFUNCTION("""COMPUTED_VALUE"""),"R$ 5,00")</f>
        <v>R$ 5,00</v>
      </c>
      <c r="V28" s="89" t="str">
        <f>IFERROR(__xludf.DUMMYFUNCTION("""COMPUTED_VALUE"""),"Consumo")</f>
        <v>Consumo</v>
      </c>
      <c r="W28" s="90" t="str">
        <f>IFERROR(__xludf.DUMMYFUNCTION("""COMPUTED_VALUE"""),"Sabrina")</f>
        <v>Sabrina</v>
      </c>
    </row>
    <row r="29" ht="14.25" customHeight="1">
      <c r="A29" s="178"/>
      <c r="B29" s="10">
        <v>1891157.0</v>
      </c>
      <c r="C29" s="11">
        <v>46018.98517361111</v>
      </c>
      <c r="D29" s="179" t="s">
        <v>50</v>
      </c>
      <c r="E29" s="180" t="s">
        <v>7324</v>
      </c>
      <c r="F29" s="181"/>
      <c r="G29" s="179" t="s">
        <v>7325</v>
      </c>
      <c r="H29" s="190"/>
      <c r="I29" s="190"/>
      <c r="J29" s="187" t="s">
        <v>3825</v>
      </c>
      <c r="K29" s="187"/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IFERROR(__xludf.DUMMYFUNCTION("ifna(VALUE(REGEXEXTRACT(E29,""[0-9.]+[,]+[0-9]+"")))"),143.0)</f>
        <v>143</v>
      </c>
      <c r="O29" s="247">
        <f>IFERROR(__xludf.DUMMYFUNCTION("""COMPUTED_VALUE"""),46033.566666666666)</f>
        <v>46033.56667</v>
      </c>
      <c r="P29" s="89" t="str">
        <f>IFERROR(__xludf.DUMMYFUNCTION("""COMPUTED_VALUE"""),"R$ 4,00")</f>
        <v>R$ 4,00</v>
      </c>
      <c r="Q29" s="89" t="str">
        <f>IFERROR(__xludf.DUMMYFUNCTION("""COMPUTED_VALUE"""),"Consumo")</f>
        <v>Consumo</v>
      </c>
      <c r="R29" s="89" t="str">
        <f>IFERROR(__xludf.DUMMYFUNCTION("""COMPUTED_VALUE"""),"Ana Carolina")</f>
        <v>Ana Carolina</v>
      </c>
      <c r="S29" s="91"/>
      <c r="T29" s="236">
        <f>IFERROR(__xludf.DUMMYFUNCTION("""COMPUTED_VALUE"""),46028.859085648146)</f>
        <v>46028.85909</v>
      </c>
      <c r="U29" s="89" t="str">
        <f>IFERROR(__xludf.DUMMYFUNCTION("""COMPUTED_VALUE"""),"R$ 5,00")</f>
        <v>R$ 5,00</v>
      </c>
      <c r="V29" s="89" t="str">
        <f>IFERROR(__xludf.DUMMYFUNCTION("""COMPUTED_VALUE"""),"Consumo")</f>
        <v>Consumo</v>
      </c>
      <c r="W29" s="90" t="str">
        <f>IFERROR(__xludf.DUMMYFUNCTION("""COMPUTED_VALUE"""),"Sabrina")</f>
        <v>Sabrina</v>
      </c>
    </row>
    <row r="30">
      <c r="A30" s="178"/>
      <c r="B30" s="10">
        <v>1891187.0</v>
      </c>
      <c r="C30" s="11">
        <v>46018.990752314814</v>
      </c>
      <c r="D30" s="179" t="s">
        <v>50</v>
      </c>
      <c r="E30" s="180" t="s">
        <v>1158</v>
      </c>
      <c r="F30" s="181"/>
      <c r="G30" s="179" t="s">
        <v>7330</v>
      </c>
      <c r="H30" s="190"/>
      <c r="I30" s="190"/>
      <c r="J30" s="187" t="s">
        <v>3746</v>
      </c>
      <c r="K30" s="187" t="s">
        <v>7052</v>
      </c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"),"Depositada")</f>
        <v>Depositada</v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IFERROR(__xludf.DUMMYFUNCTION("ifna(VALUE(REGEXEXTRACT(E30,""[0-9.]+[,]+[0-9]+"")))"),800.0)</f>
        <v>800</v>
      </c>
      <c r="O30" s="247">
        <f>IFERROR(__xludf.DUMMYFUNCTION("""COMPUTED_VALUE"""),46035.571134259255)</f>
        <v>46035.57113</v>
      </c>
      <c r="P30" s="89" t="str">
        <f>IFERROR(__xludf.DUMMYFUNCTION("""COMPUTED_VALUE"""),"R$ 5,00")</f>
        <v>R$ 5,00</v>
      </c>
      <c r="Q30" s="89" t="str">
        <f>IFERROR(__xludf.DUMMYFUNCTION("""COMPUTED_VALUE"""),"Consumo")</f>
        <v>Consumo</v>
      </c>
      <c r="R30" s="89" t="str">
        <f>IFERROR(__xludf.DUMMYFUNCTION("""COMPUTED_VALUE"""),"Ana Carolina")</f>
        <v>Ana Carolina</v>
      </c>
      <c r="S30" s="91"/>
      <c r="T30" s="236">
        <f>IFERROR(__xludf.DUMMYFUNCTION("""COMPUTED_VALUE"""),46028.918958333335)</f>
        <v>46028.91896</v>
      </c>
      <c r="U30" s="89" t="str">
        <f>IFERROR(__xludf.DUMMYFUNCTION("""COMPUTED_VALUE"""),"R$ 40,90")</f>
        <v>R$ 40,90</v>
      </c>
      <c r="V30" s="89" t="str">
        <f>IFERROR(__xludf.DUMMYFUNCTION("""COMPUTED_VALUE"""),"Consumo")</f>
        <v>Consumo</v>
      </c>
      <c r="W30" s="90" t="str">
        <f>IFERROR(__xludf.DUMMYFUNCTION("""COMPUTED_VALUE"""),"Sabrina")</f>
        <v>Sabrina</v>
      </c>
    </row>
    <row r="31" ht="14.25" customHeight="1">
      <c r="A31" s="178"/>
      <c r="B31" s="10">
        <v>1891188.0</v>
      </c>
      <c r="C31" s="11">
        <v>46018.99153935185</v>
      </c>
      <c r="D31" s="179" t="s">
        <v>50</v>
      </c>
      <c r="E31" s="180" t="s">
        <v>6700</v>
      </c>
      <c r="F31" s="181"/>
      <c r="G31" s="10" t="s">
        <v>7335</v>
      </c>
      <c r="H31" s="190"/>
      <c r="I31" s="190"/>
      <c r="J31" s="187" t="s">
        <v>4159</v>
      </c>
      <c r="K31" s="187"/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IFERROR(__xludf.DUMMYFUNCTION("ifna(VALUE(REGEXEXTRACT(E31,""[0-9.]+[,]+[0-9]+"")))"),400.0)</f>
        <v>400</v>
      </c>
      <c r="O31" s="250">
        <f>IFERROR(__xludf.DUMMYFUNCTION("""COMPUTED_VALUE"""),46038.55017361111)</f>
        <v>46038.55017</v>
      </c>
      <c r="P31" s="193" t="str">
        <f>IFERROR(__xludf.DUMMYFUNCTION("""COMPUTED_VALUE"""),"R$ 13,00")</f>
        <v>R$ 13,00</v>
      </c>
      <c r="Q31" s="194" t="str">
        <f>IFERROR(__xludf.DUMMYFUNCTION("""COMPUTED_VALUE"""),"Consumo")</f>
        <v>Consumo</v>
      </c>
      <c r="R31" s="195" t="str">
        <f>IFERROR(__xludf.DUMMYFUNCTION("""COMPUTED_VALUE"""),"Ana Carolina")</f>
        <v>Ana Carolina</v>
      </c>
      <c r="S31" s="91"/>
      <c r="T31" s="236">
        <f>IFERROR(__xludf.DUMMYFUNCTION("""COMPUTED_VALUE"""),46029.593194444446)</f>
        <v>46029.59319</v>
      </c>
      <c r="U31" s="89" t="str">
        <f>IFERROR(__xludf.DUMMYFUNCTION("""COMPUTED_VALUE"""),"R$ 8,00")</f>
        <v>R$ 8,00</v>
      </c>
      <c r="V31" s="89" t="str">
        <f>IFERROR(__xludf.DUMMYFUNCTION("""COMPUTED_VALUE"""),"Consumo")</f>
        <v>Consumo</v>
      </c>
      <c r="W31" s="90" t="str">
        <f>IFERROR(__xludf.DUMMYFUNCTION("""COMPUTED_VALUE"""),"Sabrina")</f>
        <v>Sabrina</v>
      </c>
    </row>
    <row r="32" ht="14.25" customHeight="1">
      <c r="A32" s="178"/>
      <c r="B32" s="10">
        <v>1891191.0</v>
      </c>
      <c r="C32" s="11">
        <v>46018.99193287037</v>
      </c>
      <c r="D32" s="179" t="s">
        <v>50</v>
      </c>
      <c r="E32" s="180" t="s">
        <v>7338</v>
      </c>
      <c r="F32" s="181"/>
      <c r="G32" s="179" t="s">
        <v>7339</v>
      </c>
      <c r="H32" s="190"/>
      <c r="I32" s="190"/>
      <c r="J32" s="187" t="s">
        <v>4159</v>
      </c>
      <c r="K32" s="187"/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IFERROR(__xludf.DUMMYFUNCTION("ifna(VALUE(REGEXEXTRACT(E32,""[0-9.]+[,]+[0-9]+"")))"),16.37)</f>
        <v>16.37</v>
      </c>
      <c r="O32" s="247">
        <f>IFERROR(__xludf.DUMMYFUNCTION("""COMPUTED_VALUE"""),46038.56390046296)</f>
        <v>46038.5639</v>
      </c>
      <c r="P32" s="89" t="str">
        <f>IFERROR(__xludf.DUMMYFUNCTION("""COMPUTED_VALUE"""),"R$ 9,84")</f>
        <v>R$ 9,84</v>
      </c>
      <c r="Q32" s="89" t="str">
        <f>IFERROR(__xludf.DUMMYFUNCTION("""COMPUTED_VALUE"""),"Consumo")</f>
        <v>Consumo</v>
      </c>
      <c r="R32" s="89" t="str">
        <f>IFERROR(__xludf.DUMMYFUNCTION("""COMPUTED_VALUE"""),"Ana Carolina")</f>
        <v>Ana Carolina</v>
      </c>
      <c r="S32" s="91"/>
      <c r="T32" s="236">
        <f>IFERROR(__xludf.DUMMYFUNCTION("""COMPUTED_VALUE"""),46031.53435185185)</f>
        <v>46031.53435</v>
      </c>
      <c r="U32" s="89" t="str">
        <f>IFERROR(__xludf.DUMMYFUNCTION("""COMPUTED_VALUE"""),"R$ 4,00")</f>
        <v>R$ 4,00</v>
      </c>
      <c r="V32" s="89" t="str">
        <f>IFERROR(__xludf.DUMMYFUNCTION("""COMPUTED_VALUE"""),"Consumo")</f>
        <v>Consumo</v>
      </c>
      <c r="W32" s="90" t="str">
        <f>IFERROR(__xludf.DUMMYFUNCTION("""COMPUTED_VALUE"""),"Sabrina")</f>
        <v>Sabrina</v>
      </c>
    </row>
    <row r="33" ht="14.25" customHeight="1">
      <c r="A33" s="178"/>
      <c r="B33" s="10">
        <v>1893210.0</v>
      </c>
      <c r="C33" s="11">
        <v>46019.888032407405</v>
      </c>
      <c r="D33" s="179" t="s">
        <v>50</v>
      </c>
      <c r="E33" s="180" t="s">
        <v>7343</v>
      </c>
      <c r="F33" s="188"/>
      <c r="G33" s="179" t="s">
        <v>7344</v>
      </c>
      <c r="H33" s="190"/>
      <c r="I33" s="190"/>
      <c r="J33" s="187" t="s">
        <v>3903</v>
      </c>
      <c r="K33" s="187"/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"""")"),"Encontrada")</f>
        <v>Encontrada</v>
      </c>
      <c r="N33" s="185">
        <f>IFERROR(__xludf.DUMMYFUNCTION("ifna(VALUE(REGEXEXTRACT(E33,""[0-9.]+[,]+[0-9]+"")))"),27.74)</f>
        <v>27.74</v>
      </c>
      <c r="O33" s="247">
        <f>IFERROR(__xludf.DUMMYFUNCTION("""COMPUTED_VALUE"""),46038.669340277775)</f>
        <v>46038.66934</v>
      </c>
      <c r="P33" s="89" t="str">
        <f>IFERROR(__xludf.DUMMYFUNCTION("""COMPUTED_VALUE"""),"R$ 3,20")</f>
        <v>R$ 3,20</v>
      </c>
      <c r="Q33" s="89" t="str">
        <f>IFERROR(__xludf.DUMMYFUNCTION("""COMPUTED_VALUE"""),"Consumo")</f>
        <v>Consumo</v>
      </c>
      <c r="R33" s="89" t="str">
        <f>IFERROR(__xludf.DUMMYFUNCTION("""COMPUTED_VALUE"""),"Ana Carolina")</f>
        <v>Ana Carolina</v>
      </c>
      <c r="S33" s="91"/>
      <c r="T33" s="236">
        <f>IFERROR(__xludf.DUMMYFUNCTION("""COMPUTED_VALUE"""),46032.59701388889)</f>
        <v>46032.59701</v>
      </c>
      <c r="U33" s="89" t="str">
        <f>IFERROR(__xludf.DUMMYFUNCTION("""COMPUTED_VALUE"""),"R$ 4,00")</f>
        <v>R$ 4,00</v>
      </c>
      <c r="V33" s="89" t="str">
        <f>IFERROR(__xludf.DUMMYFUNCTION("""COMPUTED_VALUE"""),"Consumo")</f>
        <v>Consumo</v>
      </c>
      <c r="W33" s="90" t="str">
        <f>IFERROR(__xludf.DUMMYFUNCTION("""COMPUTED_VALUE"""),"Sabrina")</f>
        <v>Sabrina</v>
      </c>
    </row>
    <row r="34" ht="14.25" customHeight="1">
      <c r="A34" s="178"/>
      <c r="B34" s="10">
        <v>1893473.0</v>
      </c>
      <c r="C34" s="11">
        <v>46019.912199074075</v>
      </c>
      <c r="D34" s="179" t="s">
        <v>50</v>
      </c>
      <c r="E34" s="180" t="s">
        <v>4449</v>
      </c>
      <c r="F34" s="181"/>
      <c r="G34" s="179" t="s">
        <v>7349</v>
      </c>
      <c r="H34" s="190"/>
      <c r="I34" s="190"/>
      <c r="J34" s="187" t="s">
        <v>3825</v>
      </c>
      <c r="K34" s="187"/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IFERROR(__xludf.DUMMYFUNCTION("ifna(VALUE(REGEXEXTRACT(E34,""[0-9.]+[,]+[0-9]+"")))"),124.0)</f>
        <v>124</v>
      </c>
      <c r="O34" s="247">
        <f>IFERROR(__xludf.DUMMYFUNCTION("""COMPUTED_VALUE"""),46038.75034722222)</f>
        <v>46038.75035</v>
      </c>
      <c r="P34" s="109" t="str">
        <f>IFERROR(__xludf.DUMMYFUNCTION("""COMPUTED_VALUE"""),"R$ 4,00")</f>
        <v>R$ 4,00</v>
      </c>
      <c r="Q34" s="109" t="str">
        <f>IFERROR(__xludf.DUMMYFUNCTION("""COMPUTED_VALUE"""),"Consumo")</f>
        <v>Consumo</v>
      </c>
      <c r="R34" s="109" t="str">
        <f>IFERROR(__xludf.DUMMYFUNCTION("""COMPUTED_VALUE"""),"Ana Carolina")</f>
        <v>Ana Carolina</v>
      </c>
      <c r="S34" s="110"/>
      <c r="T34" s="236">
        <f>IFERROR(__xludf.DUMMYFUNCTION("""COMPUTED_VALUE"""),46033.56596064815)</f>
        <v>46033.56596</v>
      </c>
      <c r="U34" s="109" t="str">
        <f>IFERROR(__xludf.DUMMYFUNCTION("""COMPUTED_VALUE"""),"R$ 42,39")</f>
        <v>R$ 42,39</v>
      </c>
      <c r="V34" s="109" t="str">
        <f>IFERROR(__xludf.DUMMYFUNCTION("""COMPUTED_VALUE"""),"Consumo")</f>
        <v>Consumo</v>
      </c>
      <c r="W34" s="111" t="str">
        <f>IFERROR(__xludf.DUMMYFUNCTION("""COMPUTED_VALUE"""),"Sabrina")</f>
        <v>Sabrina</v>
      </c>
    </row>
    <row r="35" ht="18.75" customHeight="1">
      <c r="A35" s="178"/>
      <c r="B35" s="10">
        <v>1893594.0</v>
      </c>
      <c r="C35" s="11">
        <v>46019.921064814815</v>
      </c>
      <c r="D35" s="179" t="s">
        <v>50</v>
      </c>
      <c r="E35" s="180" t="s">
        <v>7125</v>
      </c>
      <c r="F35" s="181"/>
      <c r="G35" s="179" t="s">
        <v>7352</v>
      </c>
      <c r="H35" s="190"/>
      <c r="I35" s="190"/>
      <c r="J35" s="187" t="s">
        <v>3746</v>
      </c>
      <c r="K35" s="187" t="s">
        <v>6340</v>
      </c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"),"Depositada")</f>
        <v>Depositada</v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IFERROR(__xludf.DUMMYFUNCTION("ifna(VALUE(REGEXEXTRACT(E35,""[0-9.]+[,]+[0-9]+"")))"),1800.0)</f>
        <v>1800</v>
      </c>
      <c r="S35" s="24"/>
      <c r="T35" s="238">
        <f>IFERROR(__xludf.DUMMYFUNCTION("""COMPUTED_VALUE"""),46034.85215277778)</f>
        <v>46034.85215</v>
      </c>
      <c r="U35" s="239" t="str">
        <f>IFERROR(__xludf.DUMMYFUNCTION("""COMPUTED_VALUE"""),"R$ 17,38")</f>
        <v>R$ 17,38</v>
      </c>
      <c r="V35" s="239" t="str">
        <f>IFERROR(__xludf.DUMMYFUNCTION("""COMPUTED_VALUE"""),"Consumo")</f>
        <v>Consumo</v>
      </c>
      <c r="W35" s="239" t="str">
        <f>IFERROR(__xludf.DUMMYFUNCTION("""COMPUTED_VALUE"""),"Sabrina")</f>
        <v>Sabrina</v>
      </c>
    </row>
    <row r="36" ht="14.25" customHeight="1">
      <c r="A36" s="178"/>
      <c r="B36" s="10">
        <v>1893787.0</v>
      </c>
      <c r="C36" s="11">
        <v>46019.93074074074</v>
      </c>
      <c r="D36" s="179" t="s">
        <v>50</v>
      </c>
      <c r="E36" s="180" t="s">
        <v>7355</v>
      </c>
      <c r="F36" s="181"/>
      <c r="G36" s="179" t="s">
        <v>7356</v>
      </c>
      <c r="H36" s="186"/>
      <c r="I36" s="186"/>
      <c r="J36" s="187" t="s">
        <v>3825</v>
      </c>
      <c r="K36" s="187"/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IFERROR(__xludf.DUMMYFUNCTION("ifna(VALUE(REGEXEXTRACT(E36,""[0-9.]+[,]+[0-9]+"")))"),104.45)</f>
        <v>104.45</v>
      </c>
      <c r="S36" s="24"/>
      <c r="T36" s="238">
        <f>IFERROR(__xludf.DUMMYFUNCTION("""COMPUTED_VALUE"""),46037.723379629635)</f>
        <v>46037.72338</v>
      </c>
      <c r="U36" s="239" t="str">
        <f>IFERROR(__xludf.DUMMYFUNCTION("""COMPUTED_VALUE"""),"R$ 5,00")</f>
        <v>R$ 5,00</v>
      </c>
      <c r="V36" s="239" t="str">
        <f>IFERROR(__xludf.DUMMYFUNCTION("""COMPUTED_VALUE"""),"Consumo")</f>
        <v>Consumo</v>
      </c>
      <c r="W36" s="239" t="str">
        <f>IFERROR(__xludf.DUMMYFUNCTION("""COMPUTED_VALUE"""),"Sabrina")</f>
        <v>Sabrina</v>
      </c>
    </row>
    <row r="37" ht="14.25" customHeight="1">
      <c r="A37" s="178"/>
      <c r="B37" s="10">
        <v>1894739.0</v>
      </c>
      <c r="C37" s="11">
        <v>46020.56637731481</v>
      </c>
      <c r="D37" s="179" t="s">
        <v>50</v>
      </c>
      <c r="E37" s="180" t="s">
        <v>7282</v>
      </c>
      <c r="F37" s="181"/>
      <c r="G37" s="179" t="s">
        <v>4960</v>
      </c>
      <c r="H37" s="186"/>
      <c r="I37" s="186"/>
      <c r="J37" s="187" t="s">
        <v>3044</v>
      </c>
      <c r="K37" s="187" t="s">
        <v>7058</v>
      </c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IFERROR(__xludf.DUMMYFUNCTION("ifna(VALUE(REGEXEXTRACT(E37,""[0-9.]+[,]+[0-9]+"")))"),24.28)</f>
        <v>24.28</v>
      </c>
      <c r="S37" s="24"/>
      <c r="T37" s="238">
        <f>IFERROR(__xludf.DUMMYFUNCTION("""COMPUTED_VALUE"""),46038.551203703704)</f>
        <v>46038.5512</v>
      </c>
      <c r="U37" s="239" t="str">
        <f>IFERROR(__xludf.DUMMYFUNCTION("""COMPUTED_VALUE"""),"R$ 10,85")</f>
        <v>R$ 10,85</v>
      </c>
      <c r="V37" s="239" t="str">
        <f>IFERROR(__xludf.DUMMYFUNCTION("""COMPUTED_VALUE"""),"Consumo")</f>
        <v>Consumo</v>
      </c>
      <c r="W37" s="239" t="str">
        <f>IFERROR(__xludf.DUMMYFUNCTION("""COMPUTED_VALUE"""),"Sabrina")</f>
        <v>Sabrina</v>
      </c>
    </row>
    <row r="38" ht="14.25" customHeight="1">
      <c r="A38" s="178"/>
      <c r="B38" s="10">
        <v>1894742.0</v>
      </c>
      <c r="C38" s="11">
        <v>46020.56668981481</v>
      </c>
      <c r="D38" s="179" t="s">
        <v>50</v>
      </c>
      <c r="E38" s="180" t="s">
        <v>943</v>
      </c>
      <c r="F38" s="181"/>
      <c r="G38" s="179" t="s">
        <v>6446</v>
      </c>
      <c r="H38" s="186"/>
      <c r="I38" s="186"/>
      <c r="J38" s="187" t="s">
        <v>3044</v>
      </c>
      <c r="K38" s="187" t="s">
        <v>6664</v>
      </c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IFERROR(__xludf.DUMMYFUNCTION("ifna(VALUE(REGEXEXTRACT(E38,""[0-9.]+[,]+[0-9]+"")))"),12.0)</f>
        <v>12</v>
      </c>
      <c r="S38" s="24"/>
      <c r="T38" s="238">
        <f>IFERROR(__xludf.DUMMYFUNCTION("""COMPUTED_VALUE"""),46038.75005787037)</f>
        <v>46038.75006</v>
      </c>
      <c r="U38" s="239" t="str">
        <f>IFERROR(__xludf.DUMMYFUNCTION("""COMPUTED_VALUE"""),"R$ 3,00")</f>
        <v>R$ 3,00</v>
      </c>
      <c r="V38" s="239" t="str">
        <f>IFERROR(__xludf.DUMMYFUNCTION("""COMPUTED_VALUE"""),"Consumo")</f>
        <v>Consumo</v>
      </c>
      <c r="W38" s="239" t="str">
        <f>IFERROR(__xludf.DUMMYFUNCTION("""COMPUTED_VALUE"""),"Sabrina")</f>
        <v>Sabrina</v>
      </c>
    </row>
    <row r="39" ht="21.75" customHeight="1">
      <c r="A39" s="178"/>
      <c r="B39" s="10">
        <v>1894745.0</v>
      </c>
      <c r="C39" s="11">
        <v>46020.56711805556</v>
      </c>
      <c r="D39" s="179" t="s">
        <v>50</v>
      </c>
      <c r="E39" s="180" t="s">
        <v>146</v>
      </c>
      <c r="F39" s="181"/>
      <c r="G39" s="179" t="s">
        <v>6513</v>
      </c>
      <c r="H39" s="186"/>
      <c r="I39" s="186"/>
      <c r="J39" s="187" t="s">
        <v>3044</v>
      </c>
      <c r="K39" s="187" t="s">
        <v>7052</v>
      </c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IFERROR(__xludf.DUMMYFUNCTION("ifna(VALUE(REGEXEXTRACT(E39,""[0-9.]+[,]+[0-9]+"")))"),3.0)</f>
        <v>3</v>
      </c>
      <c r="O39" s="191" t="str">
        <f>B9</f>
        <v>Janaina</v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</row>
    <row r="40" ht="14.25" customHeight="1">
      <c r="A40" s="178"/>
      <c r="B40" s="10">
        <v>1895109.0</v>
      </c>
      <c r="C40" s="11">
        <v>46020.66092592593</v>
      </c>
      <c r="D40" s="179" t="s">
        <v>50</v>
      </c>
      <c r="E40" s="180" t="s">
        <v>7366</v>
      </c>
      <c r="F40" s="181"/>
      <c r="G40" s="179" t="s">
        <v>7367</v>
      </c>
      <c r="H40" s="186"/>
      <c r="I40" s="186"/>
      <c r="J40" s="187" t="s">
        <v>3903</v>
      </c>
      <c r="K40" s="187"/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"""")"),"Encontrada")</f>
        <v>Encontrada</v>
      </c>
      <c r="N40" s="185">
        <f>IFERROR(__xludf.DUMMYFUNCTION("ifna(VALUE(REGEXEXTRACT(E40,""[0-9.]+[,]+[0-9]+"")))"),417.96)</f>
        <v>417.96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</row>
    <row r="41" ht="27.0" customHeight="1">
      <c r="A41" s="178"/>
      <c r="B41" s="10">
        <v>1895372.0</v>
      </c>
      <c r="C41" s="11">
        <v>46020.71440972222</v>
      </c>
      <c r="D41" s="179" t="s">
        <v>50</v>
      </c>
      <c r="E41" s="180" t="s">
        <v>708</v>
      </c>
      <c r="F41" s="181"/>
      <c r="G41" s="179" t="s">
        <v>6513</v>
      </c>
      <c r="H41" s="186"/>
      <c r="I41" s="186"/>
      <c r="J41" s="187" t="s">
        <v>3044</v>
      </c>
      <c r="K41" s="187" t="s">
        <v>7052</v>
      </c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IFERROR(__xludf.DUMMYFUNCTION("ifna(VALUE(REGEXEXTRACT(E41,""[0-9.]+[,]+[0-9]+"")))"),8.0)</f>
        <v>8</v>
      </c>
      <c r="O41" s="51">
        <f>IFERROR(__xludf.DUMMYFUNCTION("""COMPUTED_VALUE"""),46020.714895833335)</f>
        <v>46020.7149</v>
      </c>
      <c r="P41" s="52" t="str">
        <f>IFERROR(__xludf.DUMMYFUNCTION("""COMPUTED_VALUE"""),"R$ 5,00")</f>
        <v>R$ 5,00</v>
      </c>
      <c r="Q41" s="52" t="str">
        <f>IFERROR(__xludf.DUMMYFUNCTION("""COMPUTED_VALUE"""),"Consumo")</f>
        <v>Consumo</v>
      </c>
      <c r="R41" s="52" t="str">
        <f>IFERROR(__xludf.DUMMYFUNCTION("""COMPUTED_VALUE"""),"Janaina")</f>
        <v>Janaina</v>
      </c>
      <c r="S41" s="54"/>
      <c r="T41" s="52"/>
      <c r="U41" s="52"/>
      <c r="V41" s="52"/>
      <c r="W41" s="53"/>
    </row>
    <row r="42" ht="14.25" customHeight="1">
      <c r="A42" s="178"/>
      <c r="B42" s="10">
        <v>1895376.0</v>
      </c>
      <c r="C42" s="11">
        <v>46020.714895833335</v>
      </c>
      <c r="D42" s="179" t="s">
        <v>50</v>
      </c>
      <c r="E42" s="180" t="s">
        <v>157</v>
      </c>
      <c r="F42" s="188"/>
      <c r="G42" s="179" t="s">
        <v>6826</v>
      </c>
      <c r="H42" s="186"/>
      <c r="I42" s="186"/>
      <c r="J42" s="187" t="s">
        <v>3044</v>
      </c>
      <c r="K42" s="187" t="s">
        <v>6340</v>
      </c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IFERROR(__xludf.DUMMYFUNCTION("ifna(VALUE(REGEXEXTRACT(E42,""[0-9.]+[,]+[0-9]+"")))"),5.0)</f>
        <v>5</v>
      </c>
      <c r="O42" s="51">
        <f>IFERROR(__xludf.DUMMYFUNCTION("""COMPUTED_VALUE"""),46025.555185185185)</f>
        <v>46025.55519</v>
      </c>
      <c r="P42" s="52" t="str">
        <f>IFERROR(__xludf.DUMMYFUNCTION("""COMPUTED_VALUE"""),"R$ 5,00")</f>
        <v>R$ 5,00</v>
      </c>
      <c r="Q42" s="52" t="str">
        <f>IFERROR(__xludf.DUMMYFUNCTION("""COMPUTED_VALUE"""),"Consumo")</f>
        <v>Consumo</v>
      </c>
      <c r="R42" s="52" t="str">
        <f>IFERROR(__xludf.DUMMYFUNCTION("""COMPUTED_VALUE"""),"Janaina")</f>
        <v>Janaina</v>
      </c>
      <c r="S42" s="54"/>
      <c r="T42" s="52"/>
      <c r="U42" s="52"/>
      <c r="V42" s="52"/>
      <c r="W42" s="53"/>
    </row>
    <row r="43" ht="14.25" customHeight="1">
      <c r="A43" s="178"/>
      <c r="B43" s="10">
        <v>1895459.0</v>
      </c>
      <c r="C43" s="11">
        <v>46020.730046296296</v>
      </c>
      <c r="D43" s="179" t="s">
        <v>50</v>
      </c>
      <c r="E43" s="180" t="s">
        <v>7377</v>
      </c>
      <c r="F43" s="181"/>
      <c r="G43" s="179" t="s">
        <v>7378</v>
      </c>
      <c r="H43" s="189"/>
      <c r="I43" s="189"/>
      <c r="J43" s="187" t="s">
        <v>3825</v>
      </c>
      <c r="K43" s="187"/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IFERROR(__xludf.DUMMYFUNCTION("ifna(VALUE(REGEXEXTRACT(E43,""[0-9.]+[,]+[0-9]+"")))"),26.0)</f>
        <v>26</v>
      </c>
      <c r="O43" s="51">
        <f>IFERROR(__xludf.DUMMYFUNCTION("""COMPUTED_VALUE"""),46025.65825231481)</f>
        <v>46025.65825</v>
      </c>
      <c r="P43" s="52" t="str">
        <f>IFERROR(__xludf.DUMMYFUNCTION("""COMPUTED_VALUE"""),"R$ 3,00")</f>
        <v>R$ 3,00</v>
      </c>
      <c r="Q43" s="52" t="str">
        <f>IFERROR(__xludf.DUMMYFUNCTION("""COMPUTED_VALUE"""),"Consumo")</f>
        <v>Consumo</v>
      </c>
      <c r="R43" s="52" t="str">
        <f>IFERROR(__xludf.DUMMYFUNCTION("""COMPUTED_VALUE"""),"Janaina")</f>
        <v>Janaina</v>
      </c>
      <c r="S43" s="54"/>
      <c r="T43" s="52"/>
      <c r="U43" s="52"/>
      <c r="V43" s="52"/>
      <c r="W43" s="53"/>
    </row>
    <row r="44" ht="14.25" customHeight="1">
      <c r="A44" s="178"/>
      <c r="B44" s="10">
        <v>1895596.0</v>
      </c>
      <c r="C44" s="11">
        <v>46020.75770833333</v>
      </c>
      <c r="D44" s="179" t="s">
        <v>50</v>
      </c>
      <c r="E44" s="180" t="s">
        <v>205</v>
      </c>
      <c r="F44" s="181"/>
      <c r="G44" s="179" t="s">
        <v>7382</v>
      </c>
      <c r="H44" s="189"/>
      <c r="I44" s="189"/>
      <c r="J44" s="187" t="s">
        <v>3044</v>
      </c>
      <c r="K44" s="187" t="s">
        <v>7052</v>
      </c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IFERROR(__xludf.DUMMYFUNCTION("ifna(VALUE(REGEXEXTRACT(E44,""[0-9.]+[,]+[0-9]+"")))"),10.0)</f>
        <v>10</v>
      </c>
      <c r="O44" s="51">
        <f>IFERROR(__xludf.DUMMYFUNCTION("""COMPUTED_VALUE"""),46027.93119212963)</f>
        <v>46027.93119</v>
      </c>
      <c r="P44" s="52" t="str">
        <f>IFERROR(__xludf.DUMMYFUNCTION("""COMPUTED_VALUE"""),"R$ 10,00")</f>
        <v>R$ 10,00</v>
      </c>
      <c r="Q44" s="52" t="str">
        <f>IFERROR(__xludf.DUMMYFUNCTION("""COMPUTED_VALUE"""),"Consumo")</f>
        <v>Consumo</v>
      </c>
      <c r="R44" s="52" t="str">
        <f>IFERROR(__xludf.DUMMYFUNCTION("""COMPUTED_VALUE"""),"Janaina")</f>
        <v>Janaina</v>
      </c>
      <c r="S44" s="54"/>
      <c r="T44" s="52"/>
      <c r="U44" s="52"/>
      <c r="V44" s="52"/>
      <c r="W44" s="53"/>
    </row>
    <row r="45" ht="14.25" customHeight="1">
      <c r="A45" s="178"/>
      <c r="B45" s="10">
        <v>1895603.0</v>
      </c>
      <c r="C45" s="11">
        <v>46020.758472222224</v>
      </c>
      <c r="D45" s="179" t="s">
        <v>50</v>
      </c>
      <c r="E45" s="180" t="s">
        <v>871</v>
      </c>
      <c r="F45" s="181"/>
      <c r="G45" s="179" t="s">
        <v>7387</v>
      </c>
      <c r="H45" s="190"/>
      <c r="I45" s="190"/>
      <c r="J45" s="187" t="s">
        <v>3044</v>
      </c>
      <c r="K45" s="187" t="s">
        <v>6664</v>
      </c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IFERROR(__xludf.DUMMYFUNCTION("ifna(VALUE(REGEXEXTRACT(E45,""[0-9.]+[,]+[0-9]+"")))"),9.0)</f>
        <v>9</v>
      </c>
      <c r="O45" s="51">
        <f>IFERROR(__xludf.DUMMYFUNCTION("""COMPUTED_VALUE"""),46030.70416666666)</f>
        <v>46030.70417</v>
      </c>
      <c r="P45" s="52" t="str">
        <f>IFERROR(__xludf.DUMMYFUNCTION("""COMPUTED_VALUE"""),"R$ 3,00")</f>
        <v>R$ 3,00</v>
      </c>
      <c r="Q45" s="52" t="str">
        <f>IFERROR(__xludf.DUMMYFUNCTION("""COMPUTED_VALUE"""),"Consumo")</f>
        <v>Consumo</v>
      </c>
      <c r="R45" s="52" t="str">
        <f>IFERROR(__xludf.DUMMYFUNCTION("""COMPUTED_VALUE"""),"Janaina")</f>
        <v>Janaina</v>
      </c>
      <c r="S45" s="54"/>
      <c r="T45" s="52"/>
      <c r="U45" s="52"/>
      <c r="V45" s="52"/>
      <c r="W45" s="53"/>
    </row>
    <row r="46" ht="18.75" customHeight="1">
      <c r="A46" s="178"/>
      <c r="B46" s="10">
        <v>1895883.0</v>
      </c>
      <c r="C46" s="11">
        <v>46020.829722222225</v>
      </c>
      <c r="D46" s="179" t="s">
        <v>227</v>
      </c>
      <c r="E46" s="180" t="s">
        <v>6700</v>
      </c>
      <c r="F46" s="181"/>
      <c r="G46" s="179" t="s">
        <v>7391</v>
      </c>
      <c r="H46" s="190"/>
      <c r="I46" s="190"/>
      <c r="J46" s="187" t="s">
        <v>4159</v>
      </c>
      <c r="K46" s="187"/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IFERROR(__xludf.DUMMYFUNCTION("ifna(VALUE(REGEXEXTRACT(E46,""[0-9.]+[,]+[0-9]+"")))"),400.0)</f>
        <v>400</v>
      </c>
      <c r="O46" s="51">
        <f>IFERROR(__xludf.DUMMYFUNCTION("""COMPUTED_VALUE"""),46032.71965277778)</f>
        <v>46032.71965</v>
      </c>
      <c r="P46" s="79" t="str">
        <f>IFERROR(__xludf.DUMMYFUNCTION("""COMPUTED_VALUE"""),"R$ 19,94")</f>
        <v>R$ 19,94</v>
      </c>
      <c r="Q46" s="79" t="str">
        <f>IFERROR(__xludf.DUMMYFUNCTION("""COMPUTED_VALUE"""),"Consumo")</f>
        <v>Consumo</v>
      </c>
      <c r="R46" s="79" t="str">
        <f>IFERROR(__xludf.DUMMYFUNCTION("""COMPUTED_VALUE"""),"Janaina")</f>
        <v>Janaina</v>
      </c>
      <c r="S46" s="81"/>
      <c r="T46" s="79"/>
      <c r="U46" s="79"/>
      <c r="V46" s="79"/>
      <c r="W46" s="80"/>
    </row>
    <row r="47" ht="14.25" customHeight="1">
      <c r="A47" s="178"/>
      <c r="B47" s="10">
        <v>1895893.0</v>
      </c>
      <c r="C47" s="11">
        <v>46020.83085648148</v>
      </c>
      <c r="D47" s="179" t="s">
        <v>50</v>
      </c>
      <c r="E47" s="180" t="s">
        <v>943</v>
      </c>
      <c r="F47" s="181"/>
      <c r="G47" s="179" t="s">
        <v>7394</v>
      </c>
      <c r="H47" s="190"/>
      <c r="I47" s="190"/>
      <c r="J47" s="187" t="s">
        <v>3903</v>
      </c>
      <c r="K47" s="187"/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85">
        <f>IFERROR(__xludf.DUMMYFUNCTION("ifna(VALUE(REGEXEXTRACT(E47,""[0-9.]+[,]+[0-9]+"")))"),12.0)</f>
        <v>12</v>
      </c>
      <c r="O47" s="247">
        <f>IFERROR(__xludf.DUMMYFUNCTION("""COMPUTED_VALUE"""),46032.723703703705)</f>
        <v>46032.7237</v>
      </c>
      <c r="P47" s="89" t="str">
        <f>IFERROR(__xludf.DUMMYFUNCTION("""COMPUTED_VALUE"""),"R$ 10,00")</f>
        <v>R$ 10,00</v>
      </c>
      <c r="Q47" s="89" t="str">
        <f>IFERROR(__xludf.DUMMYFUNCTION("""COMPUTED_VALUE"""),"Consumo")</f>
        <v>Consumo</v>
      </c>
      <c r="R47" s="89" t="str">
        <f>IFERROR(__xludf.DUMMYFUNCTION("""COMPUTED_VALUE"""),"Janaina")</f>
        <v>Janaina</v>
      </c>
      <c r="S47" s="91"/>
      <c r="T47" s="89"/>
      <c r="U47" s="89"/>
      <c r="V47" s="89"/>
      <c r="W47" s="90"/>
    </row>
    <row r="48">
      <c r="A48" s="178"/>
      <c r="B48" s="10">
        <v>1896358.0</v>
      </c>
      <c r="C48" s="11">
        <v>46020.920219907406</v>
      </c>
      <c r="D48" s="179" t="s">
        <v>50</v>
      </c>
      <c r="E48" s="180" t="s">
        <v>1158</v>
      </c>
      <c r="F48" s="181"/>
      <c r="G48" s="179" t="s">
        <v>7396</v>
      </c>
      <c r="H48" s="190"/>
      <c r="I48" s="190"/>
      <c r="J48" s="187" t="s">
        <v>3746</v>
      </c>
      <c r="K48" s="187" t="s">
        <v>7058</v>
      </c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"),"Depositada")</f>
        <v>Depositada</v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IFERROR(__xludf.DUMMYFUNCTION("ifna(VALUE(REGEXEXTRACT(E48,""[0-9.]+[,]+[0-9]+"")))"),800.0)</f>
        <v>800</v>
      </c>
      <c r="O48" s="250">
        <f>IFERROR(__xludf.DUMMYFUNCTION("""COMPUTED_VALUE"""),46032.90278935185)</f>
        <v>46032.90279</v>
      </c>
      <c r="P48" s="193" t="str">
        <f>IFERROR(__xludf.DUMMYFUNCTION("""COMPUTED_VALUE"""),"R$ 5,00")</f>
        <v>R$ 5,00</v>
      </c>
      <c r="Q48" s="194" t="str">
        <f>IFERROR(__xludf.DUMMYFUNCTION("""COMPUTED_VALUE"""),"Consumo")</f>
        <v>Consumo</v>
      </c>
      <c r="R48" s="195" t="str">
        <f>IFERROR(__xludf.DUMMYFUNCTION("""COMPUTED_VALUE"""),"Janaina")</f>
        <v>Janaina</v>
      </c>
      <c r="S48" s="91"/>
      <c r="T48" s="89"/>
      <c r="U48" s="89"/>
      <c r="V48" s="89"/>
      <c r="W48" s="90"/>
    </row>
    <row r="49" ht="21.0" customHeight="1">
      <c r="A49" s="178"/>
      <c r="B49" s="10">
        <v>1897565.0</v>
      </c>
      <c r="C49" s="11">
        <v>46021.6847337963</v>
      </c>
      <c r="D49" s="179" t="s">
        <v>50</v>
      </c>
      <c r="E49" s="180" t="s">
        <v>7091</v>
      </c>
      <c r="F49" s="181"/>
      <c r="G49" s="179" t="s">
        <v>6513</v>
      </c>
      <c r="H49" s="190"/>
      <c r="I49" s="190"/>
      <c r="J49" s="187" t="s">
        <v>3044</v>
      </c>
      <c r="K49" s="187" t="s">
        <v>7052</v>
      </c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IFERROR(__xludf.DUMMYFUNCTION("ifna(VALUE(REGEXEXTRACT(E49,""[0-9.]+[,]+[0-9]+"")))"),28.9)</f>
        <v>28.9</v>
      </c>
      <c r="O49" s="250">
        <f>IFERROR(__xludf.DUMMYFUNCTION("""COMPUTED_VALUE"""),46033.566354166665)</f>
        <v>46033.56635</v>
      </c>
      <c r="P49" s="193" t="str">
        <f>IFERROR(__xludf.DUMMYFUNCTION("""COMPUTED_VALUE"""),"R$ 37,57")</f>
        <v>R$ 37,57</v>
      </c>
      <c r="Q49" s="194" t="str">
        <f>IFERROR(__xludf.DUMMYFUNCTION("""COMPUTED_VALUE"""),"Consumo")</f>
        <v>Consumo</v>
      </c>
      <c r="R49" s="195" t="str">
        <f>IFERROR(__xludf.DUMMYFUNCTION("""COMPUTED_VALUE"""),"Janaina")</f>
        <v>Janaina</v>
      </c>
      <c r="S49" s="91"/>
      <c r="T49" s="89"/>
      <c r="U49" s="89"/>
      <c r="V49" s="89"/>
      <c r="W49" s="90"/>
    </row>
    <row r="50" ht="14.25" customHeight="1">
      <c r="A50" s="178"/>
      <c r="B50" s="10">
        <v>1898083.0</v>
      </c>
      <c r="C50" s="11">
        <v>46021.78568287037</v>
      </c>
      <c r="D50" s="179" t="s">
        <v>50</v>
      </c>
      <c r="E50" s="180" t="s">
        <v>7401</v>
      </c>
      <c r="F50" s="181"/>
      <c r="G50" s="179" t="s">
        <v>6446</v>
      </c>
      <c r="H50" s="190"/>
      <c r="I50" s="190"/>
      <c r="J50" s="187" t="s">
        <v>3044</v>
      </c>
      <c r="K50" s="187" t="s">
        <v>6664</v>
      </c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IFERROR(__xludf.DUMMYFUNCTION("ifna(VALUE(REGEXEXTRACT(E50,""[0-9.]+[,]+[0-9]+"")))"),36.04)</f>
        <v>36.04</v>
      </c>
      <c r="O50" s="250">
        <f>IFERROR(__xludf.DUMMYFUNCTION("""COMPUTED_VALUE"""),46037.683391203704)</f>
        <v>46037.68339</v>
      </c>
      <c r="P50" s="193" t="str">
        <f>IFERROR(__xludf.DUMMYFUNCTION("""COMPUTED_VALUE"""),"R$ 15,85")</f>
        <v>R$ 15,85</v>
      </c>
      <c r="Q50" s="194" t="str">
        <f>IFERROR(__xludf.DUMMYFUNCTION("""COMPUTED_VALUE"""),"Consumo")</f>
        <v>Consumo</v>
      </c>
      <c r="R50" s="195" t="str">
        <f>IFERROR(__xludf.DUMMYFUNCTION("""COMPUTED_VALUE"""),"Janaina")</f>
        <v>Janaina</v>
      </c>
      <c r="S50" s="91"/>
      <c r="T50" s="89"/>
      <c r="U50" s="89"/>
      <c r="V50" s="89"/>
      <c r="W50" s="90"/>
    </row>
    <row r="51" ht="24.75" customHeight="1">
      <c r="A51" s="178"/>
      <c r="B51" s="10">
        <v>1898108.0</v>
      </c>
      <c r="C51" s="11">
        <v>46021.79288194444</v>
      </c>
      <c r="D51" s="179" t="s">
        <v>50</v>
      </c>
      <c r="E51" s="180" t="s">
        <v>6965</v>
      </c>
      <c r="F51" s="181"/>
      <c r="G51" s="179" t="s">
        <v>6446</v>
      </c>
      <c r="H51" s="190"/>
      <c r="I51" s="190"/>
      <c r="J51" s="187" t="s">
        <v>3044</v>
      </c>
      <c r="K51" s="187" t="s">
        <v>6664</v>
      </c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IFERROR(__xludf.DUMMYFUNCTION("ifna(VALUE(REGEXEXTRACT(E51,""[0-9.]+[,]+[0-9]+"")))"),20.9)</f>
        <v>20.9</v>
      </c>
      <c r="O51" s="250">
        <f>IFERROR(__xludf.DUMMYFUNCTION("""COMPUTED_VALUE"""),46038.55086805555)</f>
        <v>46038.55087</v>
      </c>
      <c r="P51" s="193" t="str">
        <f>IFERROR(__xludf.DUMMYFUNCTION("""COMPUTED_VALUE"""),"R$ 10,95")</f>
        <v>R$ 10,95</v>
      </c>
      <c r="Q51" s="194" t="str">
        <f>IFERROR(__xludf.DUMMYFUNCTION("""COMPUTED_VALUE"""),"Consumo")</f>
        <v>Consumo</v>
      </c>
      <c r="R51" s="195" t="str">
        <f>IFERROR(__xludf.DUMMYFUNCTION("""COMPUTED_VALUE"""),"Janaina")</f>
        <v>Janaina</v>
      </c>
      <c r="S51" s="91"/>
      <c r="T51" s="89"/>
      <c r="U51" s="89"/>
      <c r="V51" s="89"/>
      <c r="W51" s="90"/>
    </row>
    <row r="52" ht="14.25" customHeight="1">
      <c r="A52" s="178"/>
      <c r="B52" s="10">
        <v>1898975.0</v>
      </c>
      <c r="C52" s="11">
        <v>46021.94196759259</v>
      </c>
      <c r="D52" s="179" t="s">
        <v>50</v>
      </c>
      <c r="E52" s="180" t="s">
        <v>6654</v>
      </c>
      <c r="F52" s="181"/>
      <c r="G52" s="179" t="s">
        <v>7407</v>
      </c>
      <c r="H52" s="190"/>
      <c r="I52" s="190"/>
      <c r="J52" s="187" t="s">
        <v>3825</v>
      </c>
      <c r="K52" s="187"/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IFERROR(__xludf.DUMMYFUNCTION("ifna(VALUE(REGEXEXTRACT(E52,""[0-9.]+[,]+[0-9]+"")))"),60.0)</f>
        <v>60</v>
      </c>
      <c r="O52" s="247">
        <f>IFERROR(__xludf.DUMMYFUNCTION("""COMPUTED_VALUE"""),46038.669340277775)</f>
        <v>46038.66934</v>
      </c>
      <c r="P52" s="89" t="str">
        <f>IFERROR(__xludf.DUMMYFUNCTION("""COMPUTED_VALUE"""),"R$ 11,37")</f>
        <v>R$ 11,37</v>
      </c>
      <c r="Q52" s="89" t="str">
        <f>IFERROR(__xludf.DUMMYFUNCTION("""COMPUTED_VALUE"""),"Consumo")</f>
        <v>Consumo</v>
      </c>
      <c r="R52" s="89" t="str">
        <f>IFERROR(__xludf.DUMMYFUNCTION("""COMPUTED_VALUE"""),"Janaina")</f>
        <v>Janaina</v>
      </c>
      <c r="S52" s="91"/>
      <c r="T52" s="89"/>
      <c r="U52" s="89"/>
      <c r="V52" s="89"/>
      <c r="W52" s="90"/>
    </row>
    <row r="53" ht="14.25" customHeight="1">
      <c r="A53" s="178"/>
      <c r="B53" s="10">
        <v>1898992.0</v>
      </c>
      <c r="C53" s="11">
        <v>46021.94399305555</v>
      </c>
      <c r="D53" s="179" t="s">
        <v>50</v>
      </c>
      <c r="E53" s="180" t="s">
        <v>7409</v>
      </c>
      <c r="F53" s="181"/>
      <c r="G53" s="179" t="s">
        <v>7410</v>
      </c>
      <c r="H53" s="190"/>
      <c r="I53" s="190"/>
      <c r="J53" s="187" t="s">
        <v>3746</v>
      </c>
      <c r="K53" s="187" t="s">
        <v>2949</v>
      </c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"),"Caixa Sangria")</f>
        <v>Caixa Sangria</v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IFERROR(__xludf.DUMMYFUNCTION("ifna(VALUE(REGEXEXTRACT(E53,""[0-9.]+[,]+[0-9]+"")))"),850.0)</f>
        <v>850</v>
      </c>
      <c r="O53" s="247">
        <f>IFERROR(__xludf.DUMMYFUNCTION("""COMPUTED_VALUE"""),46046.64892361111)</f>
        <v>46046.64892</v>
      </c>
      <c r="P53" s="89" t="str">
        <f>IFERROR(__xludf.DUMMYFUNCTION("""COMPUTED_VALUE"""),"R$ 8,00")</f>
        <v>R$ 8,00</v>
      </c>
      <c r="Q53" s="89" t="str">
        <f>IFERROR(__xludf.DUMMYFUNCTION("""COMPUTED_VALUE"""),"Consumo")</f>
        <v>Consumo</v>
      </c>
      <c r="R53" s="89" t="str">
        <f>IFERROR(__xludf.DUMMYFUNCTION("""COMPUTED_VALUE"""),"Janaina")</f>
        <v>Janaina</v>
      </c>
      <c r="S53" s="91"/>
      <c r="T53" s="89"/>
      <c r="U53" s="89"/>
      <c r="V53" s="89"/>
      <c r="W53" s="90"/>
    </row>
    <row r="54" ht="14.25" customHeight="1">
      <c r="A54" s="178"/>
      <c r="B54" s="10">
        <v>1899430.0</v>
      </c>
      <c r="C54" s="11">
        <v>46022.49333333333</v>
      </c>
      <c r="D54" s="179" t="s">
        <v>50</v>
      </c>
      <c r="E54" s="180" t="s">
        <v>146</v>
      </c>
      <c r="F54" s="181"/>
      <c r="G54" s="179" t="s">
        <v>6513</v>
      </c>
      <c r="H54" s="190"/>
      <c r="I54" s="190"/>
      <c r="J54" s="187" t="s">
        <v>3044</v>
      </c>
      <c r="K54" s="187" t="s">
        <v>7052</v>
      </c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IFERROR(__xludf.DUMMYFUNCTION("ifna(VALUE(REGEXEXTRACT(E54,""[0-9.]+[,]+[0-9]+"")))"),3.0)</f>
        <v>3</v>
      </c>
      <c r="O54" s="108"/>
      <c r="P54" s="109"/>
      <c r="Q54" s="109"/>
      <c r="R54" s="109"/>
      <c r="S54" s="91"/>
      <c r="T54" s="109"/>
      <c r="U54" s="109"/>
      <c r="V54" s="109"/>
      <c r="W54" s="111"/>
    </row>
    <row r="55" ht="14.25" customHeight="1">
      <c r="A55" s="178"/>
      <c r="B55" s="10">
        <v>1899443.0</v>
      </c>
      <c r="C55" s="11">
        <v>46022.50137731482</v>
      </c>
      <c r="D55" s="179" t="s">
        <v>227</v>
      </c>
      <c r="E55" s="180" t="s">
        <v>7409</v>
      </c>
      <c r="F55" s="181"/>
      <c r="G55" s="179" t="s">
        <v>7414</v>
      </c>
      <c r="H55" s="190"/>
      <c r="I55" s="190"/>
      <c r="J55" s="187" t="s">
        <v>4159</v>
      </c>
      <c r="K55" s="187"/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IFERROR(__xludf.DUMMYFUNCTION("ifna(VALUE(REGEXEXTRACT(E55,""[0-9.]+[,]+[0-9]+"")))"),850.0)</f>
        <v>850</v>
      </c>
      <c r="O55" s="197"/>
      <c r="P55" s="198"/>
      <c r="Q55" s="198"/>
      <c r="R55" s="198"/>
      <c r="S55" s="91"/>
      <c r="T55" s="198"/>
      <c r="U55" s="198"/>
      <c r="V55" s="198"/>
      <c r="W55" s="199"/>
    </row>
    <row r="56" ht="14.25" customHeight="1">
      <c r="A56" s="178"/>
      <c r="B56" s="10">
        <v>1899447.0</v>
      </c>
      <c r="C56" s="11">
        <v>46022.504108796296</v>
      </c>
      <c r="D56" s="179" t="s">
        <v>50</v>
      </c>
      <c r="E56" s="180" t="s">
        <v>7417</v>
      </c>
      <c r="F56" s="181"/>
      <c r="G56" s="179" t="s">
        <v>7418</v>
      </c>
      <c r="H56" s="190"/>
      <c r="I56" s="190"/>
      <c r="J56" s="187" t="s">
        <v>3903</v>
      </c>
      <c r="K56" s="187"/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185">
        <f>IFERROR(__xludf.DUMMYFUNCTION("ifna(VALUE(REGEXEXTRACT(E56,""[0-9.]+[,]+[0-9]+"")))"),500.91)</f>
        <v>500.91</v>
      </c>
      <c r="O56" s="197"/>
      <c r="P56" s="198"/>
      <c r="Q56" s="198"/>
      <c r="R56" s="198"/>
      <c r="S56" s="91"/>
      <c r="T56" s="198"/>
      <c r="U56" s="198"/>
      <c r="V56" s="198"/>
      <c r="W56" s="199"/>
    </row>
    <row r="57" ht="17.25" customHeight="1">
      <c r="A57" s="178"/>
      <c r="B57" s="10">
        <v>1899448.0</v>
      </c>
      <c r="C57" s="11">
        <v>46022.50456018518</v>
      </c>
      <c r="D57" s="179" t="s">
        <v>50</v>
      </c>
      <c r="E57" s="180" t="s">
        <v>7423</v>
      </c>
      <c r="F57" s="181"/>
      <c r="G57" s="179" t="s">
        <v>7424</v>
      </c>
      <c r="H57" s="190"/>
      <c r="I57" s="190"/>
      <c r="J57" s="187" t="s">
        <v>3903</v>
      </c>
      <c r="K57" s="187"/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"""")"),"Encontrada")</f>
        <v>Encontrada</v>
      </c>
      <c r="N57" s="185">
        <f>IFERROR(__xludf.DUMMYFUNCTION("ifna(VALUE(REGEXEXTRACT(E57,""[0-9.]+[,]+[0-9]+"")))"),19.96)</f>
        <v>19.96</v>
      </c>
      <c r="O57" s="197"/>
      <c r="P57" s="198"/>
      <c r="Q57" s="198"/>
      <c r="R57" s="198"/>
      <c r="S57" s="91"/>
      <c r="T57" s="198"/>
      <c r="U57" s="198"/>
      <c r="V57" s="198"/>
      <c r="W57" s="199"/>
    </row>
    <row r="58" ht="14.25" customHeight="1">
      <c r="A58" s="178"/>
      <c r="B58" s="10">
        <v>1899459.0</v>
      </c>
      <c r="C58" s="11">
        <v>46022.514085648145</v>
      </c>
      <c r="D58" s="179" t="s">
        <v>50</v>
      </c>
      <c r="E58" s="180" t="s">
        <v>157</v>
      </c>
      <c r="F58" s="181"/>
      <c r="G58" s="179" t="s">
        <v>4960</v>
      </c>
      <c r="H58" s="190"/>
      <c r="I58" s="190"/>
      <c r="J58" s="187" t="s">
        <v>3044</v>
      </c>
      <c r="K58" s="187" t="s">
        <v>7058</v>
      </c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IFERROR(__xludf.DUMMYFUNCTION("ifna(VALUE(REGEXEXTRACT(E58,""[0-9.]+[,]+[0-9]+"")))"),5.0)</f>
        <v>5</v>
      </c>
      <c r="O58" s="197"/>
      <c r="P58" s="198"/>
      <c r="Q58" s="198"/>
      <c r="R58" s="198"/>
      <c r="S58" s="91"/>
      <c r="T58" s="198"/>
      <c r="U58" s="198"/>
      <c r="V58" s="198"/>
      <c r="W58" s="199"/>
    </row>
    <row r="59" ht="14.25" customHeight="1">
      <c r="A59" s="178"/>
      <c r="B59" s="10">
        <v>1899687.0</v>
      </c>
      <c r="C59" s="11">
        <v>46022.65045138889</v>
      </c>
      <c r="D59" s="10" t="s">
        <v>50</v>
      </c>
      <c r="E59" s="10" t="s">
        <v>1058</v>
      </c>
      <c r="F59" s="13"/>
      <c r="G59" s="10" t="s">
        <v>7431</v>
      </c>
      <c r="H59" s="190"/>
      <c r="I59" s="190"/>
      <c r="J59" s="187" t="s">
        <v>3467</v>
      </c>
      <c r="K59" s="187"/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IFERROR(__xludf.DUMMYFUNCTION("ifna(VALUE(REGEXEXTRACT(E59,""[0-9.]+[,]+[0-9]+"")))"),8.82)</f>
        <v>8.82</v>
      </c>
      <c r="O59" s="200"/>
      <c r="P59" s="201"/>
      <c r="Q59" s="201"/>
      <c r="R59" s="201"/>
      <c r="S59" s="202"/>
      <c r="T59" s="201"/>
      <c r="U59" s="201"/>
      <c r="V59" s="201"/>
      <c r="W59" s="203"/>
    </row>
    <row r="60" ht="14.25" customHeight="1">
      <c r="A60" s="178"/>
      <c r="B60" s="10">
        <v>1899880.0</v>
      </c>
      <c r="C60" s="11">
        <v>46022.72070601852</v>
      </c>
      <c r="D60" s="179" t="s">
        <v>50</v>
      </c>
      <c r="E60" s="180" t="s">
        <v>6719</v>
      </c>
      <c r="F60" s="181"/>
      <c r="G60" s="179" t="s">
        <v>7432</v>
      </c>
      <c r="H60" s="190"/>
      <c r="I60" s="190"/>
      <c r="J60" s="187" t="s">
        <v>3903</v>
      </c>
      <c r="K60" s="187"/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"""")"),"Encontrada")</f>
        <v>Encontrada</v>
      </c>
      <c r="N60" s="185">
        <f>IFERROR(__xludf.DUMMYFUNCTION("ifna(VALUE(REGEXEXTRACT(E60,""[0-9.]+[,]+[0-9]+"")))"),330.0)</f>
        <v>330</v>
      </c>
      <c r="O60" s="24"/>
      <c r="P60" s="24"/>
      <c r="Q60" s="24"/>
      <c r="R60" s="24"/>
      <c r="S60" s="24"/>
      <c r="T60" s="24"/>
      <c r="U60" s="24"/>
      <c r="V60" s="24"/>
      <c r="W60" s="24"/>
    </row>
    <row r="61">
      <c r="A61" s="178"/>
      <c r="B61" s="10">
        <v>1899907.0</v>
      </c>
      <c r="C61" s="11">
        <v>46022.72760416667</v>
      </c>
      <c r="D61" s="179" t="s">
        <v>50</v>
      </c>
      <c r="E61" s="180" t="s">
        <v>7433</v>
      </c>
      <c r="F61" s="188"/>
      <c r="G61" s="179" t="s">
        <v>4960</v>
      </c>
      <c r="H61" s="190"/>
      <c r="I61" s="190"/>
      <c r="J61" s="187" t="s">
        <v>3044</v>
      </c>
      <c r="K61" s="187" t="s">
        <v>7058</v>
      </c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IFERROR(__xludf.DUMMYFUNCTION("ifna(VALUE(REGEXEXTRACT(E61,""[0-9.]+[,]+[0-9]+"")))"),28.63)</f>
        <v>28.63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</row>
    <row r="62" ht="14.25" customHeight="1">
      <c r="A62" s="178"/>
      <c r="B62" s="10">
        <v>1901900.0</v>
      </c>
      <c r="C62" s="11">
        <v>46024.531863425924</v>
      </c>
      <c r="D62" s="179" t="s">
        <v>50</v>
      </c>
      <c r="E62" s="180" t="s">
        <v>6479</v>
      </c>
      <c r="F62" s="181"/>
      <c r="G62" s="179" t="s">
        <v>7434</v>
      </c>
      <c r="H62" s="190"/>
      <c r="I62" s="190"/>
      <c r="J62" s="187" t="s">
        <v>3903</v>
      </c>
      <c r="K62" s="187"/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185">
        <f>IFERROR(__xludf.DUMMYFUNCTION("ifna(VALUE(REGEXEXTRACT(E62,""[0-9.]+[,]+[0-9]+"")))"),300.0)</f>
        <v>300</v>
      </c>
      <c r="O62" s="206"/>
      <c r="T62" s="207"/>
      <c r="U62" s="24"/>
      <c r="V62" s="24"/>
      <c r="W62" s="24"/>
    </row>
    <row r="63" ht="14.25" customHeight="1">
      <c r="A63" s="178"/>
      <c r="B63" s="10">
        <v>1902055.0</v>
      </c>
      <c r="C63" s="11">
        <v>46024.59721064815</v>
      </c>
      <c r="D63" s="179" t="s">
        <v>50</v>
      </c>
      <c r="E63" s="180" t="s">
        <v>708</v>
      </c>
      <c r="F63" s="181"/>
      <c r="G63" s="179" t="s">
        <v>6513</v>
      </c>
      <c r="H63" s="190"/>
      <c r="I63" s="190"/>
      <c r="J63" s="187" t="s">
        <v>3044</v>
      </c>
      <c r="K63" s="187" t="s">
        <v>7052</v>
      </c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IFERROR(__xludf.DUMMYFUNCTION("ifna(VALUE(REGEXEXTRACT(E63,""[0-9.]+[,]+[0-9]+"")))"),8.0)</f>
        <v>8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</row>
    <row r="64" ht="14.25" customHeight="1">
      <c r="A64" s="178"/>
      <c r="B64" s="10">
        <v>1903613.0</v>
      </c>
      <c r="C64" s="11">
        <v>46024.91761574074</v>
      </c>
      <c r="D64" s="179" t="s">
        <v>50</v>
      </c>
      <c r="E64" s="180" t="s">
        <v>1588</v>
      </c>
      <c r="F64" s="181"/>
      <c r="G64" s="179" t="s">
        <v>7437</v>
      </c>
      <c r="H64" s="190"/>
      <c r="I64" s="190"/>
      <c r="J64" s="187" t="s">
        <v>3746</v>
      </c>
      <c r="K64" s="187" t="s">
        <v>7058</v>
      </c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"),"Caixa Atendimento")</f>
        <v>Caixa Atendimento</v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IFERROR(__xludf.DUMMYFUNCTION("ifna(VALUE(REGEXEXTRACT(E64,""[0-9.]+[,]+[0-9]+"")))"),1200.0)</f>
        <v>1200</v>
      </c>
      <c r="O64" s="283" t="s">
        <v>2271</v>
      </c>
      <c r="P64" s="284">
        <v>46027.0</v>
      </c>
      <c r="Q64" s="285" t="s">
        <v>62</v>
      </c>
      <c r="R64" s="286">
        <v>50.0</v>
      </c>
      <c r="S64" s="287"/>
      <c r="T64" s="288" t="str">
        <f t="shared" ref="T64:T82" si="1">IFERROR(VLOOKUP(Q64, $A$4:$B$11, 2, FALSE), "")</f>
        <v>Ana Carolina</v>
      </c>
      <c r="U64" s="24"/>
      <c r="V64" s="24"/>
      <c r="W64" s="24"/>
    </row>
    <row r="65" ht="14.25" customHeight="1">
      <c r="A65" s="178"/>
      <c r="B65" s="10">
        <v>1904437.0</v>
      </c>
      <c r="C65" s="11">
        <v>46025.55484953704</v>
      </c>
      <c r="D65" s="179" t="s">
        <v>50</v>
      </c>
      <c r="E65" s="180" t="s">
        <v>157</v>
      </c>
      <c r="F65" s="181"/>
      <c r="G65" s="179" t="s">
        <v>4960</v>
      </c>
      <c r="H65" s="190"/>
      <c r="I65" s="190"/>
      <c r="J65" s="187" t="s">
        <v>3044</v>
      </c>
      <c r="K65" s="187" t="s">
        <v>7058</v>
      </c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IFERROR(__xludf.DUMMYFUNCTION("ifna(VALUE(REGEXEXTRACT(E65,""[0-9.]+[,]+[0-9]+"")))"),5.0)</f>
        <v>5</v>
      </c>
      <c r="O65" s="289" t="s">
        <v>2261</v>
      </c>
      <c r="P65" s="290">
        <v>46021.0</v>
      </c>
      <c r="Q65" s="291" t="s">
        <v>78</v>
      </c>
      <c r="R65" s="292">
        <v>350.0</v>
      </c>
      <c r="S65" s="293"/>
      <c r="T65" s="294" t="str">
        <f t="shared" si="1"/>
        <v>Sabrina</v>
      </c>
      <c r="U65" s="24"/>
      <c r="V65" s="24"/>
      <c r="W65" s="24"/>
    </row>
    <row r="66" ht="14.25" customHeight="1">
      <c r="A66" s="178"/>
      <c r="B66" s="10">
        <v>1904438.0</v>
      </c>
      <c r="C66" s="11">
        <v>46025.555185185185</v>
      </c>
      <c r="D66" s="179" t="s">
        <v>50</v>
      </c>
      <c r="E66" s="180" t="s">
        <v>157</v>
      </c>
      <c r="F66" s="181"/>
      <c r="G66" s="179" t="s">
        <v>6826</v>
      </c>
      <c r="H66" s="190"/>
      <c r="I66" s="190"/>
      <c r="J66" s="187" t="s">
        <v>3044</v>
      </c>
      <c r="K66" s="187" t="s">
        <v>6340</v>
      </c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IFERROR(__xludf.DUMMYFUNCTION("ifna(VALUE(REGEXEXTRACT(E66,""[0-9.]+[,]+[0-9]+"")))"),5.0)</f>
        <v>5</v>
      </c>
      <c r="O66" s="283" t="s">
        <v>2243</v>
      </c>
      <c r="P66" s="284">
        <v>46018.0</v>
      </c>
      <c r="Q66" s="295" t="s">
        <v>78</v>
      </c>
      <c r="R66" s="286">
        <v>150.0</v>
      </c>
      <c r="S66" s="296"/>
      <c r="T66" s="288" t="str">
        <f t="shared" si="1"/>
        <v>Sabrina</v>
      </c>
      <c r="U66" s="24"/>
      <c r="V66" s="24"/>
      <c r="W66" s="24"/>
    </row>
    <row r="67" ht="14.25" customHeight="1">
      <c r="A67" s="178"/>
      <c r="B67" s="10">
        <v>1904825.0</v>
      </c>
      <c r="C67" s="11">
        <v>46025.65825231482</v>
      </c>
      <c r="D67" s="179" t="s">
        <v>50</v>
      </c>
      <c r="E67" s="180" t="s">
        <v>146</v>
      </c>
      <c r="F67" s="181"/>
      <c r="G67" s="179" t="s">
        <v>7443</v>
      </c>
      <c r="H67" s="190"/>
      <c r="I67" s="190"/>
      <c r="J67" s="187" t="s">
        <v>3044</v>
      </c>
      <c r="K67" s="187" t="s">
        <v>6340</v>
      </c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IFERROR(__xludf.DUMMYFUNCTION("ifna(VALUE(REGEXEXTRACT(E67,""[0-9.]+[,]+[0-9]+"")))"),3.0)</f>
        <v>3</v>
      </c>
      <c r="O67" s="289" t="s">
        <v>2241</v>
      </c>
      <c r="P67" s="290">
        <v>46017.0</v>
      </c>
      <c r="Q67" s="291" t="s">
        <v>62</v>
      </c>
      <c r="R67" s="292">
        <v>350.0</v>
      </c>
      <c r="S67" s="297"/>
      <c r="T67" s="294" t="str">
        <f t="shared" si="1"/>
        <v>Ana Carolina</v>
      </c>
      <c r="U67" s="24"/>
      <c r="V67" s="24"/>
      <c r="W67" s="24"/>
    </row>
    <row r="68">
      <c r="A68" s="178"/>
      <c r="B68" s="10">
        <v>1906045.0</v>
      </c>
      <c r="C68" s="11">
        <v>46025.89109953704</v>
      </c>
      <c r="D68" s="179" t="s">
        <v>50</v>
      </c>
      <c r="E68" s="180" t="s">
        <v>4449</v>
      </c>
      <c r="F68" s="181"/>
      <c r="G68" s="179" t="s">
        <v>7349</v>
      </c>
      <c r="H68" s="190"/>
      <c r="I68" s="190"/>
      <c r="J68" s="187" t="s">
        <v>3044</v>
      </c>
      <c r="K68" s="187" t="s">
        <v>6664</v>
      </c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IFERROR(__xludf.DUMMYFUNCTION("ifna(VALUE(REGEXEXTRACT(E68,""[0-9.]+[,]+[0-9]+"")))"),124.0)</f>
        <v>124</v>
      </c>
      <c r="O68" s="283" t="s">
        <v>2218</v>
      </c>
      <c r="P68" s="284">
        <v>46017.0</v>
      </c>
      <c r="Q68" s="295" t="s">
        <v>1183</v>
      </c>
      <c r="R68" s="286">
        <v>500.0</v>
      </c>
      <c r="S68" s="296"/>
      <c r="T68" s="288" t="str">
        <f t="shared" si="1"/>
        <v>Rayanna</v>
      </c>
      <c r="U68" s="24"/>
      <c r="V68" s="24"/>
      <c r="W68" s="24"/>
    </row>
    <row r="69" ht="14.25" customHeight="1">
      <c r="A69" s="178"/>
      <c r="B69" s="10">
        <v>1906350.0</v>
      </c>
      <c r="C69" s="11">
        <v>46025.920625</v>
      </c>
      <c r="D69" s="179" t="s">
        <v>50</v>
      </c>
      <c r="E69" s="180" t="s">
        <v>6897</v>
      </c>
      <c r="F69" s="181"/>
      <c r="G69" s="179" t="s">
        <v>4960</v>
      </c>
      <c r="H69" s="190"/>
      <c r="I69" s="190"/>
      <c r="J69" s="187" t="s">
        <v>3044</v>
      </c>
      <c r="K69" s="187" t="s">
        <v>7058</v>
      </c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IFERROR(__xludf.DUMMYFUNCTION("ifna(VALUE(REGEXEXTRACT(E69,""[0-9.]+[,]+[0-9]+"")))"),21.47)</f>
        <v>21.47</v>
      </c>
      <c r="O69" s="289" t="s">
        <v>2317</v>
      </c>
      <c r="P69" s="290">
        <v>46028.0</v>
      </c>
      <c r="Q69" s="291" t="s">
        <v>1900</v>
      </c>
      <c r="R69" s="292">
        <v>500.0</v>
      </c>
      <c r="S69" s="297"/>
      <c r="T69" s="294" t="str">
        <f t="shared" si="1"/>
        <v>Janaina</v>
      </c>
      <c r="U69" s="24"/>
      <c r="V69" s="24"/>
      <c r="W69" s="24"/>
    </row>
    <row r="70">
      <c r="A70" s="178"/>
      <c r="B70" s="10">
        <v>1907207.0</v>
      </c>
      <c r="C70" s="11">
        <v>46026.550833333335</v>
      </c>
      <c r="D70" s="179" t="s">
        <v>50</v>
      </c>
      <c r="E70" s="180" t="s">
        <v>146</v>
      </c>
      <c r="F70" s="181"/>
      <c r="G70" s="179" t="s">
        <v>6446</v>
      </c>
      <c r="H70" s="190"/>
      <c r="I70" s="190"/>
      <c r="J70" s="187" t="s">
        <v>3044</v>
      </c>
      <c r="K70" s="187" t="s">
        <v>6664</v>
      </c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IFERROR(__xludf.DUMMYFUNCTION("ifna(VALUE(REGEXEXTRACT(E70,""[0-9.]+[,]+[0-9]+"")))"),3.0)</f>
        <v>3</v>
      </c>
      <c r="O70" s="283" t="s">
        <v>2427</v>
      </c>
      <c r="P70" s="284">
        <v>46052.0</v>
      </c>
      <c r="Q70" s="295" t="s">
        <v>62</v>
      </c>
      <c r="R70" s="286">
        <v>200.0</v>
      </c>
      <c r="S70" s="296" t="str">
        <f t="shared" ref="S70:S82" si="2">IFERROR(VLOOKUP(Q70, $A$4:$B$18, 2, FALSE), "")</f>
        <v>Ana Carolina</v>
      </c>
      <c r="T70" s="288" t="str">
        <f t="shared" si="1"/>
        <v>Ana Carolina</v>
      </c>
      <c r="U70" s="24"/>
      <c r="V70" s="24"/>
      <c r="W70" s="24"/>
    </row>
    <row r="71" ht="14.25" customHeight="1">
      <c r="A71" s="178"/>
      <c r="B71" s="10">
        <v>1908084.0</v>
      </c>
      <c r="C71" s="11">
        <v>46026.78513888889</v>
      </c>
      <c r="D71" s="179" t="s">
        <v>50</v>
      </c>
      <c r="E71" s="180" t="s">
        <v>7448</v>
      </c>
      <c r="F71" s="188"/>
      <c r="G71" s="179" t="s">
        <v>7449</v>
      </c>
      <c r="H71" s="190"/>
      <c r="I71" s="190"/>
      <c r="J71" s="187" t="s">
        <v>3467</v>
      </c>
      <c r="K71" s="187"/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IFERROR(__xludf.DUMMYFUNCTION("ifna(VALUE(REGEXEXTRACT(E71,""[0-9.]+[,]+[0-9]+"")))"),78.85)</f>
        <v>78.85</v>
      </c>
      <c r="O71" s="289" t="s">
        <v>2431</v>
      </c>
      <c r="P71" s="290">
        <v>46052.0</v>
      </c>
      <c r="Q71" s="291" t="s">
        <v>1183</v>
      </c>
      <c r="R71" s="292">
        <v>150.0</v>
      </c>
      <c r="S71" s="297" t="str">
        <f t="shared" si="2"/>
        <v>Rayanna</v>
      </c>
      <c r="T71" s="294" t="str">
        <f t="shared" si="1"/>
        <v>Rayanna</v>
      </c>
      <c r="U71" s="24"/>
      <c r="V71" s="24"/>
      <c r="W71" s="24"/>
    </row>
    <row r="72" ht="14.25" customHeight="1">
      <c r="A72" s="178"/>
      <c r="B72" s="10">
        <v>1908449.0</v>
      </c>
      <c r="C72" s="11">
        <v>46026.83866898148</v>
      </c>
      <c r="D72" s="179" t="s">
        <v>50</v>
      </c>
      <c r="E72" s="180" t="s">
        <v>7452</v>
      </c>
      <c r="F72" s="181"/>
      <c r="G72" s="179" t="s">
        <v>7453</v>
      </c>
      <c r="H72" s="190"/>
      <c r="I72" s="190"/>
      <c r="J72" s="187" t="s">
        <v>3825</v>
      </c>
      <c r="K72" s="187"/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IFERROR(__xludf.DUMMYFUNCTION("ifna(VALUE(REGEXEXTRACT(E72,""[0-9.]+[,]+[0-9]+"")))"),92.0)</f>
        <v>92</v>
      </c>
      <c r="O72" s="283" t="s">
        <v>2436</v>
      </c>
      <c r="P72" s="284">
        <v>46052.0</v>
      </c>
      <c r="Q72" s="295" t="s">
        <v>62</v>
      </c>
      <c r="R72" s="286">
        <v>150.0</v>
      </c>
      <c r="S72" s="296" t="str">
        <f t="shared" si="2"/>
        <v>Ana Carolina</v>
      </c>
      <c r="T72" s="288" t="str">
        <f t="shared" si="1"/>
        <v>Ana Carolina</v>
      </c>
      <c r="U72" s="24"/>
      <c r="V72" s="24"/>
      <c r="W72" s="24"/>
    </row>
    <row r="73">
      <c r="A73" s="178"/>
      <c r="B73" s="10">
        <v>1908457.0</v>
      </c>
      <c r="C73" s="11">
        <v>46026.83957175926</v>
      </c>
      <c r="D73" s="179" t="s">
        <v>50</v>
      </c>
      <c r="E73" s="180" t="s">
        <v>943</v>
      </c>
      <c r="F73" s="181"/>
      <c r="G73" s="179" t="s">
        <v>4960</v>
      </c>
      <c r="H73" s="190"/>
      <c r="I73" s="190"/>
      <c r="J73" s="187" t="s">
        <v>3044</v>
      </c>
      <c r="K73" s="187" t="s">
        <v>7058</v>
      </c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IFERROR(__xludf.DUMMYFUNCTION("ifna(VALUE(REGEXEXTRACT(E73,""[0-9.]+[,]+[0-9]+"")))"),12.0)</f>
        <v>12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</row>
    <row r="74" ht="14.25" customHeight="1">
      <c r="A74" s="178"/>
      <c r="B74" s="10">
        <v>1908904.0</v>
      </c>
      <c r="C74" s="11">
        <v>46026.904074074075</v>
      </c>
      <c r="D74" s="179" t="s">
        <v>50</v>
      </c>
      <c r="E74" s="180" t="s">
        <v>4449</v>
      </c>
      <c r="F74" s="181"/>
      <c r="G74" s="179" t="s">
        <v>7349</v>
      </c>
      <c r="H74" s="190"/>
      <c r="I74" s="190"/>
      <c r="J74" s="187" t="s">
        <v>3825</v>
      </c>
      <c r="K74" s="187"/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IFERROR(__xludf.DUMMYFUNCTION("ifna(VALUE(REGEXEXTRACT(E74,""[0-9.]+[,]+[0-9]+"")))"),124.0)</f>
        <v>124</v>
      </c>
      <c r="O74" s="299"/>
      <c r="P74" s="300"/>
      <c r="Q74" s="301"/>
      <c r="R74" s="302" t="str">
        <f t="shared" ref="R74:R82" si="3">IFERROR(VLOOKUP(Q74, $B$4:$C$18, 2, FALSE), "")</f>
        <v/>
      </c>
      <c r="S74" s="296" t="str">
        <f t="shared" si="2"/>
        <v/>
      </c>
      <c r="T74" s="288" t="str">
        <f t="shared" si="1"/>
        <v/>
      </c>
      <c r="U74" s="24"/>
      <c r="V74" s="24"/>
      <c r="W74" s="24"/>
    </row>
    <row r="75" ht="14.25" customHeight="1">
      <c r="A75" s="178"/>
      <c r="B75" s="10">
        <v>1908931.0</v>
      </c>
      <c r="C75" s="11">
        <v>46026.9068287037</v>
      </c>
      <c r="D75" s="179" t="s">
        <v>50</v>
      </c>
      <c r="E75" s="180" t="s">
        <v>6989</v>
      </c>
      <c r="F75" s="181"/>
      <c r="G75" s="179" t="s">
        <v>7459</v>
      </c>
      <c r="H75" s="190"/>
      <c r="I75" s="190"/>
      <c r="J75" s="187" t="s">
        <v>3903</v>
      </c>
      <c r="K75" s="187"/>
      <c r="L75" s="343" t="s">
        <v>7461</v>
      </c>
      <c r="M75" s="344" t="s">
        <v>7462</v>
      </c>
      <c r="N75" s="185">
        <f>IFERROR(__xludf.DUMMYFUNCTION("ifna(VALUE(REGEXEXTRACT(E75,""[0-9.]+[,]+[0-9]+"")))"),125.64)</f>
        <v>125.64</v>
      </c>
      <c r="O75" s="303"/>
      <c r="P75" s="121"/>
      <c r="Q75" s="121"/>
      <c r="R75" s="304" t="str">
        <f t="shared" si="3"/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</row>
    <row r="76" ht="14.25" customHeight="1">
      <c r="A76" s="178"/>
      <c r="B76" s="10">
        <v>1908934.0</v>
      </c>
      <c r="C76" s="11">
        <v>46026.90721064815</v>
      </c>
      <c r="D76" s="179" t="s">
        <v>50</v>
      </c>
      <c r="E76" s="180" t="s">
        <v>7464</v>
      </c>
      <c r="F76" s="181"/>
      <c r="G76" s="179" t="s">
        <v>7465</v>
      </c>
      <c r="H76" s="190"/>
      <c r="I76" s="190"/>
      <c r="J76" s="187" t="s">
        <v>3903</v>
      </c>
      <c r="K76" s="187"/>
      <c r="L76" s="252" t="str">
        <f>IFERROR(__xludf.DUMMYFUNCTION("IF(
  AND(D76=""Saída"",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IFERROR(__xludf.DUMMYFUNCTION("IF(J75=""Compra de Mercadorias"",
   IF(
      COUNTIF(ARRAYFORMULA(TRIM(CLEAN(TO_TEXT(Notas!BS:BS)))), TRIM(CLEAN(TO_TEXT(B76)))) &gt; 0,
      ""Encontrada"",
      ""Não Encontrada""
   ),
"""")"),"Encontrada")</f>
        <v>Encontrada</v>
      </c>
      <c r="N76" s="185">
        <f>IFERROR(__xludf.DUMMYFUNCTION("ifna(VALUE(REGEXEXTRACT(E76,""[0-9.]+[,]+[0-9]+"")))"),38.76)</f>
        <v>38.76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</row>
    <row r="77" ht="14.25" customHeight="1">
      <c r="A77" s="178"/>
      <c r="B77" s="10">
        <v>1908938.0</v>
      </c>
      <c r="C77" s="11">
        <v>46026.90762731482</v>
      </c>
      <c r="D77" s="179" t="s">
        <v>50</v>
      </c>
      <c r="E77" s="180" t="s">
        <v>7468</v>
      </c>
      <c r="F77" s="181"/>
      <c r="G77" s="179" t="s">
        <v>7469</v>
      </c>
      <c r="H77" s="190"/>
      <c r="I77" s="190"/>
      <c r="J77" s="187" t="s">
        <v>3903</v>
      </c>
      <c r="K77" s="187"/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"""")"),"Encontrada")</f>
        <v>Encontrada</v>
      </c>
      <c r="N77" s="185">
        <f>IFERROR(__xludf.DUMMYFUNCTION("ifna(VALUE(REGEXEXTRACT(E77,""[0-9.]+[,]+[0-9]+"")))"),264.79)</f>
        <v>264.79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</row>
    <row r="78">
      <c r="A78" s="178"/>
      <c r="B78" s="10">
        <v>1909009.0</v>
      </c>
      <c r="C78" s="11">
        <v>46026.91480324074</v>
      </c>
      <c r="D78" s="179" t="s">
        <v>50</v>
      </c>
      <c r="E78" s="180" t="s">
        <v>7409</v>
      </c>
      <c r="F78" s="181"/>
      <c r="G78" s="179" t="s">
        <v>7471</v>
      </c>
      <c r="H78" s="190"/>
      <c r="I78" s="190"/>
      <c r="J78" s="187" t="s">
        <v>3746</v>
      </c>
      <c r="K78" s="187" t="s">
        <v>2949</v>
      </c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"),"Caixa Sangria")</f>
        <v>Caixa Sangria</v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IFERROR(__xludf.DUMMYFUNCTION("ifna(VALUE(REGEXEXTRACT(E78,""[0-9.]+[,]+[0-9]+"")))"),850.0)</f>
        <v>850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</row>
    <row r="79" ht="14.25" customHeight="1">
      <c r="A79" s="178"/>
      <c r="B79" s="10">
        <v>1910428.0</v>
      </c>
      <c r="C79" s="11">
        <v>46027.66693287037</v>
      </c>
      <c r="D79" s="179" t="s">
        <v>50</v>
      </c>
      <c r="E79" s="180" t="s">
        <v>7473</v>
      </c>
      <c r="F79" s="181"/>
      <c r="G79" s="179" t="s">
        <v>7474</v>
      </c>
      <c r="H79" s="190"/>
      <c r="I79" s="190"/>
      <c r="J79" s="187" t="s">
        <v>4159</v>
      </c>
      <c r="K79" s="187"/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IFERROR(__xludf.DUMMYFUNCTION("ifna(VALUE(REGEXEXTRACT(E79,""[0-9.]+[,]+[0-9]+"")))"),1710.0)</f>
        <v>1710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</row>
    <row r="80" ht="14.25" customHeight="1">
      <c r="A80" s="178"/>
      <c r="B80" s="10">
        <v>1910439.0</v>
      </c>
      <c r="C80" s="11">
        <v>46027.66793981481</v>
      </c>
      <c r="D80" s="179" t="s">
        <v>227</v>
      </c>
      <c r="E80" s="180" t="s">
        <v>1588</v>
      </c>
      <c r="F80" s="181"/>
      <c r="G80" s="179" t="s">
        <v>7475</v>
      </c>
      <c r="H80" s="190"/>
      <c r="I80" s="190"/>
      <c r="J80" s="187" t="s">
        <v>4159</v>
      </c>
      <c r="K80" s="187"/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IFERROR(__xludf.DUMMYFUNCTION("ifna(VALUE(REGEXEXTRACT(E80,""[0-9.]+[,]+[0-9]+"")))"),1200.0)</f>
        <v>1200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</row>
    <row r="81" ht="14.25" customHeight="1">
      <c r="A81" s="178"/>
      <c r="B81" s="10">
        <v>1910906.0</v>
      </c>
      <c r="C81" s="11">
        <v>46027.75863425926</v>
      </c>
      <c r="D81" s="179" t="s">
        <v>50</v>
      </c>
      <c r="E81" s="180" t="s">
        <v>146</v>
      </c>
      <c r="F81" s="181"/>
      <c r="G81" s="179" t="s">
        <v>6513</v>
      </c>
      <c r="H81" s="190"/>
      <c r="I81" s="190"/>
      <c r="J81" s="187" t="s">
        <v>3044</v>
      </c>
      <c r="K81" s="187" t="s">
        <v>7052</v>
      </c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IFERROR(__xludf.DUMMYFUNCTION("ifna(VALUE(REGEXEXTRACT(E81,""[0-9.]+[,]+[0-9]+"")))"),3.0)</f>
        <v>3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</row>
    <row r="82" ht="14.25" customHeight="1">
      <c r="A82" s="178"/>
      <c r="B82" s="10">
        <v>1911739.0</v>
      </c>
      <c r="C82" s="11">
        <v>46027.93119212963</v>
      </c>
      <c r="D82" s="179" t="s">
        <v>50</v>
      </c>
      <c r="E82" s="180" t="s">
        <v>205</v>
      </c>
      <c r="F82" s="188"/>
      <c r="G82" s="179" t="s">
        <v>6826</v>
      </c>
      <c r="H82" s="190"/>
      <c r="I82" s="190"/>
      <c r="J82" s="187" t="s">
        <v>3044</v>
      </c>
      <c r="K82" s="187" t="s">
        <v>6340</v>
      </c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IFERROR(__xludf.DUMMYFUNCTION("ifna(VALUE(REGEXEXTRACT(E82,""[0-9.]+[,]+[0-9]+"")))"),10.0)</f>
        <v>10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</row>
    <row r="83" ht="14.25" customHeight="1">
      <c r="A83" s="178"/>
      <c r="B83" s="10">
        <v>1911744.0</v>
      </c>
      <c r="C83" s="11">
        <v>46027.93163194445</v>
      </c>
      <c r="D83" s="179" t="s">
        <v>50</v>
      </c>
      <c r="E83" s="180" t="s">
        <v>6527</v>
      </c>
      <c r="F83" s="181"/>
      <c r="G83" s="179" t="s">
        <v>4960</v>
      </c>
      <c r="H83" s="190"/>
      <c r="I83" s="190"/>
      <c r="J83" s="187" t="s">
        <v>3044</v>
      </c>
      <c r="K83" s="187" t="s">
        <v>7058</v>
      </c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IFERROR(__xludf.DUMMYFUNCTION("ifna(VALUE(REGEXEXTRACT(E83,""[0-9.]+[,]+[0-9]+"")))"),15.9)</f>
        <v>15.9</v>
      </c>
      <c r="O83" s="305"/>
      <c r="P83" s="305"/>
      <c r="Q83" s="305"/>
      <c r="R83" s="306"/>
      <c r="S83" s="305"/>
      <c r="T83" s="91"/>
      <c r="U83" s="24"/>
      <c r="V83" s="24"/>
      <c r="W83" s="24"/>
    </row>
    <row r="84" ht="14.25" customHeight="1">
      <c r="A84" s="178"/>
      <c r="B84" s="10">
        <v>1911750.0</v>
      </c>
      <c r="C84" s="11">
        <v>46027.93221064815</v>
      </c>
      <c r="D84" s="179" t="s">
        <v>50</v>
      </c>
      <c r="E84" s="180" t="s">
        <v>719</v>
      </c>
      <c r="F84" s="181"/>
      <c r="G84" s="179" t="s">
        <v>7480</v>
      </c>
      <c r="H84" s="190"/>
      <c r="I84" s="190"/>
      <c r="J84" s="187" t="s">
        <v>3746</v>
      </c>
      <c r="K84" s="187" t="s">
        <v>7058</v>
      </c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"),"Caixa Atendimento")</f>
        <v>Caixa Atendimento</v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IFERROR(__xludf.DUMMYFUNCTION("ifna(VALUE(REGEXEXTRACT(E84,""[0-9.]+[,]+[0-9]+"")))"),500.0)</f>
        <v>500</v>
      </c>
      <c r="O84" s="307" t="s">
        <v>7170</v>
      </c>
      <c r="W84" s="24"/>
    </row>
    <row r="85" ht="14.25" customHeight="1">
      <c r="A85" s="178"/>
      <c r="B85" s="10">
        <v>1912255.0</v>
      </c>
      <c r="C85" s="11">
        <v>46028.58982638889</v>
      </c>
      <c r="D85" s="179" t="s">
        <v>50</v>
      </c>
      <c r="E85" s="180" t="s">
        <v>7482</v>
      </c>
      <c r="F85" s="181"/>
      <c r="G85" s="179" t="s">
        <v>7483</v>
      </c>
      <c r="H85" s="190"/>
      <c r="I85" s="190"/>
      <c r="J85" s="187" t="s">
        <v>3903</v>
      </c>
      <c r="K85" s="187"/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85">
        <f>IFERROR(__xludf.DUMMYFUNCTION("ifna(VALUE(REGEXEXTRACT(E85,""[0-9.]+[,]+[0-9]+"")))"),264.0)</f>
        <v>264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</row>
    <row r="86" ht="14.25" customHeight="1">
      <c r="A86" s="178"/>
      <c r="B86" s="10">
        <v>1912259.0</v>
      </c>
      <c r="C86" s="11">
        <v>46028.59091435185</v>
      </c>
      <c r="D86" s="179" t="s">
        <v>227</v>
      </c>
      <c r="E86" s="180" t="s">
        <v>7409</v>
      </c>
      <c r="F86" s="188"/>
      <c r="G86" s="179" t="s">
        <v>7485</v>
      </c>
      <c r="H86" s="190"/>
      <c r="I86" s="190"/>
      <c r="J86" s="187" t="s">
        <v>4159</v>
      </c>
      <c r="K86" s="187"/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IFERROR(__xludf.DUMMYFUNCTION("ifna(VALUE(REGEXEXTRACT(E86,""[0-9.]+[,]+[0-9]+"")))"),850.0)</f>
        <v>850</v>
      </c>
      <c r="O86" s="311">
        <f>IFERROR(__xludf.DUMMYFUNCTION("""COMPUTED_VALUE"""),1913175.0)</f>
        <v>1913175</v>
      </c>
      <c r="P86" s="312">
        <f>IFERROR(__xludf.DUMMYFUNCTION("""COMPUTED_VALUE"""),46028.829930555556)</f>
        <v>46028.82993</v>
      </c>
      <c r="Q86" s="311" t="str">
        <f>IFERROR(__xludf.DUMMYFUNCTION("""COMPUTED_VALUE"""),"Saída")</f>
        <v>Saída</v>
      </c>
      <c r="R86" s="313" t="str">
        <f>IFERROR(__xludf.DUMMYFUNCTION("""COMPUTED_VALUE"""),"R$ 50,00")</f>
        <v>R$ 50,00</v>
      </c>
      <c r="S86" s="311" t="str">
        <f>IFERROR(__xludf.DUMMYFUNCTION("""COMPUTED_VALUE"""),"retirada de pisca pisca / eletricista")</f>
        <v>retirada de pisca pisca / eletricista</v>
      </c>
      <c r="V86" s="314" t="str">
        <f>IFERROR(__xludf.DUMMYFUNCTION("""COMPUTED_VALUE"""),"Não Encontrada")</f>
        <v>Não Encontrada</v>
      </c>
      <c r="W86" s="24"/>
    </row>
    <row r="87" ht="14.25" customHeight="1">
      <c r="A87" s="178"/>
      <c r="B87" s="10">
        <v>1912342.0</v>
      </c>
      <c r="C87" s="11">
        <v>46028.62232638889</v>
      </c>
      <c r="D87" s="179" t="s">
        <v>227</v>
      </c>
      <c r="E87" s="180" t="s">
        <v>7125</v>
      </c>
      <c r="F87" s="181"/>
      <c r="G87" s="179" t="s">
        <v>7488</v>
      </c>
      <c r="H87" s="190"/>
      <c r="I87" s="190"/>
      <c r="J87" s="187" t="s">
        <v>4159</v>
      </c>
      <c r="K87" s="187"/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IFERROR(__xludf.DUMMYFUNCTION("ifna(VALUE(REGEXEXTRACT(E87,""[0-9.]+[,]+[0-9]+"")))"),1800.0)</f>
        <v>1800</v>
      </c>
      <c r="O87" s="315">
        <f>IFERROR(__xludf.DUMMYFUNCTION("""COMPUTED_VALUE"""),1921130.0)</f>
        <v>1921130</v>
      </c>
      <c r="P87" s="316">
        <f>IFERROR(__xludf.DUMMYFUNCTION("""COMPUTED_VALUE"""),46032.577835648146)</f>
        <v>46032.57784</v>
      </c>
      <c r="Q87" s="315" t="str">
        <f>IFERROR(__xludf.DUMMYFUNCTION("""COMPUTED_VALUE"""),"Saída")</f>
        <v>Saída</v>
      </c>
      <c r="R87" s="317" t="str">
        <f>IFERROR(__xludf.DUMMYFUNCTION("""COMPUTED_VALUE"""),"R$ 200,00")</f>
        <v>R$ 200,00</v>
      </c>
      <c r="S87" s="315" t="str">
        <f>IFERROR(__xludf.DUMMYFUNCTION("""COMPUTED_VALUE"""),"dinheiro pego para o Daniel abastecer (não tem nf) 10/01")</f>
        <v>dinheiro pego para o Daniel abastecer (não tem nf) 10/01</v>
      </c>
      <c r="V87" s="318" t="str">
        <f>IFERROR(__xludf.DUMMYFUNCTION("""COMPUTED_VALUE"""),"Não Encontrada")</f>
        <v>Não Encontrada</v>
      </c>
      <c r="W87" s="24"/>
    </row>
    <row r="88" ht="14.25" customHeight="1">
      <c r="A88" s="178"/>
      <c r="B88" s="10">
        <v>1912344.0</v>
      </c>
      <c r="C88" s="11">
        <v>46028.622777777775</v>
      </c>
      <c r="D88" s="179" t="s">
        <v>50</v>
      </c>
      <c r="E88" s="180" t="s">
        <v>7125</v>
      </c>
      <c r="F88" s="181"/>
      <c r="G88" s="179" t="s">
        <v>7490</v>
      </c>
      <c r="H88" s="190"/>
      <c r="I88" s="190"/>
      <c r="J88" s="187" t="s">
        <v>3746</v>
      </c>
      <c r="K88" s="187" t="s">
        <v>2949</v>
      </c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"),"Caixa Sangria")</f>
        <v>Caixa Sangria</v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IFERROR(__xludf.DUMMYFUNCTION("ifna(VALUE(REGEXEXTRACT(E88,""[0-9.]+[,]+[0-9]+"")))"),1800.0)</f>
        <v>1800</v>
      </c>
      <c r="O88" s="319">
        <f>IFERROR(__xludf.DUMMYFUNCTION("""COMPUTED_VALUE"""),1921176.0)</f>
        <v>1921176</v>
      </c>
      <c r="P88" s="320">
        <f>IFERROR(__xludf.DUMMYFUNCTION("""COMPUTED_VALUE"""),46032.599120370374)</f>
        <v>46032.59912</v>
      </c>
      <c r="Q88" s="319" t="str">
        <f>IFERROR(__xludf.DUMMYFUNCTION("""COMPUTED_VALUE"""),"Saída")</f>
        <v>Saída</v>
      </c>
      <c r="R88" s="321" t="str">
        <f>IFERROR(__xludf.DUMMYFUNCTION("""COMPUTED_VALUE"""),"R$ 27,90")</f>
        <v>R$ 27,90</v>
      </c>
      <c r="S88" s="319" t="str">
        <f>IFERROR(__xludf.DUMMYFUNCTION("""COMPUTED_VALUE"""),"daniel pegou 50 reais para fazer compras 09/01")</f>
        <v>daniel pegou 50 reais para fazer compras 09/01</v>
      </c>
      <c r="V88" s="322" t="str">
        <f>IFERROR(__xludf.DUMMYFUNCTION("""COMPUTED_VALUE"""),"Não Encontrada")</f>
        <v>Não Encontrada</v>
      </c>
      <c r="W88" s="24"/>
    </row>
    <row r="89" ht="14.25" customHeight="1">
      <c r="A89" s="178"/>
      <c r="B89" s="10">
        <v>1912392.0</v>
      </c>
      <c r="C89" s="11">
        <v>46028.643587962964</v>
      </c>
      <c r="D89" s="179" t="s">
        <v>50</v>
      </c>
      <c r="E89" s="180" t="s">
        <v>7491</v>
      </c>
      <c r="F89" s="181"/>
      <c r="G89" s="179" t="s">
        <v>7492</v>
      </c>
      <c r="H89" s="323"/>
      <c r="I89" s="190"/>
      <c r="J89" s="187" t="s">
        <v>3903</v>
      </c>
      <c r="K89" s="187"/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85">
        <f>IFERROR(__xludf.DUMMYFUNCTION("ifna(VALUE(REGEXEXTRACT(E89,""[0-9.]+[,]+[0-9]+"")))"),991.0)</f>
        <v>991</v>
      </c>
      <c r="O89" s="315">
        <f>IFERROR(__xludf.DUMMYFUNCTION("""COMPUTED_VALUE"""),1921190.0)</f>
        <v>1921190</v>
      </c>
      <c r="P89" s="316">
        <f>IFERROR(__xludf.DUMMYFUNCTION("""COMPUTED_VALUE"""),46032.60255787037)</f>
        <v>46032.60256</v>
      </c>
      <c r="Q89" s="315" t="str">
        <f>IFERROR(__xludf.DUMMYFUNCTION("""COMPUTED_VALUE"""),"Saída")</f>
        <v>Saída</v>
      </c>
      <c r="R89" s="317" t="str">
        <f>IFERROR(__xludf.DUMMYFUNCTION("""COMPUTED_VALUE"""),"R$ 22,10")</f>
        <v>R$ 22,10</v>
      </c>
      <c r="S89" s="315" t="str">
        <f>IFERROR(__xludf.DUMMYFUNCTION("""COMPUTED_VALUE"""),"Daniel pegou o troco dos 50 para abastecer (não tem nf) 10/01")</f>
        <v>Daniel pegou o troco dos 50 para abastecer (não tem nf) 10/01</v>
      </c>
      <c r="V89" s="318" t="str">
        <f>IFERROR(__xludf.DUMMYFUNCTION("""COMPUTED_VALUE"""),"Não Encontrada")</f>
        <v>Não Encontrada</v>
      </c>
      <c r="W89" s="24"/>
    </row>
    <row r="90" ht="14.25" customHeight="1">
      <c r="A90" s="178"/>
      <c r="B90" s="10">
        <v>1912399.0</v>
      </c>
      <c r="C90" s="11">
        <v>46028.64467592593</v>
      </c>
      <c r="D90" s="179" t="s">
        <v>50</v>
      </c>
      <c r="E90" s="180" t="s">
        <v>7494</v>
      </c>
      <c r="F90" s="181"/>
      <c r="G90" s="179" t="s">
        <v>7495</v>
      </c>
      <c r="H90" s="190"/>
      <c r="I90" s="190"/>
      <c r="J90" s="187" t="s">
        <v>3903</v>
      </c>
      <c r="K90" s="187"/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185">
        <f>IFERROR(__xludf.DUMMYFUNCTION("ifna(VALUE(REGEXEXTRACT(E90,""[0-9.]+[,]+[0-9]+"")))"),19.0)</f>
        <v>19</v>
      </c>
      <c r="O90" s="319"/>
      <c r="P90" s="320"/>
      <c r="Q90" s="319"/>
      <c r="R90" s="321"/>
      <c r="S90" s="319"/>
      <c r="V90" s="322"/>
      <c r="W90" s="24"/>
    </row>
    <row r="91" ht="14.25" customHeight="1">
      <c r="A91" s="178"/>
      <c r="B91" s="10">
        <v>1912627.0</v>
      </c>
      <c r="C91" s="11">
        <v>46028.69490740741</v>
      </c>
      <c r="D91" s="179" t="s">
        <v>50</v>
      </c>
      <c r="E91" s="180" t="s">
        <v>157</v>
      </c>
      <c r="F91" s="181"/>
      <c r="G91" s="179" t="s">
        <v>4960</v>
      </c>
      <c r="H91" s="190"/>
      <c r="I91" s="190"/>
      <c r="J91" s="187" t="s">
        <v>3044</v>
      </c>
      <c r="K91" s="187" t="s">
        <v>7058</v>
      </c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IFERROR(__xludf.DUMMYFUNCTION("ifna(VALUE(REGEXEXTRACT(E91,""[0-9.]+[,]+[0-9]+"")))"),5.0)</f>
        <v>5</v>
      </c>
      <c r="O91" s="315"/>
      <c r="P91" s="316"/>
      <c r="Q91" s="315"/>
      <c r="R91" s="317"/>
      <c r="S91" s="315"/>
      <c r="V91" s="318"/>
      <c r="W91" s="24"/>
    </row>
    <row r="92" ht="14.25" customHeight="1">
      <c r="A92" s="178"/>
      <c r="B92" s="10">
        <v>1912638.0</v>
      </c>
      <c r="C92" s="11">
        <v>46028.69824074074</v>
      </c>
      <c r="D92" s="179" t="s">
        <v>50</v>
      </c>
      <c r="E92" s="180" t="s">
        <v>157</v>
      </c>
      <c r="F92" s="181"/>
      <c r="G92" s="179" t="s">
        <v>6446</v>
      </c>
      <c r="H92" s="190"/>
      <c r="I92" s="190"/>
      <c r="J92" s="187" t="s">
        <v>3044</v>
      </c>
      <c r="K92" s="187" t="s">
        <v>6664</v>
      </c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IFERROR(__xludf.DUMMYFUNCTION("ifna(VALUE(REGEXEXTRACT(E92,""[0-9.]+[,]+[0-9]+"")))"),5.0)</f>
        <v>5</v>
      </c>
      <c r="O92" s="319"/>
      <c r="P92" s="320"/>
      <c r="Q92" s="319"/>
      <c r="R92" s="321"/>
      <c r="S92" s="319"/>
      <c r="V92" s="281"/>
      <c r="W92" s="185"/>
    </row>
    <row r="93" ht="14.25" customHeight="1">
      <c r="A93" s="178"/>
      <c r="B93" s="10">
        <v>1912804.0</v>
      </c>
      <c r="C93" s="11">
        <v>46028.732094907406</v>
      </c>
      <c r="D93" s="179" t="s">
        <v>50</v>
      </c>
      <c r="E93" s="180" t="s">
        <v>246</v>
      </c>
      <c r="F93" s="181"/>
      <c r="G93" s="179" t="s">
        <v>6513</v>
      </c>
      <c r="H93" s="190"/>
      <c r="I93" s="190"/>
      <c r="J93" s="187" t="s">
        <v>3044</v>
      </c>
      <c r="K93" s="187" t="s">
        <v>7052</v>
      </c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IFERROR(__xludf.DUMMYFUNCTION("ifna(VALUE(REGEXEXTRACT(E93,""[0-9.]+[,]+[0-9]+"")))"),4.0)</f>
        <v>4</v>
      </c>
      <c r="O93" s="315"/>
      <c r="P93" s="316"/>
      <c r="Q93" s="315"/>
      <c r="R93" s="317"/>
      <c r="S93" s="315"/>
      <c r="V93" s="279"/>
      <c r="W93" s="185"/>
    </row>
    <row r="94" ht="14.25" customHeight="1">
      <c r="A94" s="178"/>
      <c r="B94" s="10">
        <v>1913175.0</v>
      </c>
      <c r="C94" s="11">
        <v>46028.829930555556</v>
      </c>
      <c r="D94" s="179" t="s">
        <v>50</v>
      </c>
      <c r="E94" s="180" t="s">
        <v>7501</v>
      </c>
      <c r="F94" s="181"/>
      <c r="G94" s="179" t="s">
        <v>7502</v>
      </c>
      <c r="H94" s="190"/>
      <c r="I94" s="190"/>
      <c r="J94" s="187" t="s">
        <v>3903</v>
      </c>
      <c r="K94" s="187"/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"""")"),"Não Encontrada")</f>
        <v>Não Encontrada</v>
      </c>
      <c r="N94" s="185">
        <f>IFERROR(__xludf.DUMMYFUNCTION("ifna(VALUE(REGEXEXTRACT(E94,""[0-9.]+[,]+[0-9]+"")))"),50.0)</f>
        <v>50</v>
      </c>
      <c r="O94" s="319"/>
      <c r="P94" s="320"/>
      <c r="Q94" s="319"/>
      <c r="R94" s="321"/>
      <c r="S94" s="319"/>
      <c r="V94" s="281"/>
      <c r="W94" s="185"/>
    </row>
    <row r="95" ht="14.25" customHeight="1">
      <c r="A95" s="178"/>
      <c r="B95" s="10">
        <v>1913242.0</v>
      </c>
      <c r="C95" s="11">
        <v>46028.85418981482</v>
      </c>
      <c r="D95" s="179" t="s">
        <v>50</v>
      </c>
      <c r="E95" s="180" t="s">
        <v>246</v>
      </c>
      <c r="F95" s="181"/>
      <c r="G95" s="179" t="s">
        <v>6513</v>
      </c>
      <c r="H95" s="190"/>
      <c r="I95" s="190"/>
      <c r="J95" s="187" t="s">
        <v>3044</v>
      </c>
      <c r="K95" s="187" t="s">
        <v>7052</v>
      </c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IFERROR(__xludf.DUMMYFUNCTION("ifna(VALUE(REGEXEXTRACT(E95,""[0-9.]+[,]+[0-9]+"")))"),4.0)</f>
        <v>4</v>
      </c>
      <c r="O95" s="315"/>
      <c r="P95" s="316"/>
      <c r="Q95" s="315"/>
      <c r="R95" s="317"/>
      <c r="S95" s="315"/>
      <c r="V95" s="279"/>
      <c r="W95" s="185"/>
    </row>
    <row r="96" ht="14.25" customHeight="1">
      <c r="A96" s="178"/>
      <c r="B96" s="10">
        <v>1913259.0</v>
      </c>
      <c r="C96" s="11">
        <v>46028.859085648146</v>
      </c>
      <c r="D96" s="179" t="s">
        <v>50</v>
      </c>
      <c r="E96" s="180" t="s">
        <v>157</v>
      </c>
      <c r="F96" s="181"/>
      <c r="G96" s="179" t="s">
        <v>4960</v>
      </c>
      <c r="H96" s="190"/>
      <c r="I96" s="190"/>
      <c r="J96" s="187" t="s">
        <v>3044</v>
      </c>
      <c r="K96" s="187" t="s">
        <v>7058</v>
      </c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IFERROR(__xludf.DUMMYFUNCTION("ifna(VALUE(REGEXEXTRACT(E96,""[0-9.]+[,]+[0-9]+"")))"),5.0)</f>
        <v>5</v>
      </c>
      <c r="O96" s="325"/>
      <c r="P96" s="326"/>
      <c r="Q96" s="326"/>
      <c r="R96" s="321"/>
      <c r="S96" s="319"/>
      <c r="V96" s="281"/>
      <c r="W96" s="185"/>
    </row>
    <row r="97" ht="14.25" customHeight="1">
      <c r="A97" s="178"/>
      <c r="B97" s="10">
        <v>1913577.0</v>
      </c>
      <c r="C97" s="11">
        <v>46028.918958333335</v>
      </c>
      <c r="D97" s="179" t="s">
        <v>50</v>
      </c>
      <c r="E97" s="180" t="s">
        <v>7507</v>
      </c>
      <c r="F97" s="181"/>
      <c r="G97" s="179" t="s">
        <v>7508</v>
      </c>
      <c r="H97" s="190"/>
      <c r="I97" s="190"/>
      <c r="J97" s="187" t="s">
        <v>3044</v>
      </c>
      <c r="K97" s="187" t="s">
        <v>7058</v>
      </c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IFERROR(__xludf.DUMMYFUNCTION("ifna(VALUE(REGEXEXTRACT(E97,""[0-9.]+[,]+[0-9]+"")))"),40.9)</f>
        <v>40.9</v>
      </c>
      <c r="O97" s="315"/>
      <c r="P97" s="316"/>
      <c r="Q97" s="315"/>
      <c r="R97" s="317"/>
      <c r="S97" s="315"/>
      <c r="V97" s="279"/>
      <c r="W97" s="185"/>
    </row>
    <row r="98" ht="14.25" customHeight="1">
      <c r="A98" s="178"/>
      <c r="B98" s="10">
        <v>1913687.0</v>
      </c>
      <c r="C98" s="11">
        <v>46028.929143518515</v>
      </c>
      <c r="D98" s="179" t="s">
        <v>50</v>
      </c>
      <c r="E98" s="180" t="s">
        <v>1588</v>
      </c>
      <c r="F98" s="181"/>
      <c r="G98" s="179" t="s">
        <v>7510</v>
      </c>
      <c r="H98" s="190"/>
      <c r="I98" s="190"/>
      <c r="J98" s="187" t="s">
        <v>3746</v>
      </c>
      <c r="K98" s="187" t="s">
        <v>7058</v>
      </c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"),"Depositada")</f>
        <v>Depositada</v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IFERROR(__xludf.DUMMYFUNCTION("ifna(VALUE(REGEXEXTRACT(E98,""[0-9.]+[,]+[0-9]+"")))"),1200.0)</f>
        <v>1200</v>
      </c>
      <c r="O98" s="319"/>
      <c r="P98" s="320"/>
      <c r="Q98" s="319"/>
      <c r="R98" s="321"/>
      <c r="S98" s="319"/>
      <c r="V98" s="281"/>
      <c r="W98" s="185"/>
    </row>
    <row r="99" ht="14.25" customHeight="1">
      <c r="A99" s="178"/>
      <c r="B99" s="10">
        <v>1914215.0</v>
      </c>
      <c r="C99" s="11">
        <v>46029.55603009259</v>
      </c>
      <c r="D99" s="179" t="s">
        <v>50</v>
      </c>
      <c r="E99" s="180" t="s">
        <v>778</v>
      </c>
      <c r="F99" s="181"/>
      <c r="G99" s="179" t="s">
        <v>6446</v>
      </c>
      <c r="H99" s="190"/>
      <c r="I99" s="190"/>
      <c r="J99" s="187" t="s">
        <v>3044</v>
      </c>
      <c r="K99" s="187" t="s">
        <v>6664</v>
      </c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IFERROR(__xludf.DUMMYFUNCTION("ifna(VALUE(REGEXEXTRACT(E99,""[0-9.]+[,]+[0-9]+"")))"),12.4)</f>
        <v>12.4</v>
      </c>
      <c r="O99" s="315"/>
      <c r="P99" s="316"/>
      <c r="Q99" s="315"/>
      <c r="R99" s="317"/>
      <c r="S99" s="315"/>
      <c r="V99" s="279"/>
      <c r="W99" s="185"/>
    </row>
    <row r="100" ht="14.25" customHeight="1">
      <c r="A100" s="178"/>
      <c r="B100" s="10">
        <v>1914299.0</v>
      </c>
      <c r="C100" s="11">
        <v>46029.593194444446</v>
      </c>
      <c r="D100" s="179" t="s">
        <v>50</v>
      </c>
      <c r="E100" s="180" t="s">
        <v>708</v>
      </c>
      <c r="F100" s="181"/>
      <c r="G100" s="179" t="s">
        <v>4960</v>
      </c>
      <c r="H100" s="190"/>
      <c r="I100" s="190"/>
      <c r="J100" s="187" t="s">
        <v>3044</v>
      </c>
      <c r="K100" s="187" t="s">
        <v>7058</v>
      </c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IFERROR(__xludf.DUMMYFUNCTION("ifna(VALUE(REGEXEXTRACT(E100,""[0-9.]+[,]+[0-9]+"")))"),8.0)</f>
        <v>8</v>
      </c>
      <c r="O100" s="319"/>
      <c r="P100" s="320"/>
      <c r="Q100" s="319"/>
      <c r="R100" s="321"/>
      <c r="S100" s="319"/>
      <c r="V100" s="281"/>
      <c r="W100" s="185"/>
    </row>
    <row r="101" ht="14.25" customHeight="1">
      <c r="A101" s="178"/>
      <c r="B101" s="10">
        <v>1914489.0</v>
      </c>
      <c r="C101" s="11">
        <v>46029.6490162037</v>
      </c>
      <c r="D101" s="179" t="s">
        <v>227</v>
      </c>
      <c r="E101" s="180" t="s">
        <v>194</v>
      </c>
      <c r="F101" s="181"/>
      <c r="G101" s="179" t="s">
        <v>7514</v>
      </c>
      <c r="H101" s="190"/>
      <c r="I101" s="190"/>
      <c r="J101" s="187" t="s">
        <v>4159</v>
      </c>
      <c r="K101" s="187"/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IFERROR(__xludf.DUMMYFUNCTION("ifna(VALUE(REGEXEXTRACT(E101,""[0-9.]+[,]+[0-9]+"")))"),250.0)</f>
        <v>250</v>
      </c>
      <c r="O101" s="315"/>
      <c r="P101" s="316"/>
      <c r="Q101" s="315"/>
      <c r="R101" s="317"/>
      <c r="S101" s="315"/>
      <c r="V101" s="279"/>
      <c r="W101" s="185"/>
    </row>
    <row r="102" ht="17.25" customHeight="1">
      <c r="A102" s="178"/>
      <c r="B102" s="10">
        <v>1914490.0</v>
      </c>
      <c r="C102" s="11">
        <v>46029.649502314816</v>
      </c>
      <c r="D102" s="179" t="s">
        <v>50</v>
      </c>
      <c r="E102" s="180" t="s">
        <v>7515</v>
      </c>
      <c r="F102" s="181"/>
      <c r="G102" s="179" t="s">
        <v>7516</v>
      </c>
      <c r="H102" s="190"/>
      <c r="I102" s="190"/>
      <c r="J102" s="187" t="s">
        <v>3903</v>
      </c>
      <c r="K102" s="187"/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85">
        <f>IFERROR(__xludf.DUMMYFUNCTION("ifna(VALUE(REGEXEXTRACT(E102,""[0-9.]+[,]+[0-9]+"")))"),272.25)</f>
        <v>272.25</v>
      </c>
      <c r="O102" s="319"/>
      <c r="P102" s="320"/>
      <c r="Q102" s="319"/>
      <c r="R102" s="321"/>
      <c r="S102" s="319"/>
      <c r="V102" s="281"/>
      <c r="W102" s="185"/>
    </row>
    <row r="103" ht="14.25" customHeight="1">
      <c r="A103" s="178"/>
      <c r="B103" s="10">
        <v>1914640.0</v>
      </c>
      <c r="C103" s="11">
        <v>46029.68293981482</v>
      </c>
      <c r="D103" s="179" t="s">
        <v>50</v>
      </c>
      <c r="E103" s="180" t="s">
        <v>7519</v>
      </c>
      <c r="F103" s="181"/>
      <c r="G103" s="179" t="s">
        <v>7520</v>
      </c>
      <c r="H103" s="190"/>
      <c r="I103" s="190"/>
      <c r="J103" s="187" t="s">
        <v>3467</v>
      </c>
      <c r="K103" s="187"/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TRIM(CLEAN(TO_TEXT(#REF!)))) &gt; 0,
      ""Encontrada"",
      ""Não Encontrada""
   ),
"""")"),"")</f>
        <v/>
      </c>
      <c r="N103" s="185">
        <f>IFERROR(__xludf.DUMMYFUNCTION("ifna(VALUE(REGEXEXTRACT(E103,""[0-9.]+[,]+[0-9]+"")))"),36.68)</f>
        <v>36.68</v>
      </c>
      <c r="O103" s="315"/>
      <c r="P103" s="316"/>
      <c r="Q103" s="315"/>
      <c r="R103" s="317"/>
      <c r="S103" s="315"/>
      <c r="V103" s="279"/>
      <c r="W103" s="185"/>
    </row>
    <row r="104" ht="14.25" customHeight="1">
      <c r="A104" s="178"/>
      <c r="B104" s="10">
        <v>1914664.0</v>
      </c>
      <c r="C104" s="11">
        <v>46029.68875</v>
      </c>
      <c r="D104" s="10" t="s">
        <v>50</v>
      </c>
      <c r="E104" s="10" t="s">
        <v>6731</v>
      </c>
      <c r="F104" s="13"/>
      <c r="G104" s="10" t="s">
        <v>7521</v>
      </c>
      <c r="H104" s="190"/>
      <c r="I104" s="190"/>
      <c r="J104" s="187" t="s">
        <v>3466</v>
      </c>
      <c r="K104" s="187"/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TRIM(CLEAN(TO_TEXT(B103)))) &gt; 0,
      ""Encontrada"",
      ""Não Encontrada""
   ),
"""")"),"")</f>
        <v/>
      </c>
      <c r="N104" s="185">
        <f>IFERROR(__xludf.DUMMYFUNCTION("ifna(VALUE(REGEXEXTRACT(E104,""[0-9.]+[,]+[0-9]+"")))"),100.0)</f>
        <v>100</v>
      </c>
      <c r="O104" s="319"/>
      <c r="P104" s="320"/>
      <c r="Q104" s="319"/>
      <c r="R104" s="321"/>
      <c r="S104" s="319"/>
      <c r="V104" s="281"/>
      <c r="W104" s="185"/>
    </row>
    <row r="105" ht="14.25" customHeight="1">
      <c r="A105" s="178"/>
      <c r="B105" s="10">
        <v>1914671.0</v>
      </c>
      <c r="C105" s="11">
        <v>46029.68991898148</v>
      </c>
      <c r="D105" s="179" t="s">
        <v>227</v>
      </c>
      <c r="E105" s="180" t="s">
        <v>494</v>
      </c>
      <c r="F105" s="181"/>
      <c r="G105" s="179" t="s">
        <v>7522</v>
      </c>
      <c r="H105" s="190"/>
      <c r="I105" s="190"/>
      <c r="J105" s="187"/>
      <c r="K105" s="187"/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IFERROR(__xludf.DUMMYFUNCTION("ifna(VALUE(REGEXEXTRACT(E105,""[0-9.]+[,]+[0-9]+"")))"),0.01)</f>
        <v>0.01</v>
      </c>
      <c r="O105" s="315"/>
      <c r="P105" s="315"/>
      <c r="Q105" s="315"/>
      <c r="R105" s="317"/>
      <c r="S105" s="315"/>
      <c r="V105" s="279"/>
      <c r="W105" s="185"/>
    </row>
    <row r="106" ht="14.25" customHeight="1">
      <c r="A106" s="178"/>
      <c r="B106" s="10">
        <v>1915065.0</v>
      </c>
      <c r="C106" s="11">
        <v>46029.76054398148</v>
      </c>
      <c r="D106" s="179" t="s">
        <v>50</v>
      </c>
      <c r="E106" s="180" t="s">
        <v>1635</v>
      </c>
      <c r="F106" s="181"/>
      <c r="G106" s="179" t="s">
        <v>7523</v>
      </c>
      <c r="H106" s="190"/>
      <c r="I106" s="190"/>
      <c r="J106" s="187" t="s">
        <v>3467</v>
      </c>
      <c r="K106" s="187"/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IFERROR(__xludf.DUMMYFUNCTION("ifna(VALUE(REGEXEXTRACT(E106,""[0-9.]+[,]+[0-9]+"")))"),18.28)</f>
        <v>18.28</v>
      </c>
      <c r="O106" s="319"/>
      <c r="P106" s="319"/>
      <c r="Q106" s="319"/>
      <c r="R106" s="321"/>
      <c r="S106" s="319"/>
      <c r="V106" s="281"/>
      <c r="W106" s="185"/>
    </row>
    <row r="107" ht="18.75" customHeight="1">
      <c r="A107" s="178"/>
      <c r="B107" s="10">
        <v>1915356.0</v>
      </c>
      <c r="C107" s="11">
        <v>46029.848032407404</v>
      </c>
      <c r="D107" s="179" t="s">
        <v>50</v>
      </c>
      <c r="E107" s="180" t="s">
        <v>7524</v>
      </c>
      <c r="F107" s="181"/>
      <c r="G107" s="179" t="s">
        <v>7525</v>
      </c>
      <c r="H107" s="190"/>
      <c r="I107" s="190"/>
      <c r="J107" s="187" t="s">
        <v>3467</v>
      </c>
      <c r="K107" s="187"/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IFERROR(__xludf.DUMMYFUNCTION("ifna(VALUE(REGEXEXTRACT(E107,""[0-9.]+[,]+[0-9]+"")))"),20.45)</f>
        <v>20.45</v>
      </c>
      <c r="O107" s="331"/>
      <c r="P107" s="331"/>
      <c r="Q107" s="331"/>
      <c r="R107" s="317"/>
      <c r="S107" s="331"/>
      <c r="V107" s="279"/>
      <c r="W107" s="185"/>
    </row>
    <row r="108" ht="14.25" customHeight="1">
      <c r="A108" s="178"/>
      <c r="B108" s="10">
        <v>1915962.0</v>
      </c>
      <c r="C108" s="11">
        <v>46029.93813657408</v>
      </c>
      <c r="D108" s="179" t="s">
        <v>50</v>
      </c>
      <c r="E108" s="180" t="s">
        <v>7526</v>
      </c>
      <c r="F108" s="181"/>
      <c r="G108" s="179" t="s">
        <v>7527</v>
      </c>
      <c r="H108" s="190"/>
      <c r="I108" s="190"/>
      <c r="J108" s="187" t="s">
        <v>3903</v>
      </c>
      <c r="K108" s="187"/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85">
        <f>IFERROR(__xludf.DUMMYFUNCTION("ifna(VALUE(REGEXEXTRACT(E108,""[0-9.]+[,]+[0-9]+"")))"),36.82)</f>
        <v>36.82</v>
      </c>
      <c r="O108" s="332"/>
      <c r="P108" s="332"/>
      <c r="Q108" s="332"/>
      <c r="R108" s="321"/>
      <c r="S108" s="332"/>
      <c r="V108" s="281"/>
      <c r="W108" s="185"/>
    </row>
    <row r="109" ht="15.75" customHeight="1">
      <c r="A109" s="178"/>
      <c r="B109" s="10">
        <v>1915967.0</v>
      </c>
      <c r="C109" s="11">
        <v>46029.93865740741</v>
      </c>
      <c r="D109" s="179" t="s">
        <v>50</v>
      </c>
      <c r="E109" s="180" t="s">
        <v>7529</v>
      </c>
      <c r="F109" s="181"/>
      <c r="G109" s="179" t="s">
        <v>7530</v>
      </c>
      <c r="H109" s="190"/>
      <c r="I109" s="190"/>
      <c r="J109" s="187" t="s">
        <v>3903</v>
      </c>
      <c r="K109" s="187"/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85">
        <f>IFERROR(__xludf.DUMMYFUNCTION("ifna(VALUE(REGEXEXTRACT(E109,""[0-9.]+[,]+[0-9]+"")))"),296.57)</f>
        <v>296.57</v>
      </c>
      <c r="O109" s="333"/>
      <c r="P109" s="331"/>
      <c r="Q109" s="331"/>
      <c r="R109" s="317"/>
      <c r="S109" s="331"/>
      <c r="V109" s="279"/>
      <c r="W109" s="185"/>
    </row>
    <row r="110" ht="14.25" customHeight="1">
      <c r="A110" s="178"/>
      <c r="B110" s="10">
        <v>1916052.0</v>
      </c>
      <c r="C110" s="11">
        <v>46029.94851851852</v>
      </c>
      <c r="D110" s="179" t="s">
        <v>50</v>
      </c>
      <c r="E110" s="180" t="s">
        <v>6731</v>
      </c>
      <c r="F110" s="181"/>
      <c r="G110" s="179" t="s">
        <v>7531</v>
      </c>
      <c r="H110" s="190"/>
      <c r="I110" s="190"/>
      <c r="J110" s="187" t="s">
        <v>3466</v>
      </c>
      <c r="K110" s="187"/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IFERROR(__xludf.DUMMYFUNCTION("ifna(VALUE(REGEXEXTRACT(E110,""[0-9.]+[,]+[0-9]+"")))"),100.0)</f>
        <v>100</v>
      </c>
      <c r="O110" s="332"/>
      <c r="P110" s="332"/>
      <c r="Q110" s="332"/>
      <c r="R110" s="321"/>
      <c r="S110" s="332"/>
      <c r="V110" s="281"/>
      <c r="W110" s="185"/>
    </row>
    <row r="111" ht="17.25" customHeight="1">
      <c r="A111" s="178"/>
      <c r="B111" s="10">
        <v>1916055.0</v>
      </c>
      <c r="C111" s="11">
        <v>46029.948958333334</v>
      </c>
      <c r="D111" s="179" t="s">
        <v>227</v>
      </c>
      <c r="E111" s="180" t="s">
        <v>494</v>
      </c>
      <c r="F111" s="181"/>
      <c r="G111" s="179" t="s">
        <v>7532</v>
      </c>
      <c r="H111" s="190"/>
      <c r="I111" s="190"/>
      <c r="J111" s="187"/>
      <c r="K111" s="187"/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IFERROR(__xludf.DUMMYFUNCTION("ifna(VALUE(REGEXEXTRACT(E111,""[0-9.]+[,]+[0-9]+"")))"),0.01)</f>
        <v>0.01</v>
      </c>
      <c r="O111" s="331"/>
      <c r="P111" s="331"/>
      <c r="Q111" s="331"/>
      <c r="R111" s="317"/>
      <c r="S111" s="331"/>
      <c r="V111" s="279"/>
      <c r="W111" s="185"/>
    </row>
    <row r="112" ht="14.25" customHeight="1">
      <c r="A112" s="178"/>
      <c r="B112" s="10">
        <v>1916955.0</v>
      </c>
      <c r="C112" s="11">
        <v>46030.703877314816</v>
      </c>
      <c r="D112" s="179" t="s">
        <v>50</v>
      </c>
      <c r="E112" s="180" t="s">
        <v>6965</v>
      </c>
      <c r="F112" s="181"/>
      <c r="G112" s="179" t="s">
        <v>4665</v>
      </c>
      <c r="H112" s="190"/>
      <c r="I112" s="190"/>
      <c r="J112" s="187" t="s">
        <v>3044</v>
      </c>
      <c r="K112" s="187" t="s">
        <v>7052</v>
      </c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IFERROR(__xludf.DUMMYFUNCTION("ifna(VALUE(REGEXEXTRACT(E112,""[0-9.]+[,]+[0-9]+"")))"),20.9)</f>
        <v>20.9</v>
      </c>
      <c r="O112" s="332"/>
      <c r="P112" s="332"/>
      <c r="Q112" s="332"/>
      <c r="R112" s="321"/>
      <c r="S112" s="332"/>
      <c r="V112" s="281"/>
      <c r="W112" s="185"/>
    </row>
    <row r="113" ht="14.25" customHeight="1">
      <c r="A113" s="178"/>
      <c r="B113" s="10">
        <v>1916956.0</v>
      </c>
      <c r="C113" s="11">
        <v>46030.70416666667</v>
      </c>
      <c r="D113" s="179" t="s">
        <v>50</v>
      </c>
      <c r="E113" s="180" t="s">
        <v>146</v>
      </c>
      <c r="F113" s="188"/>
      <c r="G113" s="179" t="s">
        <v>6878</v>
      </c>
      <c r="H113" s="190"/>
      <c r="I113" s="190"/>
      <c r="J113" s="187" t="s">
        <v>3044</v>
      </c>
      <c r="K113" s="187" t="s">
        <v>6340</v>
      </c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IFERROR(__xludf.DUMMYFUNCTION("ifna(VALUE(REGEXEXTRACT(E113,""[0-9.]+[,]+[0-9]+"")))"),3.0)</f>
        <v>3</v>
      </c>
      <c r="O113" s="331"/>
      <c r="P113" s="331"/>
      <c r="Q113" s="331"/>
      <c r="R113" s="331"/>
      <c r="S113" s="331"/>
      <c r="V113" s="279"/>
      <c r="W113" s="185"/>
    </row>
    <row r="114" ht="14.25" customHeight="1">
      <c r="A114" s="178"/>
      <c r="B114" s="10">
        <v>1917376.0</v>
      </c>
      <c r="C114" s="11">
        <v>46030.795335648145</v>
      </c>
      <c r="D114" s="179" t="s">
        <v>50</v>
      </c>
      <c r="E114" s="180" t="s">
        <v>7081</v>
      </c>
      <c r="F114" s="181"/>
      <c r="G114" s="179" t="s">
        <v>7536</v>
      </c>
      <c r="H114" s="190"/>
      <c r="I114" s="190"/>
      <c r="J114" s="187" t="s">
        <v>3903</v>
      </c>
      <c r="K114" s="187"/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85">
        <f>IFERROR(__xludf.DUMMYFUNCTION("ifna(VALUE(REGEXEXTRACT(E114,""[0-9.]+[,]+[0-9]+"")))"),40.0)</f>
        <v>40</v>
      </c>
      <c r="O114" s="332"/>
      <c r="P114" s="332"/>
      <c r="Q114" s="332"/>
      <c r="R114" s="332"/>
      <c r="S114" s="332"/>
      <c r="V114" s="281"/>
      <c r="W114" s="185"/>
    </row>
    <row r="115" ht="14.25" customHeight="1">
      <c r="A115" s="178"/>
      <c r="B115" s="10">
        <v>1917377.0</v>
      </c>
      <c r="C115" s="11">
        <v>46030.79622685185</v>
      </c>
      <c r="D115" s="179" t="s">
        <v>50</v>
      </c>
      <c r="E115" s="180" t="s">
        <v>7538</v>
      </c>
      <c r="F115" s="181"/>
      <c r="G115" s="179" t="s">
        <v>7540</v>
      </c>
      <c r="H115" s="190"/>
      <c r="I115" s="190"/>
      <c r="J115" s="187" t="s">
        <v>3903</v>
      </c>
      <c r="K115" s="187"/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85">
        <f>IFERROR(__xludf.DUMMYFUNCTION("ifna(VALUE(REGEXEXTRACT(E115,""[0-9.]+[,]+[0-9]+"")))"),19.56)</f>
        <v>19.56</v>
      </c>
      <c r="O115" s="331"/>
      <c r="P115" s="331"/>
      <c r="Q115" s="331"/>
      <c r="R115" s="331"/>
      <c r="S115" s="331"/>
      <c r="V115" s="279"/>
      <c r="W115" s="185"/>
    </row>
    <row r="116" ht="14.25" customHeight="1">
      <c r="A116" s="178"/>
      <c r="B116" s="10">
        <v>1917381.0</v>
      </c>
      <c r="C116" s="11">
        <v>46030.79672453704</v>
      </c>
      <c r="D116" s="179" t="s">
        <v>50</v>
      </c>
      <c r="E116" s="180" t="s">
        <v>7542</v>
      </c>
      <c r="F116" s="181"/>
      <c r="G116" s="179" t="s">
        <v>7543</v>
      </c>
      <c r="H116" s="190"/>
      <c r="I116" s="190"/>
      <c r="J116" s="187" t="s">
        <v>3903</v>
      </c>
      <c r="K116" s="187"/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"""")"),"Encontrada")</f>
        <v>Encontrada</v>
      </c>
      <c r="N116" s="185">
        <f>IFERROR(__xludf.DUMMYFUNCTION("ifna(VALUE(REGEXEXTRACT(E116,""[0-9.]+[,]+[0-9]+"")))"),195.79)</f>
        <v>195.79</v>
      </c>
      <c r="O116" s="332"/>
      <c r="P116" s="332"/>
      <c r="Q116" s="332"/>
      <c r="R116" s="332"/>
      <c r="S116" s="332"/>
      <c r="V116" s="281"/>
      <c r="W116" s="185"/>
    </row>
    <row r="117" ht="14.25" customHeight="1">
      <c r="A117" s="178"/>
      <c r="B117" s="10">
        <v>1917881.0</v>
      </c>
      <c r="C117" s="11">
        <v>46030.912083333336</v>
      </c>
      <c r="D117" s="179" t="s">
        <v>50</v>
      </c>
      <c r="E117" s="180" t="s">
        <v>6479</v>
      </c>
      <c r="F117" s="181"/>
      <c r="G117" s="179" t="s">
        <v>7546</v>
      </c>
      <c r="H117" s="190"/>
      <c r="I117" s="190"/>
      <c r="J117" s="187" t="s">
        <v>3903</v>
      </c>
      <c r="K117" s="187"/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"""")"),"Encontrada")</f>
        <v>Encontrada</v>
      </c>
      <c r="N117" s="185">
        <f>IFERROR(__xludf.DUMMYFUNCTION("ifna(VALUE(REGEXEXTRACT(E117,""[0-9.]+[,]+[0-9]+"")))"),300.0)</f>
        <v>300</v>
      </c>
      <c r="O117" s="334"/>
      <c r="P117" s="335"/>
      <c r="Q117" s="336"/>
      <c r="R117" s="331"/>
      <c r="S117" s="331"/>
      <c r="V117" s="279"/>
      <c r="W117" s="185"/>
    </row>
    <row r="118" ht="14.25" customHeight="1">
      <c r="A118" s="178"/>
      <c r="B118" s="10">
        <v>1917883.0</v>
      </c>
      <c r="C118" s="11">
        <v>46030.912511574075</v>
      </c>
      <c r="D118" s="179" t="s">
        <v>50</v>
      </c>
      <c r="E118" s="180" t="s">
        <v>6739</v>
      </c>
      <c r="F118" s="181"/>
      <c r="G118" s="179" t="s">
        <v>7548</v>
      </c>
      <c r="H118" s="190"/>
      <c r="I118" s="190"/>
      <c r="J118" s="187" t="s">
        <v>3746</v>
      </c>
      <c r="K118" s="187" t="s">
        <v>7058</v>
      </c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"),"Caixa Atendimento")</f>
        <v>Caixa Atendimento</v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IFERROR(__xludf.DUMMYFUNCTION("ifna(VALUE(REGEXEXTRACT(E118,""[0-9.]+[,]+[0-9]+"")))"),350.0)</f>
        <v>350</v>
      </c>
      <c r="O118" s="325"/>
      <c r="P118" s="326"/>
      <c r="Q118" s="337"/>
      <c r="R118" s="332"/>
      <c r="S118" s="332"/>
      <c r="V118" s="281"/>
      <c r="W118" s="185"/>
    </row>
    <row r="119" ht="14.25" customHeight="1">
      <c r="A119" s="178"/>
      <c r="B119" s="10">
        <v>1918618.0</v>
      </c>
      <c r="C119" s="11">
        <v>46031.53435185185</v>
      </c>
      <c r="D119" s="179" t="s">
        <v>50</v>
      </c>
      <c r="E119" s="180" t="s">
        <v>246</v>
      </c>
      <c r="F119" s="181"/>
      <c r="G119" s="179" t="s">
        <v>4960</v>
      </c>
      <c r="H119" s="190"/>
      <c r="I119" s="190"/>
      <c r="J119" s="187" t="s">
        <v>3044</v>
      </c>
      <c r="K119" s="187" t="s">
        <v>7058</v>
      </c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IFERROR(__xludf.DUMMYFUNCTION("ifna(VALUE(REGEXEXTRACT(E119,""[0-9.]+[,]+[0-9]+"")))"),4.0)</f>
        <v>4</v>
      </c>
      <c r="O119" s="331"/>
      <c r="P119" s="331"/>
      <c r="Q119" s="331"/>
      <c r="R119" s="331"/>
      <c r="S119" s="331"/>
      <c r="V119" s="279"/>
      <c r="W119" s="185"/>
    </row>
    <row r="120" ht="14.25" customHeight="1">
      <c r="A120" s="178"/>
      <c r="B120" s="10">
        <v>1919136.0</v>
      </c>
      <c r="C120" s="11">
        <v>46031.660046296296</v>
      </c>
      <c r="D120" s="179" t="s">
        <v>50</v>
      </c>
      <c r="E120" s="180" t="s">
        <v>7549</v>
      </c>
      <c r="F120" s="181"/>
      <c r="G120" s="179" t="s">
        <v>7550</v>
      </c>
      <c r="H120" s="190"/>
      <c r="I120" s="190"/>
      <c r="J120" s="187" t="s">
        <v>3903</v>
      </c>
      <c r="K120" s="187"/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"""")"),"Encontrada")</f>
        <v>Encontrada</v>
      </c>
      <c r="N120" s="185">
        <f>IFERROR(__xludf.DUMMYFUNCTION("ifna(VALUE(REGEXEXTRACT(E120,""[0-9.]+[,]+[0-9]+"")))"),267.6)</f>
        <v>267.6</v>
      </c>
      <c r="O120" s="332"/>
      <c r="P120" s="332"/>
      <c r="Q120" s="332"/>
      <c r="R120" s="332"/>
      <c r="S120" s="332"/>
      <c r="V120" s="281"/>
      <c r="W120" s="185"/>
    </row>
    <row r="121" ht="14.25" customHeight="1">
      <c r="A121" s="178"/>
      <c r="B121" s="10">
        <v>1919202.0</v>
      </c>
      <c r="C121" s="11">
        <v>46031.67469907407</v>
      </c>
      <c r="D121" s="179" t="s">
        <v>50</v>
      </c>
      <c r="E121" s="180" t="s">
        <v>157</v>
      </c>
      <c r="F121" s="181"/>
      <c r="G121" s="179" t="s">
        <v>4665</v>
      </c>
      <c r="H121" s="190"/>
      <c r="I121" s="190"/>
      <c r="J121" s="187" t="s">
        <v>3044</v>
      </c>
      <c r="K121" s="187" t="s">
        <v>7052</v>
      </c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IFERROR(__xludf.DUMMYFUNCTION("ifna(VALUE(REGEXEXTRACT(E121,""[0-9.]+[,]+[0-9]+"")))"),5.0)</f>
        <v>5</v>
      </c>
      <c r="O121" s="331"/>
      <c r="P121" s="331"/>
      <c r="Q121" s="331"/>
      <c r="R121" s="331"/>
      <c r="S121" s="331"/>
      <c r="V121" s="279"/>
      <c r="W121" s="185"/>
    </row>
    <row r="122" ht="14.25" customHeight="1">
      <c r="A122" s="178"/>
      <c r="B122" s="10">
        <v>1919209.0</v>
      </c>
      <c r="C122" s="11">
        <v>46031.675671296296</v>
      </c>
      <c r="D122" s="179" t="s">
        <v>50</v>
      </c>
      <c r="E122" s="180" t="s">
        <v>6856</v>
      </c>
      <c r="F122" s="188"/>
      <c r="G122" s="179" t="s">
        <v>7551</v>
      </c>
      <c r="H122" s="190"/>
      <c r="I122" s="190"/>
      <c r="J122" s="187" t="s">
        <v>3903</v>
      </c>
      <c r="K122" s="187"/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"""")"),"Encontrada")</f>
        <v>Encontrada</v>
      </c>
      <c r="N122" s="185">
        <f>IFERROR(__xludf.DUMMYFUNCTION("ifna(VALUE(REGEXEXTRACT(E122,""[0-9.]+[,]+[0-9]+"")))"),35.0)</f>
        <v>35</v>
      </c>
      <c r="O122" s="332"/>
      <c r="P122" s="332"/>
      <c r="Q122" s="332"/>
      <c r="R122" s="332"/>
      <c r="S122" s="332"/>
      <c r="V122" s="281"/>
      <c r="W122" s="185"/>
    </row>
    <row r="123" ht="14.25" customHeight="1">
      <c r="A123" s="178"/>
      <c r="B123" s="10">
        <v>1919213.0</v>
      </c>
      <c r="C123" s="11">
        <v>46031.676354166666</v>
      </c>
      <c r="D123" s="179" t="s">
        <v>50</v>
      </c>
      <c r="E123" s="180" t="s">
        <v>7553</v>
      </c>
      <c r="F123" s="181"/>
      <c r="G123" s="179" t="s">
        <v>7554</v>
      </c>
      <c r="H123" s="190"/>
      <c r="I123" s="190"/>
      <c r="J123" s="187" t="s">
        <v>3903</v>
      </c>
      <c r="K123" s="187"/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185">
        <f>IFERROR(__xludf.DUMMYFUNCTION("ifna(VALUE(REGEXEXTRACT(E123,""[0-9.]+[,]+[0-9]+"")))"),35.8)</f>
        <v>35.8</v>
      </c>
      <c r="O123" s="331"/>
      <c r="P123" s="331"/>
      <c r="Q123" s="331"/>
      <c r="R123" s="331"/>
      <c r="S123" s="331"/>
      <c r="V123" s="279"/>
      <c r="W123" s="185"/>
    </row>
    <row r="124" ht="14.25" customHeight="1">
      <c r="A124" s="178"/>
      <c r="B124" s="10">
        <v>1919437.0</v>
      </c>
      <c r="C124" s="11">
        <v>46031.72153935185</v>
      </c>
      <c r="D124" s="179" t="s">
        <v>50</v>
      </c>
      <c r="E124" s="180" t="s">
        <v>7555</v>
      </c>
      <c r="F124" s="181"/>
      <c r="G124" s="179" t="s">
        <v>7556</v>
      </c>
      <c r="H124" s="190"/>
      <c r="I124" s="190"/>
      <c r="J124" s="187" t="s">
        <v>3903</v>
      </c>
      <c r="K124" s="187"/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85">
        <f>IFERROR(__xludf.DUMMYFUNCTION("ifna(VALUE(REGEXEXTRACT(E124,""[0-9.]+[,]+[0-9]+"")))"),77.8)</f>
        <v>77.8</v>
      </c>
      <c r="O124" s="332"/>
      <c r="P124" s="332"/>
      <c r="Q124" s="332"/>
      <c r="R124" s="332"/>
      <c r="S124" s="332"/>
      <c r="V124" s="281"/>
      <c r="W124" s="185"/>
    </row>
    <row r="125" ht="14.25" customHeight="1">
      <c r="A125" s="178"/>
      <c r="B125" s="10">
        <v>1919439.0</v>
      </c>
      <c r="C125" s="11">
        <v>46031.721967592595</v>
      </c>
      <c r="D125" s="179" t="s">
        <v>50</v>
      </c>
      <c r="E125" s="180" t="s">
        <v>460</v>
      </c>
      <c r="F125" s="181"/>
      <c r="G125" s="179" t="s">
        <v>7558</v>
      </c>
      <c r="H125" s="190"/>
      <c r="I125" s="190"/>
      <c r="J125" s="187" t="s">
        <v>3903</v>
      </c>
      <c r="K125" s="187"/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"""")"),"Encontrada")</f>
        <v>Encontrada</v>
      </c>
      <c r="N125" s="185">
        <f>IFERROR(__xludf.DUMMYFUNCTION("ifna(VALUE(REGEXEXTRACT(E125,""[0-9.]+[,]+[0-9]+"")))"),21.9)</f>
        <v>21.9</v>
      </c>
      <c r="O125" s="331"/>
      <c r="P125" s="331"/>
      <c r="Q125" s="331"/>
      <c r="R125" s="331"/>
      <c r="S125" s="331"/>
      <c r="V125" s="279"/>
      <c r="W125" s="185"/>
    </row>
    <row r="126" ht="16.5" customHeight="1">
      <c r="A126" s="178"/>
      <c r="B126" s="10">
        <v>1920283.0</v>
      </c>
      <c r="C126" s="11">
        <v>46031.91190972222</v>
      </c>
      <c r="D126" s="179" t="s">
        <v>50</v>
      </c>
      <c r="E126" s="180" t="s">
        <v>3899</v>
      </c>
      <c r="F126" s="181"/>
      <c r="G126" s="179" t="s">
        <v>7559</v>
      </c>
      <c r="H126" s="190"/>
      <c r="I126" s="190"/>
      <c r="J126" s="187" t="s">
        <v>3746</v>
      </c>
      <c r="K126" s="187" t="s">
        <v>7058</v>
      </c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"),"Depositada")</f>
        <v>Depositada</v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IFERROR(__xludf.DUMMYFUNCTION("ifna(VALUE(REGEXEXTRACT(E126,""[0-9.]+[,]+[0-9]+"")))"),1000.0)</f>
        <v>1000</v>
      </c>
      <c r="O126" s="332"/>
      <c r="P126" s="332"/>
      <c r="Q126" s="332"/>
      <c r="R126" s="332"/>
      <c r="S126" s="332"/>
      <c r="V126" s="281"/>
      <c r="W126" s="185"/>
    </row>
    <row r="127" ht="18.75" customHeight="1">
      <c r="A127" s="178"/>
      <c r="B127" s="10">
        <v>1920415.0</v>
      </c>
      <c r="C127" s="11">
        <v>46031.9240625</v>
      </c>
      <c r="D127" s="179" t="s">
        <v>50</v>
      </c>
      <c r="E127" s="180" t="s">
        <v>7560</v>
      </c>
      <c r="F127" s="188"/>
      <c r="G127" s="179" t="s">
        <v>7561</v>
      </c>
      <c r="H127" s="190"/>
      <c r="I127" s="190"/>
      <c r="J127" s="187" t="s">
        <v>3903</v>
      </c>
      <c r="K127" s="187"/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85">
        <f>IFERROR(__xludf.DUMMYFUNCTION("ifna(VALUE(REGEXEXTRACT(E127,""[0-9.]+[,]+[0-9]+"")))"),84.9)</f>
        <v>84.9</v>
      </c>
      <c r="O127" s="331"/>
      <c r="P127" s="331"/>
      <c r="Q127" s="331"/>
      <c r="R127" s="331"/>
      <c r="S127" s="331"/>
      <c r="V127" s="279"/>
      <c r="W127" s="185"/>
    </row>
    <row r="128" ht="17.25" customHeight="1">
      <c r="A128" s="178"/>
      <c r="B128" s="10">
        <v>1921125.0</v>
      </c>
      <c r="C128" s="11">
        <v>46032.57710648148</v>
      </c>
      <c r="D128" s="179" t="s">
        <v>227</v>
      </c>
      <c r="E128" s="180" t="s">
        <v>329</v>
      </c>
      <c r="F128" s="188"/>
      <c r="G128" s="179" t="s">
        <v>7563</v>
      </c>
      <c r="H128" s="190"/>
      <c r="I128" s="190"/>
      <c r="J128" s="187" t="s">
        <v>4159</v>
      </c>
      <c r="K128" s="187"/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IFERROR(__xludf.DUMMYFUNCTION("ifna(VALUE(REGEXEXTRACT(E128,""[0-9.]+[,]+[0-9]+"")))"),200.0)</f>
        <v>200</v>
      </c>
      <c r="O128" s="332"/>
      <c r="P128" s="332"/>
      <c r="Q128" s="332"/>
      <c r="R128" s="332"/>
      <c r="S128" s="332"/>
      <c r="V128" s="281"/>
      <c r="W128" s="185"/>
    </row>
    <row r="129" ht="17.25" customHeight="1">
      <c r="A129" s="178"/>
      <c r="B129" s="10">
        <v>1921130.0</v>
      </c>
      <c r="C129" s="11">
        <v>46032.577835648146</v>
      </c>
      <c r="D129" s="179" t="s">
        <v>50</v>
      </c>
      <c r="E129" s="180" t="s">
        <v>329</v>
      </c>
      <c r="F129" s="181"/>
      <c r="G129" s="179" t="s">
        <v>7566</v>
      </c>
      <c r="H129" s="190"/>
      <c r="I129" s="190"/>
      <c r="J129" s="187" t="s">
        <v>3903</v>
      </c>
      <c r="K129" s="187"/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"""")"),"Não Encontrada")</f>
        <v>Não Encontrada</v>
      </c>
      <c r="N129" s="185">
        <f>IFERROR(__xludf.DUMMYFUNCTION("ifna(VALUE(REGEXEXTRACT(E129,""[0-9.]+[,]+[0-9]+"")))"),200.0)</f>
        <v>200</v>
      </c>
      <c r="O129" s="331"/>
      <c r="P129" s="331"/>
      <c r="Q129" s="331"/>
      <c r="R129" s="331"/>
      <c r="S129" s="331"/>
      <c r="V129" s="279"/>
      <c r="W129" s="185"/>
    </row>
    <row r="130" ht="14.25" customHeight="1">
      <c r="A130" s="178"/>
      <c r="B130" s="10">
        <v>1921171.0</v>
      </c>
      <c r="C130" s="11">
        <v>46032.59701388889</v>
      </c>
      <c r="D130" s="179" t="s">
        <v>50</v>
      </c>
      <c r="E130" s="180" t="s">
        <v>246</v>
      </c>
      <c r="F130" s="181"/>
      <c r="G130" s="179" t="s">
        <v>4960</v>
      </c>
      <c r="H130" s="190"/>
      <c r="I130" s="190"/>
      <c r="J130" s="187" t="s">
        <v>3044</v>
      </c>
      <c r="K130" s="187" t="s">
        <v>7058</v>
      </c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IFERROR(__xludf.DUMMYFUNCTION("ifna(VALUE(REGEXEXTRACT(E130,""[0-9.]+[,]+[0-9]+"")))"),4.0)</f>
        <v>4</v>
      </c>
      <c r="O130" s="332"/>
      <c r="P130" s="332"/>
      <c r="Q130" s="332"/>
      <c r="R130" s="332"/>
      <c r="S130" s="332"/>
      <c r="V130" s="281"/>
      <c r="W130" s="185"/>
    </row>
    <row r="131" ht="14.25" customHeight="1">
      <c r="A131" s="178"/>
      <c r="B131" s="10">
        <v>1921176.0</v>
      </c>
      <c r="C131" s="11">
        <v>46032.59912037037</v>
      </c>
      <c r="D131" s="179" t="s">
        <v>50</v>
      </c>
      <c r="E131" s="180" t="s">
        <v>7571</v>
      </c>
      <c r="F131" s="181"/>
      <c r="G131" s="179" t="s">
        <v>7572</v>
      </c>
      <c r="H131" s="190"/>
      <c r="I131" s="190"/>
      <c r="J131" s="187" t="s">
        <v>3903</v>
      </c>
      <c r="K131" s="187"/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"""")"),"Não Encontrada")</f>
        <v>Não Encontrada</v>
      </c>
      <c r="N131" s="185">
        <f>IFERROR(__xludf.DUMMYFUNCTION("ifna(VALUE(REGEXEXTRACT(E131,""[0-9.]+[,]+[0-9]+"")))"),27.9)</f>
        <v>27.9</v>
      </c>
      <c r="O131" s="331"/>
      <c r="P131" s="331"/>
      <c r="Q131" s="331"/>
      <c r="R131" s="331"/>
      <c r="S131" s="331"/>
      <c r="V131" s="279"/>
      <c r="W131" s="185"/>
    </row>
    <row r="132" ht="14.25" customHeight="1">
      <c r="A132" s="178"/>
      <c r="B132" s="10">
        <v>1921190.0</v>
      </c>
      <c r="C132" s="11">
        <v>46032.60255787037</v>
      </c>
      <c r="D132" s="179" t="s">
        <v>50</v>
      </c>
      <c r="E132" s="180" t="s">
        <v>7574</v>
      </c>
      <c r="F132" s="181"/>
      <c r="G132" s="179" t="s">
        <v>7575</v>
      </c>
      <c r="H132" s="190"/>
      <c r="I132" s="190"/>
      <c r="J132" s="187" t="s">
        <v>3903</v>
      </c>
      <c r="K132" s="187"/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"""")"),"Não Encontrada")</f>
        <v>Não Encontrada</v>
      </c>
      <c r="N132" s="185">
        <f>IFERROR(__xludf.DUMMYFUNCTION("ifna(VALUE(REGEXEXTRACT(E132,""[0-9.]+[,]+[0-9]+"")))"),22.1)</f>
        <v>22.1</v>
      </c>
      <c r="O132" s="332"/>
      <c r="P132" s="332"/>
      <c r="Q132" s="332"/>
      <c r="R132" s="332"/>
      <c r="S132" s="332"/>
      <c r="V132" s="281"/>
      <c r="W132" s="185"/>
    </row>
    <row r="133" ht="14.25" customHeight="1">
      <c r="A133" s="178"/>
      <c r="B133" s="10">
        <v>1921687.0</v>
      </c>
      <c r="C133" s="11">
        <v>46032.71965277778</v>
      </c>
      <c r="D133" s="179" t="s">
        <v>50</v>
      </c>
      <c r="E133" s="180" t="s">
        <v>7576</v>
      </c>
      <c r="F133" s="181"/>
      <c r="G133" s="179" t="s">
        <v>6826</v>
      </c>
      <c r="H133" s="190"/>
      <c r="I133" s="190"/>
      <c r="J133" s="187" t="s">
        <v>3044</v>
      </c>
      <c r="K133" s="187" t="s">
        <v>6340</v>
      </c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IFERROR(__xludf.DUMMYFUNCTION("ifna(VALUE(REGEXEXTRACT(E133,""[0-9.]+[,]+[0-9]+"")))"),19.94)</f>
        <v>19.94</v>
      </c>
      <c r="O133" s="331"/>
      <c r="P133" s="331"/>
      <c r="Q133" s="331"/>
      <c r="R133" s="331"/>
      <c r="S133" s="331"/>
      <c r="V133" s="279"/>
      <c r="W133" s="185"/>
    </row>
    <row r="134" ht="14.25" customHeight="1">
      <c r="A134" s="178"/>
      <c r="B134" s="10">
        <v>1921703.0</v>
      </c>
      <c r="C134" s="11">
        <v>46032.723703703705</v>
      </c>
      <c r="D134" s="179" t="s">
        <v>50</v>
      </c>
      <c r="E134" s="180" t="s">
        <v>205</v>
      </c>
      <c r="F134" s="181"/>
      <c r="G134" s="179" t="s">
        <v>4960</v>
      </c>
      <c r="H134" s="190"/>
      <c r="I134" s="190"/>
      <c r="J134" s="187" t="s">
        <v>3044</v>
      </c>
      <c r="K134" s="187" t="s">
        <v>6340</v>
      </c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IFERROR(__xludf.DUMMYFUNCTION("ifna(VALUE(REGEXEXTRACT(E134,""[0-9.]+[,]+[0-9]+"")))"),10.0)</f>
        <v>10</v>
      </c>
      <c r="O134" s="332"/>
      <c r="P134" s="332"/>
      <c r="Q134" s="332"/>
      <c r="R134" s="332"/>
      <c r="S134" s="332"/>
      <c r="V134" s="281"/>
      <c r="W134" s="185"/>
    </row>
    <row r="135" ht="14.25" customHeight="1">
      <c r="A135" s="178"/>
      <c r="B135" s="10">
        <v>1922155.0</v>
      </c>
      <c r="C135" s="11">
        <v>46032.82361111111</v>
      </c>
      <c r="D135" s="179" t="s">
        <v>50</v>
      </c>
      <c r="E135" s="180" t="s">
        <v>4506</v>
      </c>
      <c r="F135" s="181"/>
      <c r="G135" s="179" t="s">
        <v>7578</v>
      </c>
      <c r="H135" s="190"/>
      <c r="I135" s="190"/>
      <c r="J135" s="187" t="s">
        <v>3825</v>
      </c>
      <c r="K135" s="187"/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IFERROR(__xludf.DUMMYFUNCTION("ifna(VALUE(REGEXEXTRACT(E135,""[0-9.]+[,]+[0-9]+"")))"),91.0)</f>
        <v>91</v>
      </c>
      <c r="O135" s="331"/>
      <c r="P135" s="331"/>
      <c r="Q135" s="331"/>
      <c r="R135" s="331"/>
      <c r="S135" s="331"/>
      <c r="V135" s="279"/>
      <c r="W135" s="185"/>
    </row>
    <row r="136" ht="14.25" customHeight="1">
      <c r="A136" s="178"/>
      <c r="B136" s="10">
        <v>1922473.0</v>
      </c>
      <c r="C136" s="11">
        <v>46032.879791666666</v>
      </c>
      <c r="D136" s="179" t="s">
        <v>50</v>
      </c>
      <c r="E136" s="180" t="s">
        <v>7581</v>
      </c>
      <c r="F136" s="181"/>
      <c r="G136" s="179" t="s">
        <v>7582</v>
      </c>
      <c r="H136" s="190"/>
      <c r="I136" s="190"/>
      <c r="J136" s="187" t="s">
        <v>3467</v>
      </c>
      <c r="K136" s="187"/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IFERROR(__xludf.DUMMYFUNCTION("ifna(VALUE(REGEXEXTRACT(E136,""[0-9.]+[,]+[0-9]+"")))"),29.78)</f>
        <v>29.78</v>
      </c>
      <c r="O136" s="332"/>
      <c r="P136" s="332"/>
      <c r="Q136" s="332"/>
      <c r="R136" s="332"/>
      <c r="S136" s="332"/>
      <c r="V136" s="281"/>
      <c r="W136" s="185"/>
    </row>
    <row r="137" ht="14.25" customHeight="1">
      <c r="A137" s="178"/>
      <c r="B137" s="10">
        <v>1922624.0</v>
      </c>
      <c r="C137" s="11">
        <v>46032.90258101852</v>
      </c>
      <c r="D137" s="179" t="s">
        <v>50</v>
      </c>
      <c r="E137" s="180" t="s">
        <v>3899</v>
      </c>
      <c r="F137" s="181"/>
      <c r="G137" s="179" t="s">
        <v>7585</v>
      </c>
      <c r="H137" s="190"/>
      <c r="I137" s="190"/>
      <c r="J137" s="187" t="s">
        <v>3746</v>
      </c>
      <c r="K137" s="187" t="s">
        <v>7058</v>
      </c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"),"Depositada")</f>
        <v>Depositada</v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IFERROR(__xludf.DUMMYFUNCTION("ifna(VALUE(REGEXEXTRACT(E137,""[0-9.]+[,]+[0-9]+"")))"),1000.0)</f>
        <v>1000</v>
      </c>
      <c r="O137" s="24"/>
      <c r="P137" s="24"/>
      <c r="Q137" s="24"/>
      <c r="R137" s="24"/>
      <c r="S137" s="24"/>
      <c r="T137" s="24"/>
      <c r="U137" s="185"/>
      <c r="V137" s="185"/>
      <c r="W137" s="185"/>
    </row>
    <row r="138" ht="14.25" customHeight="1">
      <c r="A138" s="178"/>
      <c r="B138" s="10">
        <v>1922626.0</v>
      </c>
      <c r="C138" s="11">
        <v>46032.90278935185</v>
      </c>
      <c r="D138" s="179" t="s">
        <v>50</v>
      </c>
      <c r="E138" s="180" t="s">
        <v>157</v>
      </c>
      <c r="F138" s="188"/>
      <c r="G138" s="179" t="s">
        <v>6826</v>
      </c>
      <c r="H138" s="190"/>
      <c r="I138" s="190"/>
      <c r="J138" s="187" t="s">
        <v>3044</v>
      </c>
      <c r="K138" s="187" t="s">
        <v>6340</v>
      </c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IFERROR(__xludf.DUMMYFUNCTION("ifna(VALUE(REGEXEXTRACT(E138,""[0-9.]+[,]+[0-9]+"")))"),5.0)</f>
        <v>5</v>
      </c>
      <c r="O138" s="24"/>
      <c r="P138" s="24"/>
      <c r="Q138" s="24"/>
      <c r="R138" s="24"/>
      <c r="S138" s="24"/>
      <c r="T138" s="24"/>
      <c r="U138" s="185"/>
      <c r="V138" s="185"/>
      <c r="W138" s="185"/>
    </row>
    <row r="139" ht="14.25" customHeight="1">
      <c r="A139" s="178"/>
      <c r="B139" s="10">
        <v>1923650.0</v>
      </c>
      <c r="C139" s="11">
        <v>46033.56596064815</v>
      </c>
      <c r="D139" s="179" t="s">
        <v>50</v>
      </c>
      <c r="E139" s="180" t="s">
        <v>7590</v>
      </c>
      <c r="F139" s="181"/>
      <c r="G139" s="179" t="s">
        <v>7591</v>
      </c>
      <c r="H139" s="190"/>
      <c r="I139" s="190"/>
      <c r="J139" s="187" t="s">
        <v>3044</v>
      </c>
      <c r="K139" s="187" t="s">
        <v>7058</v>
      </c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IFERROR(__xludf.DUMMYFUNCTION("ifna(VALUE(REGEXEXTRACT(E139,""[0-9.]+[,]+[0-9]+"")))"),42.39)</f>
        <v>42.39</v>
      </c>
      <c r="O139" s="185"/>
      <c r="P139" s="185"/>
      <c r="Q139" s="185"/>
      <c r="R139" s="185"/>
      <c r="S139" s="185"/>
      <c r="T139" s="185"/>
      <c r="U139" s="185"/>
      <c r="V139" s="185"/>
      <c r="W139" s="185"/>
    </row>
    <row r="140" ht="14.25" customHeight="1">
      <c r="A140" s="178"/>
      <c r="B140" s="10">
        <v>1923651.0</v>
      </c>
      <c r="C140" s="11">
        <v>46033.566354166665</v>
      </c>
      <c r="D140" s="179" t="s">
        <v>50</v>
      </c>
      <c r="E140" s="180" t="s">
        <v>7594</v>
      </c>
      <c r="F140" s="181"/>
      <c r="G140" s="179" t="s">
        <v>7595</v>
      </c>
      <c r="H140" s="190"/>
      <c r="I140" s="190"/>
      <c r="J140" s="187" t="s">
        <v>3044</v>
      </c>
      <c r="K140" s="187" t="s">
        <v>6340</v>
      </c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IFERROR(__xludf.DUMMYFUNCTION("ifna(VALUE(REGEXEXTRACT(E140,""[0-9.]+[,]+[0-9]+"")))"),37.57)</f>
        <v>37.57</v>
      </c>
      <c r="O140" s="185"/>
      <c r="P140" s="185"/>
      <c r="Q140" s="185"/>
      <c r="R140" s="185"/>
      <c r="S140" s="185"/>
      <c r="T140" s="185"/>
      <c r="U140" s="185"/>
      <c r="V140" s="185"/>
      <c r="W140" s="185"/>
    </row>
    <row r="141" ht="14.25" customHeight="1">
      <c r="A141" s="178"/>
      <c r="B141" s="10">
        <v>1923653.0</v>
      </c>
      <c r="C141" s="11">
        <v>46033.566666666666</v>
      </c>
      <c r="D141" s="179" t="s">
        <v>50</v>
      </c>
      <c r="E141" s="180" t="s">
        <v>246</v>
      </c>
      <c r="F141" s="181"/>
      <c r="G141" s="179" t="s">
        <v>6446</v>
      </c>
      <c r="H141" s="190"/>
      <c r="I141" s="190"/>
      <c r="J141" s="187" t="s">
        <v>3044</v>
      </c>
      <c r="K141" s="187" t="s">
        <v>6664</v>
      </c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IFERROR(__xludf.DUMMYFUNCTION("ifna(VALUE(REGEXEXTRACT(E141,""[0-9.]+[,]+[0-9]+"")))"),4.0)</f>
        <v>4</v>
      </c>
      <c r="O141" s="185"/>
      <c r="P141" s="185"/>
      <c r="Q141" s="185"/>
      <c r="R141" s="185"/>
      <c r="S141" s="185"/>
      <c r="T141" s="185"/>
      <c r="U141" s="185"/>
      <c r="V141" s="185"/>
      <c r="W141" s="185"/>
    </row>
    <row r="142" ht="14.25" customHeight="1">
      <c r="A142" s="178"/>
      <c r="B142" s="10">
        <v>1923700.0</v>
      </c>
      <c r="C142" s="11">
        <v>46033.58534722222</v>
      </c>
      <c r="D142" s="179" t="s">
        <v>50</v>
      </c>
      <c r="E142" s="180" t="s">
        <v>7601</v>
      </c>
      <c r="F142" s="181"/>
      <c r="G142" s="179" t="s">
        <v>7602</v>
      </c>
      <c r="H142" s="190"/>
      <c r="I142" s="190"/>
      <c r="J142" s="187" t="s">
        <v>3903</v>
      </c>
      <c r="K142" s="187"/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"""")"),"Encontrada")</f>
        <v>Encontrada</v>
      </c>
      <c r="N142" s="185">
        <f>IFERROR(__xludf.DUMMYFUNCTION("ifna(VALUE(REGEXEXTRACT(E142,""[0-9.]+[,]+[0-9]+"")))"),12.31)</f>
        <v>12.31</v>
      </c>
      <c r="O142" s="185"/>
      <c r="P142" s="185"/>
      <c r="Q142" s="185"/>
      <c r="R142" s="185"/>
      <c r="S142" s="185"/>
      <c r="T142" s="185"/>
      <c r="U142" s="185"/>
      <c r="V142" s="185"/>
      <c r="W142" s="185"/>
    </row>
    <row r="143" ht="14.25" customHeight="1">
      <c r="A143" s="178"/>
      <c r="B143" s="10">
        <v>1923738.0</v>
      </c>
      <c r="C143" s="11">
        <v>46033.59943287037</v>
      </c>
      <c r="D143" s="179" t="s">
        <v>50</v>
      </c>
      <c r="E143" s="180" t="s">
        <v>146</v>
      </c>
      <c r="F143" s="181"/>
      <c r="G143" s="179" t="s">
        <v>6513</v>
      </c>
      <c r="H143" s="190"/>
      <c r="I143" s="190"/>
      <c r="J143" s="187" t="s">
        <v>3044</v>
      </c>
      <c r="K143" s="187" t="s">
        <v>7052</v>
      </c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IFERROR(__xludf.DUMMYFUNCTION("ifna(VALUE(REGEXEXTRACT(E143,""[0-9.]+[,]+[0-9]+"")))"),3.0)</f>
        <v>3</v>
      </c>
      <c r="O143" s="185"/>
      <c r="P143" s="185"/>
      <c r="Q143" s="185"/>
      <c r="R143" s="185"/>
      <c r="S143" s="185"/>
      <c r="T143" s="185"/>
      <c r="U143" s="185"/>
      <c r="V143" s="185"/>
      <c r="W143" s="185"/>
    </row>
    <row r="144" ht="14.25" customHeight="1">
      <c r="A144" s="178"/>
      <c r="B144" s="10">
        <v>1925570.0</v>
      </c>
      <c r="C144" s="11">
        <v>46033.911145833335</v>
      </c>
      <c r="D144" s="179" t="s">
        <v>50</v>
      </c>
      <c r="E144" s="180" t="s">
        <v>4449</v>
      </c>
      <c r="F144" s="181"/>
      <c r="G144" s="179" t="s">
        <v>7607</v>
      </c>
      <c r="H144" s="190"/>
      <c r="I144" s="190"/>
      <c r="J144" s="187" t="s">
        <v>3825</v>
      </c>
      <c r="K144" s="187"/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IFERROR(__xludf.DUMMYFUNCTION("ifna(VALUE(REGEXEXTRACT(E144,""[0-9.]+[,]+[0-9]+"")))"),124.0)</f>
        <v>124</v>
      </c>
      <c r="O144" s="185"/>
      <c r="P144" s="185"/>
      <c r="Q144" s="185"/>
      <c r="R144" s="185"/>
      <c r="S144" s="185"/>
      <c r="T144" s="185"/>
      <c r="U144" s="185"/>
      <c r="V144" s="185"/>
      <c r="W144" s="185"/>
    </row>
    <row r="145" ht="14.25" customHeight="1">
      <c r="A145" s="178"/>
      <c r="B145" s="10">
        <v>1925632.0</v>
      </c>
      <c r="C145" s="11">
        <v>46033.9149537037</v>
      </c>
      <c r="D145" s="179" t="s">
        <v>50</v>
      </c>
      <c r="E145" s="180" t="s">
        <v>7242</v>
      </c>
      <c r="F145" s="181"/>
      <c r="G145" s="179" t="s">
        <v>7608</v>
      </c>
      <c r="H145" s="190"/>
      <c r="I145" s="190"/>
      <c r="J145" s="187" t="s">
        <v>3746</v>
      </c>
      <c r="K145" s="187" t="s">
        <v>7052</v>
      </c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"),"Depositada")</f>
        <v>Depositada</v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IFERROR(__xludf.DUMMYFUNCTION("ifna(VALUE(REGEXEXTRACT(E145,""[0-9.]+[,]+[0-9]+"")))"),1450.0)</f>
        <v>1450</v>
      </c>
      <c r="O145" s="185"/>
      <c r="P145" s="185"/>
      <c r="Q145" s="185"/>
      <c r="R145" s="185"/>
      <c r="S145" s="185"/>
      <c r="T145" s="185"/>
      <c r="U145" s="185"/>
      <c r="V145" s="185"/>
      <c r="W145" s="185"/>
    </row>
    <row r="146" ht="16.5" customHeight="1">
      <c r="A146" s="178"/>
      <c r="B146" s="10">
        <v>1926835.0</v>
      </c>
      <c r="C146" s="11">
        <v>46034.56568287037</v>
      </c>
      <c r="D146" s="179" t="s">
        <v>227</v>
      </c>
      <c r="E146" s="180" t="s">
        <v>6739</v>
      </c>
      <c r="F146" s="181"/>
      <c r="G146" s="179" t="s">
        <v>7609</v>
      </c>
      <c r="H146" s="190"/>
      <c r="I146" s="190"/>
      <c r="J146" s="187" t="s">
        <v>4159</v>
      </c>
      <c r="K146" s="187"/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IFERROR(__xludf.DUMMYFUNCTION("ifna(VALUE(REGEXEXTRACT(E146,""[0-9.]+[,]+[0-9]+"")))"),350.0)</f>
        <v>350</v>
      </c>
      <c r="O146" s="185"/>
      <c r="P146" s="185"/>
      <c r="Q146" s="185"/>
      <c r="R146" s="185"/>
      <c r="S146" s="185"/>
      <c r="T146" s="185"/>
      <c r="U146" s="185"/>
      <c r="V146" s="185"/>
      <c r="W146" s="185"/>
    </row>
    <row r="147" ht="14.25" customHeight="1">
      <c r="A147" s="178"/>
      <c r="B147" s="10">
        <v>1926836.0</v>
      </c>
      <c r="C147" s="11">
        <v>46034.56626157407</v>
      </c>
      <c r="D147" s="179" t="s">
        <v>50</v>
      </c>
      <c r="E147" s="180" t="s">
        <v>7611</v>
      </c>
      <c r="F147" s="181"/>
      <c r="G147" s="179" t="s">
        <v>7612</v>
      </c>
      <c r="H147" s="190"/>
      <c r="I147" s="190"/>
      <c r="J147" s="187" t="s">
        <v>3466</v>
      </c>
      <c r="K147" s="187"/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IFERROR(__xludf.DUMMYFUNCTION("ifna(VALUE(REGEXEXTRACT(E147,""[0-9.]+[,]+[0-9]+"")))"),452.0)</f>
        <v>452</v>
      </c>
      <c r="O147" s="185"/>
      <c r="P147" s="185"/>
      <c r="Q147" s="185"/>
      <c r="R147" s="185"/>
      <c r="S147" s="185"/>
      <c r="T147" s="185"/>
      <c r="U147" s="185"/>
      <c r="V147" s="185"/>
      <c r="W147" s="185"/>
    </row>
    <row r="148" ht="14.25" customHeight="1">
      <c r="A148" s="178"/>
      <c r="B148" s="10">
        <v>1926837.0</v>
      </c>
      <c r="C148" s="11">
        <v>46034.56694444444</v>
      </c>
      <c r="D148" s="179" t="s">
        <v>227</v>
      </c>
      <c r="E148" s="180" t="s">
        <v>494</v>
      </c>
      <c r="F148" s="181"/>
      <c r="G148" s="179" t="s">
        <v>7614</v>
      </c>
      <c r="H148" s="190"/>
      <c r="I148" s="190"/>
      <c r="J148" s="187" t="s">
        <v>4159</v>
      </c>
      <c r="K148" s="187"/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IFERROR(__xludf.DUMMYFUNCTION("ifna(VALUE(REGEXEXTRACT(E148,""[0-9.]+[,]+[0-9]+"")))"),0.01)</f>
        <v>0.01</v>
      </c>
      <c r="O148" s="185"/>
      <c r="P148" s="185"/>
      <c r="Q148" s="185"/>
      <c r="R148" s="185"/>
      <c r="S148" s="185"/>
      <c r="T148" s="185"/>
      <c r="U148" s="185"/>
      <c r="V148" s="185"/>
      <c r="W148" s="185"/>
    </row>
    <row r="149" ht="14.25" customHeight="1">
      <c r="A149" s="178"/>
      <c r="B149" s="10">
        <v>1926926.0</v>
      </c>
      <c r="C149" s="11">
        <v>46034.601875</v>
      </c>
      <c r="D149" s="179" t="s">
        <v>50</v>
      </c>
      <c r="E149" s="180" t="s">
        <v>7618</v>
      </c>
      <c r="F149" s="181"/>
      <c r="G149" s="179" t="s">
        <v>7619</v>
      </c>
      <c r="H149" s="190"/>
      <c r="I149" s="190"/>
      <c r="J149" s="187" t="s">
        <v>3874</v>
      </c>
      <c r="K149" s="187"/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IFERROR(__xludf.DUMMYFUNCTION("ifna(VALUE(REGEXEXTRACT(E149,""[0-9.]+[,]+[0-9]+"")))"),79.2)</f>
        <v>79.2</v>
      </c>
      <c r="O149" s="185"/>
      <c r="P149" s="185"/>
      <c r="Q149" s="185"/>
      <c r="R149" s="185"/>
      <c r="S149" s="185"/>
      <c r="T149" s="185"/>
      <c r="U149" s="185"/>
      <c r="V149" s="185"/>
      <c r="W149" s="185"/>
    </row>
    <row r="150" ht="14.25" customHeight="1">
      <c r="A150" s="178"/>
      <c r="B150" s="10">
        <v>1926927.0</v>
      </c>
      <c r="C150" s="11">
        <v>46034.60244212963</v>
      </c>
      <c r="D150" s="179" t="s">
        <v>227</v>
      </c>
      <c r="E150" s="180" t="s">
        <v>494</v>
      </c>
      <c r="F150" s="181"/>
      <c r="G150" s="179" t="s">
        <v>7621</v>
      </c>
      <c r="H150" s="190"/>
      <c r="I150" s="190"/>
      <c r="J150" s="187" t="s">
        <v>4159</v>
      </c>
      <c r="K150" s="187"/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IFERROR(__xludf.DUMMYFUNCTION("ifna(VALUE(REGEXEXTRACT(E150,""[0-9.]+[,]+[0-9]+"")))"),0.01)</f>
        <v>0.01</v>
      </c>
      <c r="O150" s="185"/>
      <c r="P150" s="185"/>
      <c r="Q150" s="185"/>
      <c r="R150" s="185"/>
      <c r="S150" s="185"/>
      <c r="T150" s="185"/>
      <c r="U150" s="185"/>
      <c r="V150" s="185"/>
      <c r="W150" s="185"/>
    </row>
    <row r="151" ht="14.25" customHeight="1">
      <c r="A151" s="178"/>
      <c r="B151" s="10">
        <v>1927653.0</v>
      </c>
      <c r="C151" s="11">
        <v>46034.777650462966</v>
      </c>
      <c r="D151" s="179" t="s">
        <v>50</v>
      </c>
      <c r="E151" s="180" t="s">
        <v>7622</v>
      </c>
      <c r="F151" s="181"/>
      <c r="G151" s="179" t="s">
        <v>7624</v>
      </c>
      <c r="H151" s="190"/>
      <c r="I151" s="190"/>
      <c r="J151" s="187" t="s">
        <v>3903</v>
      </c>
      <c r="K151" s="187"/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"""")"),"Encontrada")</f>
        <v>Encontrada</v>
      </c>
      <c r="N151" s="185">
        <f>IFERROR(__xludf.DUMMYFUNCTION("ifna(VALUE(REGEXEXTRACT(E151,""[0-9.]+[,]+[0-9]+"")))"),205.32)</f>
        <v>205.32</v>
      </c>
      <c r="O151" s="185"/>
      <c r="P151" s="185"/>
      <c r="Q151" s="185"/>
      <c r="R151" s="185"/>
      <c r="S151" s="185"/>
      <c r="T151" s="185"/>
      <c r="U151" s="185"/>
      <c r="V151" s="185"/>
      <c r="W151" s="185"/>
    </row>
    <row r="152" ht="14.25" customHeight="1">
      <c r="A152" s="178"/>
      <c r="B152" s="10">
        <v>1927654.0</v>
      </c>
      <c r="C152" s="11">
        <v>46034.77793981481</v>
      </c>
      <c r="D152" s="179" t="s">
        <v>50</v>
      </c>
      <c r="E152" s="180" t="s">
        <v>6900</v>
      </c>
      <c r="F152" s="181"/>
      <c r="G152" s="179" t="s">
        <v>7626</v>
      </c>
      <c r="H152" s="190"/>
      <c r="I152" s="190"/>
      <c r="J152" s="187" t="s">
        <v>3903</v>
      </c>
      <c r="K152" s="187"/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185">
        <f>IFERROR(__xludf.DUMMYFUNCTION("ifna(VALUE(REGEXEXTRACT(E152,""[0-9.]+[,]+[0-9]+"")))"),121.2)</f>
        <v>121.2</v>
      </c>
      <c r="O152" s="185"/>
      <c r="P152" s="185"/>
      <c r="Q152" s="185"/>
      <c r="R152" s="185"/>
      <c r="S152" s="185"/>
      <c r="T152" s="185"/>
      <c r="U152" s="185"/>
      <c r="V152" s="185"/>
      <c r="W152" s="185"/>
    </row>
    <row r="153" ht="14.25" customHeight="1">
      <c r="A153" s="178"/>
      <c r="B153" s="10">
        <v>1927922.0</v>
      </c>
      <c r="C153" s="11">
        <v>46034.85215277778</v>
      </c>
      <c r="D153" s="179" t="s">
        <v>50</v>
      </c>
      <c r="E153" s="180" t="s">
        <v>6877</v>
      </c>
      <c r="F153" s="181"/>
      <c r="G153" s="179" t="s">
        <v>4960</v>
      </c>
      <c r="H153" s="190"/>
      <c r="I153" s="190"/>
      <c r="J153" s="187" t="s">
        <v>3044</v>
      </c>
      <c r="K153" s="187" t="s">
        <v>7058</v>
      </c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IFERROR(__xludf.DUMMYFUNCTION("ifna(VALUE(REGEXEXTRACT(E153,""[0-9.]+[,]+[0-9]+"")))"),17.38)</f>
        <v>17.38</v>
      </c>
      <c r="O153" s="185"/>
      <c r="P153" s="185"/>
      <c r="Q153" s="185"/>
      <c r="R153" s="185"/>
      <c r="S153" s="185"/>
      <c r="T153" s="185"/>
      <c r="U153" s="185"/>
      <c r="V153" s="185"/>
      <c r="W153" s="185"/>
    </row>
    <row r="154" ht="14.25" customHeight="1">
      <c r="A154" s="178"/>
      <c r="B154" s="10">
        <v>1928456.0</v>
      </c>
      <c r="C154" s="11">
        <v>46034.93604166667</v>
      </c>
      <c r="D154" s="179" t="s">
        <v>50</v>
      </c>
      <c r="E154" s="180" t="s">
        <v>1158</v>
      </c>
      <c r="F154" s="188"/>
      <c r="G154" s="179" t="s">
        <v>7633</v>
      </c>
      <c r="H154" s="190"/>
      <c r="I154" s="190"/>
      <c r="J154" s="187" t="s">
        <v>3746</v>
      </c>
      <c r="K154" s="187" t="s">
        <v>7058</v>
      </c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"),"Depositada")</f>
        <v>Depositada</v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IFERROR(__xludf.DUMMYFUNCTION("ifna(VALUE(REGEXEXTRACT(E154,""[0-9.]+[,]+[0-9]+"")))"),800.0)</f>
        <v>800</v>
      </c>
      <c r="O154" s="185"/>
      <c r="P154" s="185"/>
      <c r="Q154" s="185"/>
      <c r="R154" s="185"/>
      <c r="S154" s="185"/>
      <c r="T154" s="185"/>
      <c r="U154" s="185"/>
      <c r="V154" s="185"/>
      <c r="W154" s="185"/>
    </row>
    <row r="155" ht="14.25" customHeight="1">
      <c r="A155" s="178"/>
      <c r="B155" s="10">
        <v>1928866.0</v>
      </c>
      <c r="C155" s="11">
        <v>46035.52923611111</v>
      </c>
      <c r="D155" s="179" t="s">
        <v>227</v>
      </c>
      <c r="E155" s="180" t="s">
        <v>3983</v>
      </c>
      <c r="F155" s="181"/>
      <c r="G155" s="179" t="s">
        <v>7636</v>
      </c>
      <c r="H155" s="190"/>
      <c r="I155" s="190"/>
      <c r="J155" s="187" t="s">
        <v>4159</v>
      </c>
      <c r="K155" s="187"/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IFERROR(__xludf.DUMMYFUNCTION("ifna(VALUE(REGEXEXTRACT(E155,""[0-9.]+[,]+[0-9]+"")))"),150.0)</f>
        <v>150</v>
      </c>
      <c r="O155" s="185"/>
      <c r="P155" s="185"/>
      <c r="Q155" s="185"/>
      <c r="R155" s="185"/>
      <c r="S155" s="185"/>
      <c r="T155" s="185"/>
      <c r="U155" s="185"/>
      <c r="V155" s="185"/>
      <c r="W155" s="185"/>
    </row>
    <row r="156" ht="14.25" customHeight="1">
      <c r="A156" s="178"/>
      <c r="B156" s="10">
        <v>1928910.0</v>
      </c>
      <c r="C156" s="11">
        <v>46035.556979166664</v>
      </c>
      <c r="D156" s="179" t="s">
        <v>50</v>
      </c>
      <c r="E156" s="180" t="s">
        <v>6719</v>
      </c>
      <c r="F156" s="181"/>
      <c r="G156" s="179" t="s">
        <v>7641</v>
      </c>
      <c r="H156" s="190"/>
      <c r="I156" s="190"/>
      <c r="J156" s="187" t="s">
        <v>3903</v>
      </c>
      <c r="K156" s="187"/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"""")"),"Encontrada")</f>
        <v>Encontrada</v>
      </c>
      <c r="N156" s="185">
        <f>IFERROR(__xludf.DUMMYFUNCTION("ifna(VALUE(REGEXEXTRACT(E156,""[0-9.]+[,]+[0-9]+"")))"),330.0)</f>
        <v>330</v>
      </c>
      <c r="O156" s="185"/>
      <c r="P156" s="185"/>
      <c r="Q156" s="185"/>
      <c r="R156" s="185"/>
      <c r="S156" s="185"/>
      <c r="T156" s="185"/>
      <c r="U156" s="185"/>
      <c r="V156" s="185"/>
      <c r="W156" s="185"/>
    </row>
    <row r="157" ht="14.25" customHeight="1">
      <c r="A157" s="178"/>
      <c r="B157" s="10">
        <v>1928953.0</v>
      </c>
      <c r="C157" s="11">
        <v>46035.57113425926</v>
      </c>
      <c r="D157" s="179" t="s">
        <v>50</v>
      </c>
      <c r="E157" s="180" t="s">
        <v>157</v>
      </c>
      <c r="F157" s="181"/>
      <c r="G157" s="179" t="s">
        <v>6593</v>
      </c>
      <c r="H157" s="190"/>
      <c r="I157" s="190"/>
      <c r="J157" s="187" t="s">
        <v>3044</v>
      </c>
      <c r="K157" s="187" t="s">
        <v>6664</v>
      </c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IFERROR(__xludf.DUMMYFUNCTION("ifna(VALUE(REGEXEXTRACT(E157,""[0-9.]+[,]+[0-9]+"")))"),5.0)</f>
        <v>5</v>
      </c>
      <c r="O157" s="185"/>
      <c r="P157" s="185"/>
      <c r="Q157" s="185"/>
      <c r="R157" s="185"/>
      <c r="S157" s="185"/>
      <c r="T157" s="185"/>
      <c r="U157" s="185"/>
      <c r="V157" s="185"/>
      <c r="W157" s="185"/>
    </row>
    <row r="158" ht="19.5" customHeight="1">
      <c r="A158" s="178"/>
      <c r="B158" s="10">
        <v>1928954.0</v>
      </c>
      <c r="C158" s="11">
        <v>46035.57146990741</v>
      </c>
      <c r="D158" s="179" t="s">
        <v>50</v>
      </c>
      <c r="E158" s="180" t="s">
        <v>494</v>
      </c>
      <c r="F158" s="181"/>
      <c r="G158" s="179" t="s">
        <v>7645</v>
      </c>
      <c r="H158" s="190"/>
      <c r="I158" s="190"/>
      <c r="J158" s="187"/>
      <c r="K158" s="187"/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IFERROR(__xludf.DUMMYFUNCTION("ifna(VALUE(REGEXEXTRACT(E158,""[0-9.]+[,]+[0-9]+"")))"),0.01)</f>
        <v>0.01</v>
      </c>
      <c r="O158" s="185"/>
      <c r="P158" s="185"/>
      <c r="Q158" s="185"/>
      <c r="R158" s="185"/>
      <c r="S158" s="185"/>
      <c r="T158" s="185"/>
      <c r="U158" s="185"/>
      <c r="V158" s="185"/>
      <c r="W158" s="185"/>
    </row>
    <row r="159" ht="18.75" customHeight="1">
      <c r="A159" s="178"/>
      <c r="B159" s="10">
        <v>1929632.0</v>
      </c>
      <c r="C159" s="11">
        <v>46035.751388888886</v>
      </c>
      <c r="D159" s="179" t="s">
        <v>50</v>
      </c>
      <c r="E159" s="180" t="s">
        <v>871</v>
      </c>
      <c r="F159" s="181"/>
      <c r="G159" s="179" t="s">
        <v>6513</v>
      </c>
      <c r="H159" s="190"/>
      <c r="I159" s="190"/>
      <c r="J159" s="187" t="s">
        <v>3044</v>
      </c>
      <c r="K159" s="187" t="s">
        <v>7052</v>
      </c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IFERROR(__xludf.DUMMYFUNCTION("ifna(VALUE(REGEXEXTRACT(E159,""[0-9.]+[,]+[0-9]+"")))"),9.0)</f>
        <v>9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</row>
    <row r="160" ht="16.5" customHeight="1">
      <c r="A160" s="178"/>
      <c r="B160" s="10">
        <v>1930185.0</v>
      </c>
      <c r="C160" s="11">
        <v>46035.90238425926</v>
      </c>
      <c r="D160" s="179" t="s">
        <v>50</v>
      </c>
      <c r="E160" s="180" t="s">
        <v>7649</v>
      </c>
      <c r="F160" s="181"/>
      <c r="G160" s="179" t="s">
        <v>7582</v>
      </c>
      <c r="H160" s="190"/>
      <c r="I160" s="190"/>
      <c r="J160" s="187" t="s">
        <v>3467</v>
      </c>
      <c r="K160" s="187"/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IFERROR(__xludf.DUMMYFUNCTION("ifna(VALUE(REGEXEXTRACT(E160,""[0-9.]+[,]+[0-9]+"")))"),26.07)</f>
        <v>26.07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6.5" customHeight="1">
      <c r="A161" s="178"/>
      <c r="B161" s="10">
        <v>1930401.0</v>
      </c>
      <c r="C161" s="11">
        <v>46035.92599537037</v>
      </c>
      <c r="D161" s="179" t="s">
        <v>50</v>
      </c>
      <c r="E161" s="180" t="s">
        <v>991</v>
      </c>
      <c r="F161" s="181"/>
      <c r="G161" s="179" t="s">
        <v>7651</v>
      </c>
      <c r="H161" s="190"/>
      <c r="I161" s="190"/>
      <c r="J161" s="187" t="s">
        <v>3746</v>
      </c>
      <c r="K161" s="187" t="s">
        <v>7058</v>
      </c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"),"Depositada")</f>
        <v>Depositada</v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IFERROR(__xludf.DUMMYFUNCTION("ifna(VALUE(REGEXEXTRACT(E161,""[0-9.]+[,]+[0-9]+"")))"),700.0)</f>
        <v>700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0">
        <v>1931650.0</v>
      </c>
      <c r="C162" s="11">
        <v>46036.76967592593</v>
      </c>
      <c r="D162" s="179" t="s">
        <v>50</v>
      </c>
      <c r="E162" s="180" t="s">
        <v>7654</v>
      </c>
      <c r="F162" s="181"/>
      <c r="G162" s="179" t="s">
        <v>7655</v>
      </c>
      <c r="H162" s="190"/>
      <c r="I162" s="190"/>
      <c r="J162" s="187" t="s">
        <v>3903</v>
      </c>
      <c r="K162" s="187"/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185">
        <f>IFERROR(__xludf.DUMMYFUNCTION("ifna(VALUE(REGEXEXTRACT(E162,""[0-9.]+[,]+[0-9]+"")))"),432.28)</f>
        <v>432.28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0">
        <v>1931651.0</v>
      </c>
      <c r="C163" s="11">
        <v>46036.77006944444</v>
      </c>
      <c r="D163" s="179" t="s">
        <v>50</v>
      </c>
      <c r="E163" s="180" t="s">
        <v>7658</v>
      </c>
      <c r="F163" s="181"/>
      <c r="G163" s="179" t="s">
        <v>7659</v>
      </c>
      <c r="H163" s="190"/>
      <c r="I163" s="190"/>
      <c r="J163" s="187" t="s">
        <v>3903</v>
      </c>
      <c r="K163" s="187"/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"""")"),"Encontrada")</f>
        <v>Encontrada</v>
      </c>
      <c r="N163" s="185">
        <f>IFERROR(__xludf.DUMMYFUNCTION("ifna(VALUE(REGEXEXTRACT(E163,""[0-9.]+[,]+[0-9]+"")))"),121.61)</f>
        <v>121.61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0">
        <v>1933275.0</v>
      </c>
      <c r="C164" s="11">
        <v>46037.683391203704</v>
      </c>
      <c r="D164" s="179" t="s">
        <v>50</v>
      </c>
      <c r="E164" s="180" t="s">
        <v>7660</v>
      </c>
      <c r="F164" s="188"/>
      <c r="G164" s="179" t="s">
        <v>6826</v>
      </c>
      <c r="H164" s="190"/>
      <c r="I164" s="190"/>
      <c r="J164" s="187" t="s">
        <v>3044</v>
      </c>
      <c r="K164" s="187" t="s">
        <v>6340</v>
      </c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IFERROR(__xludf.DUMMYFUNCTION("ifna(VALUE(REGEXEXTRACT(E164,""[0-9.]+[,]+[0-9]+"")))"),15.85)</f>
        <v>15.85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0">
        <v>1933471.0</v>
      </c>
      <c r="C165" s="11">
        <v>46037.72337962963</v>
      </c>
      <c r="D165" s="179" t="s">
        <v>50</v>
      </c>
      <c r="E165" s="180" t="s">
        <v>157</v>
      </c>
      <c r="F165" s="181"/>
      <c r="G165" s="179" t="s">
        <v>6593</v>
      </c>
      <c r="H165" s="190"/>
      <c r="I165" s="190"/>
      <c r="J165" s="187" t="s">
        <v>3044</v>
      </c>
      <c r="K165" s="187" t="s">
        <v>7058</v>
      </c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>
        <f>IFERROR(__xludf.DUMMYFUNCTION("ifna(VALUE(REGEXEXTRACT(E165,""[0-9.]+[,]+[0-9]+"")))"),5.0)</f>
        <v>5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0">
        <v>1933474.0</v>
      </c>
      <c r="C166" s="11">
        <v>46037.724328703705</v>
      </c>
      <c r="D166" s="179" t="s">
        <v>227</v>
      </c>
      <c r="E166" s="180" t="s">
        <v>329</v>
      </c>
      <c r="F166" s="181"/>
      <c r="G166" s="179" t="s">
        <v>7662</v>
      </c>
      <c r="H166" s="190"/>
      <c r="I166" s="190"/>
      <c r="J166" s="187" t="s">
        <v>4159</v>
      </c>
      <c r="K166" s="187"/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>
        <f>IFERROR(__xludf.DUMMYFUNCTION("ifna(VALUE(REGEXEXTRACT(E166,""[0-9.]+[,]+[0-9]+"")))"),200.0)</f>
        <v>200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0">
        <v>1933477.0</v>
      </c>
      <c r="C167" s="11">
        <v>46037.72476851852</v>
      </c>
      <c r="D167" s="179" t="s">
        <v>50</v>
      </c>
      <c r="E167" s="180" t="s">
        <v>1228</v>
      </c>
      <c r="F167" s="181"/>
      <c r="G167" s="179" t="s">
        <v>7665</v>
      </c>
      <c r="H167" s="190"/>
      <c r="I167" s="190"/>
      <c r="J167" s="187" t="s">
        <v>3903</v>
      </c>
      <c r="K167" s="187"/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185">
        <f>IFERROR(__xludf.DUMMYFUNCTION("ifna(VALUE(REGEXEXTRACT(E167,""[0-9.]+[,]+[0-9]+"")))"),450.0)</f>
        <v>450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0">
        <v>1933482.0</v>
      </c>
      <c r="C168" s="11">
        <v>46037.72570601852</v>
      </c>
      <c r="D168" s="179" t="s">
        <v>50</v>
      </c>
      <c r="E168" s="180" t="s">
        <v>7668</v>
      </c>
      <c r="F168" s="181"/>
      <c r="G168" s="179" t="s">
        <v>7669</v>
      </c>
      <c r="H168" s="190"/>
      <c r="I168" s="190"/>
      <c r="J168" s="187" t="s">
        <v>3903</v>
      </c>
      <c r="K168" s="187"/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"""")"),"Encontrada")</f>
        <v>Encontrada</v>
      </c>
      <c r="N168" s="185">
        <f>IFERROR(__xludf.DUMMYFUNCTION("ifna(VALUE(REGEXEXTRACT(E168,""[0-9.]+[,]+[0-9]+"")))"),38.44)</f>
        <v>38.44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0">
        <v>1933512.0</v>
      </c>
      <c r="C169" s="11">
        <v>46037.731516203705</v>
      </c>
      <c r="D169" s="179" t="s">
        <v>50</v>
      </c>
      <c r="E169" s="180" t="s">
        <v>7364</v>
      </c>
      <c r="F169" s="181"/>
      <c r="G169" s="179" t="s">
        <v>7672</v>
      </c>
      <c r="H169" s="190"/>
      <c r="I169" s="190"/>
      <c r="J169" s="187" t="s">
        <v>3903</v>
      </c>
      <c r="K169" s="187"/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185">
        <f>IFERROR(__xludf.DUMMYFUNCTION("ifna(VALUE(REGEXEXTRACT(E169,""[0-9.]+[,]+[0-9]+"")))"),23.0)</f>
        <v>23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0">
        <v>1933514.0</v>
      </c>
      <c r="C170" s="11">
        <v>46037.73207175926</v>
      </c>
      <c r="D170" s="179" t="s">
        <v>50</v>
      </c>
      <c r="E170" s="180" t="s">
        <v>7675</v>
      </c>
      <c r="F170" s="181"/>
      <c r="G170" s="179" t="s">
        <v>7676</v>
      </c>
      <c r="H170" s="190"/>
      <c r="I170" s="190"/>
      <c r="J170" s="187" t="s">
        <v>3903</v>
      </c>
      <c r="K170" s="187"/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"""")"),"Encontrada")</f>
        <v>Encontrada</v>
      </c>
      <c r="N170" s="185">
        <f>IFERROR(__xludf.DUMMYFUNCTION("ifna(VALUE(REGEXEXTRACT(E170,""[0-9.]+[,]+[0-9]+"")))"),479.85)</f>
        <v>479.85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0">
        <v>1933515.0</v>
      </c>
      <c r="C171" s="11">
        <v>46037.73269675926</v>
      </c>
      <c r="D171" s="179" t="s">
        <v>50</v>
      </c>
      <c r="E171" s="180" t="s">
        <v>494</v>
      </c>
      <c r="F171" s="181"/>
      <c r="G171" s="179" t="s">
        <v>7680</v>
      </c>
      <c r="H171" s="190"/>
      <c r="I171" s="190"/>
      <c r="J171" s="187"/>
      <c r="K171" s="187"/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IFERROR(__xludf.DUMMYFUNCTION("ifna(VALUE(REGEXEXTRACT(E171,""[0-9.]+[,]+[0-9]+"")))"),0.01)</f>
        <v>0.01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0">
        <v>1933531.0</v>
      </c>
      <c r="C172" s="11">
        <v>46037.735925925925</v>
      </c>
      <c r="D172" s="179" t="s">
        <v>50</v>
      </c>
      <c r="E172" s="180" t="s">
        <v>6904</v>
      </c>
      <c r="F172" s="181"/>
      <c r="G172" s="179" t="s">
        <v>6513</v>
      </c>
      <c r="H172" s="190"/>
      <c r="I172" s="190"/>
      <c r="J172" s="187" t="s">
        <v>3044</v>
      </c>
      <c r="K172" s="187" t="s">
        <v>7052</v>
      </c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IFERROR(__xludf.DUMMYFUNCTION("ifna(VALUE(REGEXEXTRACT(E172,""[0-9.]+[,]+[0-9]+"")))"),23.9)</f>
        <v>23.9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0">
        <v>1934909.0</v>
      </c>
      <c r="C173" s="11">
        <v>46038.54269675926</v>
      </c>
      <c r="D173" s="179" t="s">
        <v>50</v>
      </c>
      <c r="E173" s="180" t="s">
        <v>146</v>
      </c>
      <c r="F173" s="181"/>
      <c r="G173" s="179" t="s">
        <v>6593</v>
      </c>
      <c r="H173" s="190"/>
      <c r="I173" s="190"/>
      <c r="J173" s="187"/>
      <c r="K173" s="187"/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IFERROR(__xludf.DUMMYFUNCTION("ifna(VALUE(REGEXEXTRACT(E173,""[0-9.]+[,]+[0-9]+"")))"),3.0)</f>
        <v>3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0">
        <v>1934912.0</v>
      </c>
      <c r="C174" s="11">
        <v>46038.54355324074</v>
      </c>
      <c r="D174" s="179" t="s">
        <v>50</v>
      </c>
      <c r="E174" s="180" t="s">
        <v>494</v>
      </c>
      <c r="F174" s="181"/>
      <c r="G174" s="179" t="s">
        <v>7686</v>
      </c>
      <c r="H174" s="190"/>
      <c r="I174" s="190"/>
      <c r="J174" s="187" t="s">
        <v>3044</v>
      </c>
      <c r="K174" s="187" t="s">
        <v>7052</v>
      </c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IFERROR(__xludf.DUMMYFUNCTION("ifna(VALUE(REGEXEXTRACT(E174,""[0-9.]+[,]+[0-9]+"")))"),0.01)</f>
        <v>0.01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0">
        <v>1934931.0</v>
      </c>
      <c r="C175" s="11">
        <v>46038.55017361111</v>
      </c>
      <c r="D175" s="179" t="s">
        <v>50</v>
      </c>
      <c r="E175" s="180" t="s">
        <v>6846</v>
      </c>
      <c r="F175" s="181"/>
      <c r="G175" s="179" t="s">
        <v>6446</v>
      </c>
      <c r="H175" s="190"/>
      <c r="I175" s="190"/>
      <c r="J175" s="187" t="s">
        <v>3044</v>
      </c>
      <c r="K175" s="187" t="s">
        <v>6664</v>
      </c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>
        <f>IFERROR(__xludf.DUMMYFUNCTION("ifna(VALUE(REGEXEXTRACT(E175,""[0-9.]+[,]+[0-9]+"")))"),13.0)</f>
        <v>13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0">
        <v>1934932.0</v>
      </c>
      <c r="C176" s="11">
        <v>46038.55086805556</v>
      </c>
      <c r="D176" s="179" t="s">
        <v>50</v>
      </c>
      <c r="E176" s="180" t="s">
        <v>7690</v>
      </c>
      <c r="F176" s="181"/>
      <c r="G176" s="179" t="s">
        <v>6826</v>
      </c>
      <c r="H176" s="190"/>
      <c r="I176" s="190"/>
      <c r="J176" s="187" t="s">
        <v>3044</v>
      </c>
      <c r="K176" s="187" t="s">
        <v>6340</v>
      </c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IFERROR(__xludf.DUMMYFUNCTION("ifna(VALUE(REGEXEXTRACT(E176,""[0-9.]+[,]+[0-9]+"")))"),10.95)</f>
        <v>10.95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0">
        <v>1934933.0</v>
      </c>
      <c r="C177" s="11">
        <v>46038.551203703704</v>
      </c>
      <c r="D177" s="179" t="s">
        <v>50</v>
      </c>
      <c r="E177" s="180" t="s">
        <v>7692</v>
      </c>
      <c r="F177" s="181"/>
      <c r="G177" s="179" t="s">
        <v>4960</v>
      </c>
      <c r="H177" s="190"/>
      <c r="I177" s="190"/>
      <c r="J177" s="187" t="s">
        <v>3044</v>
      </c>
      <c r="K177" s="187" t="s">
        <v>7058</v>
      </c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IFERROR(__xludf.DUMMYFUNCTION("ifna(VALUE(REGEXEXTRACT(E177,""[0-9.]+[,]+[0-9]+"")))"),10.85)</f>
        <v>10.85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0">
        <v>1934951.0</v>
      </c>
      <c r="C178" s="11">
        <v>46038.56390046296</v>
      </c>
      <c r="D178" s="179" t="s">
        <v>50</v>
      </c>
      <c r="E178" s="180" t="s">
        <v>7695</v>
      </c>
      <c r="F178" s="181"/>
      <c r="G178" s="179" t="s">
        <v>6446</v>
      </c>
      <c r="H178" s="190"/>
      <c r="I178" s="190"/>
      <c r="J178" s="187" t="s">
        <v>3044</v>
      </c>
      <c r="K178" s="187" t="s">
        <v>6664</v>
      </c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IFERROR(__xludf.DUMMYFUNCTION("ifna(VALUE(REGEXEXTRACT(E178,""[0-9.]+[,]+[0-9]+"")))"),9.84)</f>
        <v>9.84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0">
        <v>1935306.0</v>
      </c>
      <c r="C179" s="11">
        <v>46038.669340277775</v>
      </c>
      <c r="D179" s="179" t="s">
        <v>50</v>
      </c>
      <c r="E179" s="180" t="s">
        <v>6384</v>
      </c>
      <c r="F179" s="181"/>
      <c r="G179" s="179" t="s">
        <v>6826</v>
      </c>
      <c r="H179" s="190"/>
      <c r="I179" s="190"/>
      <c r="J179" s="187" t="s">
        <v>3044</v>
      </c>
      <c r="K179" s="187" t="s">
        <v>6340</v>
      </c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>
        <f>IFERROR(__xludf.DUMMYFUNCTION("ifna(VALUE(REGEXEXTRACT(E179,""[0-9.]+[,]+[0-9]+"")))"),11.37)</f>
        <v>11.37</v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0">
        <v>1935307.0</v>
      </c>
      <c r="C180" s="11">
        <v>46038.669340277775</v>
      </c>
      <c r="D180" s="179" t="s">
        <v>50</v>
      </c>
      <c r="E180" s="180" t="s">
        <v>7699</v>
      </c>
      <c r="F180" s="181"/>
      <c r="G180" s="179" t="s">
        <v>6446</v>
      </c>
      <c r="H180" s="190"/>
      <c r="I180" s="190"/>
      <c r="J180" s="187" t="s">
        <v>3044</v>
      </c>
      <c r="K180" s="187" t="s">
        <v>6664</v>
      </c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>
        <f>IFERROR(__xludf.DUMMYFUNCTION("ifna(VALUE(REGEXEXTRACT(E180,""[0-9.]+[,]+[0-9]+"")))"),3.2)</f>
        <v>3.2</v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0">
        <v>1935738.0</v>
      </c>
      <c r="C181" s="11">
        <v>46038.75005787037</v>
      </c>
      <c r="D181" s="179" t="s">
        <v>50</v>
      </c>
      <c r="E181" s="180" t="s">
        <v>146</v>
      </c>
      <c r="F181" s="188"/>
      <c r="G181" s="179" t="s">
        <v>4960</v>
      </c>
      <c r="H181" s="190"/>
      <c r="I181" s="190"/>
      <c r="J181" s="187" t="s">
        <v>3044</v>
      </c>
      <c r="K181" s="187" t="s">
        <v>7058</v>
      </c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IFERROR(__xludf.DUMMYFUNCTION("ifna(VALUE(REGEXEXTRACT(E181,""[0-9.]+[,]+[0-9]+"")))"),3.0)</f>
        <v>3</v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0">
        <v>1935739.0</v>
      </c>
      <c r="C182" s="11">
        <v>46038.75034722222</v>
      </c>
      <c r="D182" s="179" t="s">
        <v>50</v>
      </c>
      <c r="E182" s="180" t="s">
        <v>246</v>
      </c>
      <c r="F182" s="181"/>
      <c r="G182" s="179" t="s">
        <v>6446</v>
      </c>
      <c r="H182" s="190"/>
      <c r="I182" s="190"/>
      <c r="J182" s="187" t="s">
        <v>3044</v>
      </c>
      <c r="K182" s="187" t="s">
        <v>6664</v>
      </c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IFERROR(__xludf.DUMMYFUNCTION("ifna(VALUE(REGEXEXTRACT(E182,""[0-9.]+[,]+[0-9]+"")))"),4.0)</f>
        <v>4</v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0">
        <v>1938448.0</v>
      </c>
      <c r="C183" s="11">
        <v>46039.85716435185</v>
      </c>
      <c r="D183" s="179" t="s">
        <v>50</v>
      </c>
      <c r="E183" s="180" t="s">
        <v>7704</v>
      </c>
      <c r="F183" s="181"/>
      <c r="G183" s="179" t="s">
        <v>7705</v>
      </c>
      <c r="H183" s="190"/>
      <c r="I183" s="190"/>
      <c r="J183" s="187" t="s">
        <v>3825</v>
      </c>
      <c r="K183" s="187"/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>
        <f>IFERROR(__xludf.DUMMYFUNCTION("ifna(VALUE(REGEXEXTRACT(E183,""[0-9.]+[,]+[0-9]+"")))"),55.0)</f>
        <v>55</v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0">
        <v>1938449.0</v>
      </c>
      <c r="C184" s="11">
        <v>46039.857465277775</v>
      </c>
      <c r="D184" s="179" t="s">
        <v>50</v>
      </c>
      <c r="E184" s="180" t="s">
        <v>7108</v>
      </c>
      <c r="F184" s="181"/>
      <c r="G184" s="179" t="s">
        <v>7707</v>
      </c>
      <c r="H184" s="190"/>
      <c r="I184" s="190"/>
      <c r="J184" s="187" t="s">
        <v>3825</v>
      </c>
      <c r="K184" s="187"/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IFERROR(__xludf.DUMMYFUNCTION("ifna(VALUE(REGEXEXTRACT(E184,""[0-9.]+[,]+[0-9]+"")))"),125.0)</f>
        <v>125</v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0">
        <v>1938485.0</v>
      </c>
      <c r="C185" s="11">
        <v>46039.86476851852</v>
      </c>
      <c r="D185" s="179" t="s">
        <v>50</v>
      </c>
      <c r="E185" s="180" t="s">
        <v>7486</v>
      </c>
      <c r="F185" s="181"/>
      <c r="G185" s="179" t="s">
        <v>7711</v>
      </c>
      <c r="H185" s="190"/>
      <c r="I185" s="190"/>
      <c r="J185" s="187" t="s">
        <v>3746</v>
      </c>
      <c r="K185" s="187" t="s">
        <v>7058</v>
      </c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"),"Depositada")</f>
        <v>Depositada</v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>
        <f>IFERROR(__xludf.DUMMYFUNCTION("ifna(VALUE(REGEXEXTRACT(E185,""[0-9.]+[,]+[0-9]+"")))"),1700.0)</f>
        <v>1700</v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0">
        <v>1940665.0</v>
      </c>
      <c r="C186" s="11">
        <v>46040.79193287037</v>
      </c>
      <c r="D186" s="179" t="s">
        <v>50</v>
      </c>
      <c r="E186" s="180" t="s">
        <v>6536</v>
      </c>
      <c r="F186" s="181"/>
      <c r="G186" s="179" t="s">
        <v>7716</v>
      </c>
      <c r="H186" s="190"/>
      <c r="I186" s="190"/>
      <c r="J186" s="187" t="s">
        <v>3825</v>
      </c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>
        <f>IFERROR(__xludf.DUMMYFUNCTION("ifna(VALUE(REGEXEXTRACT(E186,""[0-9.]+[,]+[0-9]+"")))"),72.0)</f>
        <v>72</v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0">
        <v>1941484.0</v>
      </c>
      <c r="C187" s="11">
        <v>46040.907905092594</v>
      </c>
      <c r="D187" s="179" t="s">
        <v>50</v>
      </c>
      <c r="E187" s="180" t="s">
        <v>7486</v>
      </c>
      <c r="F187" s="181"/>
      <c r="G187" s="179" t="s">
        <v>7718</v>
      </c>
      <c r="H187" s="190"/>
      <c r="I187" s="190"/>
      <c r="J187" s="187" t="s">
        <v>3746</v>
      </c>
      <c r="K187" s="187" t="s">
        <v>7058</v>
      </c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"),"Depositada")</f>
        <v>Depositada</v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IFERROR(__xludf.DUMMYFUNCTION("ifna(VALUE(REGEXEXTRACT(E187,""[0-9.]+[,]+[0-9]+"")))"),1700.0)</f>
        <v>1700</v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0">
        <v>1942596.0</v>
      </c>
      <c r="C188" s="11">
        <v>46041.54056712963</v>
      </c>
      <c r="D188" s="179" t="s">
        <v>50</v>
      </c>
      <c r="E188" s="180" t="s">
        <v>1643</v>
      </c>
      <c r="F188" s="181"/>
      <c r="G188" s="179" t="s">
        <v>6513</v>
      </c>
      <c r="H188" s="190"/>
      <c r="I188" s="190"/>
      <c r="J188" s="187" t="s">
        <v>3044</v>
      </c>
      <c r="K188" s="187" t="s">
        <v>7052</v>
      </c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>
        <f>IFERROR(__xludf.DUMMYFUNCTION("ifna(VALUE(REGEXEXTRACT(E188,""[0-9.]+[,]+[0-9]+"")))"),24.0)</f>
        <v>24</v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0">
        <v>1942603.0</v>
      </c>
      <c r="C189" s="11">
        <v>46041.54540509259</v>
      </c>
      <c r="D189" s="179" t="s">
        <v>50</v>
      </c>
      <c r="E189" s="180" t="s">
        <v>7725</v>
      </c>
      <c r="F189" s="181"/>
      <c r="G189" s="179" t="s">
        <v>6513</v>
      </c>
      <c r="H189" s="190"/>
      <c r="I189" s="190"/>
      <c r="J189" s="187" t="s">
        <v>3044</v>
      </c>
      <c r="K189" s="187" t="s">
        <v>7052</v>
      </c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>
        <f>IFERROR(__xludf.DUMMYFUNCTION("ifna(VALUE(REGEXEXTRACT(E189,""[0-9.]+[,]+[0-9]+"")))"),4.46)</f>
        <v>4.46</v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0">
        <v>1942872.0</v>
      </c>
      <c r="C190" s="11">
        <v>46041.648726851854</v>
      </c>
      <c r="D190" s="179" t="s">
        <v>50</v>
      </c>
      <c r="E190" s="180" t="s">
        <v>7728</v>
      </c>
      <c r="F190" s="181"/>
      <c r="G190" s="179" t="s">
        <v>7729</v>
      </c>
      <c r="H190" s="190"/>
      <c r="I190" s="190"/>
      <c r="J190" s="187" t="s">
        <v>3903</v>
      </c>
      <c r="K190" s="187"/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"""")"),"Encontrada")</f>
        <v>Encontrada</v>
      </c>
      <c r="N190" s="185">
        <f>IFERROR(__xludf.DUMMYFUNCTION("ifna(VALUE(REGEXEXTRACT(E190,""[0-9.]+[,]+[0-9]+"")))"),27.0)</f>
        <v>27</v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0">
        <v>1942875.0</v>
      </c>
      <c r="C191" s="11">
        <v>46041.649039351854</v>
      </c>
      <c r="D191" s="179" t="s">
        <v>50</v>
      </c>
      <c r="E191" s="180" t="s">
        <v>7732</v>
      </c>
      <c r="F191" s="181"/>
      <c r="G191" s="179" t="s">
        <v>7733</v>
      </c>
      <c r="H191" s="190"/>
      <c r="I191" s="190"/>
      <c r="J191" s="187" t="s">
        <v>3903</v>
      </c>
      <c r="K191" s="187"/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"""")"),"Encontrada")</f>
        <v>Encontrada</v>
      </c>
      <c r="N191" s="185">
        <f>IFERROR(__xludf.DUMMYFUNCTION("ifna(VALUE(REGEXEXTRACT(E191,""[0-9.]+[,]+[0-9]+"")))"),37.5)</f>
        <v>37.5</v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0">
        <v>1943529.0</v>
      </c>
      <c r="C192" s="11">
        <v>46041.81451388889</v>
      </c>
      <c r="D192" s="179" t="s">
        <v>50</v>
      </c>
      <c r="E192" s="180" t="s">
        <v>6647</v>
      </c>
      <c r="F192" s="181"/>
      <c r="G192" s="179" t="s">
        <v>7737</v>
      </c>
      <c r="H192" s="190"/>
      <c r="I192" s="190"/>
      <c r="J192" s="187" t="s">
        <v>3903</v>
      </c>
      <c r="K192" s="187"/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"""")"),"Encontrada")</f>
        <v>Encontrada</v>
      </c>
      <c r="N192" s="185">
        <f>IFERROR(__xludf.DUMMYFUNCTION("ifna(VALUE(REGEXEXTRACT(E192,""[0-9.]+[,]+[0-9]+"")))"),22.75)</f>
        <v>22.75</v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0">
        <v>1943530.0</v>
      </c>
      <c r="C193" s="11">
        <v>46041.81494212963</v>
      </c>
      <c r="D193" s="179" t="s">
        <v>50</v>
      </c>
      <c r="E193" s="180" t="s">
        <v>7740</v>
      </c>
      <c r="F193" s="181"/>
      <c r="G193" s="179" t="s">
        <v>7741</v>
      </c>
      <c r="H193" s="190"/>
      <c r="I193" s="190"/>
      <c r="J193" s="187" t="s">
        <v>3903</v>
      </c>
      <c r="K193" s="187"/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185">
        <f>IFERROR(__xludf.DUMMYFUNCTION("ifna(VALUE(REGEXEXTRACT(E193,""[0-9.]+[,]+[0-9]+"")))"),358.07)</f>
        <v>358.07</v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0">
        <v>1943535.0</v>
      </c>
      <c r="C194" s="11">
        <v>46041.8155787037</v>
      </c>
      <c r="D194" s="179" t="s">
        <v>50</v>
      </c>
      <c r="E194" s="180" t="s">
        <v>7744</v>
      </c>
      <c r="F194" s="181"/>
      <c r="G194" s="179" t="s">
        <v>7745</v>
      </c>
      <c r="H194" s="190"/>
      <c r="I194" s="190"/>
      <c r="J194" s="187" t="s">
        <v>3903</v>
      </c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185">
        <f>IFERROR(__xludf.DUMMYFUNCTION("ifna(VALUE(REGEXEXTRACT(E194,""[0-9.]+[,]+[0-9]+"")))"),141.54)</f>
        <v>141.54</v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0">
        <v>1944638.0</v>
      </c>
      <c r="C195" s="11">
        <v>46042.60329861111</v>
      </c>
      <c r="D195" s="179" t="s">
        <v>50</v>
      </c>
      <c r="E195" s="180" t="s">
        <v>7746</v>
      </c>
      <c r="F195" s="188"/>
      <c r="G195" s="179" t="s">
        <v>7747</v>
      </c>
      <c r="H195" s="190"/>
      <c r="I195" s="190"/>
      <c r="J195" s="187" t="s">
        <v>3903</v>
      </c>
      <c r="K195" s="187"/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"""")"),"Encontrada")</f>
        <v>Encontrada</v>
      </c>
      <c r="N195" s="185">
        <f>IFERROR(__xludf.DUMMYFUNCTION("ifna(VALUE(REGEXEXTRACT(E195,""[0-9.]+[,]+[0-9]+"")))"),66.91)</f>
        <v>66.91</v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0">
        <v>1944805.0</v>
      </c>
      <c r="C196" s="11">
        <v>46042.66042824074</v>
      </c>
      <c r="D196" s="179" t="s">
        <v>50</v>
      </c>
      <c r="E196" s="180" t="s">
        <v>7748</v>
      </c>
      <c r="F196" s="181"/>
      <c r="G196" s="179" t="s">
        <v>6513</v>
      </c>
      <c r="H196" s="190"/>
      <c r="I196" s="190"/>
      <c r="J196" s="187" t="s">
        <v>3044</v>
      </c>
      <c r="K196" s="187" t="s">
        <v>7052</v>
      </c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>
        <f>IFERROR(__xludf.DUMMYFUNCTION("ifna(VALUE(REGEXEXTRACT(E196,""[0-9.]+[,]+[0-9]+"")))"),5.75)</f>
        <v>5.75</v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0">
        <v>1944844.0</v>
      </c>
      <c r="C197" s="11">
        <v>46042.66920138889</v>
      </c>
      <c r="D197" s="179" t="s">
        <v>50</v>
      </c>
      <c r="E197" s="180" t="s">
        <v>7750</v>
      </c>
      <c r="F197" s="181"/>
      <c r="G197" s="179" t="s">
        <v>7751</v>
      </c>
      <c r="H197" s="190"/>
      <c r="I197" s="190"/>
      <c r="J197" s="187" t="s">
        <v>3467</v>
      </c>
      <c r="K197" s="187"/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>
        <f>IFERROR(__xludf.DUMMYFUNCTION("ifna(VALUE(REGEXEXTRACT(E197,""[0-9.]+[,]+[0-9]+"")))"),57.51)</f>
        <v>57.51</v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0">
        <v>1944863.0</v>
      </c>
      <c r="C198" s="11">
        <v>46042.67244212963</v>
      </c>
      <c r="D198" s="179" t="s">
        <v>50</v>
      </c>
      <c r="E198" s="180" t="s">
        <v>7753</v>
      </c>
      <c r="F198" s="181"/>
      <c r="G198" s="179" t="s">
        <v>7754</v>
      </c>
      <c r="H198" s="190"/>
      <c r="I198" s="190"/>
      <c r="J198" s="187" t="s">
        <v>3874</v>
      </c>
      <c r="K198" s="187"/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>
        <f>IFERROR(__xludf.DUMMYFUNCTION("ifna(VALUE(REGEXEXTRACT(E198,""[0-9.]+[,]+[0-9]+"")))"),482.0)</f>
        <v>482</v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0">
        <v>1944866.0</v>
      </c>
      <c r="C199" s="11">
        <v>46042.67297453704</v>
      </c>
      <c r="D199" s="179" t="s">
        <v>227</v>
      </c>
      <c r="E199" s="180" t="s">
        <v>494</v>
      </c>
      <c r="F199" s="181"/>
      <c r="G199" s="179" t="s">
        <v>7756</v>
      </c>
      <c r="H199" s="190"/>
      <c r="I199" s="190"/>
      <c r="J199" s="187" t="s">
        <v>4159</v>
      </c>
      <c r="K199" s="187"/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>
        <f>IFERROR(__xludf.DUMMYFUNCTION("ifna(VALUE(REGEXEXTRACT(E199,""[0-9.]+[,]+[0-9]+"")))"),0.01)</f>
        <v>0.01</v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0">
        <v>1946853.0</v>
      </c>
      <c r="C200" s="11">
        <v>46043.70177083334</v>
      </c>
      <c r="D200" s="179" t="s">
        <v>50</v>
      </c>
      <c r="E200" s="180" t="s">
        <v>7758</v>
      </c>
      <c r="F200" s="181"/>
      <c r="G200" s="179" t="s">
        <v>6513</v>
      </c>
      <c r="H200" s="190"/>
      <c r="I200" s="190"/>
      <c r="J200" s="187" t="s">
        <v>3044</v>
      </c>
      <c r="K200" s="187" t="s">
        <v>7052</v>
      </c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>
        <f>IFERROR(__xludf.DUMMYFUNCTION("ifna(VALUE(REGEXEXTRACT(E200,""[0-9.]+[,]+[0-9]+"")))"),17.64)</f>
        <v>17.64</v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0">
        <v>1946890.0</v>
      </c>
      <c r="C201" s="11">
        <v>46043.709861111114</v>
      </c>
      <c r="D201" s="179" t="s">
        <v>50</v>
      </c>
      <c r="E201" s="180" t="s">
        <v>7760</v>
      </c>
      <c r="F201" s="181"/>
      <c r="G201" s="179" t="s">
        <v>6584</v>
      </c>
      <c r="H201" s="190"/>
      <c r="I201" s="190"/>
      <c r="J201" s="187" t="s">
        <v>3903</v>
      </c>
      <c r="K201" s="187"/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"""")"),"Encontrada")</f>
        <v>Encontrada</v>
      </c>
      <c r="N201" s="185">
        <f>IFERROR(__xludf.DUMMYFUNCTION("ifna(VALUE(REGEXEXTRACT(E201,""[0-9.]+[,]+[0-9]+"")))"),326.04)</f>
        <v>326.04</v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0">
        <v>1947206.0</v>
      </c>
      <c r="C202" s="11">
        <v>46043.799525462964</v>
      </c>
      <c r="D202" s="179" t="s">
        <v>50</v>
      </c>
      <c r="E202" s="180" t="s">
        <v>6404</v>
      </c>
      <c r="F202" s="181"/>
      <c r="G202" s="179" t="s">
        <v>7762</v>
      </c>
      <c r="H202" s="190"/>
      <c r="I202" s="190"/>
      <c r="J202" s="187" t="s">
        <v>3467</v>
      </c>
      <c r="K202" s="187"/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>
        <f>IFERROR(__xludf.DUMMYFUNCTION("ifna(VALUE(REGEXEXTRACT(E202,""[0-9.]+[,]+[0-9]+"")))"),22.11)</f>
        <v>22.11</v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0">
        <v>1947498.0</v>
      </c>
      <c r="C203" s="11">
        <v>46043.895682870374</v>
      </c>
      <c r="D203" s="179" t="s">
        <v>227</v>
      </c>
      <c r="E203" s="180" t="s">
        <v>3983</v>
      </c>
      <c r="F203" s="188"/>
      <c r="G203" s="179" t="s">
        <v>7764</v>
      </c>
      <c r="H203" s="190"/>
      <c r="I203" s="190"/>
      <c r="J203" s="187" t="s">
        <v>4159</v>
      </c>
      <c r="K203" s="187"/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>
        <f>IFERROR(__xludf.DUMMYFUNCTION("ifna(VALUE(REGEXEXTRACT(E203,""[0-9.]+[,]+[0-9]+"")))"),150.0)</f>
        <v>150</v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0">
        <v>1947502.0</v>
      </c>
      <c r="C204" s="11">
        <v>46043.89630787037</v>
      </c>
      <c r="D204" s="179" t="s">
        <v>50</v>
      </c>
      <c r="E204" s="180" t="s">
        <v>3983</v>
      </c>
      <c r="F204" s="188"/>
      <c r="G204" s="179" t="s">
        <v>7766</v>
      </c>
      <c r="H204" s="190"/>
      <c r="I204" s="190"/>
      <c r="J204" s="187" t="s">
        <v>3903</v>
      </c>
      <c r="K204" s="187"/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"""")"),"Encontrada")</f>
        <v>Encontrada</v>
      </c>
      <c r="N204" s="185">
        <f>IFERROR(__xludf.DUMMYFUNCTION("ifna(VALUE(REGEXEXTRACT(E204,""[0-9.]+[,]+[0-9]+"")))"),150.0)</f>
        <v>150</v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0">
        <v>1948224.0</v>
      </c>
      <c r="C205" s="11">
        <v>46044.58027777778</v>
      </c>
      <c r="D205" s="179" t="s">
        <v>50</v>
      </c>
      <c r="E205" s="180" t="s">
        <v>6719</v>
      </c>
      <c r="F205" s="181"/>
      <c r="G205" s="179" t="s">
        <v>7767</v>
      </c>
      <c r="H205" s="190"/>
      <c r="I205" s="190"/>
      <c r="J205" s="187" t="s">
        <v>3903</v>
      </c>
      <c r="K205" s="187"/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185">
        <f>IFERROR(__xludf.DUMMYFUNCTION("ifna(VALUE(REGEXEXTRACT(E205,""[0-9.]+[,]+[0-9]+"")))"),330.0)</f>
        <v>330</v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0">
        <v>1948336.0</v>
      </c>
      <c r="C206" s="11">
        <v>46044.629270833335</v>
      </c>
      <c r="D206" s="179" t="s">
        <v>50</v>
      </c>
      <c r="E206" s="180" t="s">
        <v>6731</v>
      </c>
      <c r="F206" s="181"/>
      <c r="G206" s="179" t="s">
        <v>7769</v>
      </c>
      <c r="H206" s="190"/>
      <c r="I206" s="190"/>
      <c r="J206" s="187" t="s">
        <v>3874</v>
      </c>
      <c r="K206" s="187"/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>
        <f>IFERROR(__xludf.DUMMYFUNCTION("ifna(VALUE(REGEXEXTRACT(E206,""[0-9.]+[,]+[0-9]+"")))"),100.0)</f>
        <v>100</v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0">
        <v>1948340.0</v>
      </c>
      <c r="C207" s="11">
        <v>46044.62978009259</v>
      </c>
      <c r="D207" s="179" t="s">
        <v>227</v>
      </c>
      <c r="E207" s="180" t="s">
        <v>494</v>
      </c>
      <c r="F207" s="188"/>
      <c r="G207" s="179" t="s">
        <v>7771</v>
      </c>
      <c r="H207" s="190"/>
      <c r="I207" s="190"/>
      <c r="J207" s="187" t="s">
        <v>4159</v>
      </c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>
        <f>IFERROR(__xludf.DUMMYFUNCTION("ifna(VALUE(REGEXEXTRACT(E207,""[0-9.]+[,]+[0-9]+"")))"),0.01)</f>
        <v>0.01</v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0">
        <v>1949211.0</v>
      </c>
      <c r="C208" s="11">
        <v>46044.89994212963</v>
      </c>
      <c r="D208" s="179" t="s">
        <v>50</v>
      </c>
      <c r="E208" s="180" t="s">
        <v>7773</v>
      </c>
      <c r="F208" s="181"/>
      <c r="G208" s="179" t="s">
        <v>7774</v>
      </c>
      <c r="H208" s="190"/>
      <c r="I208" s="190"/>
      <c r="J208" s="187" t="s">
        <v>3874</v>
      </c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>
        <f>IFERROR(__xludf.DUMMYFUNCTION("ifna(VALUE(REGEXEXTRACT(E208,""[0-9.]+[,]+[0-9]+"")))"),441.17)</f>
        <v>441.17</v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0">
        <v>1949214.0</v>
      </c>
      <c r="C209" s="11">
        <v>46044.90020833333</v>
      </c>
      <c r="D209" s="179" t="s">
        <v>50</v>
      </c>
      <c r="E209" s="180" t="s">
        <v>7776</v>
      </c>
      <c r="F209" s="181"/>
      <c r="G209" s="179" t="s">
        <v>7777</v>
      </c>
      <c r="H209" s="190"/>
      <c r="I209" s="190"/>
      <c r="J209" s="187" t="s">
        <v>3903</v>
      </c>
      <c r="K209" s="187"/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"""")"),"Encontrada")</f>
        <v>Encontrada</v>
      </c>
      <c r="N209" s="185">
        <f>IFERROR(__xludf.DUMMYFUNCTION("ifna(VALUE(REGEXEXTRACT(E209,""[0-9.]+[,]+[0-9]+"")))"),9.87)</f>
        <v>9.87</v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0">
        <v>1950061.0</v>
      </c>
      <c r="C210" s="11">
        <v>46045.61633101852</v>
      </c>
      <c r="D210" s="179" t="s">
        <v>50</v>
      </c>
      <c r="E210" s="180" t="s">
        <v>194</v>
      </c>
      <c r="F210" s="181"/>
      <c r="G210" s="179" t="s">
        <v>7779</v>
      </c>
      <c r="H210" s="190"/>
      <c r="I210" s="190"/>
      <c r="J210" s="187" t="s">
        <v>3903</v>
      </c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"""")"),"Encontrada")</f>
        <v>Encontrada</v>
      </c>
      <c r="N210" s="185">
        <f>IFERROR(__xludf.DUMMYFUNCTION("ifna(VALUE(REGEXEXTRACT(E210,""[0-9.]+[,]+[0-9]+"")))"),250.0)</f>
        <v>250</v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0">
        <v>1950064.0</v>
      </c>
      <c r="C211" s="11">
        <v>46045.61678240741</v>
      </c>
      <c r="D211" s="179" t="s">
        <v>227</v>
      </c>
      <c r="E211" s="180" t="s">
        <v>194</v>
      </c>
      <c r="F211" s="188"/>
      <c r="G211" s="179" t="s">
        <v>7782</v>
      </c>
      <c r="H211" s="190"/>
      <c r="I211" s="190"/>
      <c r="J211" s="187" t="s">
        <v>4159</v>
      </c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>
        <f>IFERROR(__xludf.DUMMYFUNCTION("ifna(VALUE(REGEXEXTRACT(E211,""[0-9.]+[,]+[0-9]+"")))"),250.0)</f>
        <v>250</v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0">
        <v>1950295.0</v>
      </c>
      <c r="C212" s="11">
        <v>46045.67866898148</v>
      </c>
      <c r="D212" s="179" t="s">
        <v>227</v>
      </c>
      <c r="E212" s="180" t="s">
        <v>494</v>
      </c>
      <c r="F212" s="181"/>
      <c r="G212" s="179" t="s">
        <v>7783</v>
      </c>
      <c r="H212" s="190"/>
      <c r="I212" s="190"/>
      <c r="J212" s="187" t="s">
        <v>4159</v>
      </c>
      <c r="K212" s="187"/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>
        <f>IFERROR(__xludf.DUMMYFUNCTION("ifna(VALUE(REGEXEXTRACT(E212,""[0-9.]+[,]+[0-9]+"")))"),0.01)</f>
        <v>0.01</v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0">
        <v>1950540.0</v>
      </c>
      <c r="C213" s="11">
        <v>46045.73296296296</v>
      </c>
      <c r="D213" s="179" t="s">
        <v>50</v>
      </c>
      <c r="E213" s="180" t="s">
        <v>6731</v>
      </c>
      <c r="F213" s="181"/>
      <c r="G213" s="179" t="s">
        <v>6671</v>
      </c>
      <c r="H213" s="190"/>
      <c r="I213" s="190"/>
      <c r="J213" s="187" t="s">
        <v>3466</v>
      </c>
      <c r="K213" s="187"/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>
        <f>IFERROR(__xludf.DUMMYFUNCTION("ifna(VALUE(REGEXEXTRACT(E213,""[0-9.]+[,]+[0-9]+"")))"),100.0)</f>
        <v>100</v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0">
        <v>1950555.0</v>
      </c>
      <c r="C214" s="11">
        <v>46045.736134259256</v>
      </c>
      <c r="D214" s="179" t="s">
        <v>50</v>
      </c>
      <c r="E214" s="180" t="s">
        <v>7784</v>
      </c>
      <c r="F214" s="181"/>
      <c r="G214" s="179" t="s">
        <v>7785</v>
      </c>
      <c r="H214" s="190"/>
      <c r="I214" s="190"/>
      <c r="J214" s="187" t="s">
        <v>3466</v>
      </c>
      <c r="K214" s="187"/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>
        <f>IFERROR(__xludf.DUMMYFUNCTION("ifna(VALUE(REGEXEXTRACT(E214,""[0-9.]+[,]+[0-9]+"")))"),17.76)</f>
        <v>17.76</v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0">
        <v>1950671.0</v>
      </c>
      <c r="C215" s="11">
        <v>46045.76079861111</v>
      </c>
      <c r="D215" s="179" t="s">
        <v>227</v>
      </c>
      <c r="E215" s="180" t="s">
        <v>494</v>
      </c>
      <c r="F215" s="188"/>
      <c r="G215" s="179" t="s">
        <v>7786</v>
      </c>
      <c r="H215" s="190"/>
      <c r="I215" s="190"/>
      <c r="J215" s="187" t="s">
        <v>4159</v>
      </c>
      <c r="K215" s="187"/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>
        <f>IFERROR(__xludf.DUMMYFUNCTION("ifna(VALUE(REGEXEXTRACT(E215,""[0-9.]+[,]+[0-9]+"")))"),0.01)</f>
        <v>0.01</v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0">
        <v>1950763.0</v>
      </c>
      <c r="C216" s="11">
        <v>46045.794907407406</v>
      </c>
      <c r="D216" s="179" t="s">
        <v>50</v>
      </c>
      <c r="E216" s="180" t="s">
        <v>6731</v>
      </c>
      <c r="F216" s="181"/>
      <c r="G216" s="179" t="s">
        <v>7788</v>
      </c>
      <c r="H216" s="190"/>
      <c r="I216" s="190"/>
      <c r="J216" s="187" t="s">
        <v>3903</v>
      </c>
      <c r="K216" s="187"/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185">
        <f>IFERROR(__xludf.DUMMYFUNCTION("ifna(VALUE(REGEXEXTRACT(E216,""[0-9.]+[,]+[0-9]+"")))"),100.0)</f>
        <v>100</v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0">
        <v>1950813.0</v>
      </c>
      <c r="C217" s="11">
        <v>46045.813680555555</v>
      </c>
      <c r="D217" s="179" t="s">
        <v>50</v>
      </c>
      <c r="E217" s="180" t="s">
        <v>452</v>
      </c>
      <c r="F217" s="181"/>
      <c r="G217" s="179" t="s">
        <v>6513</v>
      </c>
      <c r="H217" s="190"/>
      <c r="I217" s="190"/>
      <c r="J217" s="187" t="s">
        <v>3044</v>
      </c>
      <c r="K217" s="187" t="s">
        <v>7052</v>
      </c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>
        <f>IFERROR(__xludf.DUMMYFUNCTION("ifna(VALUE(REGEXEXTRACT(E217,""[0-9.]+[,]+[0-9]+"")))"),13.29)</f>
        <v>13.29</v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0">
        <v>1951126.0</v>
      </c>
      <c r="C218" s="11">
        <v>46045.90299768518</v>
      </c>
      <c r="D218" s="179" t="s">
        <v>50</v>
      </c>
      <c r="E218" s="180" t="s">
        <v>7791</v>
      </c>
      <c r="F218" s="181"/>
      <c r="G218" s="179" t="s">
        <v>7792</v>
      </c>
      <c r="H218" s="190"/>
      <c r="I218" s="190"/>
      <c r="J218" s="187" t="s">
        <v>3746</v>
      </c>
      <c r="K218" s="187" t="s">
        <v>7052</v>
      </c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"),"Depositada")</f>
        <v>Depositada</v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>
        <f>IFERROR(__xludf.DUMMYFUNCTION("ifna(VALUE(REGEXEXTRACT(E218,""[0-9.]+[,]+[0-9]+"")))"),1600.0)</f>
        <v>1600</v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0">
        <v>1951921.0</v>
      </c>
      <c r="C219" s="11">
        <v>46046.5733912037</v>
      </c>
      <c r="D219" s="179" t="s">
        <v>50</v>
      </c>
      <c r="E219" s="180" t="s">
        <v>7794</v>
      </c>
      <c r="F219" s="188"/>
      <c r="G219" s="179" t="s">
        <v>7795</v>
      </c>
      <c r="H219" s="190"/>
      <c r="I219" s="190"/>
      <c r="J219" s="187" t="s">
        <v>3903</v>
      </c>
      <c r="K219" s="187"/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"""")"),"Encontrada")</f>
        <v>Encontrada</v>
      </c>
      <c r="N219" s="185">
        <f>IFERROR(__xludf.DUMMYFUNCTION("ifna(VALUE(REGEXEXTRACT(E219,""[0-9.]+[,]+[0-9]+"")))"),47.0)</f>
        <v>47</v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0">
        <v>1952151.0</v>
      </c>
      <c r="C220" s="11">
        <v>46046.64892361111</v>
      </c>
      <c r="D220" s="179" t="s">
        <v>50</v>
      </c>
      <c r="E220" s="180" t="s">
        <v>708</v>
      </c>
      <c r="F220" s="181"/>
      <c r="G220" s="179" t="s">
        <v>6826</v>
      </c>
      <c r="H220" s="190"/>
      <c r="I220" s="190"/>
      <c r="J220" s="187" t="s">
        <v>3044</v>
      </c>
      <c r="K220" s="187" t="s">
        <v>6340</v>
      </c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>
        <f>IFERROR(__xludf.DUMMYFUNCTION("ifna(VALUE(REGEXEXTRACT(E220,""[0-9.]+[,]+[0-9]+"")))"),8.0)</f>
        <v>8</v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0">
        <v>1952477.0</v>
      </c>
      <c r="C221" s="11">
        <v>46046.73216435185</v>
      </c>
      <c r="D221" s="179" t="s">
        <v>50</v>
      </c>
      <c r="E221" s="180" t="s">
        <v>7798</v>
      </c>
      <c r="F221" s="181"/>
      <c r="G221" s="179" t="s">
        <v>6513</v>
      </c>
      <c r="H221" s="190"/>
      <c r="I221" s="190"/>
      <c r="J221" s="187" t="s">
        <v>3044</v>
      </c>
      <c r="K221" s="187" t="s">
        <v>7052</v>
      </c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>
        <f>IFERROR(__xludf.DUMMYFUNCTION("ifna(VALUE(REGEXEXTRACT(E221,""[0-9.]+[,]+[0-9]+"")))"),3.71)</f>
        <v>3.71</v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0">
        <v>1953189.0</v>
      </c>
      <c r="C222" s="11">
        <v>46046.88082175926</v>
      </c>
      <c r="D222" s="179" t="s">
        <v>50</v>
      </c>
      <c r="E222" s="180" t="s">
        <v>4300</v>
      </c>
      <c r="F222" s="181"/>
      <c r="G222" s="179" t="s">
        <v>7800</v>
      </c>
      <c r="H222" s="190"/>
      <c r="I222" s="190"/>
      <c r="J222" s="187" t="s">
        <v>3825</v>
      </c>
      <c r="K222" s="187"/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>
        <f>IFERROR(__xludf.DUMMYFUNCTION("ifna(VALUE(REGEXEXTRACT(E222,""[0-9.]+[,]+[0-9]+"")))"),104.0)</f>
        <v>104</v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0">
        <v>1953197.0</v>
      </c>
      <c r="C223" s="11">
        <v>46046.882060185184</v>
      </c>
      <c r="D223" s="179" t="s">
        <v>50</v>
      </c>
      <c r="E223" s="180" t="s">
        <v>4019</v>
      </c>
      <c r="F223" s="181"/>
      <c r="G223" s="179" t="s">
        <v>7803</v>
      </c>
      <c r="H223" s="190"/>
      <c r="I223" s="190"/>
      <c r="J223" s="187" t="s">
        <v>3825</v>
      </c>
      <c r="K223" s="187"/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>
        <f>IFERROR(__xludf.DUMMYFUNCTION("ifna(VALUE(REGEXEXTRACT(E223,""[0-9.]+[,]+[0-9]+"")))"),117.0)</f>
        <v>117</v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0">
        <v>1953358.0</v>
      </c>
      <c r="C224" s="11">
        <v>46046.90358796297</v>
      </c>
      <c r="D224" s="179" t="s">
        <v>50</v>
      </c>
      <c r="E224" s="180" t="s">
        <v>6540</v>
      </c>
      <c r="F224" s="181"/>
      <c r="G224" s="179" t="s">
        <v>7806</v>
      </c>
      <c r="H224" s="190"/>
      <c r="I224" s="190"/>
      <c r="J224" s="187" t="s">
        <v>3746</v>
      </c>
      <c r="K224" s="187" t="s">
        <v>7052</v>
      </c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"),"Depositada")</f>
        <v>Depositada</v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>
        <f>IFERROR(__xludf.DUMMYFUNCTION("ifna(VALUE(REGEXEXTRACT(E224,""[0-9.]+[,]+[0-9]+"")))"),950.0)</f>
        <v>950</v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0">
        <v>1956098.0</v>
      </c>
      <c r="C225" s="11">
        <v>46047.90068287037</v>
      </c>
      <c r="D225" s="179" t="s">
        <v>50</v>
      </c>
      <c r="E225" s="180" t="s">
        <v>7108</v>
      </c>
      <c r="F225" s="188"/>
      <c r="G225" s="179" t="s">
        <v>7349</v>
      </c>
      <c r="H225" s="190"/>
      <c r="I225" s="190"/>
      <c r="J225" s="187" t="s">
        <v>3825</v>
      </c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>
        <f>IFERROR(__xludf.DUMMYFUNCTION("ifna(VALUE(REGEXEXTRACT(E225,""[0-9.]+[,]+[0-9]+"")))"),125.0)</f>
        <v>125</v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0">
        <v>1956103.0</v>
      </c>
      <c r="C226" s="11">
        <v>46047.901030092595</v>
      </c>
      <c r="D226" s="179" t="s">
        <v>50</v>
      </c>
      <c r="E226" s="180" t="s">
        <v>1129</v>
      </c>
      <c r="F226" s="181"/>
      <c r="G226" s="179" t="s">
        <v>7809</v>
      </c>
      <c r="H226" s="190"/>
      <c r="I226" s="190"/>
      <c r="J226" s="187" t="s">
        <v>3825</v>
      </c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>
        <f>IFERROR(__xludf.DUMMYFUNCTION("ifna(VALUE(REGEXEXTRACT(E226,""[0-9.]+[,]+[0-9]+"")))"),120.0)</f>
        <v>120</v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0">
        <v>1956204.0</v>
      </c>
      <c r="C227" s="11">
        <v>46047.91045138889</v>
      </c>
      <c r="D227" s="179" t="s">
        <v>50</v>
      </c>
      <c r="E227" s="180" t="s">
        <v>7314</v>
      </c>
      <c r="F227" s="181"/>
      <c r="G227" s="179" t="s">
        <v>7811</v>
      </c>
      <c r="H227" s="190"/>
      <c r="I227" s="190"/>
      <c r="J227" s="187" t="s">
        <v>3746</v>
      </c>
      <c r="K227" s="187" t="s">
        <v>7058</v>
      </c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"),"Depositada")</f>
        <v>Depositada</v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>
        <f>IFERROR(__xludf.DUMMYFUNCTION("ifna(VALUE(REGEXEXTRACT(E227,""[0-9.]+[,]+[0-9]+"")))"),1550.0)</f>
        <v>1550</v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0"/>
      <c r="C228" s="11"/>
      <c r="D228" s="179"/>
      <c r="E228" s="180"/>
      <c r="F228" s="188"/>
      <c r="G228" s="179"/>
      <c r="H228" s="190"/>
      <c r="I228" s="190"/>
      <c r="J228" s="187"/>
      <c r="K228" s="187"/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0"/>
      <c r="C232" s="11"/>
      <c r="D232" s="179"/>
      <c r="E232" s="180"/>
      <c r="F232" s="181"/>
      <c r="G232" s="179"/>
      <c r="H232" s="190"/>
      <c r="I232" s="190"/>
      <c r="J232" s="187"/>
      <c r="K232" s="187"/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0"/>
      <c r="C234" s="11"/>
      <c r="D234" s="179"/>
      <c r="E234" s="180"/>
      <c r="F234" s="188"/>
      <c r="G234" s="179"/>
      <c r="H234" s="190"/>
      <c r="I234" s="190"/>
      <c r="J234" s="187"/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1"/>
      <c r="D235" s="179"/>
      <c r="E235" s="180"/>
      <c r="F235" s="181"/>
      <c r="G235" s="179"/>
      <c r="H235" s="190"/>
      <c r="I235" s="190"/>
      <c r="J235" s="187"/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IFERROR(__xludf.DUMMYFUNCTION("IF(
  AND(D282=""Saída"", J282=""Sangria""),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IFERROR(__xludf.DUMMYFUNCTION("IF(
  AND(D283=""Saída"", J283=""Sangria""),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IFERROR(__xludf.DUMMYFUNCTION("IF(
  AND(D284=""Saída"", J284=""Sangria""),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IFERROR(__xludf.DUMMYFUNCTION("IF(
  AND(D285=""Saída"", J285=""Sangria""),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IFERROR(__xludf.DUMMYFUNCTION("IF(
  AND(D286=""Saída"", J286=""Sangria""),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IFERROR(__xludf.DUMMYFUNCTION("IF(
  AND(D287=""Saída"", J287=""Sangria""),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IFERROR(__xludf.DUMMYFUNCTION("IF(
  AND(D288=""Saída"", J288=""Sangria""),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IFERROR(__xludf.DUMMYFUNCTION("IF(
  AND(D289=""Saída"", J289=""Sangria""),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IFERROR(__xludf.DUMMYFUNCTION("IF(
  AND(D290=""Saída"", J290=""Sangria""),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IFERROR(__xludf.DUMMYFUNCTION("IF(
  AND(D291=""Saída"", J291=""Sangria""),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IFERROR(__xludf.DUMMYFUNCTION("IF(
  AND(D292=""Saída"", J292=""Sangria""),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IFERROR(__xludf.DUMMYFUNCTION("IF(
  AND(D293=""Saída"", J293=""Sangria""),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IFERROR(__xludf.DUMMYFUNCTION("IF(
  AND(D294=""Saída"", J294=""Sangria""),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IFERROR(__xludf.DUMMYFUNCTION("IF(
  AND(D295=""Saída"", J295=""Sangria""),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IFERROR(__xludf.DUMMYFUNCTION("IF(
  AND(D296=""Saída"", J296=""Sangria""),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IFERROR(__xludf.DUMMYFUNCTION("IF(
  AND(D297=""Saída"", J297=""Sangria""),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IFERROR(__xludf.DUMMYFUNCTION("IF(
  AND(D298=""Saída"", J298=""Sangria""),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IFERROR(__xludf.DUMMYFUNCTION("IF(
  AND(D299=""Saída"", J299=""Sangria""),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IFERROR(__xludf.DUMMYFUNCTION("IF(
  AND(D300=""Saída"", J300=""Sangria""),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IFERROR(__xludf.DUMMYFUNCTION("IF(
  AND(D301=""Saída"", J301=""Sangria""),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IFERROR(__xludf.DUMMYFUNCTION("IF(
  AND(D302=""Saída"", J302=""Sangria""),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IFERROR(__xludf.DUMMYFUNCTION("IF(
  AND(D303=""Saída"", J303=""Sangria""),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IFERROR(__xludf.DUMMYFUNCTION("IF(
  AND(D304=""Saída"", J304=""Sangria""),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IFERROR(__xludf.DUMMYFUNCTION("IF(
  AND(D305=""Saída"", J305=""Sangria""),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IFERROR(__xludf.DUMMYFUNCTION("IF(
  AND(D306=""Saída"", J306=""Sangria""),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IFERROR(__xludf.DUMMYFUNCTION("IF(
  AND(D307=""Saída"", J307=""Sangria""),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IFERROR(__xludf.DUMMYFUNCTION("IF(
  AND(D308=""Saída"", J308=""Sangria""),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IFERROR(__xludf.DUMMYFUNCTION("IF(
  AND(D309=""Saída"", J309=""Sangria""),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IFERROR(__xludf.DUMMYFUNCTION("IF(
  AND(D310=""Saída"", J310=""Sangria""),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IFERROR(__xludf.DUMMYFUNCTION("IF(
  AND(D311=""Saída"", J311=""Sangria""),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IFERROR(__xludf.DUMMYFUNCTION("IF(
  AND(D312=""Saída"", J312=""Sangria""),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IFERROR(__xludf.DUMMYFUNCTION("IF(
  AND(D313=""Saída"", J313=""Sangria""),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IFERROR(__xludf.DUMMYFUNCTION("IF(
  AND(D314=""Saída"", J314=""Sangria""),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IFERROR(__xludf.DUMMYFUNCTION("IF(
  AND(D315=""Saída"", J315=""Sangria""),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IFERROR(__xludf.DUMMYFUNCTION("IF(
  AND(D316=""Saída"", J316=""Sangria""),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IFERROR(__xludf.DUMMYFUNCTION("IF(
  AND(D317=""Saída"", J317=""Sangria""),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IFERROR(__xludf.DUMMYFUNCTION("IF(
  AND(D318=""Saída"", J318=""Sangria""),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IFERROR(__xludf.DUMMYFUNCTION("IF(
  AND(D319=""Saída"", J319=""Sangria""),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IFERROR(__xludf.DUMMYFUNCTION("IF(
  AND(D320=""Saída"", J320=""Sangria""),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IFERROR(__xludf.DUMMYFUNCTION("IF(
  AND(D321=""Saída"", J321=""Sangria""),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IFERROR(__xludf.DUMMYFUNCTION("IF(
  AND(D322=""Saída"", J322=""Sangria""),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IFERROR(__xludf.DUMMYFUNCTION("IF(
  AND(D323=""Saída"", J323=""Sangria""),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IFERROR(__xludf.DUMMYFUNCTION("IF(
  AND(D324=""Saída"", J324=""Sangria""),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IFERROR(__xludf.DUMMYFUNCTION("IF(
  AND(D325=""Saída"", J325=""Sangria""),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IFERROR(__xludf.DUMMYFUNCTION("IF(
  AND(D326=""Saída"", J326=""Sangria""),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IFERROR(__xludf.DUMMYFUNCTION("IF(
  AND(D327=""Saída"", J327=""Sangria""),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IFERROR(__xludf.DUMMYFUNCTION("IF(
  AND(D328=""Saída"", J328=""Sangria""),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IFERROR(__xludf.DUMMYFUNCTION("IF(
  AND(D329=""Saída"", J329=""Sangria""),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IFERROR(__xludf.DUMMYFUNCTION("IF(
  AND(D330=""Saída"", J330=""Sangria""),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IFERROR(__xludf.DUMMYFUNCTION("IF(
  AND(D331=""Saída"", J331=""Sangria""),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IFERROR(__xludf.DUMMYFUNCTION("IF(
  AND(D332=""Saída"", J332=""Sangria""),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IFERROR(__xludf.DUMMYFUNCTION("IF(
  AND(D333=""Saída"", J333=""Sangria""),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IFERROR(__xludf.DUMMYFUNCTION("IF(
  AND(D334=""Saída"", J334=""Sangria""),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IFERROR(__xludf.DUMMYFUNCTION("IF(
  AND(D335=""Saída"", J335=""Sangria""),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IFERROR(__xludf.DUMMYFUNCTION("IF(
  AND(D336=""Saída"", J336=""Sangria""),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IFERROR(__xludf.DUMMYFUNCTION("IF(
  AND(D337=""Saída"", J337=""Sangria""),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IFERROR(__xludf.DUMMYFUNCTION("IF(
  AND(D338=""Saída"", J338=""Sangria""),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IFERROR(__xludf.DUMMYFUNCTION("IF(
  AND(D339=""Saída"", J339=""Sangria""),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IFERROR(__xludf.DUMMYFUNCTION("IF(
  AND(D340=""Saída"", J340=""Sangria""),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IFERROR(__xludf.DUMMYFUNCTION("IF(
  AND(D341=""Saída"", J341=""Sangria""),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IFERROR(__xludf.DUMMYFUNCTION("IF(
  AND(D342=""Saída"", J342=""Sangria""),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IFERROR(__xludf.DUMMYFUNCTION("IF(
  AND(D343=""Saída"", J343=""Sangria""),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IFERROR(__xludf.DUMMYFUNCTION("IF(
  AND(D344=""Saída"", J344=""Sangria""),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IFERROR(__xludf.DUMMYFUNCTION("IF(
  AND(D345=""Saída"", J345=""Sangria""),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IFERROR(__xludf.DUMMYFUNCTION("IF(
  AND(D346=""Saída"", J346=""Sangria""),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IFERROR(__xludf.DUMMYFUNCTION("IF(
  AND(D347=""Saída"", J347=""Sangria""),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IFERROR(__xludf.DUMMYFUNCTION("IF(
  AND(D348=""Saída"", J348=""Sangria""),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IFERROR(__xludf.DUMMYFUNCTION("IF(
  AND(D349=""Saída"", J349=""Sangria""),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IFERROR(__xludf.DUMMYFUNCTION("IF(
  AND(D350=""Saída"", J350=""Sangria""),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IFERROR(__xludf.DUMMYFUNCTION("IF(
  AND(D351=""Saída"", J351=""Sangria""),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IFERROR(__xludf.DUMMYFUNCTION("IF(
  AND(D352=""Saída"", J352=""Sangria""),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IFERROR(__xludf.DUMMYFUNCTION("IF(
  AND(D353=""Saída"", J353=""Sangria""),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IFERROR(__xludf.DUMMYFUNCTION("IF(
  AND(D354=""Saída"", J354=""Sangria""),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IFERROR(__xludf.DUMMYFUNCTION("IF(
  AND(D355=""Saída"", J355=""Sangria""),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IFERROR(__xludf.DUMMYFUNCTION("IF(
  AND(D356=""Saída"", J356=""Sangria""),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IFERROR(__xludf.DUMMYFUNCTION("IF(
  AND(D357=""Saída"", J357=""Sangria""),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IFERROR(__xludf.DUMMYFUNCTION("IF(
  AND(D358=""Saída"", J358=""Sangria""),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IFERROR(__xludf.DUMMYFUNCTION("IF(
  AND(D359=""Saída"", J359=""Sangria""),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IFERROR(__xludf.DUMMYFUNCTION("IF(
  AND(D360=""Saída"", J360=""Sangria""),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IFERROR(__xludf.DUMMYFUNCTION("IF(
  AND(D361=""Saída"", J361=""Sangria""),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IFERROR(__xludf.DUMMYFUNCTION("IF(
  AND(D362=""Saída"", J362=""Sangria""),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IFERROR(__xludf.DUMMYFUNCTION("IF(
  AND(D363=""Saída"", J363=""Sangria""),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IFERROR(__xludf.DUMMYFUNCTION("IF(
  AND(D364=""Saída"", J364=""Sangria""),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IFERROR(__xludf.DUMMYFUNCTION("IF(
  AND(D365=""Saída"", J365=""Sangria""),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IFERROR(__xludf.DUMMYFUNCTION("IF(
  AND(D366=""Saída"", J366=""Sangria""),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IFERROR(__xludf.DUMMYFUNCTION("IF(
  AND(D367=""Saída"", J367=""Sangria""),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IFERROR(__xludf.DUMMYFUNCTION("IF(
  AND(D368=""Saída"", J368=""Sangria""),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IFERROR(__xludf.DUMMYFUNCTION("IF(
  AND(D369=""Saída"", J369=""Sangria""),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IFERROR(__xludf.DUMMYFUNCTION("IF(
  AND(D370=""Saída"", J370=""Sangria""),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IFERROR(__xludf.DUMMYFUNCTION("IF(
  AND(D371=""Saída"", J371=""Sangria""),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IFERROR(__xludf.DUMMYFUNCTION("IF(
  AND(D372=""Saída"", J372=""Sangria""),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IFERROR(__xludf.DUMMYFUNCTION("IF(
  AND(D373=""Saída"", J373=""Sangria""),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IFERROR(__xludf.DUMMYFUNCTION("IF(
  AND(D374=""Saída"", J374=""Sangria""),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IFERROR(__xludf.DUMMYFUNCTION("IF(
  AND(D375=""Saída"", J375=""Sangria""),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IFERROR(__xludf.DUMMYFUNCTION("IF(
  AND(D376=""Saída"", J376=""Sangria""),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IFERROR(__xludf.DUMMYFUNCTION("IF(
  AND(D377=""Saída"", J377=""Sangria""),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IFERROR(__xludf.DUMMYFUNCTION("IF(
  AND(D378=""Saída"", J378=""Sangria""),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IFERROR(__xludf.DUMMYFUNCTION("IF(
  AND(D379=""Saída"", J379=""Sangria""),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IFERROR(__xludf.DUMMYFUNCTION("IF(
  AND(D380=""Saída"", J380=""Sangria""),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IFERROR(__xludf.DUMMYFUNCTION("IF(
  AND(D381=""Saída"", J381=""Sangria""),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IFERROR(__xludf.DUMMYFUNCTION("IF(
  AND(D382=""Saída"", J382=""Sangria""),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IFERROR(__xludf.DUMMYFUNCTION("IF(
  AND(D383=""Saída"", J383=""Sangria""),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IFERROR(__xludf.DUMMYFUNCTION("IF(
  AND(D384=""Saída"", J384=""Sangria""),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IFERROR(__xludf.DUMMYFUNCTION("IF(
  AND(D385=""Saída"", J385=""Sangria""),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IFERROR(__xludf.DUMMYFUNCTION("IF(
  AND(D386=""Saída"", J386=""Sangria""),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IFERROR(__xludf.DUMMYFUNCTION("IF(
  AND(D387=""Saída"", J387=""Sangria""),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IFERROR(__xludf.DUMMYFUNCTION("IF(
  AND(D388=""Saída"", J388=""Sangria""),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IFERROR(__xludf.DUMMYFUNCTION("IF(
  AND(D389=""Saída"", J389=""Sangria""),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IFERROR(__xludf.DUMMYFUNCTION("IF(
  AND(D390=""Saída"", J390=""Sangria""),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IFERROR(__xludf.DUMMYFUNCTION("IF(
  AND(D391=""Saída"", J391=""Sangria""),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IFERROR(__xludf.DUMMYFUNCTION("IF(
  AND(D392=""Saída"", J392=""Sangria""),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IFERROR(__xludf.DUMMYFUNCTION("IF(
  AND(D393=""Saída"", J393=""Sangria""),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IFERROR(__xludf.DUMMYFUNCTION("IF(
  AND(D394=""Saída"", J394=""Sangria""),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IFERROR(__xludf.DUMMYFUNCTION("IF(
  AND(D395=""Saída"", J395=""Sangria""),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IFERROR(__xludf.DUMMYFUNCTION("IF(
  AND(D396=""Saída"", J396=""Sangria""),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IFERROR(__xludf.DUMMYFUNCTION("IF(
  AND(D397=""Saída"", J397=""Sangria""),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IFERROR(__xludf.DUMMYFUNCTION("IF(
  AND(D398=""Saída"", J398=""Sangria""),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IFERROR(__xludf.DUMMYFUNCTION("IF(
  AND(D399=""Saída"", J399=""Sangria""),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IFERROR(__xludf.DUMMYFUNCTION("IF(
  AND(D400=""Saída"", J400=""Sangria""),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IFERROR(__xludf.DUMMYFUNCTION("IF(
  AND(D401=""Saída"", J401=""Sangria""),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IFERROR(__xludf.DUMMYFUNCTION("IF(
  AND(D402=""Saída"", J402=""Sangria""),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IFERROR(__xludf.DUMMYFUNCTION("IF(
  AND(D403=""Saída"", J403=""Sangria""),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IFERROR(__xludf.DUMMYFUNCTION("IF(
  AND(D404=""Saída"", J404=""Sangria""),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IFERROR(__xludf.DUMMYFUNCTION("IF(
  AND(D405=""Saída"", J405=""Sangria""),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IFERROR(__xludf.DUMMYFUNCTION("IF(
  AND(D406=""Saída"", J406=""Sangria""),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IFERROR(__xludf.DUMMYFUNCTION("IF(
  AND(D407=""Saída"", J407=""Sangria""),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IFERROR(__xludf.DUMMYFUNCTION("IF(
  AND(D408=""Saída"", J408=""Sangria""),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IFERROR(__xludf.DUMMYFUNCTION("IF(
  AND(D409=""Saída"", J409=""Sangria""),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IFERROR(__xludf.DUMMYFUNCTION("IF(
  AND(D410=""Saída"", J410=""Sangria""),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IFERROR(__xludf.DUMMYFUNCTION("IF(
  AND(D411=""Saída"", J411=""Sangria""),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IFERROR(__xludf.DUMMYFUNCTION("IF(
  AND(D412=""Saída"", J412=""Sangria""),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IFERROR(__xludf.DUMMYFUNCTION("IF(
  AND(D413=""Saída"", J413=""Sangria""),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IFERROR(__xludf.DUMMYFUNCTION("IF(
  AND(D414=""Saída"", J414=""Sangria""),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IFERROR(__xludf.DUMMYFUNCTION("IF(
  AND(D415=""Saída"", J415=""Sangria""),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IFERROR(__xludf.DUMMYFUNCTION("IF(
  AND(D416=""Saída"", J416=""Sangria""),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IFERROR(__xludf.DUMMYFUNCTION("IF(
  AND(D417=""Saída"", J417=""Sangria""),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IFERROR(__xludf.DUMMYFUNCTION("IF(
  AND(D418=""Saída"", J418=""Sangria""),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IFERROR(__xludf.DUMMYFUNCTION("IF(
  AND(D419=""Saída"", J419=""Sangria""),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IFERROR(__xludf.DUMMYFUNCTION("IF(
  AND(D420=""Saída"", J420=""Sangria""),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IFERROR(__xludf.DUMMYFUNCTION("IF(
  AND(D421=""Saída"", J421=""Sangria""),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IFERROR(__xludf.DUMMYFUNCTION("IF(
  AND(D422=""Saída"", J422=""Sangria""),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IFERROR(__xludf.DUMMYFUNCTION("IF(
  AND(D423=""Saída"", J423=""Sangria""),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IFERROR(__xludf.DUMMYFUNCTION("IF(
  AND(D424=""Saída"", J424=""Sangria""),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IFERROR(__xludf.DUMMYFUNCTION("IF(
  AND(D425=""Saída"", J425=""Sangria""),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IFERROR(__xludf.DUMMYFUNCTION("IF(
  AND(D426=""Saída"", J426=""Sangria""),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IFERROR(__xludf.DUMMYFUNCTION("IF(
  AND(D427=""Saída"", J427=""Sangria""),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IFERROR(__xludf.DUMMYFUNCTION("IF(
  AND(D428=""Saída"", J428=""Sangria""),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IFERROR(__xludf.DUMMYFUNCTION("IF(
  AND(D429=""Saída"", J429=""Sangria""),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IFERROR(__xludf.DUMMYFUNCTION("IF(
  AND(D430=""Saída"", J430=""Sangria""),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IFERROR(__xludf.DUMMYFUNCTION("IF(
  AND(D431=""Saída"", J431=""Sangria""),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IFERROR(__xludf.DUMMYFUNCTION("IF(
  AND(D432=""Saída"", J432=""Sangria""),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IFERROR(__xludf.DUMMYFUNCTION("IF(
  AND(D433=""Saída"", J433=""Sangria""),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IFERROR(__xludf.DUMMYFUNCTION("IF(
  AND(D434=""Saída"", J434=""Sangria""),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IFERROR(__xludf.DUMMYFUNCTION("IF(
  AND(D435=""Saída"", J435=""Sangria""),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IFERROR(__xludf.DUMMYFUNCTION("IF(
  AND(D436=""Saída"", J436=""Sangria""),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IFERROR(__xludf.DUMMYFUNCTION("IF(
  AND(D437=""Saída"", J437=""Sangria""),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IFERROR(__xludf.DUMMYFUNCTION("IF(
  AND(D438=""Saída"", J438=""Sangria""),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IFERROR(__xludf.DUMMYFUNCTION("IF(
  AND(D439=""Saída"", J439=""Sangria""),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IFERROR(__xludf.DUMMYFUNCTION("IF(
  AND(D440=""Saída"", J440=""Sangria""),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IFERROR(__xludf.DUMMYFUNCTION("IF(
  AND(D441=""Saída"", J441=""Sangria""),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IFERROR(__xludf.DUMMYFUNCTION("IF(
  AND(D442=""Saída"", J442=""Sangria""),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IFERROR(__xludf.DUMMYFUNCTION("IF(
  AND(D443=""Saída"", J443=""Sangria""),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IFERROR(__xludf.DUMMYFUNCTION("IF(
  AND(D444=""Saída"", J444=""Sangria""),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IFERROR(__xludf.DUMMYFUNCTION("IF(
  AND(D445=""Saída"", J445=""Sangria""),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IFERROR(__xludf.DUMMYFUNCTION("IF(
  AND(D446=""Saída"", J446=""Sangria""),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IFERROR(__xludf.DUMMYFUNCTION("IF(
  AND(D447=""Saída"", J447=""Sangria""),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IFERROR(__xludf.DUMMYFUNCTION("IF(
  AND(D448=""Saída"", J448=""Sangria""),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IFERROR(__xludf.DUMMYFUNCTION("IF(
  AND(D449=""Saída"", J449=""Sangria""),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IFERROR(__xludf.DUMMYFUNCTION("IF(
  AND(D450=""Saída"", J450=""Sangria""),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IFERROR(__xludf.DUMMYFUNCTION("IF(
  AND(D451=""Saída"", J451=""Sangria""),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IFERROR(__xludf.DUMMYFUNCTION("IF(
  AND(D452=""Saída"", J452=""Sangria""),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IFERROR(__xludf.DUMMYFUNCTION("IF(
  AND(D453=""Saída"", J453=""Sangria""),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IFERROR(__xludf.DUMMYFUNCTION("IF(
  AND(D454=""Saída"", J454=""Sangria""),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IFERROR(__xludf.DUMMYFUNCTION("IF(
  AND(D455=""Saída"", J455=""Sangria""),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IFERROR(__xludf.DUMMYFUNCTION("IF(
  AND(D456=""Saída"", J456=""Sangria""),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IFERROR(__xludf.DUMMYFUNCTION("IF(
  AND(D457=""Saída"", J457=""Sangria""),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IFERROR(__xludf.DUMMYFUNCTION("IF(
  AND(D458=""Saída"", J458=""Sangria""),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IFERROR(__xludf.DUMMYFUNCTION("IF(
  AND(D459=""Saída"", J459=""Sangria""),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IFERROR(__xludf.DUMMYFUNCTION("IF(
  AND(D460=""Saída"", J460=""Sangria""),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IFERROR(__xludf.DUMMYFUNCTION("IF(
  AND(D461=""Saída"", J461=""Sangria""),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IFERROR(__xludf.DUMMYFUNCTION("IF(
  AND(D462=""Saída"", J462=""Sangria""),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IFERROR(__xludf.DUMMYFUNCTION("IF(
  AND(D463=""Saída"", J463=""Sangria""),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IFERROR(__xludf.DUMMYFUNCTION("IF(
  AND(D464=""Saída"", J464=""Sangria""),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IFERROR(__xludf.DUMMYFUNCTION("IF(
  AND(D465=""Saída"", J465=""Sangria""),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IFERROR(__xludf.DUMMYFUNCTION("IF(
  AND(D466=""Saída"", J466=""Sangria""),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IFERROR(__xludf.DUMMYFUNCTION("IF(
  AND(D467=""Saída"", J467=""Sangria""),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IFERROR(__xludf.DUMMYFUNCTION("IF(
  AND(D468=""Saída"", J468=""Sangria""),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IFERROR(__xludf.DUMMYFUNCTION("IF(
  AND(D469=""Saída"", J469=""Sangria""),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IFERROR(__xludf.DUMMYFUNCTION("IF(
  AND(D470=""Saída"", J470=""Sangria""),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IFERROR(__xludf.DUMMYFUNCTION("IF(
  AND(D471=""Saída"", J471=""Sangria""),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IFERROR(__xludf.DUMMYFUNCTION("IF(
  AND(D472=""Saída"", J472=""Sangria""),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IFERROR(__xludf.DUMMYFUNCTION("IF(
  AND(D473=""Saída"", J473=""Sangria""),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IFERROR(__xludf.DUMMYFUNCTION("IF(
  AND(D474=""Saída"", J474=""Sangria""),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IFERROR(__xludf.DUMMYFUNCTION("IF(
  AND(D475=""Saída"", J475=""Sangria""),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IFERROR(__xludf.DUMMYFUNCTION("IF(
  AND(D476=""Saída"", J476=""Sangria""),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IFERROR(__xludf.DUMMYFUNCTION("IF(
  AND(D477=""Saída"", J477=""Sangria""),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IFERROR(__xludf.DUMMYFUNCTION("IF(
  AND(D478=""Saída"", J478=""Sangria""),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IFERROR(__xludf.DUMMYFUNCTION("IF(
  AND(D479=""Saída"", J479=""Sangria""),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IFERROR(__xludf.DUMMYFUNCTION("IF(
  AND(D480=""Saída"", J480=""Sangria""),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IFERROR(__xludf.DUMMYFUNCTION("IF(
  AND(D481=""Saída"", J481=""Sangria""),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IFERROR(__xludf.DUMMYFUNCTION("IF(
  AND(D482=""Saída"", J482=""Sangria""),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IFERROR(__xludf.DUMMYFUNCTION("IF(
  AND(D483=""Saída"", J483=""Sangria""),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IFERROR(__xludf.DUMMYFUNCTION("IF(
  AND(D484=""Saída"", J484=""Sangria""),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IFERROR(__xludf.DUMMYFUNCTION("IF(
  AND(D485=""Saída"", J485=""Sangria""),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IFERROR(__xludf.DUMMYFUNCTION("IF(
  AND(D486=""Saída"", J486=""Sangria""),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IFERROR(__xludf.DUMMYFUNCTION("IF(
  AND(D487=""Saída"", J487=""Sangria""),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IFERROR(__xludf.DUMMYFUNCTION("IF(
  AND(D488=""Saída"", J488=""Sangria""),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IFERROR(__xludf.DUMMYFUNCTION("IF(
  AND(D489=""Saída"", J489=""Sangria""),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IFERROR(__xludf.DUMMYFUNCTION("IF(
  AND(D490=""Saída"", J490=""Sangria""),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IFERROR(__xludf.DUMMYFUNCTION("IF(
  AND(D491=""Saída"", J491=""Sangria""),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IFERROR(__xludf.DUMMYFUNCTION("IF(
  AND(D492=""Saída"", J492=""Sangria""),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IFERROR(__xludf.DUMMYFUNCTION("IF(
  AND(D493=""Saída"", J493=""Sangria""),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IFERROR(__xludf.DUMMYFUNCTION("IF(
  AND(D494=""Saída"", J494=""Sangria""),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IFERROR(__xludf.DUMMYFUNCTION("IF(
  AND(D495=""Saída"", J495=""Sangria""),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IFERROR(__xludf.DUMMYFUNCTION("IF(
  AND(D496=""Saída"", J496=""Sangria""),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IFERROR(__xludf.DUMMYFUNCTION("IF(
  AND(D497=""Saída"", J497=""Sangria""),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IFERROR(__xludf.DUMMYFUNCTION("IF(
  AND(D498=""Saída"", J498=""Sangria""),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IFERROR(__xludf.DUMMYFUNCTION("IF(
  AND(D499=""Saída"", J499=""Sangria""),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IFERROR(__xludf.DUMMYFUNCTION("IF(
  AND(D500=""Saída"", J500=""Sangria""),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IFERROR(__xludf.DUMMYFUNCTION("IF(
  AND(D501=""Saída"", J501=""Sangria""),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IFERROR(__xludf.DUMMYFUNCTION("IF(
  AND(D502=""Saída"", J502=""Sangria""),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IFERROR(__xludf.DUMMYFUNCTION("IF(
  AND(D503=""Saída"", J503=""Sangria""),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IFERROR(__xludf.DUMMYFUNCTION("IF(
  AND(D504=""Saída"", J504=""Sangria""),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252" t="str">
        <f>IFERROR(__xludf.DUMMYFUNCTION("IF(
  AND(D505=""Saída"", J505=""Sangria""),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252" t="str">
        <f>IFERROR(__xludf.DUMMYFUNCTION("IF(
  AND(D506=""Saída"", J506=""Sangria""),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7" t="str">
        <f>IFERROR(__xludf.DUMMYFUNCTION("IF(
  AND(D507=""Saída"", J507=""Sangria""),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9:R39"/>
    <mergeCell ref="O61:T62"/>
    <mergeCell ref="S63:T63"/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30:U130"/>
    <mergeCell ref="S131:U131"/>
    <mergeCell ref="S132:U132"/>
    <mergeCell ref="S133:U133"/>
    <mergeCell ref="S134:U134"/>
    <mergeCell ref="S135:U135"/>
    <mergeCell ref="S136:U136"/>
    <mergeCell ref="S123:U123"/>
    <mergeCell ref="S124:U124"/>
    <mergeCell ref="S125:U125"/>
    <mergeCell ref="S126:U126"/>
    <mergeCell ref="S127:U127"/>
    <mergeCell ref="S128:U128"/>
    <mergeCell ref="S129:U129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9:W39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507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L4:W4 L11 D20 O20:W20 O40:W40 O49:W49 U69:W69">
    <cfRule type="cellIs" dxfId="6" priority="19" operator="greaterThanOrEqual">
      <formula>500</formula>
    </cfRule>
  </conditionalFormatting>
  <conditionalFormatting sqref="L4:W4 L11 D20 O20:W20 O40:W40 O49:W49 U69:W69">
    <cfRule type="cellIs" dxfId="7" priority="20" operator="between">
      <formula>400</formula>
      <formula>500</formula>
    </cfRule>
  </conditionalFormatting>
  <conditionalFormatting sqref="E36:E507">
    <cfRule type="containsText" dxfId="9" priority="21" operator="containsText" text="R$">
      <formula>NOT(ISERROR(SEARCH(("R$"),(E36))))</formula>
    </cfRule>
  </conditionalFormatting>
  <conditionalFormatting sqref="K36:K507">
    <cfRule type="expression" dxfId="10" priority="22">
      <formula>or($J$29:$J$218="Compra Moedas",$J$29:$J$218="Cortesias",$J$29:$J$218="Troco")</formula>
    </cfRule>
  </conditionalFormatting>
  <conditionalFormatting sqref="K36:K507">
    <cfRule type="expression" dxfId="11" priority="23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4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5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6">
      <formula>LEN(TRIM(I43))&gt;0</formula>
    </cfRule>
  </conditionalFormatting>
  <conditionalFormatting sqref="I36:I507">
    <cfRule type="expression" dxfId="8" priority="27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8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29">
      <formula>and($C$29:$C$218="",or($D$29:$D$218="Entrada",$D$29:$D$218="Saída"))</formula>
    </cfRule>
  </conditionalFormatting>
  <conditionalFormatting sqref="I36:I507">
    <cfRule type="expression" dxfId="8" priority="30">
      <formula>and(K36 = "",or(J36="Consumo",J36="Adiantamento"))</formula>
    </cfRule>
  </conditionalFormatting>
  <conditionalFormatting sqref="M29:M507">
    <cfRule type="cellIs" dxfId="8" priority="31" operator="equal">
      <formula>"Não Encontrada"</formula>
    </cfRule>
  </conditionalFormatting>
  <conditionalFormatting sqref="L29:L507">
    <cfRule type="cellIs" dxfId="8" priority="32" operator="equal">
      <formula>"Caixa Sangria"</formula>
    </cfRule>
  </conditionalFormatting>
  <dataValidations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  <dataValidation type="list" allowBlank="1" showErrorMessage="1" sqref="K29:K507">
      <formula1>'JANEIRO 2026'!$B$4:$B$16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6.13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B9</f>
        <v>Janaina</v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" t="str">
        <f>B4</f>
        <v>Marcos</v>
      </c>
      <c r="P3" s="27"/>
      <c r="Q3" s="27"/>
      <c r="R3" s="28"/>
      <c r="S3" s="37"/>
      <c r="T3" s="38" t="str">
        <f>B5</f>
        <v>Rayanna</v>
      </c>
      <c r="U3" s="27"/>
      <c r="V3" s="27"/>
      <c r="W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400</v>
      </c>
      <c r="E4" s="43" t="s">
        <v>1112</v>
      </c>
      <c r="F4" s="42">
        <f>SUMIFS(N29:N504,J29:J504,E4,K29:K504,E3)+SUMIF(Q64:Q106,A5,R64:R106)+F9</f>
        <v>500</v>
      </c>
      <c r="G4" s="43" t="s">
        <v>1112</v>
      </c>
      <c r="H4" s="42">
        <f>SUMIFS(N29:N504,J29:J504,G4,K29:K504,G3)+SUMIF(Q64:Q106,A9,R64:R106)+H9</f>
        <v>500</v>
      </c>
      <c r="I4" s="43" t="s">
        <v>1112</v>
      </c>
      <c r="J4" s="42">
        <f>SUMIFS(N29:N504,J29:J504,C4,K29:K504,I3)+SUMIF(Q64:Q106,A7,R64:R106)+J9</f>
        <v>150</v>
      </c>
      <c r="K4" s="43" t="s">
        <v>1112</v>
      </c>
      <c r="L4" s="44">
        <f>SUMIFS(N29:N504,J29:J504,C4,K29:K504,K3)+SUMIF(Q64:Q106,A8,R64:R106)+L9</f>
        <v>500</v>
      </c>
      <c r="M4" s="25"/>
      <c r="N4" s="25"/>
      <c r="O4" s="45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4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'""&amp;B5&amp;""'"",1)"),"#REF!")</f>
        <v>#REF!</v>
      </c>
      <c r="U4" s="49"/>
      <c r="V4" s="49"/>
      <c r="W4" s="50"/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257.84</v>
      </c>
      <c r="G5" s="43" t="s">
        <v>3044</v>
      </c>
      <c r="H5" s="42">
        <f>SUMIFS(N29:N504,J29:J504,C5,K29:K504,G3)</f>
        <v>199.33</v>
      </c>
      <c r="I5" s="43" t="s">
        <v>3044</v>
      </c>
      <c r="J5" s="42">
        <f>SUMIFS(N29:N504,J29:J504,C5,K29:K504,I3)</f>
        <v>184.01</v>
      </c>
      <c r="K5" s="43" t="s">
        <v>3044</v>
      </c>
      <c r="L5" s="44">
        <f>SUMIFS(N29:N504,J29:J504,C5,K29:K504,K3)</f>
        <v>245.71</v>
      </c>
      <c r="M5" s="25"/>
      <c r="N5" s="25"/>
      <c r="O5" s="51"/>
      <c r="P5" s="52"/>
      <c r="Q5" s="52"/>
      <c r="R5" s="53"/>
      <c r="S5" s="54"/>
      <c r="T5" s="52"/>
      <c r="U5" s="52"/>
      <c r="V5" s="52"/>
      <c r="W5" s="53"/>
    </row>
    <row r="6" ht="16.5" customHeight="1">
      <c r="A6" s="56"/>
      <c r="B6" s="40"/>
      <c r="C6" s="41" t="s">
        <v>3082</v>
      </c>
      <c r="D6" s="42">
        <f>D5*0.8</f>
        <v>0</v>
      </c>
      <c r="E6" s="43" t="s">
        <v>3082</v>
      </c>
      <c r="F6" s="42">
        <f>F5*0.8</f>
        <v>206.272</v>
      </c>
      <c r="G6" s="43" t="s">
        <v>3082</v>
      </c>
      <c r="H6" s="42">
        <f>H5*0.8</f>
        <v>159.464</v>
      </c>
      <c r="I6" s="43" t="s">
        <v>3082</v>
      </c>
      <c r="J6" s="42">
        <f>J5*0.8</f>
        <v>147.208</v>
      </c>
      <c r="K6" s="57" t="s">
        <v>3082</v>
      </c>
      <c r="L6" s="44">
        <f>L5*0.8</f>
        <v>196.568</v>
      </c>
      <c r="M6" s="25"/>
      <c r="N6" s="25"/>
      <c r="O6" s="51"/>
      <c r="P6" s="52"/>
      <c r="Q6" s="52"/>
      <c r="R6" s="53"/>
      <c r="S6" s="54"/>
      <c r="T6" s="52"/>
      <c r="U6" s="52"/>
      <c r="V6" s="52"/>
      <c r="W6" s="53"/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51"/>
      <c r="P7" s="52"/>
      <c r="Q7" s="52"/>
      <c r="R7" s="53"/>
      <c r="S7" s="54"/>
      <c r="T7" s="52"/>
      <c r="U7" s="52"/>
      <c r="V7" s="52"/>
      <c r="W7" s="53"/>
    </row>
    <row r="8" ht="14.25" customHeight="1">
      <c r="A8" s="12" t="s">
        <v>78</v>
      </c>
      <c r="B8" s="40" t="s">
        <v>7058</v>
      </c>
      <c r="C8" s="63" t="s">
        <v>3170</v>
      </c>
      <c r="D8" s="67">
        <v>45780.0</v>
      </c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51"/>
      <c r="P8" s="52"/>
      <c r="Q8" s="52"/>
      <c r="R8" s="53"/>
      <c r="S8" s="54"/>
      <c r="T8" s="52"/>
      <c r="U8" s="52"/>
      <c r="V8" s="52"/>
      <c r="W8" s="53"/>
    </row>
    <row r="9">
      <c r="A9" s="39" t="s">
        <v>1900</v>
      </c>
      <c r="B9" s="40" t="s">
        <v>6340</v>
      </c>
      <c r="C9" s="70" t="s">
        <v>41</v>
      </c>
      <c r="D9" s="71">
        <v>400.0</v>
      </c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51"/>
      <c r="P9" s="52"/>
      <c r="Q9" s="52"/>
      <c r="R9" s="53"/>
      <c r="S9" s="54"/>
      <c r="T9" s="52"/>
      <c r="U9" s="52"/>
      <c r="V9" s="52"/>
      <c r="W9" s="53"/>
    </row>
    <row r="10" ht="21.75" customHeight="1">
      <c r="A10" s="39"/>
      <c r="B10" s="40"/>
      <c r="C10" s="75" t="str">
        <f>B9</f>
        <v>Janaina</v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51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1112</v>
      </c>
      <c r="D11" s="85">
        <f>SUMIFS(N29:N514,J29:J514,C11,K29:K514,C10)+SUMIF(Q64:Q106,A9,R64:R106)+D16</f>
        <v>500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3044</v>
      </c>
      <c r="D12" s="85">
        <f>SUMIFS(N36:N514,J36:J514,C12,K36:K514,C10)</f>
        <v>175.33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82"/>
      <c r="B13" s="93"/>
      <c r="C13" s="84" t="s">
        <v>3082</v>
      </c>
      <c r="D13" s="85">
        <f>D12*0.8</f>
        <v>140.264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2850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191" t="str">
        <f>B7</f>
        <v>Ana Carolina</v>
      </c>
      <c r="P19" s="106"/>
      <c r="Q19" s="106"/>
      <c r="R19" s="106"/>
      <c r="S19" s="110"/>
      <c r="T19" s="123" t="str">
        <f>B8</f>
        <v>Sabrina</v>
      </c>
      <c r="U19" s="106"/>
      <c r="V19" s="106"/>
      <c r="W19" s="124"/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600</v>
      </c>
      <c r="J20" s="132">
        <f>SUMIF(J29:J504,J19,N29:N504)</f>
        <v>425.88</v>
      </c>
      <c r="K20" s="133" t="s">
        <v>3520</v>
      </c>
      <c r="L20" s="134"/>
      <c r="M20" s="24"/>
      <c r="N20" s="24"/>
      <c r="O20" s="45" t="str">
        <f>IFERROR(__xludf.DUMMYFUNCTION("query(C28:L507,""select Col1,Col3,Col8,Col9 where (Col8 = 'Adiantamento' or Col8 = 'Consumo') and Col9 = '""&amp;B7&amp;""'"",1)"),"Data")</f>
        <v>Data</v>
      </c>
      <c r="P20" s="46" t="str">
        <f>IFERROR(__xludf.DUMMYFUNCTION("""COMPUTED_VALUE"""),"Valor ")</f>
        <v>Valor </v>
      </c>
      <c r="Q20" s="46" t="str">
        <f>IFERROR(__xludf.DUMMYFUNCTION("""COMPUTED_VALUE"""),"Tipo")</f>
        <v>Tipo</v>
      </c>
      <c r="R20" s="46" t="str">
        <f>IFERROR(__xludf.DUMMYFUNCTION("""COMPUTED_VALUE"""),"Funcionário")</f>
        <v>Funcionário</v>
      </c>
      <c r="S20" s="48"/>
      <c r="T20" s="49" t="str">
        <f>IFERROR(__xludf.DUMMYFUNCTION("query(C28:L507,""select Col1,Col3,Col8,Col9 where (Col8 = 'Adiantamento' or Col8 = 'Consumo') and Col9 = '""&amp;B8&amp;""'"",1)"),"#REF!")</f>
        <v>#REF!</v>
      </c>
      <c r="U20" s="49"/>
      <c r="V20" s="49"/>
      <c r="W20" s="50"/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17000</v>
      </c>
      <c r="I21" s="138"/>
      <c r="J21" s="139"/>
      <c r="K21" s="133" t="s">
        <v>3570</v>
      </c>
      <c r="L21" s="134"/>
      <c r="M21" s="24"/>
      <c r="N21" s="24"/>
      <c r="O21" s="51">
        <f>IFERROR(__xludf.DUMMYFUNCTION("""COMPUTED_VALUE"""),46051.74958333334)</f>
        <v>46051.74958</v>
      </c>
      <c r="P21" s="52" t="str">
        <f>IFERROR(__xludf.DUMMYFUNCTION("""COMPUTED_VALUE"""),"R$ 3,00")</f>
        <v>R$ 3,00</v>
      </c>
      <c r="Q21" s="52" t="str">
        <f>IFERROR(__xludf.DUMMYFUNCTION("""COMPUTED_VALUE"""),"Consumo")</f>
        <v>Consumo</v>
      </c>
      <c r="R21" s="52" t="str">
        <f>IFERROR(__xludf.DUMMYFUNCTION("""COMPUTED_VALUE"""),"Ana Carolina")</f>
        <v>Ana Carolina</v>
      </c>
      <c r="S21" s="54"/>
      <c r="T21" s="52"/>
      <c r="U21" s="52"/>
      <c r="V21" s="52"/>
      <c r="W21" s="53"/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51">
        <f>IFERROR(__xludf.DUMMYFUNCTION("""COMPUTED_VALUE"""),46052.566516203704)</f>
        <v>46052.56652</v>
      </c>
      <c r="P22" s="52" t="str">
        <f>IFERROR(__xludf.DUMMYFUNCTION("""COMPUTED_VALUE"""),"R$ 9,71")</f>
        <v>R$ 9,71</v>
      </c>
      <c r="Q22" s="52" t="str">
        <f>IFERROR(__xludf.DUMMYFUNCTION("""COMPUTED_VALUE"""),"Consumo")</f>
        <v>Consumo</v>
      </c>
      <c r="R22" s="52" t="str">
        <f>IFERROR(__xludf.DUMMYFUNCTION("""COMPUTED_VALUE"""),"Ana Carolina")</f>
        <v>Ana Carolina</v>
      </c>
      <c r="S22" s="54"/>
      <c r="T22" s="52"/>
      <c r="U22" s="52"/>
      <c r="V22" s="52"/>
      <c r="W22" s="53"/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51">
        <f>IFERROR(__xludf.DUMMYFUNCTION("""COMPUTED_VALUE"""),46055.68282407407)</f>
        <v>46055.68282</v>
      </c>
      <c r="P23" s="52" t="str">
        <f>IFERROR(__xludf.DUMMYFUNCTION("""COMPUTED_VALUE"""),"R$ 18,00")</f>
        <v>R$ 18,00</v>
      </c>
      <c r="Q23" s="52" t="str">
        <f>IFERROR(__xludf.DUMMYFUNCTION("""COMPUTED_VALUE"""),"Consumo")</f>
        <v>Consumo</v>
      </c>
      <c r="R23" s="52" t="str">
        <f>IFERROR(__xludf.DUMMYFUNCTION("""COMPUTED_VALUE"""),"Ana Carolina")</f>
        <v>Ana Carolina</v>
      </c>
      <c r="S23" s="54"/>
      <c r="T23" s="52"/>
      <c r="U23" s="52"/>
      <c r="V23" s="52"/>
      <c r="W23" s="53"/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0</v>
      </c>
      <c r="I24" s="157" t="s">
        <v>3653</v>
      </c>
      <c r="J24" s="150"/>
      <c r="K24" s="133" t="s">
        <v>3656</v>
      </c>
      <c r="L24" s="134"/>
      <c r="M24" s="24"/>
      <c r="N24" s="24"/>
      <c r="O24" s="51">
        <f>IFERROR(__xludf.DUMMYFUNCTION("""COMPUTED_VALUE"""),46057.6246875)</f>
        <v>46057.62469</v>
      </c>
      <c r="P24" s="52" t="str">
        <f>IFERROR(__xludf.DUMMYFUNCTION("""COMPUTED_VALUE"""),"R$ 8,52")</f>
        <v>R$ 8,52</v>
      </c>
      <c r="Q24" s="52" t="str">
        <f>IFERROR(__xludf.DUMMYFUNCTION("""COMPUTED_VALUE"""),"Consumo")</f>
        <v>Consumo</v>
      </c>
      <c r="R24" s="52" t="str">
        <f>IFERROR(__xludf.DUMMYFUNCTION("""COMPUTED_VALUE"""),"Ana Carolina")</f>
        <v>Ana Carolina</v>
      </c>
      <c r="S24" s="54"/>
      <c r="T24" s="52"/>
      <c r="U24" s="52"/>
      <c r="V24" s="52"/>
      <c r="W24" s="53"/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14150</v>
      </c>
      <c r="I25" s="151">
        <f>SUMIF(J29:J504,I24,N29:N504)</f>
        <v>0</v>
      </c>
      <c r="J25" s="152"/>
      <c r="K25" s="162"/>
      <c r="L25" s="163"/>
      <c r="M25" s="25"/>
      <c r="N25" s="25"/>
      <c r="O25" s="51">
        <f>IFERROR(__xludf.DUMMYFUNCTION("""COMPUTED_VALUE"""),46058.71921296296)</f>
        <v>46058.71921</v>
      </c>
      <c r="P25" s="52" t="str">
        <f>IFERROR(__xludf.DUMMYFUNCTION("""COMPUTED_VALUE"""),"R$ 16,00")</f>
        <v>R$ 16,00</v>
      </c>
      <c r="Q25" s="52" t="str">
        <f>IFERROR(__xludf.DUMMYFUNCTION("""COMPUTED_VALUE"""),"Consumo")</f>
        <v>Consumo</v>
      </c>
      <c r="R25" s="52" t="str">
        <f>IFERROR(__xludf.DUMMYFUNCTION("""COMPUTED_VALUE"""),"Ana Carolina")</f>
        <v>Ana Carolina</v>
      </c>
      <c r="S25" s="54"/>
      <c r="T25" s="52"/>
      <c r="U25" s="52"/>
      <c r="V25" s="52"/>
      <c r="W25" s="53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51">
        <f>IFERROR(__xludf.DUMMYFUNCTION("""COMPUTED_VALUE"""),46059.57997685185)</f>
        <v>46059.57998</v>
      </c>
      <c r="P26" s="79" t="str">
        <f>IFERROR(__xludf.DUMMYFUNCTION("""COMPUTED_VALUE"""),"R$ 7,92")</f>
        <v>R$ 7,92</v>
      </c>
      <c r="Q26" s="79" t="str">
        <f>IFERROR(__xludf.DUMMYFUNCTION("""COMPUTED_VALUE"""),"Consumo")</f>
        <v>Consumo</v>
      </c>
      <c r="R26" s="79" t="str">
        <f>IFERROR(__xludf.DUMMYFUNCTION("""COMPUTED_VALUE"""),"Ana Carolina")</f>
        <v>Ana Carolina</v>
      </c>
      <c r="S26" s="81"/>
      <c r="T26" s="79"/>
      <c r="U26" s="79"/>
      <c r="V26" s="79"/>
      <c r="W26" s="80"/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247">
        <f>IFERROR(__xludf.DUMMYFUNCTION("""COMPUTED_VALUE"""),46062.607256944444)</f>
        <v>46062.60726</v>
      </c>
      <c r="P27" s="89" t="str">
        <f>IFERROR(__xludf.DUMMYFUNCTION("""COMPUTED_VALUE"""),"R$ 20,90")</f>
        <v>R$ 20,90</v>
      </c>
      <c r="Q27" s="89" t="str">
        <f>IFERROR(__xludf.DUMMYFUNCTION("""COMPUTED_VALUE"""),"Consumo")</f>
        <v>Consumo</v>
      </c>
      <c r="R27" s="89" t="str">
        <f>IFERROR(__xludf.DUMMYFUNCTION("""COMPUTED_VALUE"""),"Ana Carolina")</f>
        <v>Ana Carolina</v>
      </c>
      <c r="S27" s="91"/>
      <c r="T27" s="89"/>
      <c r="U27" s="89"/>
      <c r="V27" s="89"/>
      <c r="W27" s="90"/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340" t="s">
        <v>3724</v>
      </c>
      <c r="M28" s="274" t="s">
        <v>12</v>
      </c>
      <c r="N28" s="167"/>
      <c r="O28" s="247">
        <f>IFERROR(__xludf.DUMMYFUNCTION("""COMPUTED_VALUE"""),46063.59013888889)</f>
        <v>46063.59014</v>
      </c>
      <c r="P28" s="89" t="str">
        <f>IFERROR(__xludf.DUMMYFUNCTION("""COMPUTED_VALUE"""),"R$ 5,75")</f>
        <v>R$ 5,75</v>
      </c>
      <c r="Q28" s="89" t="str">
        <f>IFERROR(__xludf.DUMMYFUNCTION("""COMPUTED_VALUE"""),"Consumo")</f>
        <v>Consumo</v>
      </c>
      <c r="R28" s="89" t="str">
        <f>IFERROR(__xludf.DUMMYFUNCTION("""COMPUTED_VALUE"""),"Ana Carolina")</f>
        <v>Ana Carolina</v>
      </c>
      <c r="S28" s="91"/>
      <c r="T28" s="89"/>
      <c r="U28" s="89"/>
      <c r="V28" s="89"/>
      <c r="W28" s="90"/>
    </row>
    <row r="29" ht="14.25" customHeight="1">
      <c r="A29" s="178"/>
      <c r="B29" s="10">
        <v>1957269.0</v>
      </c>
      <c r="C29" s="11">
        <v>46048.53181712963</v>
      </c>
      <c r="D29" s="179" t="s">
        <v>50</v>
      </c>
      <c r="E29" s="180" t="s">
        <v>6968</v>
      </c>
      <c r="F29" s="181"/>
      <c r="G29" s="179" t="s">
        <v>6826</v>
      </c>
      <c r="H29" s="190"/>
      <c r="I29" s="190"/>
      <c r="J29" s="187" t="s">
        <v>3044</v>
      </c>
      <c r="K29" s="187" t="s">
        <v>6340</v>
      </c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IFERROR(__xludf.DUMMYFUNCTION("ifna(VALUE(REGEXEXTRACT(E29,""[0-9.]+[,]+[0-9]+"")))"),17.0)</f>
        <v>17</v>
      </c>
      <c r="O29" s="247">
        <f>IFERROR(__xludf.DUMMYFUNCTION("""COMPUTED_VALUE"""),46063.70201388889)</f>
        <v>46063.70201</v>
      </c>
      <c r="P29" s="89" t="str">
        <f>IFERROR(__xludf.DUMMYFUNCTION("""COMPUTED_VALUE"""),"R$ 4,00")</f>
        <v>R$ 4,00</v>
      </c>
      <c r="Q29" s="89" t="str">
        <f>IFERROR(__xludf.DUMMYFUNCTION("""COMPUTED_VALUE"""),"Consumo")</f>
        <v>Consumo</v>
      </c>
      <c r="R29" s="89" t="str">
        <f>IFERROR(__xludf.DUMMYFUNCTION("""COMPUTED_VALUE"""),"Ana Carolina")</f>
        <v>Ana Carolina</v>
      </c>
      <c r="S29" s="91"/>
      <c r="T29" s="89"/>
      <c r="U29" s="89"/>
      <c r="V29" s="89"/>
      <c r="W29" s="90"/>
    </row>
    <row r="30">
      <c r="A30" s="178"/>
      <c r="B30" s="10">
        <v>1957757.0</v>
      </c>
      <c r="C30" s="11">
        <v>46048.696064814816</v>
      </c>
      <c r="D30" s="179" t="s">
        <v>50</v>
      </c>
      <c r="E30" s="180" t="s">
        <v>7183</v>
      </c>
      <c r="F30" s="181"/>
      <c r="G30" s="179" t="s">
        <v>7564</v>
      </c>
      <c r="H30" s="190"/>
      <c r="I30" s="190"/>
      <c r="J30" s="187" t="s">
        <v>3903</v>
      </c>
      <c r="K30" s="187"/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85">
        <f>IFERROR(__xludf.DUMMYFUNCTION("ifna(VALUE(REGEXEXTRACT(E30,""[0-9.]+[,]+[0-9]+"")))"),62.4)</f>
        <v>62.4</v>
      </c>
      <c r="O30" s="247">
        <f>IFERROR(__xludf.DUMMYFUNCTION("""COMPUTED_VALUE"""),46063.70921296296)</f>
        <v>46063.70921</v>
      </c>
      <c r="P30" s="89" t="str">
        <f>IFERROR(__xludf.DUMMYFUNCTION("""COMPUTED_VALUE"""),"R$ 29,01")</f>
        <v>R$ 29,01</v>
      </c>
      <c r="Q30" s="89" t="str">
        <f>IFERROR(__xludf.DUMMYFUNCTION("""COMPUTED_VALUE"""),"Consumo")</f>
        <v>Consumo</v>
      </c>
      <c r="R30" s="89" t="str">
        <f>IFERROR(__xludf.DUMMYFUNCTION("""COMPUTED_VALUE"""),"Ana Carolina")</f>
        <v>Ana Carolina</v>
      </c>
      <c r="S30" s="91"/>
      <c r="T30" s="89"/>
      <c r="U30" s="89"/>
      <c r="V30" s="89"/>
      <c r="W30" s="90"/>
    </row>
    <row r="31" ht="14.25" customHeight="1">
      <c r="A31" s="178"/>
      <c r="B31" s="10">
        <v>1957774.0</v>
      </c>
      <c r="C31" s="11">
        <v>46048.69944444444</v>
      </c>
      <c r="D31" s="179" t="s">
        <v>50</v>
      </c>
      <c r="E31" s="180" t="s">
        <v>719</v>
      </c>
      <c r="F31" s="181"/>
      <c r="G31" s="10" t="s">
        <v>7567</v>
      </c>
      <c r="H31" s="190"/>
      <c r="I31" s="190"/>
      <c r="J31" s="187" t="s">
        <v>1112</v>
      </c>
      <c r="K31" s="187" t="s">
        <v>7058</v>
      </c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IFERROR(__xludf.DUMMYFUNCTION("ifna(VALUE(REGEXEXTRACT(E31,""[0-9.]+[,]+[0-9]+"")))"),500.0)</f>
        <v>500</v>
      </c>
      <c r="O31" s="250">
        <f>IFERROR(__xludf.DUMMYFUNCTION("""COMPUTED_VALUE"""),46072.75398148148)</f>
        <v>46072.75398</v>
      </c>
      <c r="P31" s="193" t="str">
        <f>IFERROR(__xludf.DUMMYFUNCTION("""COMPUTED_VALUE"""),"R$ 18,00")</f>
        <v>R$ 18,00</v>
      </c>
      <c r="Q31" s="194" t="str">
        <f>IFERROR(__xludf.DUMMYFUNCTION("""COMPUTED_VALUE"""),"Consumo")</f>
        <v>Consumo</v>
      </c>
      <c r="R31" s="195" t="str">
        <f>IFERROR(__xludf.DUMMYFUNCTION("""COMPUTED_VALUE"""),"Ana Carolina")</f>
        <v>Ana Carolina</v>
      </c>
      <c r="S31" s="91"/>
      <c r="T31" s="89"/>
      <c r="U31" s="89"/>
      <c r="V31" s="89"/>
      <c r="W31" s="90"/>
    </row>
    <row r="32" ht="14.25" customHeight="1">
      <c r="A32" s="178"/>
      <c r="B32" s="10">
        <v>1957776.0</v>
      </c>
      <c r="C32" s="11">
        <v>46048.69972222222</v>
      </c>
      <c r="D32" s="179" t="s">
        <v>50</v>
      </c>
      <c r="E32" s="180" t="s">
        <v>146</v>
      </c>
      <c r="F32" s="181"/>
      <c r="G32" s="179" t="s">
        <v>4960</v>
      </c>
      <c r="H32" s="190"/>
      <c r="I32" s="190"/>
      <c r="J32" s="187" t="s">
        <v>3044</v>
      </c>
      <c r="K32" s="187" t="s">
        <v>7058</v>
      </c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IFERROR(__xludf.DUMMYFUNCTION("ifna(VALUE(REGEXEXTRACT(E32,""[0-9.]+[,]+[0-9]+"")))"),3.0)</f>
        <v>3</v>
      </c>
      <c r="O32" s="247">
        <f>IFERROR(__xludf.DUMMYFUNCTION("""COMPUTED_VALUE"""),46076.567037037035)</f>
        <v>46076.56704</v>
      </c>
      <c r="P32" s="89" t="str">
        <f>IFERROR(__xludf.DUMMYFUNCTION("""COMPUTED_VALUE"""),"R$ 4,00")</f>
        <v>R$ 4,00</v>
      </c>
      <c r="Q32" s="89" t="str">
        <f>IFERROR(__xludf.DUMMYFUNCTION("""COMPUTED_VALUE"""),"Consumo")</f>
        <v>Consumo</v>
      </c>
      <c r="R32" s="89" t="str">
        <f>IFERROR(__xludf.DUMMYFUNCTION("""COMPUTED_VALUE"""),"Ana Carolina")</f>
        <v>Ana Carolina</v>
      </c>
      <c r="S32" s="91"/>
      <c r="T32" s="89"/>
      <c r="U32" s="89"/>
      <c r="V32" s="89"/>
      <c r="W32" s="90"/>
    </row>
    <row r="33" ht="14.25" customHeight="1">
      <c r="A33" s="178"/>
      <c r="B33" s="10">
        <v>1957841.0</v>
      </c>
      <c r="C33" s="11">
        <v>46048.71234953704</v>
      </c>
      <c r="D33" s="179" t="s">
        <v>50</v>
      </c>
      <c r="E33" s="180" t="s">
        <v>1611</v>
      </c>
      <c r="F33" s="181"/>
      <c r="G33" s="179" t="s">
        <v>6826</v>
      </c>
      <c r="H33" s="190"/>
      <c r="I33" s="190"/>
      <c r="J33" s="187" t="s">
        <v>3044</v>
      </c>
      <c r="K33" s="187" t="s">
        <v>6340</v>
      </c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IFERROR(__xludf.DUMMYFUNCTION("ifna(VALUE(REGEXEXTRACT(E33,""[0-9.]+[,]+[0-9]+"")))"),7.0)</f>
        <v>7</v>
      </c>
      <c r="O33" s="247">
        <f>IFERROR(__xludf.DUMMYFUNCTION("""COMPUTED_VALUE"""),46076.75518518519)</f>
        <v>46076.75519</v>
      </c>
      <c r="P33" s="89" t="str">
        <f>IFERROR(__xludf.DUMMYFUNCTION("""COMPUTED_VALUE"""),"R$ 15,90")</f>
        <v>R$ 15,90</v>
      </c>
      <c r="Q33" s="89" t="str">
        <f>IFERROR(__xludf.DUMMYFUNCTION("""COMPUTED_VALUE"""),"Consumo")</f>
        <v>Consumo</v>
      </c>
      <c r="R33" s="89" t="str">
        <f>IFERROR(__xludf.DUMMYFUNCTION("""COMPUTED_VALUE"""),"Ana Carolina")</f>
        <v>Ana Carolina</v>
      </c>
      <c r="S33" s="91"/>
      <c r="T33" s="89"/>
      <c r="U33" s="89"/>
      <c r="V33" s="89"/>
      <c r="W33" s="90"/>
    </row>
    <row r="34" ht="14.25" customHeight="1">
      <c r="A34" s="178"/>
      <c r="B34" s="10">
        <v>1957934.0</v>
      </c>
      <c r="C34" s="11">
        <v>46048.73296296296</v>
      </c>
      <c r="D34" s="179" t="s">
        <v>50</v>
      </c>
      <c r="E34" s="180" t="s">
        <v>7565</v>
      </c>
      <c r="F34" s="181"/>
      <c r="G34" s="179" t="s">
        <v>6513</v>
      </c>
      <c r="H34" s="190"/>
      <c r="I34" s="190"/>
      <c r="J34" s="187" t="s">
        <v>3044</v>
      </c>
      <c r="K34" s="187" t="s">
        <v>7052</v>
      </c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IFERROR(__xludf.DUMMYFUNCTION("ifna(VALUE(REGEXEXTRACT(E34,""[0-9.]+[,]+[0-9]+"")))"),4.73)</f>
        <v>4.73</v>
      </c>
      <c r="O34" s="247">
        <f>IFERROR(__xludf.DUMMYFUNCTION("""COMPUTED_VALUE"""),46076.76012731482)</f>
        <v>46076.76013</v>
      </c>
      <c r="P34" s="109" t="str">
        <f>IFERROR(__xludf.DUMMYFUNCTION("""COMPUTED_VALUE"""),"R$ 19,30")</f>
        <v>R$ 19,30</v>
      </c>
      <c r="Q34" s="109" t="str">
        <f>IFERROR(__xludf.DUMMYFUNCTION("""COMPUTED_VALUE"""),"Consumo")</f>
        <v>Consumo</v>
      </c>
      <c r="R34" s="109" t="str">
        <f>IFERROR(__xludf.DUMMYFUNCTION("""COMPUTED_VALUE"""),"Ana Carolina")</f>
        <v>Ana Carolina</v>
      </c>
      <c r="S34" s="110"/>
      <c r="T34" s="109"/>
      <c r="U34" s="109"/>
      <c r="V34" s="109"/>
      <c r="W34" s="111"/>
    </row>
    <row r="35" ht="18.75" customHeight="1">
      <c r="A35" s="178"/>
      <c r="B35" s="10">
        <v>1958183.0</v>
      </c>
      <c r="C35" s="11">
        <v>46048.795752314814</v>
      </c>
      <c r="D35" s="179" t="s">
        <v>50</v>
      </c>
      <c r="E35" s="180" t="s">
        <v>6968</v>
      </c>
      <c r="F35" s="188"/>
      <c r="G35" s="179" t="s">
        <v>4960</v>
      </c>
      <c r="H35" s="190"/>
      <c r="I35" s="190"/>
      <c r="J35" s="187" t="s">
        <v>3044</v>
      </c>
      <c r="K35" s="187" t="s">
        <v>7058</v>
      </c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IFERROR(__xludf.DUMMYFUNCTION("ifna(VALUE(REGEXEXTRACT(E35,""[0-9.]+[,]+[0-9]+"")))"),17.0)</f>
        <v>17</v>
      </c>
      <c r="O35" s="238">
        <f>IFERROR(__xludf.DUMMYFUNCTION("""COMPUTED_VALUE"""),46077.52371527778)</f>
        <v>46077.52372</v>
      </c>
      <c r="P35" s="239" t="str">
        <f>IFERROR(__xludf.DUMMYFUNCTION("""COMPUTED_VALUE"""),"R$ 4,00")</f>
        <v>R$ 4,00</v>
      </c>
      <c r="Q35" s="239" t="str">
        <f>IFERROR(__xludf.DUMMYFUNCTION("""COMPUTED_VALUE"""),"Consumo")</f>
        <v>Consumo</v>
      </c>
      <c r="R35" s="239" t="str">
        <f>IFERROR(__xludf.DUMMYFUNCTION("""COMPUTED_VALUE"""),"Ana Carolina")</f>
        <v>Ana Carolina</v>
      </c>
      <c r="S35" s="24"/>
      <c r="T35" s="239"/>
      <c r="U35" s="239"/>
      <c r="V35" s="239"/>
      <c r="W35" s="239"/>
    </row>
    <row r="36" ht="14.25" customHeight="1">
      <c r="A36" s="178"/>
      <c r="B36" s="10">
        <v>1959586.0</v>
      </c>
      <c r="C36" s="11">
        <v>46049.65357638889</v>
      </c>
      <c r="D36" s="179" t="s">
        <v>50</v>
      </c>
      <c r="E36" s="180" t="s">
        <v>6731</v>
      </c>
      <c r="F36" s="181"/>
      <c r="G36" s="179" t="s">
        <v>7579</v>
      </c>
      <c r="H36" s="186"/>
      <c r="I36" s="186"/>
      <c r="J36" s="187" t="s">
        <v>4159</v>
      </c>
      <c r="K36" s="187"/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IFERROR(__xludf.DUMMYFUNCTION("ifna(VALUE(REGEXEXTRACT(E36,""[0-9.]+[,]+[0-9]+"")))"),100.0)</f>
        <v>100</v>
      </c>
      <c r="S36" s="24"/>
      <c r="T36" s="239"/>
      <c r="U36" s="239"/>
      <c r="V36" s="239"/>
      <c r="W36" s="239"/>
    </row>
    <row r="37" ht="14.25" customHeight="1">
      <c r="A37" s="178"/>
      <c r="B37" s="10">
        <v>1959588.0</v>
      </c>
      <c r="C37" s="11">
        <v>46049.65403935185</v>
      </c>
      <c r="D37" s="179" t="s">
        <v>227</v>
      </c>
      <c r="E37" s="180" t="s">
        <v>494</v>
      </c>
      <c r="F37" s="188"/>
      <c r="G37" s="179" t="s">
        <v>7583</v>
      </c>
      <c r="H37" s="186"/>
      <c r="I37" s="186"/>
      <c r="J37" s="187" t="s">
        <v>4159</v>
      </c>
      <c r="K37" s="187"/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IFERROR(__xludf.DUMMYFUNCTION("ifna(VALUE(REGEXEXTRACT(E37,""[0-9.]+[,]+[0-9]+"")))"),0.01)</f>
        <v>0.01</v>
      </c>
      <c r="S37" s="24"/>
      <c r="T37" s="239"/>
      <c r="U37" s="239"/>
      <c r="V37" s="239"/>
      <c r="W37" s="239"/>
    </row>
    <row r="38" ht="14.25" customHeight="1">
      <c r="A38" s="178"/>
      <c r="B38" s="10">
        <v>1959593.0</v>
      </c>
      <c r="C38" s="11">
        <v>46049.655011574076</v>
      </c>
      <c r="D38" s="179" t="s">
        <v>50</v>
      </c>
      <c r="E38" s="180" t="s">
        <v>7586</v>
      </c>
      <c r="F38" s="181"/>
      <c r="G38" s="179" t="s">
        <v>7587</v>
      </c>
      <c r="H38" s="186"/>
      <c r="I38" s="186"/>
      <c r="J38" s="187" t="s">
        <v>3467</v>
      </c>
      <c r="K38" s="187"/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IFERROR(__xludf.DUMMYFUNCTION("ifna(VALUE(REGEXEXTRACT(E38,""[0-9.]+[,]+[0-9]+"")))"),81.15)</f>
        <v>81.15</v>
      </c>
      <c r="S38" s="24"/>
      <c r="T38" s="239"/>
      <c r="U38" s="239"/>
      <c r="V38" s="239"/>
      <c r="W38" s="239"/>
    </row>
    <row r="39" ht="21.75" customHeight="1">
      <c r="A39" s="178"/>
      <c r="B39" s="10">
        <v>1959722.0</v>
      </c>
      <c r="C39" s="11">
        <v>46049.68922453704</v>
      </c>
      <c r="D39" s="179" t="s">
        <v>50</v>
      </c>
      <c r="E39" s="180" t="s">
        <v>157</v>
      </c>
      <c r="F39" s="181"/>
      <c r="G39" s="179" t="s">
        <v>6513</v>
      </c>
      <c r="H39" s="186"/>
      <c r="I39" s="186"/>
      <c r="J39" s="187" t="s">
        <v>3044</v>
      </c>
      <c r="K39" s="187" t="s">
        <v>7052</v>
      </c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IFERROR(__xludf.DUMMYFUNCTION("ifna(VALUE(REGEXEXTRACT(E39,""[0-9.]+[,]+[0-9]+"")))"),5.0)</f>
        <v>5</v>
      </c>
      <c r="O39" s="191" t="str">
        <f>B9</f>
        <v>Janaina</v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</row>
    <row r="40" ht="14.25" customHeight="1">
      <c r="A40" s="178"/>
      <c r="B40" s="10">
        <v>1959723.0</v>
      </c>
      <c r="C40" s="11">
        <v>46049.68944444445</v>
      </c>
      <c r="D40" s="179" t="s">
        <v>50</v>
      </c>
      <c r="E40" s="180" t="s">
        <v>157</v>
      </c>
      <c r="F40" s="181"/>
      <c r="G40" s="179" t="s">
        <v>6513</v>
      </c>
      <c r="H40" s="186"/>
      <c r="I40" s="186"/>
      <c r="J40" s="187" t="s">
        <v>3044</v>
      </c>
      <c r="K40" s="187" t="s">
        <v>7052</v>
      </c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IFERROR(__xludf.DUMMYFUNCTION("ifna(VALUE(REGEXEXTRACT(E40,""[0-9.]+[,]+[0-9]+"")))"),5.0)</f>
        <v>5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</row>
    <row r="41" ht="27.0" customHeight="1">
      <c r="A41" s="178"/>
      <c r="B41" s="10">
        <v>1959815.0</v>
      </c>
      <c r="C41" s="11">
        <v>46049.70842592593</v>
      </c>
      <c r="D41" s="179" t="s">
        <v>50</v>
      </c>
      <c r="E41" s="180" t="s">
        <v>7597</v>
      </c>
      <c r="F41" s="181"/>
      <c r="G41" s="179" t="s">
        <v>7599</v>
      </c>
      <c r="H41" s="186"/>
      <c r="I41" s="186"/>
      <c r="J41" s="187" t="s">
        <v>3903</v>
      </c>
      <c r="K41" s="187"/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"""")"),"Encontrada")</f>
        <v>Encontrada</v>
      </c>
      <c r="N41" s="185">
        <f>IFERROR(__xludf.DUMMYFUNCTION("ifna(VALUE(REGEXEXTRACT(E41,""[0-9.]+[,]+[0-9]+"")))"),391.85)</f>
        <v>391.85</v>
      </c>
      <c r="O41" s="51">
        <f>IFERROR(__xludf.DUMMYFUNCTION("""COMPUTED_VALUE"""),46048.53181712963)</f>
        <v>46048.53182</v>
      </c>
      <c r="P41" s="52" t="str">
        <f>IFERROR(__xludf.DUMMYFUNCTION("""COMPUTED_VALUE"""),"R$ 17,00")</f>
        <v>R$ 17,00</v>
      </c>
      <c r="Q41" s="52" t="str">
        <f>IFERROR(__xludf.DUMMYFUNCTION("""COMPUTED_VALUE"""),"Consumo")</f>
        <v>Consumo</v>
      </c>
      <c r="R41" s="52" t="str">
        <f>IFERROR(__xludf.DUMMYFUNCTION("""COMPUTED_VALUE"""),"Janaina")</f>
        <v>Janaina</v>
      </c>
      <c r="S41" s="54"/>
      <c r="T41" s="52"/>
      <c r="U41" s="52"/>
      <c r="V41" s="52"/>
      <c r="W41" s="53"/>
    </row>
    <row r="42" ht="14.25" customHeight="1">
      <c r="A42" s="178"/>
      <c r="B42" s="10">
        <v>1959820.0</v>
      </c>
      <c r="C42" s="11">
        <v>46049.70892361111</v>
      </c>
      <c r="D42" s="179" t="s">
        <v>50</v>
      </c>
      <c r="E42" s="180" t="s">
        <v>7605</v>
      </c>
      <c r="F42" s="181"/>
      <c r="G42" s="179" t="s">
        <v>7606</v>
      </c>
      <c r="H42" s="186"/>
      <c r="I42" s="186"/>
      <c r="J42" s="187" t="s">
        <v>3903</v>
      </c>
      <c r="K42" s="187"/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85">
        <f>IFERROR(__xludf.DUMMYFUNCTION("ifna(VALUE(REGEXEXTRACT(E42,""[0-9.]+[,]+[0-9]+"")))"),34.08)</f>
        <v>34.08</v>
      </c>
      <c r="O42" s="51">
        <f>IFERROR(__xludf.DUMMYFUNCTION("""COMPUTED_VALUE"""),46048.71234953703)</f>
        <v>46048.71235</v>
      </c>
      <c r="P42" s="52" t="str">
        <f>IFERROR(__xludf.DUMMYFUNCTION("""COMPUTED_VALUE"""),"R$ 7,00")</f>
        <v>R$ 7,00</v>
      </c>
      <c r="Q42" s="52" t="str">
        <f>IFERROR(__xludf.DUMMYFUNCTION("""COMPUTED_VALUE"""),"Consumo")</f>
        <v>Consumo</v>
      </c>
      <c r="R42" s="52" t="str">
        <f>IFERROR(__xludf.DUMMYFUNCTION("""COMPUTED_VALUE"""),"Janaina")</f>
        <v>Janaina</v>
      </c>
      <c r="S42" s="54"/>
      <c r="T42" s="52"/>
      <c r="U42" s="52"/>
      <c r="V42" s="52"/>
      <c r="W42" s="53"/>
    </row>
    <row r="43" ht="14.25" customHeight="1">
      <c r="A43" s="178"/>
      <c r="B43" s="10">
        <v>1960106.0</v>
      </c>
      <c r="C43" s="11">
        <v>46049.772731481484</v>
      </c>
      <c r="D43" s="179" t="s">
        <v>50</v>
      </c>
      <c r="E43" s="180" t="s">
        <v>157</v>
      </c>
      <c r="F43" s="181"/>
      <c r="G43" s="179" t="s">
        <v>4960</v>
      </c>
      <c r="H43" s="189"/>
      <c r="I43" s="189"/>
      <c r="J43" s="187" t="s">
        <v>3044</v>
      </c>
      <c r="K43" s="187" t="s">
        <v>7058</v>
      </c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IFERROR(__xludf.DUMMYFUNCTION("ifna(VALUE(REGEXEXTRACT(E43,""[0-9.]+[,]+[0-9]+"")))"),5.0)</f>
        <v>5</v>
      </c>
      <c r="O43" s="51">
        <f>IFERROR(__xludf.DUMMYFUNCTION("""COMPUTED_VALUE"""),46051.87204861111)</f>
        <v>46051.87205</v>
      </c>
      <c r="P43" s="52" t="str">
        <f>IFERROR(__xludf.DUMMYFUNCTION("""COMPUTED_VALUE"""),"R$ 5,00")</f>
        <v>R$ 5,00</v>
      </c>
      <c r="Q43" s="52" t="str">
        <f>IFERROR(__xludf.DUMMYFUNCTION("""COMPUTED_VALUE"""),"Consumo")</f>
        <v>Consumo</v>
      </c>
      <c r="R43" s="52" t="str">
        <f>IFERROR(__xludf.DUMMYFUNCTION("""COMPUTED_VALUE"""),"Janaina")</f>
        <v>Janaina</v>
      </c>
      <c r="S43" s="54"/>
      <c r="T43" s="52"/>
      <c r="U43" s="52"/>
      <c r="V43" s="52"/>
      <c r="W43" s="53"/>
    </row>
    <row r="44" ht="14.25" customHeight="1">
      <c r="A44" s="178"/>
      <c r="B44" s="10">
        <v>1960118.0</v>
      </c>
      <c r="C44" s="11">
        <v>46049.77515046296</v>
      </c>
      <c r="D44" s="179" t="s">
        <v>50</v>
      </c>
      <c r="E44" s="180" t="s">
        <v>6965</v>
      </c>
      <c r="F44" s="181"/>
      <c r="G44" s="179" t="s">
        <v>6513</v>
      </c>
      <c r="H44" s="189"/>
      <c r="I44" s="189"/>
      <c r="J44" s="187" t="s">
        <v>3044</v>
      </c>
      <c r="K44" s="187" t="s">
        <v>7052</v>
      </c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IFERROR(__xludf.DUMMYFUNCTION("ifna(VALUE(REGEXEXTRACT(E44,""[0-9.]+[,]+[0-9]+"")))"),20.9)</f>
        <v>20.9</v>
      </c>
      <c r="O44" s="51">
        <f>IFERROR(__xludf.DUMMYFUNCTION("""COMPUTED_VALUE"""),46055.68315972222)</f>
        <v>46055.68316</v>
      </c>
      <c r="P44" s="52" t="str">
        <f>IFERROR(__xludf.DUMMYFUNCTION("""COMPUTED_VALUE"""),"R$ 12,00")</f>
        <v>R$ 12,00</v>
      </c>
      <c r="Q44" s="52" t="str">
        <f>IFERROR(__xludf.DUMMYFUNCTION("""COMPUTED_VALUE"""),"Consumo")</f>
        <v>Consumo</v>
      </c>
      <c r="R44" s="52" t="str">
        <f>IFERROR(__xludf.DUMMYFUNCTION("""COMPUTED_VALUE"""),"Janaina")</f>
        <v>Janaina</v>
      </c>
      <c r="S44" s="54"/>
      <c r="T44" s="52"/>
      <c r="U44" s="52"/>
      <c r="V44" s="52"/>
      <c r="W44" s="53"/>
    </row>
    <row r="45" ht="14.25" customHeight="1">
      <c r="A45" s="178"/>
      <c r="B45" s="10">
        <v>1960358.0</v>
      </c>
      <c r="C45" s="11">
        <v>46049.85623842593</v>
      </c>
      <c r="D45" s="179" t="s">
        <v>50</v>
      </c>
      <c r="E45" s="180" t="s">
        <v>7610</v>
      </c>
      <c r="F45" s="181"/>
      <c r="G45" s="179" t="s">
        <v>4960</v>
      </c>
      <c r="H45" s="190"/>
      <c r="I45" s="190"/>
      <c r="J45" s="187" t="s">
        <v>3044</v>
      </c>
      <c r="K45" s="187" t="s">
        <v>7058</v>
      </c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IFERROR(__xludf.DUMMYFUNCTION("ifna(VALUE(REGEXEXTRACT(E45,""[0-9.]+[,]+[0-9]+"")))"),32.08)</f>
        <v>32.08</v>
      </c>
      <c r="O45" s="51">
        <f>IFERROR(__xludf.DUMMYFUNCTION("""COMPUTED_VALUE"""),46058.77758101852)</f>
        <v>46058.77758</v>
      </c>
      <c r="P45" s="52" t="str">
        <f>IFERROR(__xludf.DUMMYFUNCTION("""COMPUTED_VALUE"""),"R$ 19,04")</f>
        <v>R$ 19,04</v>
      </c>
      <c r="Q45" s="52" t="str">
        <f>IFERROR(__xludf.DUMMYFUNCTION("""COMPUTED_VALUE"""),"Consumo")</f>
        <v>Consumo</v>
      </c>
      <c r="R45" s="52" t="str">
        <f>IFERROR(__xludf.DUMMYFUNCTION("""COMPUTED_VALUE"""),"Janaina")</f>
        <v>Janaina</v>
      </c>
      <c r="S45" s="54"/>
      <c r="T45" s="52"/>
      <c r="U45" s="52"/>
      <c r="V45" s="52"/>
      <c r="W45" s="53"/>
    </row>
    <row r="46" ht="18.75" customHeight="1">
      <c r="A46" s="178"/>
      <c r="B46" s="10">
        <v>1960621.0</v>
      </c>
      <c r="C46" s="11">
        <v>46050.41997685185</v>
      </c>
      <c r="D46" s="179" t="s">
        <v>50</v>
      </c>
      <c r="E46" s="180" t="s">
        <v>1279</v>
      </c>
      <c r="F46" s="181"/>
      <c r="G46" s="179" t="s">
        <v>7615</v>
      </c>
      <c r="H46" s="190"/>
      <c r="I46" s="190"/>
      <c r="J46" s="187" t="s">
        <v>3746</v>
      </c>
      <c r="K46" s="187" t="s">
        <v>7058</v>
      </c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"),"Caixa Sangria")</f>
        <v>Caixa Sangria</v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IFERROR(__xludf.DUMMYFUNCTION("ifna(VALUE(REGEXEXTRACT(E46,""[0-9.]+[,]+[0-9]+"")))"),600.0)</f>
        <v>600</v>
      </c>
      <c r="O46" s="51">
        <f>IFERROR(__xludf.DUMMYFUNCTION("""COMPUTED_VALUE"""),46060.87873842593)</f>
        <v>46060.87874</v>
      </c>
      <c r="P46" s="79" t="str">
        <f>IFERROR(__xludf.DUMMYFUNCTION("""COMPUTED_VALUE"""),"R$ 12,00")</f>
        <v>R$ 12,00</v>
      </c>
      <c r="Q46" s="79" t="str">
        <f>IFERROR(__xludf.DUMMYFUNCTION("""COMPUTED_VALUE"""),"Consumo")</f>
        <v>Consumo</v>
      </c>
      <c r="R46" s="79" t="str">
        <f>IFERROR(__xludf.DUMMYFUNCTION("""COMPUTED_VALUE"""),"Janaina")</f>
        <v>Janaina</v>
      </c>
      <c r="S46" s="81"/>
      <c r="T46" s="79"/>
      <c r="U46" s="79"/>
      <c r="V46" s="79"/>
      <c r="W46" s="80"/>
    </row>
    <row r="47" ht="14.25" customHeight="1">
      <c r="A47" s="178"/>
      <c r="B47" s="10">
        <v>1960622.0</v>
      </c>
      <c r="C47" s="11">
        <v>46050.41997685185</v>
      </c>
      <c r="D47" s="179" t="s">
        <v>50</v>
      </c>
      <c r="E47" s="180" t="s">
        <v>1279</v>
      </c>
      <c r="F47" s="188"/>
      <c r="G47" s="341" t="s">
        <v>7615</v>
      </c>
      <c r="H47" s="190"/>
      <c r="I47" s="190"/>
      <c r="J47" s="187"/>
      <c r="K47" s="187"/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IFERROR(__xludf.DUMMYFUNCTION("ifna(VALUE(REGEXEXTRACT(E47,""[0-9.]+[,]+[0-9]+"")))"),600.0)</f>
        <v>600</v>
      </c>
      <c r="O47" s="247">
        <f>IFERROR(__xludf.DUMMYFUNCTION("""COMPUTED_VALUE"""),46063.769166666665)</f>
        <v>46063.76917</v>
      </c>
      <c r="P47" s="89" t="str">
        <f>IFERROR(__xludf.DUMMYFUNCTION("""COMPUTED_VALUE"""),"R$ 18,66")</f>
        <v>R$ 18,66</v>
      </c>
      <c r="Q47" s="89" t="str">
        <f>IFERROR(__xludf.DUMMYFUNCTION("""COMPUTED_VALUE"""),"Consumo")</f>
        <v>Consumo</v>
      </c>
      <c r="R47" s="89" t="str">
        <f>IFERROR(__xludf.DUMMYFUNCTION("""COMPUTED_VALUE"""),"Janaina")</f>
        <v>Janaina</v>
      </c>
      <c r="S47" s="91"/>
      <c r="T47" s="89"/>
      <c r="U47" s="89"/>
      <c r="V47" s="89"/>
      <c r="W47" s="90"/>
    </row>
    <row r="48">
      <c r="A48" s="178"/>
      <c r="B48" s="10">
        <v>1960623.0</v>
      </c>
      <c r="C48" s="11">
        <v>46050.41997685185</v>
      </c>
      <c r="D48" s="179" t="s">
        <v>50</v>
      </c>
      <c r="E48" s="180" t="s">
        <v>1279</v>
      </c>
      <c r="F48" s="181"/>
      <c r="G48" s="341" t="s">
        <v>7615</v>
      </c>
      <c r="H48" s="190"/>
      <c r="I48" s="190"/>
      <c r="J48" s="187"/>
      <c r="K48" s="187"/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IFERROR(__xludf.DUMMYFUNCTION("ifna(VALUE(REGEXEXTRACT(E48,""[0-9.]+[,]+[0-9]+"")))"),600.0)</f>
        <v>600</v>
      </c>
      <c r="O48" s="250">
        <f>IFERROR(__xludf.DUMMYFUNCTION("""COMPUTED_VALUE"""),46064.82685185185)</f>
        <v>46064.82685</v>
      </c>
      <c r="P48" s="193" t="str">
        <f>IFERROR(__xludf.DUMMYFUNCTION("""COMPUTED_VALUE"""),"R$ 5,24")</f>
        <v>R$ 5,24</v>
      </c>
      <c r="Q48" s="194" t="str">
        <f>IFERROR(__xludf.DUMMYFUNCTION("""COMPUTED_VALUE"""),"Consumo")</f>
        <v>Consumo</v>
      </c>
      <c r="R48" s="195" t="str">
        <f>IFERROR(__xludf.DUMMYFUNCTION("""COMPUTED_VALUE"""),"Janaina")</f>
        <v>Janaina</v>
      </c>
      <c r="S48" s="91"/>
      <c r="T48" s="89"/>
      <c r="U48" s="89"/>
      <c r="V48" s="89"/>
      <c r="W48" s="90"/>
    </row>
    <row r="49" ht="21.0" customHeight="1">
      <c r="A49" s="178"/>
      <c r="B49" s="10">
        <v>1962948.0</v>
      </c>
      <c r="C49" s="11">
        <v>46050.80069444444</v>
      </c>
      <c r="D49" s="179" t="s">
        <v>50</v>
      </c>
      <c r="E49" s="180" t="s">
        <v>329</v>
      </c>
      <c r="F49" s="181"/>
      <c r="G49" s="179" t="s">
        <v>7627</v>
      </c>
      <c r="H49" s="190"/>
      <c r="I49" s="190"/>
      <c r="J49" s="187" t="s">
        <v>3874</v>
      </c>
      <c r="K49" s="187"/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IFERROR(__xludf.DUMMYFUNCTION("ifna(VALUE(REGEXEXTRACT(E49,""[0-9.]+[,]+[0-9]+"")))"),200.0)</f>
        <v>200</v>
      </c>
      <c r="O49" s="250">
        <f>IFERROR(__xludf.DUMMYFUNCTION("""COMPUTED_VALUE"""),46066.537569444445)</f>
        <v>46066.53757</v>
      </c>
      <c r="P49" s="193" t="str">
        <f>IFERROR(__xludf.DUMMYFUNCTION("""COMPUTED_VALUE"""),"R$ 5,62")</f>
        <v>R$ 5,62</v>
      </c>
      <c r="Q49" s="194" t="str">
        <f>IFERROR(__xludf.DUMMYFUNCTION("""COMPUTED_VALUE"""),"Consumo")</f>
        <v>Consumo</v>
      </c>
      <c r="R49" s="195" t="str">
        <f>IFERROR(__xludf.DUMMYFUNCTION("""COMPUTED_VALUE"""),"Janaina")</f>
        <v>Janaina</v>
      </c>
      <c r="S49" s="91"/>
      <c r="T49" s="89"/>
      <c r="U49" s="89"/>
      <c r="V49" s="89"/>
      <c r="W49" s="90"/>
    </row>
    <row r="50" ht="14.25" customHeight="1">
      <c r="A50" s="178"/>
      <c r="B50" s="10">
        <v>1962951.0</v>
      </c>
      <c r="C50" s="11">
        <v>46050.801354166666</v>
      </c>
      <c r="D50" s="179" t="s">
        <v>227</v>
      </c>
      <c r="E50" s="180" t="s">
        <v>494</v>
      </c>
      <c r="F50" s="181"/>
      <c r="G50" s="179" t="s">
        <v>7630</v>
      </c>
      <c r="H50" s="190"/>
      <c r="I50" s="190"/>
      <c r="J50" s="187" t="s">
        <v>3874</v>
      </c>
      <c r="K50" s="187"/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IFERROR(__xludf.DUMMYFUNCTION("ifna(VALUE(REGEXEXTRACT(E50,""[0-9.]+[,]+[0-9]+"")))"),0.01)</f>
        <v>0.01</v>
      </c>
      <c r="O50" s="250">
        <f>IFERROR(__xludf.DUMMYFUNCTION("""COMPUTED_VALUE"""),46067.62596064815)</f>
        <v>46067.62596</v>
      </c>
      <c r="P50" s="193" t="str">
        <f>IFERROR(__xludf.DUMMYFUNCTION("""COMPUTED_VALUE"""),"R$ 12,78")</f>
        <v>R$ 12,78</v>
      </c>
      <c r="Q50" s="194" t="str">
        <f>IFERROR(__xludf.DUMMYFUNCTION("""COMPUTED_VALUE"""),"Consumo")</f>
        <v>Consumo</v>
      </c>
      <c r="R50" s="195" t="str">
        <f>IFERROR(__xludf.DUMMYFUNCTION("""COMPUTED_VALUE"""),"Janaina")</f>
        <v>Janaina</v>
      </c>
      <c r="S50" s="91"/>
      <c r="T50" s="89"/>
      <c r="U50" s="89"/>
      <c r="V50" s="89"/>
      <c r="W50" s="90"/>
    </row>
    <row r="51" ht="24.75" customHeight="1">
      <c r="A51" s="178"/>
      <c r="B51" s="10">
        <v>1963487.0</v>
      </c>
      <c r="C51" s="11">
        <v>46050.92506944444</v>
      </c>
      <c r="D51" s="179" t="s">
        <v>50</v>
      </c>
      <c r="E51" s="180" t="s">
        <v>157</v>
      </c>
      <c r="F51" s="181"/>
      <c r="G51" s="179" t="s">
        <v>4960</v>
      </c>
      <c r="H51" s="190"/>
      <c r="I51" s="190"/>
      <c r="J51" s="187" t="s">
        <v>3044</v>
      </c>
      <c r="K51" s="187" t="s">
        <v>7058</v>
      </c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IFERROR(__xludf.DUMMYFUNCTION("ifna(VALUE(REGEXEXTRACT(E51,""[0-9.]+[,]+[0-9]+"")))"),5.0)</f>
        <v>5</v>
      </c>
      <c r="O51" s="250">
        <f>IFERROR(__xludf.DUMMYFUNCTION("""COMPUTED_VALUE"""),46068.55677083333)</f>
        <v>46068.55677</v>
      </c>
      <c r="P51" s="193" t="str">
        <f>IFERROR(__xludf.DUMMYFUNCTION("""COMPUTED_VALUE"""),"R$ 4,47")</f>
        <v>R$ 4,47</v>
      </c>
      <c r="Q51" s="194" t="str">
        <f>IFERROR(__xludf.DUMMYFUNCTION("""COMPUTED_VALUE"""),"Consumo")</f>
        <v>Consumo</v>
      </c>
      <c r="R51" s="195" t="str">
        <f>IFERROR(__xludf.DUMMYFUNCTION("""COMPUTED_VALUE"""),"Janaina")</f>
        <v>Janaina</v>
      </c>
      <c r="S51" s="91"/>
      <c r="T51" s="89"/>
      <c r="U51" s="89"/>
      <c r="V51" s="89"/>
      <c r="W51" s="90"/>
    </row>
    <row r="52" ht="14.25" customHeight="1">
      <c r="A52" s="178"/>
      <c r="B52" s="10">
        <v>1963494.0</v>
      </c>
      <c r="C52" s="11">
        <v>46050.92600694444</v>
      </c>
      <c r="D52" s="179" t="s">
        <v>50</v>
      </c>
      <c r="E52" s="180" t="s">
        <v>7119</v>
      </c>
      <c r="F52" s="188"/>
      <c r="G52" s="179" t="s">
        <v>7634</v>
      </c>
      <c r="H52" s="190"/>
      <c r="I52" s="190"/>
      <c r="J52" s="187" t="s">
        <v>3746</v>
      </c>
      <c r="K52" s="187" t="s">
        <v>7058</v>
      </c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"),"Depositada")</f>
        <v>Depositada</v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IFERROR(__xludf.DUMMYFUNCTION("ifna(VALUE(REGEXEXTRACT(E52,""[0-9.]+[,]+[0-9]+"")))"),1050.0)</f>
        <v>1050</v>
      </c>
      <c r="O52" s="247">
        <f>IFERROR(__xludf.DUMMYFUNCTION("""COMPUTED_VALUE"""),46070.78592592593)</f>
        <v>46070.78593</v>
      </c>
      <c r="P52" s="89" t="str">
        <f>IFERROR(__xludf.DUMMYFUNCTION("""COMPUTED_VALUE"""),"R$ 9,71")</f>
        <v>R$ 9,71</v>
      </c>
      <c r="Q52" s="89" t="str">
        <f>IFERROR(__xludf.DUMMYFUNCTION("""COMPUTED_VALUE"""),"Consumo")</f>
        <v>Consumo</v>
      </c>
      <c r="R52" s="89" t="str">
        <f>IFERROR(__xludf.DUMMYFUNCTION("""COMPUTED_VALUE"""),"Janaina")</f>
        <v>Janaina</v>
      </c>
      <c r="S52" s="91"/>
      <c r="T52" s="89"/>
      <c r="U52" s="89"/>
      <c r="V52" s="89"/>
      <c r="W52" s="90"/>
    </row>
    <row r="53" ht="14.25" customHeight="1">
      <c r="A53" s="178"/>
      <c r="B53" s="10">
        <v>1964456.0</v>
      </c>
      <c r="C53" s="11">
        <v>46051.67605324074</v>
      </c>
      <c r="D53" s="179" t="s">
        <v>50</v>
      </c>
      <c r="E53" s="180" t="s">
        <v>7637</v>
      </c>
      <c r="F53" s="181"/>
      <c r="G53" s="179" t="s">
        <v>7639</v>
      </c>
      <c r="H53" s="190"/>
      <c r="I53" s="190"/>
      <c r="J53" s="187" t="s">
        <v>3903</v>
      </c>
      <c r="K53" s="187"/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185">
        <f>IFERROR(__xludf.DUMMYFUNCTION("ifna(VALUE(REGEXEXTRACT(E53,""[0-9.]+[,]+[0-9]+"")))"),435.12)</f>
        <v>435.12</v>
      </c>
      <c r="O53" s="247">
        <f>IFERROR(__xludf.DUMMYFUNCTION("""COMPUTED_VALUE"""),46071.62189814815)</f>
        <v>46071.6219</v>
      </c>
      <c r="P53" s="89" t="str">
        <f>IFERROR(__xludf.DUMMYFUNCTION("""COMPUTED_VALUE"""),"R$ 10,86")</f>
        <v>R$ 10,86</v>
      </c>
      <c r="Q53" s="89" t="str">
        <f>IFERROR(__xludf.DUMMYFUNCTION("""COMPUTED_VALUE"""),"Consumo")</f>
        <v>Consumo</v>
      </c>
      <c r="R53" s="89" t="str">
        <f>IFERROR(__xludf.DUMMYFUNCTION("""COMPUTED_VALUE"""),"Janaina")</f>
        <v>Janaina</v>
      </c>
      <c r="S53" s="91"/>
      <c r="T53" s="89"/>
      <c r="U53" s="89"/>
      <c r="V53" s="89"/>
      <c r="W53" s="90"/>
    </row>
    <row r="54" ht="14.25" customHeight="1">
      <c r="A54" s="178"/>
      <c r="B54" s="10">
        <v>1964669.0</v>
      </c>
      <c r="C54" s="11">
        <v>46051.72017361111</v>
      </c>
      <c r="D54" s="179" t="s">
        <v>227</v>
      </c>
      <c r="E54" s="180" t="s">
        <v>329</v>
      </c>
      <c r="F54" s="188"/>
      <c r="G54" s="179" t="s">
        <v>7642</v>
      </c>
      <c r="H54" s="190"/>
      <c r="I54" s="190"/>
      <c r="J54" s="187" t="s">
        <v>4159</v>
      </c>
      <c r="K54" s="187"/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IFERROR(__xludf.DUMMYFUNCTION("ifna(VALUE(REGEXEXTRACT(E54,""[0-9.]+[,]+[0-9]+"")))"),200.0)</f>
        <v>200</v>
      </c>
      <c r="O54" s="247">
        <f>IFERROR(__xludf.DUMMYFUNCTION("""COMPUTED_VALUE"""),46076.566782407404)</f>
        <v>46076.56678</v>
      </c>
      <c r="P54" s="109" t="str">
        <f>IFERROR(__xludf.DUMMYFUNCTION("""COMPUTED_VALUE"""),"R$ 8,95")</f>
        <v>R$ 8,95</v>
      </c>
      <c r="Q54" s="109" t="str">
        <f>IFERROR(__xludf.DUMMYFUNCTION("""COMPUTED_VALUE"""),"Consumo")</f>
        <v>Consumo</v>
      </c>
      <c r="R54" s="109" t="str">
        <f>IFERROR(__xludf.DUMMYFUNCTION("""COMPUTED_VALUE"""),"Janaina")</f>
        <v>Janaina</v>
      </c>
      <c r="S54" s="91"/>
      <c r="T54" s="109"/>
      <c r="U54" s="109"/>
      <c r="V54" s="109"/>
      <c r="W54" s="111"/>
    </row>
    <row r="55" ht="14.25" customHeight="1">
      <c r="A55" s="178"/>
      <c r="B55" s="10">
        <v>1964670.0</v>
      </c>
      <c r="C55" s="11">
        <v>46051.72042824074</v>
      </c>
      <c r="D55" s="179" t="s">
        <v>50</v>
      </c>
      <c r="E55" s="180" t="s">
        <v>6719</v>
      </c>
      <c r="F55" s="181"/>
      <c r="G55" s="179" t="s">
        <v>7646</v>
      </c>
      <c r="H55" s="190"/>
      <c r="I55" s="190"/>
      <c r="J55" s="187" t="s">
        <v>3903</v>
      </c>
      <c r="K55" s="187"/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"""")"),"Encontrada")</f>
        <v>Encontrada</v>
      </c>
      <c r="N55" s="185">
        <f>IFERROR(__xludf.DUMMYFUNCTION("ifna(VALUE(REGEXEXTRACT(E55,""[0-9.]+[,]+[0-9]+"")))"),330.0)</f>
        <v>330</v>
      </c>
      <c r="O55" s="350">
        <f>IFERROR(__xludf.DUMMYFUNCTION("""COMPUTED_VALUE"""),46077.52282407407)</f>
        <v>46077.52282</v>
      </c>
      <c r="P55" s="198" t="str">
        <f>IFERROR(__xludf.DUMMYFUNCTION("""COMPUTED_VALUE"""),"R$ 6,24")</f>
        <v>R$ 6,24</v>
      </c>
      <c r="Q55" s="198" t="str">
        <f>IFERROR(__xludf.DUMMYFUNCTION("""COMPUTED_VALUE"""),"Consumo")</f>
        <v>Consumo</v>
      </c>
      <c r="R55" s="198" t="str">
        <f>IFERROR(__xludf.DUMMYFUNCTION("""COMPUTED_VALUE"""),"Janaina")</f>
        <v>Janaina</v>
      </c>
      <c r="S55" s="91"/>
      <c r="T55" s="198"/>
      <c r="U55" s="198"/>
      <c r="V55" s="198"/>
      <c r="W55" s="199"/>
    </row>
    <row r="56" ht="14.25" customHeight="1">
      <c r="A56" s="178"/>
      <c r="B56" s="10">
        <v>1964718.0</v>
      </c>
      <c r="C56" s="11">
        <v>46051.73136574074</v>
      </c>
      <c r="D56" s="179" t="s">
        <v>50</v>
      </c>
      <c r="E56" s="180" t="s">
        <v>6968</v>
      </c>
      <c r="F56" s="181"/>
      <c r="G56" s="179" t="s">
        <v>7648</v>
      </c>
      <c r="H56" s="190"/>
      <c r="I56" s="190"/>
      <c r="J56" s="187" t="s">
        <v>3044</v>
      </c>
      <c r="K56" s="187" t="s">
        <v>7058</v>
      </c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IFERROR(__xludf.DUMMYFUNCTION("ifna(VALUE(REGEXEXTRACT(E56,""[0-9.]+[,]+[0-9]+"")))"),17.0)</f>
        <v>17</v>
      </c>
      <c r="O56" s="350">
        <f>IFERROR(__xludf.DUMMYFUNCTION("""COMPUTED_VALUE"""),46077.523310185185)</f>
        <v>46077.52331</v>
      </c>
      <c r="P56" s="198" t="str">
        <f>IFERROR(__xludf.DUMMYFUNCTION("""COMPUTED_VALUE"""),"R$ 12,17")</f>
        <v>R$ 12,17</v>
      </c>
      <c r="Q56" s="198" t="str">
        <f>IFERROR(__xludf.DUMMYFUNCTION("""COMPUTED_VALUE"""),"Consumo")</f>
        <v>Consumo</v>
      </c>
      <c r="R56" s="198" t="str">
        <f>IFERROR(__xludf.DUMMYFUNCTION("""COMPUTED_VALUE"""),"Janaina")</f>
        <v>Janaina</v>
      </c>
      <c r="S56" s="91"/>
      <c r="T56" s="198"/>
      <c r="U56" s="198"/>
      <c r="V56" s="198"/>
      <c r="W56" s="199"/>
    </row>
    <row r="57" ht="17.25" customHeight="1">
      <c r="A57" s="178"/>
      <c r="B57" s="10">
        <v>1964810.0</v>
      </c>
      <c r="C57" s="11">
        <v>46051.74958333333</v>
      </c>
      <c r="D57" s="179" t="s">
        <v>50</v>
      </c>
      <c r="E57" s="180" t="s">
        <v>146</v>
      </c>
      <c r="F57" s="181"/>
      <c r="G57" s="179" t="s">
        <v>6446</v>
      </c>
      <c r="H57" s="190"/>
      <c r="I57" s="190"/>
      <c r="J57" s="187" t="s">
        <v>3044</v>
      </c>
      <c r="K57" s="187" t="s">
        <v>6664</v>
      </c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IFERROR(__xludf.DUMMYFUNCTION("ifna(VALUE(REGEXEXTRACT(E57,""[0-9.]+[,]+[0-9]+"")))"),3.0)</f>
        <v>3</v>
      </c>
      <c r="O57" s="350">
        <f>IFERROR(__xludf.DUMMYFUNCTION("""COMPUTED_VALUE"""),46077.853113425925)</f>
        <v>46077.85311</v>
      </c>
      <c r="P57" s="198" t="str">
        <f>IFERROR(__xludf.DUMMYFUNCTION("""COMPUTED_VALUE"""),"R$ 26,84")</f>
        <v>R$ 26,84</v>
      </c>
      <c r="Q57" s="198" t="str">
        <f>IFERROR(__xludf.DUMMYFUNCTION("""COMPUTED_VALUE"""),"Consumo")</f>
        <v>Consumo</v>
      </c>
      <c r="R57" s="198" t="str">
        <f>IFERROR(__xludf.DUMMYFUNCTION("""COMPUTED_VALUE"""),"Janaina")</f>
        <v>Janaina</v>
      </c>
      <c r="S57" s="91"/>
      <c r="T57" s="198"/>
      <c r="U57" s="198"/>
      <c r="V57" s="198"/>
      <c r="W57" s="199"/>
    </row>
    <row r="58" ht="14.25" customHeight="1">
      <c r="A58" s="178"/>
      <c r="B58" s="10">
        <v>1964811.0</v>
      </c>
      <c r="C58" s="11">
        <v>46051.74986111111</v>
      </c>
      <c r="D58" s="179" t="s">
        <v>50</v>
      </c>
      <c r="E58" s="180" t="s">
        <v>205</v>
      </c>
      <c r="F58" s="181"/>
      <c r="G58" s="179" t="s">
        <v>6513</v>
      </c>
      <c r="H58" s="190"/>
      <c r="I58" s="190"/>
      <c r="J58" s="187" t="s">
        <v>3044</v>
      </c>
      <c r="K58" s="187" t="s">
        <v>7052</v>
      </c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IFERROR(__xludf.DUMMYFUNCTION("ifna(VALUE(REGEXEXTRACT(E58,""[0-9.]+[,]+[0-9]+"")))"),10.0)</f>
        <v>10</v>
      </c>
      <c r="O58" s="350">
        <f>IFERROR(__xludf.DUMMYFUNCTION("""COMPUTED_VALUE"""),46078.74862268519)</f>
        <v>46078.74862</v>
      </c>
      <c r="P58" s="198" t="str">
        <f>IFERROR(__xludf.DUMMYFUNCTION("""COMPUTED_VALUE"""),"R$ 5,75")</f>
        <v>R$ 5,75</v>
      </c>
      <c r="Q58" s="198" t="str">
        <f>IFERROR(__xludf.DUMMYFUNCTION("""COMPUTED_VALUE"""),"Consumo")</f>
        <v>Consumo</v>
      </c>
      <c r="R58" s="198" t="str">
        <f>IFERROR(__xludf.DUMMYFUNCTION("""COMPUTED_VALUE"""),"Janaina")</f>
        <v>Janaina</v>
      </c>
      <c r="S58" s="91"/>
      <c r="T58" s="198"/>
      <c r="U58" s="198"/>
      <c r="V58" s="198"/>
      <c r="W58" s="199"/>
    </row>
    <row r="59" ht="14.25" customHeight="1">
      <c r="A59" s="178"/>
      <c r="B59" s="10">
        <v>1964909.0</v>
      </c>
      <c r="C59" s="11">
        <v>46051.787407407406</v>
      </c>
      <c r="D59" s="10" t="s">
        <v>50</v>
      </c>
      <c r="E59" s="10" t="s">
        <v>246</v>
      </c>
      <c r="F59" s="13"/>
      <c r="G59" s="10" t="s">
        <v>6513</v>
      </c>
      <c r="H59" s="190"/>
      <c r="I59" s="190"/>
      <c r="J59" s="187" t="s">
        <v>3044</v>
      </c>
      <c r="K59" s="187" t="s">
        <v>7052</v>
      </c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IFERROR(__xludf.DUMMYFUNCTION("ifna(VALUE(REGEXEXTRACT(E59,""[0-9.]+[,]+[0-9]+"")))"),4.0)</f>
        <v>4</v>
      </c>
      <c r="O59" s="200"/>
      <c r="P59" s="201"/>
      <c r="Q59" s="201"/>
      <c r="R59" s="201"/>
      <c r="S59" s="202"/>
      <c r="T59" s="201"/>
      <c r="U59" s="201"/>
      <c r="V59" s="201"/>
      <c r="W59" s="203"/>
    </row>
    <row r="60" ht="14.25" customHeight="1">
      <c r="A60" s="178"/>
      <c r="B60" s="10">
        <v>1965122.0</v>
      </c>
      <c r="C60" s="11">
        <v>46051.87204861111</v>
      </c>
      <c r="D60" s="179" t="s">
        <v>50</v>
      </c>
      <c r="E60" s="180" t="s">
        <v>157</v>
      </c>
      <c r="F60" s="181"/>
      <c r="G60" s="179" t="s">
        <v>6969</v>
      </c>
      <c r="H60" s="190"/>
      <c r="I60" s="190"/>
      <c r="J60" s="187" t="s">
        <v>3044</v>
      </c>
      <c r="K60" s="187" t="s">
        <v>6340</v>
      </c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IFERROR(__xludf.DUMMYFUNCTION("ifna(VALUE(REGEXEXTRACT(E60,""[0-9.]+[,]+[0-9]+"")))"),5.0)</f>
        <v>5</v>
      </c>
      <c r="O60" s="24"/>
      <c r="P60" s="24"/>
      <c r="Q60" s="24"/>
      <c r="R60" s="24"/>
      <c r="S60" s="24"/>
      <c r="T60" s="24"/>
      <c r="U60" s="24"/>
      <c r="V60" s="24"/>
      <c r="W60" s="24"/>
    </row>
    <row r="61">
      <c r="A61" s="178"/>
      <c r="B61" s="10">
        <v>1966023.0</v>
      </c>
      <c r="C61" s="11">
        <v>46052.566145833334</v>
      </c>
      <c r="D61" s="179" t="s">
        <v>50</v>
      </c>
      <c r="E61" s="180" t="s">
        <v>6404</v>
      </c>
      <c r="F61" s="181"/>
      <c r="G61" s="179" t="s">
        <v>94</v>
      </c>
      <c r="H61" s="190"/>
      <c r="I61" s="190"/>
      <c r="J61" s="187" t="s">
        <v>3044</v>
      </c>
      <c r="K61" s="187" t="s">
        <v>7058</v>
      </c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IFERROR(__xludf.DUMMYFUNCTION("ifna(VALUE(REGEXEXTRACT(E61,""[0-9.]+[,]+[0-9]+"")))"),22.11)</f>
        <v>22.11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</row>
    <row r="62" ht="14.25" customHeight="1">
      <c r="A62" s="178"/>
      <c r="B62" s="10">
        <v>1966024.0</v>
      </c>
      <c r="C62" s="11">
        <v>46052.566516203704</v>
      </c>
      <c r="D62" s="179" t="s">
        <v>50</v>
      </c>
      <c r="E62" s="180" t="s">
        <v>179</v>
      </c>
      <c r="F62" s="181"/>
      <c r="G62" s="179" t="s">
        <v>122</v>
      </c>
      <c r="H62" s="190"/>
      <c r="I62" s="190"/>
      <c r="J62" s="187" t="s">
        <v>3044</v>
      </c>
      <c r="K62" s="187" t="s">
        <v>6664</v>
      </c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IFERROR(__xludf.DUMMYFUNCTION("ifna(VALUE(REGEXEXTRACT(E62,""[0-9.]+[,]+[0-9]+"")))"),9.71)</f>
        <v>9.71</v>
      </c>
      <c r="O62" s="206"/>
      <c r="T62" s="207"/>
      <c r="U62" s="24"/>
      <c r="V62" s="24"/>
      <c r="W62" s="24"/>
    </row>
    <row r="63" ht="14.25" customHeight="1">
      <c r="A63" s="178"/>
      <c r="B63" s="10">
        <v>1966026.0</v>
      </c>
      <c r="C63" s="11">
        <v>46052.56686342593</v>
      </c>
      <c r="D63" s="179" t="s">
        <v>50</v>
      </c>
      <c r="E63" s="180" t="s">
        <v>6735</v>
      </c>
      <c r="F63" s="181"/>
      <c r="G63" s="179" t="s">
        <v>7666</v>
      </c>
      <c r="H63" s="190"/>
      <c r="I63" s="190"/>
      <c r="J63" s="187" t="s">
        <v>3044</v>
      </c>
      <c r="K63" s="187" t="s">
        <v>7052</v>
      </c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IFERROR(__xludf.DUMMYFUNCTION("ifna(VALUE(REGEXEXTRACT(E63,""[0-9.]+[,]+[0-9]+"")))"),22.0)</f>
        <v>22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</row>
    <row r="64" ht="14.25" customHeight="1">
      <c r="A64" s="178"/>
      <c r="B64" s="10">
        <v>1967444.0</v>
      </c>
      <c r="C64" s="11">
        <v>46052.922372685185</v>
      </c>
      <c r="D64" s="179" t="s">
        <v>50</v>
      </c>
      <c r="E64" s="180" t="s">
        <v>1279</v>
      </c>
      <c r="F64" s="181"/>
      <c r="G64" s="179" t="s">
        <v>7671</v>
      </c>
      <c r="H64" s="190"/>
      <c r="I64" s="190"/>
      <c r="J64" s="187" t="s">
        <v>3746</v>
      </c>
      <c r="K64" s="187" t="s">
        <v>7052</v>
      </c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"),"Depositada")</f>
        <v>Depositada</v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IFERROR(__xludf.DUMMYFUNCTION("ifna(VALUE(REGEXEXTRACT(E64,""[0-9.]+[,]+[0-9]+"")))"),600.0)</f>
        <v>600</v>
      </c>
      <c r="O64" s="283" t="s">
        <v>2307</v>
      </c>
      <c r="P64" s="284">
        <v>46048.0</v>
      </c>
      <c r="Q64" s="285" t="s">
        <v>1900</v>
      </c>
      <c r="R64" s="286">
        <v>500.0</v>
      </c>
      <c r="S64" s="287"/>
      <c r="T64" s="288" t="str">
        <f t="shared" ref="T64:T82" si="1">IFERROR(VLOOKUP(Q64, $A$4:$B$11, 2, FALSE), "")</f>
        <v>Janaina</v>
      </c>
      <c r="U64" s="24"/>
      <c r="V64" s="24"/>
      <c r="W64" s="24"/>
    </row>
    <row r="65" ht="14.25" customHeight="1">
      <c r="A65" s="178"/>
      <c r="B65" s="10">
        <v>1967458.0</v>
      </c>
      <c r="C65" s="11">
        <v>46052.92329861111</v>
      </c>
      <c r="D65" s="179" t="s">
        <v>50</v>
      </c>
      <c r="E65" s="180" t="s">
        <v>7674</v>
      </c>
      <c r="F65" s="181"/>
      <c r="G65" s="179" t="s">
        <v>7666</v>
      </c>
      <c r="H65" s="190"/>
      <c r="I65" s="190"/>
      <c r="J65" s="187" t="s">
        <v>3044</v>
      </c>
      <c r="K65" s="187" t="s">
        <v>7052</v>
      </c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IFERROR(__xludf.DUMMYFUNCTION("ifna(VALUE(REGEXEXTRACT(E65,""[0-9.]+[,]+[0-9]+"")))"),29.0)</f>
        <v>29</v>
      </c>
      <c r="O65" s="289" t="s">
        <v>2310</v>
      </c>
      <c r="P65" s="290">
        <v>46048.0</v>
      </c>
      <c r="Q65" s="291" t="s">
        <v>1183</v>
      </c>
      <c r="R65" s="292">
        <v>500.0</v>
      </c>
      <c r="S65" s="293"/>
      <c r="T65" s="294" t="str">
        <f t="shared" si="1"/>
        <v>Rayanna</v>
      </c>
      <c r="U65" s="24"/>
      <c r="V65" s="24"/>
      <c r="W65" s="24"/>
    </row>
    <row r="66" ht="14.25" customHeight="1">
      <c r="A66" s="178"/>
      <c r="B66" s="10">
        <v>1968075.0</v>
      </c>
      <c r="C66" s="11">
        <v>46053.54247685185</v>
      </c>
      <c r="D66" s="179" t="s">
        <v>50</v>
      </c>
      <c r="E66" s="180" t="s">
        <v>7678</v>
      </c>
      <c r="F66" s="181"/>
      <c r="G66" s="179" t="s">
        <v>7679</v>
      </c>
      <c r="H66" s="190"/>
      <c r="I66" s="190"/>
      <c r="J66" s="187" t="s">
        <v>3903</v>
      </c>
      <c r="K66" s="187"/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85">
        <f>IFERROR(__xludf.DUMMYFUNCTION("ifna(VALUE(REGEXEXTRACT(E66,""[0-9.]+[,]+[0-9]+"")))"),15.45)</f>
        <v>15.45</v>
      </c>
      <c r="O66" s="283" t="s">
        <v>2314</v>
      </c>
      <c r="P66" s="284">
        <v>46048.0</v>
      </c>
      <c r="Q66" s="295" t="s">
        <v>62</v>
      </c>
      <c r="R66" s="286">
        <v>100.0</v>
      </c>
      <c r="S66" s="296"/>
      <c r="T66" s="288" t="str">
        <f t="shared" si="1"/>
        <v>Ana Carolina</v>
      </c>
      <c r="U66" s="24"/>
      <c r="V66" s="24"/>
      <c r="W66" s="24"/>
    </row>
    <row r="67" ht="14.25" customHeight="1">
      <c r="A67" s="178"/>
      <c r="B67" s="10">
        <v>1968175.0</v>
      </c>
      <c r="C67" s="11">
        <v>46053.5915625</v>
      </c>
      <c r="D67" s="179" t="s">
        <v>50</v>
      </c>
      <c r="E67" s="180" t="s">
        <v>7682</v>
      </c>
      <c r="F67" s="181"/>
      <c r="G67" s="179" t="s">
        <v>7666</v>
      </c>
      <c r="H67" s="190"/>
      <c r="I67" s="190"/>
      <c r="J67" s="187" t="s">
        <v>3044</v>
      </c>
      <c r="K67" s="187" t="s">
        <v>7052</v>
      </c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IFERROR(__xludf.DUMMYFUNCTION("ifna(VALUE(REGEXEXTRACT(E67,""[0-9.]+[,]+[0-9]+"")))"),27.95)</f>
        <v>27.95</v>
      </c>
      <c r="O67" s="289" t="s">
        <v>2329</v>
      </c>
      <c r="P67" s="290">
        <v>46057.0</v>
      </c>
      <c r="Q67" s="291" t="s">
        <v>62</v>
      </c>
      <c r="R67" s="292">
        <v>50.0</v>
      </c>
      <c r="S67" s="297"/>
      <c r="T67" s="294" t="str">
        <f t="shared" si="1"/>
        <v>Ana Carolina</v>
      </c>
      <c r="U67" s="24"/>
      <c r="V67" s="24"/>
      <c r="W67" s="24"/>
    </row>
    <row r="68">
      <c r="A68" s="178"/>
      <c r="B68" s="10">
        <v>1969401.0</v>
      </c>
      <c r="C68" s="11">
        <v>46053.87820601852</v>
      </c>
      <c r="D68" s="179" t="s">
        <v>50</v>
      </c>
      <c r="E68" s="180" t="s">
        <v>4019</v>
      </c>
      <c r="F68" s="181"/>
      <c r="G68" s="179" t="s">
        <v>7684</v>
      </c>
      <c r="H68" s="190"/>
      <c r="I68" s="190"/>
      <c r="J68" s="187" t="s">
        <v>3825</v>
      </c>
      <c r="K68" s="187"/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IFERROR(__xludf.DUMMYFUNCTION("ifna(VALUE(REGEXEXTRACT(E68,""[0-9.]+[,]+[0-9]+"")))"),117.0)</f>
        <v>117</v>
      </c>
      <c r="O68" s="283"/>
      <c r="P68" s="284"/>
      <c r="Q68" s="295"/>
      <c r="R68" s="286"/>
      <c r="S68" s="296"/>
      <c r="T68" s="288" t="str">
        <f t="shared" si="1"/>
        <v/>
      </c>
      <c r="U68" s="24"/>
      <c r="V68" s="24"/>
      <c r="W68" s="24"/>
    </row>
    <row r="69" ht="14.25" customHeight="1">
      <c r="A69" s="178"/>
      <c r="B69" s="10">
        <v>1969403.0</v>
      </c>
      <c r="C69" s="11">
        <v>46053.87876157407</v>
      </c>
      <c r="D69" s="179" t="s">
        <v>50</v>
      </c>
      <c r="E69" s="180" t="s">
        <v>3819</v>
      </c>
      <c r="F69" s="188"/>
      <c r="G69" s="179" t="s">
        <v>7688</v>
      </c>
      <c r="H69" s="190"/>
      <c r="I69" s="190"/>
      <c r="J69" s="187" t="s">
        <v>3825</v>
      </c>
      <c r="K69" s="187"/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IFERROR(__xludf.DUMMYFUNCTION("ifna(VALUE(REGEXEXTRACT(E69,""[0-9.]+[,]+[0-9]+"")))"),110.5)</f>
        <v>110.5</v>
      </c>
      <c r="O69" s="289"/>
      <c r="P69" s="290"/>
      <c r="Q69" s="291"/>
      <c r="R69" s="292"/>
      <c r="S69" s="297"/>
      <c r="T69" s="294" t="str">
        <f t="shared" si="1"/>
        <v/>
      </c>
      <c r="U69" s="24"/>
      <c r="V69" s="24"/>
      <c r="W69" s="24"/>
    </row>
    <row r="70">
      <c r="A70" s="178"/>
      <c r="B70" s="10">
        <v>1969453.0</v>
      </c>
      <c r="C70" s="11">
        <v>46053.88847222222</v>
      </c>
      <c r="D70" s="179" t="s">
        <v>50</v>
      </c>
      <c r="E70" s="180" t="s">
        <v>943</v>
      </c>
      <c r="F70" s="181"/>
      <c r="G70" s="179" t="s">
        <v>7666</v>
      </c>
      <c r="H70" s="190"/>
      <c r="I70" s="190"/>
      <c r="J70" s="187" t="s">
        <v>3044</v>
      </c>
      <c r="K70" s="187" t="s">
        <v>7052</v>
      </c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IFERROR(__xludf.DUMMYFUNCTION("ifna(VALUE(REGEXEXTRACT(E70,""[0-9.]+[,]+[0-9]+"")))"),12.0)</f>
        <v>12</v>
      </c>
      <c r="O70" s="283"/>
      <c r="P70" s="284"/>
      <c r="Q70" s="295"/>
      <c r="R70" s="286"/>
      <c r="S70" s="296" t="str">
        <f t="shared" ref="S70:S82" si="2">IFERROR(VLOOKUP(Q70, $A$4:$B$18, 2, FALSE), "")</f>
        <v/>
      </c>
      <c r="T70" s="288" t="str">
        <f t="shared" si="1"/>
        <v/>
      </c>
      <c r="U70" s="24"/>
      <c r="V70" s="24"/>
      <c r="W70" s="24"/>
    </row>
    <row r="71" ht="14.25" customHeight="1">
      <c r="A71" s="178"/>
      <c r="B71" s="10">
        <v>1969461.0</v>
      </c>
      <c r="C71" s="11">
        <v>46053.889502314814</v>
      </c>
      <c r="D71" s="179" t="s">
        <v>50</v>
      </c>
      <c r="E71" s="180" t="s">
        <v>991</v>
      </c>
      <c r="F71" s="181"/>
      <c r="G71" s="179" t="s">
        <v>7693</v>
      </c>
      <c r="H71" s="190"/>
      <c r="I71" s="190"/>
      <c r="J71" s="187" t="s">
        <v>3746</v>
      </c>
      <c r="K71" s="187" t="s">
        <v>6340</v>
      </c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"),"Depositada")</f>
        <v>Depositada</v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IFERROR(__xludf.DUMMYFUNCTION("ifna(VALUE(REGEXEXTRACT(E71,""[0-9.]+[,]+[0-9]+"")))"),700.0)</f>
        <v>700</v>
      </c>
      <c r="O71" s="289"/>
      <c r="P71" s="290"/>
      <c r="Q71" s="291"/>
      <c r="R71" s="292"/>
      <c r="S71" s="297" t="str">
        <f t="shared" si="2"/>
        <v/>
      </c>
      <c r="T71" s="294" t="str">
        <f t="shared" si="1"/>
        <v/>
      </c>
      <c r="U71" s="24"/>
      <c r="V71" s="24"/>
      <c r="W71" s="24"/>
    </row>
    <row r="72" ht="14.25" customHeight="1">
      <c r="A72" s="178"/>
      <c r="B72" s="10">
        <v>1970673.0</v>
      </c>
      <c r="C72" s="11">
        <v>46054.593819444446</v>
      </c>
      <c r="D72" s="179" t="s">
        <v>50</v>
      </c>
      <c r="E72" s="180" t="s">
        <v>3868</v>
      </c>
      <c r="F72" s="181"/>
      <c r="G72" s="179" t="s">
        <v>7696</v>
      </c>
      <c r="H72" s="190"/>
      <c r="I72" s="190"/>
      <c r="J72" s="187" t="s">
        <v>3903</v>
      </c>
      <c r="K72" s="187"/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"""")"),"Encontrada")</f>
        <v>Encontrada</v>
      </c>
      <c r="N72" s="185">
        <f>IFERROR(__xludf.DUMMYFUNCTION("ifna(VALUE(REGEXEXTRACT(E72,""[0-9.]+[,]+[0-9]+"")))"),38.0)</f>
        <v>38</v>
      </c>
      <c r="O72" s="283"/>
      <c r="P72" s="284"/>
      <c r="Q72" s="295"/>
      <c r="R72" s="286"/>
      <c r="S72" s="296" t="str">
        <f t="shared" si="2"/>
        <v/>
      </c>
      <c r="T72" s="288" t="str">
        <f t="shared" si="1"/>
        <v/>
      </c>
      <c r="U72" s="24"/>
      <c r="V72" s="24"/>
      <c r="W72" s="24"/>
    </row>
    <row r="73">
      <c r="A73" s="178"/>
      <c r="B73" s="10">
        <v>1971928.0</v>
      </c>
      <c r="C73" s="11">
        <v>46054.857407407406</v>
      </c>
      <c r="D73" s="179" t="s">
        <v>50</v>
      </c>
      <c r="E73" s="180" t="s">
        <v>6960</v>
      </c>
      <c r="F73" s="181"/>
      <c r="G73" s="179" t="s">
        <v>7697</v>
      </c>
      <c r="H73" s="190"/>
      <c r="I73" s="190"/>
      <c r="J73" s="187" t="s">
        <v>3825</v>
      </c>
      <c r="K73" s="187"/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IFERROR(__xludf.DUMMYFUNCTION("ifna(VALUE(REGEXEXTRACT(E73,""[0-9.]+[,]+[0-9]+"")))"),97.0)</f>
        <v>97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</row>
    <row r="74" ht="14.25" customHeight="1">
      <c r="A74" s="178"/>
      <c r="B74" s="10">
        <v>1972537.0</v>
      </c>
      <c r="C74" s="11">
        <v>46054.923414351855</v>
      </c>
      <c r="D74" s="179" t="s">
        <v>50</v>
      </c>
      <c r="E74" s="180" t="s">
        <v>7125</v>
      </c>
      <c r="F74" s="181"/>
      <c r="G74" s="179" t="s">
        <v>7700</v>
      </c>
      <c r="H74" s="190"/>
      <c r="I74" s="190"/>
      <c r="J74" s="187" t="s">
        <v>3746</v>
      </c>
      <c r="K74" s="187" t="s">
        <v>7058</v>
      </c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"),"Depositada")</f>
        <v>Depositada</v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IFERROR(__xludf.DUMMYFUNCTION("ifna(VALUE(REGEXEXTRACT(E74,""[0-9.]+[,]+[0-9]+"")))"),1800.0)</f>
        <v>1800</v>
      </c>
      <c r="O74" s="299"/>
      <c r="P74" s="300"/>
      <c r="Q74" s="301"/>
      <c r="R74" s="302" t="str">
        <f t="shared" ref="R74:R82" si="3">IFERROR(VLOOKUP(Q74, $B$4:$C$18, 2, FALSE), "")</f>
        <v/>
      </c>
      <c r="S74" s="296" t="str">
        <f t="shared" si="2"/>
        <v/>
      </c>
      <c r="T74" s="288" t="str">
        <f t="shared" si="1"/>
        <v/>
      </c>
      <c r="U74" s="24"/>
      <c r="V74" s="24"/>
      <c r="W74" s="24"/>
    </row>
    <row r="75" ht="14.25" customHeight="1">
      <c r="A75" s="178"/>
      <c r="B75" s="10">
        <v>1972706.0</v>
      </c>
      <c r="C75" s="11">
        <v>46054.93388888889</v>
      </c>
      <c r="D75" s="179" t="s">
        <v>50</v>
      </c>
      <c r="E75" s="180" t="s">
        <v>624</v>
      </c>
      <c r="F75" s="181"/>
      <c r="G75" s="179" t="s">
        <v>7701</v>
      </c>
      <c r="H75" s="190"/>
      <c r="I75" s="190"/>
      <c r="J75" s="187" t="s">
        <v>3825</v>
      </c>
      <c r="K75" s="187"/>
      <c r="L75" s="343" t="s">
        <v>7703</v>
      </c>
      <c r="M75" s="344" t="s">
        <v>7462</v>
      </c>
      <c r="N75" s="185">
        <f>IFERROR(__xludf.DUMMYFUNCTION("ifna(VALUE(REGEXEXTRACT(E75,""[0-9.]+[,]+[0-9]+"")))"),130.0)</f>
        <v>130</v>
      </c>
      <c r="O75" s="303"/>
      <c r="P75" s="121"/>
      <c r="Q75" s="121"/>
      <c r="R75" s="304" t="str">
        <f t="shared" si="3"/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</row>
    <row r="76" ht="14.25" customHeight="1">
      <c r="A76" s="178"/>
      <c r="B76" s="10">
        <v>1973566.0</v>
      </c>
      <c r="C76" s="11">
        <v>46055.626967592594</v>
      </c>
      <c r="D76" s="179" t="s">
        <v>50</v>
      </c>
      <c r="E76" s="180" t="s">
        <v>205</v>
      </c>
      <c r="F76" s="181"/>
      <c r="G76" s="179" t="s">
        <v>7666</v>
      </c>
      <c r="H76" s="190"/>
      <c r="I76" s="190"/>
      <c r="J76" s="187" t="s">
        <v>3044</v>
      </c>
      <c r="K76" s="187" t="s">
        <v>7052</v>
      </c>
      <c r="L76" s="252" t="str">
        <f>IFERROR(__xludf.DUMMYFUNCTION("IF(
  AND(D76=""Saída"",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IFERROR(__xludf.DUMMYFUNCTION("IF(J75=""Compra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IFERROR(__xludf.DUMMYFUNCTION("ifna(VALUE(REGEXEXTRACT(E76,""[0-9.]+[,]+[0-9]+"")))"),10.0)</f>
        <v>10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</row>
    <row r="77" ht="14.25" customHeight="1">
      <c r="A77" s="178"/>
      <c r="B77" s="10">
        <v>1973767.0</v>
      </c>
      <c r="C77" s="11">
        <v>46055.68282407407</v>
      </c>
      <c r="D77" s="179" t="s">
        <v>50</v>
      </c>
      <c r="E77" s="180" t="s">
        <v>6467</v>
      </c>
      <c r="F77" s="181"/>
      <c r="G77" s="179" t="s">
        <v>7710</v>
      </c>
      <c r="H77" s="190"/>
      <c r="I77" s="190"/>
      <c r="J77" s="187" t="s">
        <v>3044</v>
      </c>
      <c r="K77" s="187" t="s">
        <v>6664</v>
      </c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IFERROR(__xludf.DUMMYFUNCTION("ifna(VALUE(REGEXEXTRACT(E77,""[0-9.]+[,]+[0-9]+"")))"),18.0)</f>
        <v>18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</row>
    <row r="78">
      <c r="A78" s="178"/>
      <c r="B78" s="10">
        <v>1973770.0</v>
      </c>
      <c r="C78" s="11">
        <v>46055.68315972222</v>
      </c>
      <c r="D78" s="179" t="s">
        <v>50</v>
      </c>
      <c r="E78" s="180" t="s">
        <v>943</v>
      </c>
      <c r="F78" s="181"/>
      <c r="G78" s="179" t="s">
        <v>7714</v>
      </c>
      <c r="H78" s="190"/>
      <c r="I78" s="190"/>
      <c r="J78" s="187" t="s">
        <v>3044</v>
      </c>
      <c r="K78" s="187" t="s">
        <v>6340</v>
      </c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IFERROR(__xludf.DUMMYFUNCTION("ifna(VALUE(REGEXEXTRACT(E78,""[0-9.]+[,]+[0-9]+"")))"),12.0)</f>
        <v>12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</row>
    <row r="79" ht="14.25" customHeight="1">
      <c r="A79" s="178"/>
      <c r="B79" s="10">
        <v>1973775.0</v>
      </c>
      <c r="C79" s="11">
        <v>46055.685115740744</v>
      </c>
      <c r="D79" s="179" t="s">
        <v>50</v>
      </c>
      <c r="E79" s="180" t="s">
        <v>246</v>
      </c>
      <c r="F79" s="181"/>
      <c r="G79" s="179" t="s">
        <v>7717</v>
      </c>
      <c r="H79" s="190"/>
      <c r="I79" s="190"/>
      <c r="J79" s="187" t="s">
        <v>3903</v>
      </c>
      <c r="K79" s="187"/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85">
        <f>IFERROR(__xludf.DUMMYFUNCTION("ifna(VALUE(REGEXEXTRACT(E79,""[0-9.]+[,]+[0-9]+"")))"),4.0)</f>
        <v>4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</row>
    <row r="80" ht="14.25" customHeight="1">
      <c r="A80" s="178"/>
      <c r="B80" s="10">
        <v>1973795.0</v>
      </c>
      <c r="C80" s="11">
        <v>46055.689467592594</v>
      </c>
      <c r="D80" s="179" t="s">
        <v>50</v>
      </c>
      <c r="E80" s="180" t="s">
        <v>7719</v>
      </c>
      <c r="F80" s="181"/>
      <c r="G80" s="179" t="s">
        <v>7720</v>
      </c>
      <c r="H80" s="190"/>
      <c r="I80" s="190"/>
      <c r="J80" s="187" t="s">
        <v>3903</v>
      </c>
      <c r="K80" s="187"/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"""")"),"Encontrada")</f>
        <v>Encontrada</v>
      </c>
      <c r="N80" s="185">
        <f>IFERROR(__xludf.DUMMYFUNCTION("ifna(VALUE(REGEXEXTRACT(E80,""[0-9.]+[,]+[0-9]+"")))"),481.5)</f>
        <v>481.5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</row>
    <row r="81" ht="14.25" customHeight="1">
      <c r="A81" s="178"/>
      <c r="B81" s="10">
        <v>1973820.0</v>
      </c>
      <c r="C81" s="11">
        <v>46055.696921296294</v>
      </c>
      <c r="D81" s="179" t="s">
        <v>50</v>
      </c>
      <c r="E81" s="180" t="s">
        <v>146</v>
      </c>
      <c r="F81" s="188"/>
      <c r="G81" s="179" t="s">
        <v>7723</v>
      </c>
      <c r="H81" s="190"/>
      <c r="I81" s="190"/>
      <c r="J81" s="187" t="s">
        <v>3044</v>
      </c>
      <c r="K81" s="187" t="s">
        <v>7058</v>
      </c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IFERROR(__xludf.DUMMYFUNCTION("ifna(VALUE(REGEXEXTRACT(E81,""[0-9.]+[,]+[0-9]+"")))"),3.0)</f>
        <v>3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</row>
    <row r="82" ht="14.25" customHeight="1">
      <c r="A82" s="178"/>
      <c r="B82" s="10">
        <v>1974252.0</v>
      </c>
      <c r="C82" s="11">
        <v>46055.801875</v>
      </c>
      <c r="D82" s="179" t="s">
        <v>50</v>
      </c>
      <c r="E82" s="180" t="s">
        <v>3885</v>
      </c>
      <c r="F82" s="181"/>
      <c r="G82" s="351" t="s">
        <v>7726</v>
      </c>
      <c r="H82" s="190"/>
      <c r="I82" s="190"/>
      <c r="J82" s="187"/>
      <c r="K82" s="187"/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IFERROR(__xludf.DUMMYFUNCTION("ifna(VALUE(REGEXEXTRACT(E82,""[0-9.]+[,]+[0-9]+"")))"),78.0)</f>
        <v>78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</row>
    <row r="83" ht="14.25" customHeight="1">
      <c r="A83" s="178"/>
      <c r="B83" s="10">
        <v>1974254.0</v>
      </c>
      <c r="C83" s="11">
        <v>46055.80229166667</v>
      </c>
      <c r="D83" s="179" t="s">
        <v>227</v>
      </c>
      <c r="E83" s="180" t="s">
        <v>494</v>
      </c>
      <c r="F83" s="181"/>
      <c r="G83" s="179" t="s">
        <v>7731</v>
      </c>
      <c r="H83" s="190"/>
      <c r="I83" s="190"/>
      <c r="J83" s="187"/>
      <c r="K83" s="187"/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IFERROR(__xludf.DUMMYFUNCTION("ifna(VALUE(REGEXEXTRACT(E83,""[0-9.]+[,]+[0-9]+"")))"),0.01)</f>
        <v>0.01</v>
      </c>
      <c r="O83" s="305"/>
      <c r="P83" s="305"/>
      <c r="Q83" s="305"/>
      <c r="R83" s="306"/>
      <c r="S83" s="305"/>
      <c r="T83" s="91"/>
      <c r="U83" s="24"/>
      <c r="V83" s="24"/>
      <c r="W83" s="24"/>
    </row>
    <row r="84" ht="14.25" customHeight="1">
      <c r="A84" s="178"/>
      <c r="B84" s="10">
        <v>1975359.0</v>
      </c>
      <c r="C84" s="11">
        <v>46056.559016203704</v>
      </c>
      <c r="D84" s="179" t="s">
        <v>50</v>
      </c>
      <c r="E84" s="180" t="s">
        <v>943</v>
      </c>
      <c r="F84" s="181"/>
      <c r="G84" s="179" t="s">
        <v>7666</v>
      </c>
      <c r="H84" s="190"/>
      <c r="I84" s="190"/>
      <c r="J84" s="187" t="s">
        <v>3044</v>
      </c>
      <c r="K84" s="187" t="s">
        <v>7052</v>
      </c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IFERROR(__xludf.DUMMYFUNCTION("ifna(VALUE(REGEXEXTRACT(E84,""[0-9.]+[,]+[0-9]+"")))"),12.0)</f>
        <v>12</v>
      </c>
      <c r="O84" s="307" t="s">
        <v>7170</v>
      </c>
      <c r="W84" s="24"/>
    </row>
    <row r="85" ht="14.25" customHeight="1">
      <c r="A85" s="178"/>
      <c r="B85" s="10">
        <v>1975528.0</v>
      </c>
      <c r="C85" s="11">
        <v>46056.632361111115</v>
      </c>
      <c r="D85" s="179" t="s">
        <v>50</v>
      </c>
      <c r="E85" s="180" t="s">
        <v>7735</v>
      </c>
      <c r="F85" s="181"/>
      <c r="G85" s="179" t="s">
        <v>7738</v>
      </c>
      <c r="H85" s="190"/>
      <c r="I85" s="190"/>
      <c r="J85" s="187" t="s">
        <v>3903</v>
      </c>
      <c r="K85" s="187"/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85">
        <f>IFERROR(__xludf.DUMMYFUNCTION("ifna(VALUE(REGEXEXTRACT(E85,""[0-9.]+[,]+[0-9]+"")))"),207.64)</f>
        <v>207.64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</row>
    <row r="86" ht="14.25" customHeight="1">
      <c r="A86" s="178"/>
      <c r="B86" s="10">
        <v>1975704.0</v>
      </c>
      <c r="C86" s="11">
        <v>46056.69157407407</v>
      </c>
      <c r="D86" s="179" t="s">
        <v>50</v>
      </c>
      <c r="E86" s="180" t="s">
        <v>7742</v>
      </c>
      <c r="F86" s="181"/>
      <c r="G86" s="179" t="s">
        <v>7743</v>
      </c>
      <c r="H86" s="190"/>
      <c r="I86" s="190"/>
      <c r="J86" s="187" t="s">
        <v>3903</v>
      </c>
      <c r="K86" s="187"/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85">
        <f>IFERROR(__xludf.DUMMYFUNCTION("ifna(VALUE(REGEXEXTRACT(E86,""[0-9.]+[,]+[0-9]+"")))"),33.79)</f>
        <v>33.79</v>
      </c>
      <c r="O86" s="311">
        <f>IFERROR(__xludf.DUMMYFUNCTION("""COMPUTED_VALUE"""),1978449.0)</f>
        <v>1978449</v>
      </c>
      <c r="P86" s="312">
        <f>IFERROR(__xludf.DUMMYFUNCTION("""COMPUTED_VALUE"""),46057.93)</f>
        <v>46057.93</v>
      </c>
      <c r="Q86" s="311" t="str">
        <f>IFERROR(__xludf.DUMMYFUNCTION("""COMPUTED_VALUE"""),"Saída")</f>
        <v>Saída</v>
      </c>
      <c r="R86" s="313" t="str">
        <f>IFERROR(__xludf.DUMMYFUNCTION("""COMPUTED_VALUE"""),"R$ 42,00")</f>
        <v>R$ 42,00</v>
      </c>
      <c r="S86" s="311" t="str">
        <f>IFERROR(__xludf.DUMMYFUNCTION("""COMPUTED_VALUE"""),"Saida Outros: janta para funcionarios. 04/02/2026.")</f>
        <v>Saida Outros: janta para funcionarios. 04/02/2026.</v>
      </c>
      <c r="V86" s="314" t="str">
        <f>IFERROR(__xludf.DUMMYFUNCTION("""COMPUTED_VALUE"""),"Não Encontrada")</f>
        <v>Não Encontrada</v>
      </c>
      <c r="W86" s="24"/>
    </row>
    <row r="87" ht="14.25" customHeight="1">
      <c r="A87" s="178"/>
      <c r="B87" s="10">
        <v>1975716.0</v>
      </c>
      <c r="C87" s="11">
        <v>46056.69667824074</v>
      </c>
      <c r="D87" s="179" t="s">
        <v>50</v>
      </c>
      <c r="E87" s="180" t="s">
        <v>157</v>
      </c>
      <c r="F87" s="181"/>
      <c r="G87" s="179" t="s">
        <v>94</v>
      </c>
      <c r="H87" s="190"/>
      <c r="I87" s="190"/>
      <c r="J87" s="187" t="s">
        <v>3044</v>
      </c>
      <c r="K87" s="187" t="s">
        <v>7058</v>
      </c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IFERROR(__xludf.DUMMYFUNCTION("ifna(VALUE(REGEXEXTRACT(E87,""[0-9.]+[,]+[0-9]+"")))"),5.0)</f>
        <v>5</v>
      </c>
      <c r="O87" s="315"/>
      <c r="P87" s="316"/>
      <c r="Q87" s="315"/>
      <c r="R87" s="317"/>
      <c r="S87" s="315"/>
      <c r="V87" s="318"/>
      <c r="W87" s="24"/>
    </row>
    <row r="88" ht="14.25" customHeight="1">
      <c r="A88" s="178"/>
      <c r="B88" s="10">
        <v>1976028.0</v>
      </c>
      <c r="C88" s="11">
        <v>46056.780543981484</v>
      </c>
      <c r="D88" s="179" t="s">
        <v>50</v>
      </c>
      <c r="E88" s="180" t="s">
        <v>6794</v>
      </c>
      <c r="F88" s="181"/>
      <c r="G88" s="179" t="s">
        <v>7749</v>
      </c>
      <c r="H88" s="190"/>
      <c r="I88" s="190"/>
      <c r="J88" s="187" t="s">
        <v>3903</v>
      </c>
      <c r="K88" s="187"/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85">
        <f>IFERROR(__xludf.DUMMYFUNCTION("ifna(VALUE(REGEXEXTRACT(E88,""[0-9.]+[,]+[0-9]+"")))"),220.0)</f>
        <v>220</v>
      </c>
      <c r="O88" s="319"/>
      <c r="P88" s="320"/>
      <c r="Q88" s="319"/>
      <c r="R88" s="321"/>
      <c r="S88" s="319"/>
      <c r="V88" s="322"/>
      <c r="W88" s="24"/>
    </row>
    <row r="89" ht="14.25" customHeight="1">
      <c r="A89" s="178"/>
      <c r="B89" s="10">
        <v>1977158.0</v>
      </c>
      <c r="C89" s="11">
        <v>46057.61581018518</v>
      </c>
      <c r="D89" s="179" t="s">
        <v>50</v>
      </c>
      <c r="E89" s="180" t="s">
        <v>7081</v>
      </c>
      <c r="F89" s="181"/>
      <c r="G89" s="179" t="s">
        <v>7752</v>
      </c>
      <c r="H89" s="323"/>
      <c r="I89" s="190"/>
      <c r="J89" s="187" t="s">
        <v>3903</v>
      </c>
      <c r="K89" s="187"/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85">
        <f>IFERROR(__xludf.DUMMYFUNCTION("ifna(VALUE(REGEXEXTRACT(E89,""[0-9.]+[,]+[0-9]+"")))"),40.0)</f>
        <v>40</v>
      </c>
      <c r="O89" s="315"/>
      <c r="P89" s="316"/>
      <c r="Q89" s="315"/>
      <c r="R89" s="317"/>
      <c r="S89" s="315"/>
      <c r="V89" s="318"/>
      <c r="W89" s="24"/>
    </row>
    <row r="90" ht="14.25" customHeight="1">
      <c r="A90" s="178"/>
      <c r="B90" s="10">
        <v>1977169.0</v>
      </c>
      <c r="C90" s="11">
        <v>46057.61945601852</v>
      </c>
      <c r="D90" s="179" t="s">
        <v>50</v>
      </c>
      <c r="E90" s="180" t="s">
        <v>7755</v>
      </c>
      <c r="F90" s="181"/>
      <c r="G90" s="179" t="s">
        <v>7752</v>
      </c>
      <c r="H90" s="190"/>
      <c r="I90" s="190"/>
      <c r="J90" s="187" t="s">
        <v>3903</v>
      </c>
      <c r="K90" s="187"/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185">
        <f>IFERROR(__xludf.DUMMYFUNCTION("ifna(VALUE(REGEXEXTRACT(E90,""[0-9.]+[,]+[0-9]+"")))"),7.9)</f>
        <v>7.9</v>
      </c>
      <c r="O90" s="319"/>
      <c r="P90" s="320"/>
      <c r="Q90" s="319"/>
      <c r="R90" s="321"/>
      <c r="S90" s="319"/>
      <c r="V90" s="322"/>
      <c r="W90" s="24"/>
    </row>
    <row r="91" ht="14.25" customHeight="1">
      <c r="A91" s="178"/>
      <c r="B91" s="10">
        <v>1977188.0</v>
      </c>
      <c r="C91" s="11">
        <v>46057.6246875</v>
      </c>
      <c r="D91" s="179" t="s">
        <v>50</v>
      </c>
      <c r="E91" s="180" t="s">
        <v>7757</v>
      </c>
      <c r="F91" s="181"/>
      <c r="G91" s="179" t="s">
        <v>122</v>
      </c>
      <c r="H91" s="190"/>
      <c r="I91" s="190"/>
      <c r="J91" s="187" t="s">
        <v>3044</v>
      </c>
      <c r="K91" s="187" t="s">
        <v>6664</v>
      </c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IFERROR(__xludf.DUMMYFUNCTION("ifna(VALUE(REGEXEXTRACT(E91,""[0-9.]+[,]+[0-9]+"")))"),8.52)</f>
        <v>8.52</v>
      </c>
      <c r="O91" s="315"/>
      <c r="P91" s="316"/>
      <c r="Q91" s="315"/>
      <c r="R91" s="317"/>
      <c r="S91" s="315"/>
      <c r="V91" s="318"/>
      <c r="W91" s="24"/>
    </row>
    <row r="92" ht="14.25" customHeight="1">
      <c r="A92" s="178"/>
      <c r="B92" s="10">
        <v>1977258.0</v>
      </c>
      <c r="C92" s="11">
        <v>46057.64079861111</v>
      </c>
      <c r="D92" s="179" t="s">
        <v>50</v>
      </c>
      <c r="E92" s="180" t="s">
        <v>6731</v>
      </c>
      <c r="F92" s="181"/>
      <c r="G92" s="179" t="s">
        <v>7759</v>
      </c>
      <c r="H92" s="190"/>
      <c r="I92" s="190"/>
      <c r="J92" s="187" t="s">
        <v>3466</v>
      </c>
      <c r="K92" s="187"/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IFERROR(__xludf.DUMMYFUNCTION("ifna(VALUE(REGEXEXTRACT(E92,""[0-9.]+[,]+[0-9]+"")))"),100.0)</f>
        <v>100</v>
      </c>
      <c r="O92" s="319"/>
      <c r="P92" s="320"/>
      <c r="Q92" s="319"/>
      <c r="R92" s="321"/>
      <c r="S92" s="319"/>
      <c r="V92" s="281"/>
      <c r="W92" s="185"/>
    </row>
    <row r="93" ht="14.25" customHeight="1">
      <c r="A93" s="178"/>
      <c r="B93" s="10">
        <v>1977267.0</v>
      </c>
      <c r="C93" s="11">
        <v>46057.64325231482</v>
      </c>
      <c r="D93" s="179" t="s">
        <v>227</v>
      </c>
      <c r="E93" s="180" t="s">
        <v>6479</v>
      </c>
      <c r="F93" s="188"/>
      <c r="G93" s="179" t="s">
        <v>7761</v>
      </c>
      <c r="H93" s="190"/>
      <c r="I93" s="190"/>
      <c r="J93" s="187" t="s">
        <v>3874</v>
      </c>
      <c r="K93" s="187"/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IFERROR(__xludf.DUMMYFUNCTION("ifna(VALUE(REGEXEXTRACT(E93,""[0-9.]+[,]+[0-9]+"")))"),300.0)</f>
        <v>300</v>
      </c>
      <c r="O93" s="315"/>
      <c r="P93" s="316"/>
      <c r="Q93" s="315"/>
      <c r="R93" s="317"/>
      <c r="S93" s="315"/>
      <c r="V93" s="279"/>
      <c r="W93" s="185"/>
    </row>
    <row r="94" ht="14.25" customHeight="1">
      <c r="A94" s="178"/>
      <c r="B94" s="10">
        <v>1977282.0</v>
      </c>
      <c r="C94" s="11">
        <v>46057.645625</v>
      </c>
      <c r="D94" s="179" t="s">
        <v>227</v>
      </c>
      <c r="E94" s="180" t="s">
        <v>494</v>
      </c>
      <c r="F94" s="181"/>
      <c r="G94" s="179" t="s">
        <v>7763</v>
      </c>
      <c r="H94" s="190"/>
      <c r="I94" s="190"/>
      <c r="J94" s="187"/>
      <c r="K94" s="187"/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IFERROR(__xludf.DUMMYFUNCTION("ifna(VALUE(REGEXEXTRACT(E94,""[0-9.]+[,]+[0-9]+"")))"),0.01)</f>
        <v>0.01</v>
      </c>
      <c r="O94" s="319"/>
      <c r="P94" s="320"/>
      <c r="Q94" s="319"/>
      <c r="R94" s="321"/>
      <c r="S94" s="319"/>
      <c r="V94" s="281"/>
      <c r="W94" s="185"/>
    </row>
    <row r="95" ht="14.25" customHeight="1">
      <c r="A95" s="178"/>
      <c r="B95" s="10">
        <v>1977288.0</v>
      </c>
      <c r="C95" s="11">
        <v>46057.64633101852</v>
      </c>
      <c r="D95" s="179" t="s">
        <v>50</v>
      </c>
      <c r="E95" s="180" t="s">
        <v>494</v>
      </c>
      <c r="F95" s="181"/>
      <c r="G95" s="179" t="s">
        <v>7765</v>
      </c>
      <c r="H95" s="190"/>
      <c r="I95" s="190"/>
      <c r="J95" s="187"/>
      <c r="K95" s="187"/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IFERROR(__xludf.DUMMYFUNCTION("ifna(VALUE(REGEXEXTRACT(E95,""[0-9.]+[,]+[0-9]+"")))"),0.01)</f>
        <v>0.01</v>
      </c>
      <c r="O95" s="315"/>
      <c r="P95" s="316"/>
      <c r="Q95" s="315"/>
      <c r="R95" s="317"/>
      <c r="S95" s="315"/>
      <c r="V95" s="279"/>
      <c r="W95" s="185"/>
    </row>
    <row r="96" ht="14.25" customHeight="1">
      <c r="A96" s="178"/>
      <c r="B96" s="10">
        <v>1977581.0</v>
      </c>
      <c r="C96" s="11">
        <v>46057.72690972222</v>
      </c>
      <c r="D96" s="179" t="s">
        <v>50</v>
      </c>
      <c r="E96" s="180" t="s">
        <v>157</v>
      </c>
      <c r="F96" s="181"/>
      <c r="G96" s="179" t="s">
        <v>7666</v>
      </c>
      <c r="H96" s="190"/>
      <c r="I96" s="190"/>
      <c r="J96" s="187" t="s">
        <v>3044</v>
      </c>
      <c r="K96" s="187" t="s">
        <v>7052</v>
      </c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IFERROR(__xludf.DUMMYFUNCTION("ifna(VALUE(REGEXEXTRACT(E96,""[0-9.]+[,]+[0-9]+"")))"),5.0)</f>
        <v>5</v>
      </c>
      <c r="O96" s="325"/>
      <c r="P96" s="326"/>
      <c r="Q96" s="326"/>
      <c r="R96" s="321"/>
      <c r="S96" s="319"/>
      <c r="V96" s="281"/>
      <c r="W96" s="185"/>
    </row>
    <row r="97" ht="14.25" customHeight="1">
      <c r="A97" s="178"/>
      <c r="B97" s="10">
        <v>1977783.0</v>
      </c>
      <c r="C97" s="11">
        <v>46057.776087962964</v>
      </c>
      <c r="D97" s="179" t="s">
        <v>50</v>
      </c>
      <c r="E97" s="180" t="s">
        <v>6719</v>
      </c>
      <c r="F97" s="181"/>
      <c r="G97" s="179" t="s">
        <v>7768</v>
      </c>
      <c r="H97" s="190"/>
      <c r="I97" s="190"/>
      <c r="J97" s="187" t="s">
        <v>3903</v>
      </c>
      <c r="K97" s="187"/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"""")"),"Encontrada")</f>
        <v>Encontrada</v>
      </c>
      <c r="N97" s="185">
        <f>IFERROR(__xludf.DUMMYFUNCTION("ifna(VALUE(REGEXEXTRACT(E97,""[0-9.]+[,]+[0-9]+"")))"),330.0)</f>
        <v>330</v>
      </c>
      <c r="O97" s="315"/>
      <c r="P97" s="316"/>
      <c r="Q97" s="315"/>
      <c r="R97" s="317"/>
      <c r="S97" s="315"/>
      <c r="V97" s="279"/>
      <c r="W97" s="185"/>
    </row>
    <row r="98" ht="14.25" customHeight="1">
      <c r="A98" s="178"/>
      <c r="B98" s="10">
        <v>1977939.0</v>
      </c>
      <c r="C98" s="11">
        <v>46057.82450231481</v>
      </c>
      <c r="D98" s="179" t="s">
        <v>50</v>
      </c>
      <c r="E98" s="180" t="s">
        <v>329</v>
      </c>
      <c r="F98" s="181"/>
      <c r="G98" s="179" t="s">
        <v>7770</v>
      </c>
      <c r="H98" s="190"/>
      <c r="I98" s="190"/>
      <c r="J98" s="187" t="s">
        <v>3466</v>
      </c>
      <c r="K98" s="187"/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IFERROR(__xludf.DUMMYFUNCTION("ifna(VALUE(REGEXEXTRACT(E98,""[0-9.]+[,]+[0-9]+"")))"),200.0)</f>
        <v>200</v>
      </c>
      <c r="O98" s="319"/>
      <c r="P98" s="320"/>
      <c r="Q98" s="319"/>
      <c r="R98" s="321"/>
      <c r="S98" s="319"/>
      <c r="V98" s="281"/>
      <c r="W98" s="185"/>
    </row>
    <row r="99" ht="14.25" customHeight="1">
      <c r="A99" s="178"/>
      <c r="B99" s="10">
        <v>1977945.0</v>
      </c>
      <c r="C99" s="11">
        <v>46057.82603009259</v>
      </c>
      <c r="D99" s="179" t="s">
        <v>50</v>
      </c>
      <c r="E99" s="180" t="s">
        <v>6650</v>
      </c>
      <c r="F99" s="181"/>
      <c r="G99" s="179" t="s">
        <v>7772</v>
      </c>
      <c r="H99" s="190"/>
      <c r="I99" s="190"/>
      <c r="J99" s="187" t="s">
        <v>3467</v>
      </c>
      <c r="K99" s="187"/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IFERROR(__xludf.DUMMYFUNCTION("ifna(VALUE(REGEXEXTRACT(E99,""[0-9.]+[,]+[0-9]+"")))"),36.55)</f>
        <v>36.55</v>
      </c>
      <c r="O99" s="315"/>
      <c r="P99" s="316"/>
      <c r="Q99" s="315"/>
      <c r="R99" s="317"/>
      <c r="S99" s="315"/>
      <c r="V99" s="279"/>
      <c r="W99" s="185"/>
    </row>
    <row r="100" ht="14.25" customHeight="1">
      <c r="A100" s="178"/>
      <c r="B100" s="10">
        <v>1977948.0</v>
      </c>
      <c r="C100" s="11">
        <v>46057.826319444444</v>
      </c>
      <c r="D100" s="179" t="s">
        <v>227</v>
      </c>
      <c r="E100" s="180" t="s">
        <v>494</v>
      </c>
      <c r="F100" s="181"/>
      <c r="G100" s="179" t="s">
        <v>7775</v>
      </c>
      <c r="H100" s="190"/>
      <c r="I100" s="190"/>
      <c r="J100" s="187"/>
      <c r="K100" s="187"/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IFERROR(__xludf.DUMMYFUNCTION("ifna(VALUE(REGEXEXTRACT(E100,""[0-9.]+[,]+[0-9]+"")))"),0.01)</f>
        <v>0.01</v>
      </c>
      <c r="O100" s="319"/>
      <c r="P100" s="320"/>
      <c r="Q100" s="319"/>
      <c r="R100" s="321"/>
      <c r="S100" s="319"/>
      <c r="V100" s="281"/>
      <c r="W100" s="185"/>
    </row>
    <row r="101" ht="14.25" customHeight="1">
      <c r="A101" s="178"/>
      <c r="B101" s="10">
        <v>1977981.0</v>
      </c>
      <c r="C101" s="11">
        <v>46057.83724537037</v>
      </c>
      <c r="D101" s="179" t="s">
        <v>50</v>
      </c>
      <c r="E101" s="180" t="s">
        <v>7778</v>
      </c>
      <c r="F101" s="181"/>
      <c r="G101" s="179" t="s">
        <v>7666</v>
      </c>
      <c r="H101" s="190"/>
      <c r="I101" s="190"/>
      <c r="J101" s="187" t="s">
        <v>3044</v>
      </c>
      <c r="K101" s="187" t="s">
        <v>7052</v>
      </c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IFERROR(__xludf.DUMMYFUNCTION("ifna(VALUE(REGEXEXTRACT(E101,""[0-9.]+[,]+[0-9]+"")))"),3.96)</f>
        <v>3.96</v>
      </c>
      <c r="O101" s="315"/>
      <c r="P101" s="316"/>
      <c r="Q101" s="315"/>
      <c r="R101" s="317"/>
      <c r="S101" s="315"/>
      <c r="V101" s="279"/>
      <c r="W101" s="185"/>
    </row>
    <row r="102" ht="17.25" customHeight="1">
      <c r="A102" s="178"/>
      <c r="B102" s="10">
        <v>1978449.0</v>
      </c>
      <c r="C102" s="11">
        <v>46057.93</v>
      </c>
      <c r="D102" s="179" t="s">
        <v>50</v>
      </c>
      <c r="E102" s="180" t="s">
        <v>7780</v>
      </c>
      <c r="F102" s="188"/>
      <c r="G102" s="179" t="s">
        <v>7781</v>
      </c>
      <c r="H102" s="190"/>
      <c r="I102" s="190"/>
      <c r="J102" s="187" t="s">
        <v>3903</v>
      </c>
      <c r="K102" s="187"/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"""")"),"Não Encontrada")</f>
        <v>Não Encontrada</v>
      </c>
      <c r="N102" s="185">
        <f>IFERROR(__xludf.DUMMYFUNCTION("ifna(VALUE(REGEXEXTRACT(E102,""[0-9.]+[,]+[0-9]+"")))"),42.0)</f>
        <v>42</v>
      </c>
      <c r="O102" s="319"/>
      <c r="P102" s="320"/>
      <c r="Q102" s="319"/>
      <c r="R102" s="321"/>
      <c r="S102" s="319"/>
      <c r="V102" s="281"/>
      <c r="W102" s="185"/>
    </row>
    <row r="103" ht="14.25" customHeight="1">
      <c r="A103" s="178"/>
      <c r="B103" s="10">
        <v>1978890.0</v>
      </c>
      <c r="C103" s="11">
        <v>46058.557025462964</v>
      </c>
      <c r="D103" s="179" t="s">
        <v>50</v>
      </c>
      <c r="E103" s="180" t="s">
        <v>146</v>
      </c>
      <c r="F103" s="181"/>
      <c r="G103" s="179" t="s">
        <v>7666</v>
      </c>
      <c r="H103" s="190"/>
      <c r="I103" s="190"/>
      <c r="J103" s="187" t="s">
        <v>3044</v>
      </c>
      <c r="K103" s="187" t="s">
        <v>7052</v>
      </c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TRIM(CLEAN(TO_TEXT(#REF!)))) &gt; 0,
      ""Encontrada"",
      ""Não Encontrada""
   ),
"""")"),"")</f>
        <v/>
      </c>
      <c r="N103" s="185">
        <f>IFERROR(__xludf.DUMMYFUNCTION("ifna(VALUE(REGEXEXTRACT(E103,""[0-9.]+[,]+[0-9]+"")))"),3.0)</f>
        <v>3</v>
      </c>
      <c r="O103" s="315"/>
      <c r="P103" s="316"/>
      <c r="Q103" s="315"/>
      <c r="R103" s="317"/>
      <c r="S103" s="315"/>
      <c r="V103" s="279"/>
      <c r="W103" s="185"/>
    </row>
    <row r="104" ht="14.25" customHeight="1">
      <c r="A104" s="178"/>
      <c r="B104" s="10">
        <v>1979383.0</v>
      </c>
      <c r="C104" s="11">
        <v>46058.71668981481</v>
      </c>
      <c r="D104" s="10" t="s">
        <v>50</v>
      </c>
      <c r="E104" s="10" t="s">
        <v>146</v>
      </c>
      <c r="F104" s="13"/>
      <c r="G104" s="10" t="s">
        <v>7666</v>
      </c>
      <c r="H104" s="190"/>
      <c r="I104" s="190"/>
      <c r="J104" s="187" t="s">
        <v>3044</v>
      </c>
      <c r="K104" s="187" t="s">
        <v>7052</v>
      </c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TRIM(CLEAN(TO_TEXT(B103)))) &gt; 0,
      ""Encontrada"",
      ""Não Encontrada""
   ),
"""")"),"")</f>
        <v/>
      </c>
      <c r="N104" s="185">
        <f>IFERROR(__xludf.DUMMYFUNCTION("ifna(VALUE(REGEXEXTRACT(E104,""[0-9.]+[,]+[0-9]+"")))"),3.0)</f>
        <v>3</v>
      </c>
      <c r="O104" s="319"/>
      <c r="P104" s="320"/>
      <c r="Q104" s="319"/>
      <c r="R104" s="321"/>
      <c r="S104" s="319"/>
      <c r="V104" s="281"/>
      <c r="W104" s="185"/>
    </row>
    <row r="105" ht="14.25" customHeight="1">
      <c r="A105" s="178"/>
      <c r="B105" s="10">
        <v>1979397.0</v>
      </c>
      <c r="C105" s="11">
        <v>46058.71921296296</v>
      </c>
      <c r="D105" s="179" t="s">
        <v>50</v>
      </c>
      <c r="E105" s="180" t="s">
        <v>7706</v>
      </c>
      <c r="F105" s="181"/>
      <c r="G105" s="179" t="s">
        <v>122</v>
      </c>
      <c r="H105" s="190"/>
      <c r="I105" s="190"/>
      <c r="J105" s="187" t="s">
        <v>3044</v>
      </c>
      <c r="K105" s="187" t="s">
        <v>6664</v>
      </c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IFERROR(__xludf.DUMMYFUNCTION("ifna(VALUE(REGEXEXTRACT(E105,""[0-9.]+[,]+[0-9]+"")))"),16.0)</f>
        <v>16</v>
      </c>
      <c r="O105" s="315"/>
      <c r="P105" s="315"/>
      <c r="Q105" s="315"/>
      <c r="R105" s="317"/>
      <c r="S105" s="315"/>
      <c r="V105" s="279"/>
      <c r="W105" s="185"/>
    </row>
    <row r="106" ht="14.25" customHeight="1">
      <c r="A106" s="178"/>
      <c r="B106" s="10">
        <v>1979399.0</v>
      </c>
      <c r="C106" s="11">
        <v>46058.719814814816</v>
      </c>
      <c r="D106" s="179" t="s">
        <v>50</v>
      </c>
      <c r="E106" s="180" t="s">
        <v>246</v>
      </c>
      <c r="F106" s="181"/>
      <c r="G106" s="179" t="s">
        <v>7666</v>
      </c>
      <c r="H106" s="190"/>
      <c r="I106" s="190"/>
      <c r="J106" s="187" t="s">
        <v>3044</v>
      </c>
      <c r="K106" s="187" t="s">
        <v>7052</v>
      </c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IFERROR(__xludf.DUMMYFUNCTION("ifna(VALUE(REGEXEXTRACT(E106,""[0-9.]+[,]+[0-9]+"")))"),4.0)</f>
        <v>4</v>
      </c>
      <c r="O106" s="319"/>
      <c r="P106" s="319"/>
      <c r="Q106" s="319"/>
      <c r="R106" s="321"/>
      <c r="S106" s="319"/>
      <c r="V106" s="281"/>
      <c r="W106" s="185"/>
    </row>
    <row r="107" ht="18.75" customHeight="1">
      <c r="A107" s="178"/>
      <c r="B107" s="10">
        <v>1979437.0</v>
      </c>
      <c r="C107" s="11">
        <v>46058.72607638889</v>
      </c>
      <c r="D107" s="179" t="s">
        <v>50</v>
      </c>
      <c r="E107" s="180" t="s">
        <v>494</v>
      </c>
      <c r="F107" s="181"/>
      <c r="G107" s="351" t="s">
        <v>7787</v>
      </c>
      <c r="H107" s="190"/>
      <c r="I107" s="190"/>
      <c r="J107" s="187"/>
      <c r="K107" s="187"/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IFERROR(__xludf.DUMMYFUNCTION("ifna(VALUE(REGEXEXTRACT(E107,""[0-9.]+[,]+[0-9]+"")))"),0.01)</f>
        <v>0.01</v>
      </c>
      <c r="O107" s="331"/>
      <c r="P107" s="331"/>
      <c r="Q107" s="331"/>
      <c r="R107" s="317"/>
      <c r="S107" s="331"/>
      <c r="V107" s="279"/>
      <c r="W107" s="185"/>
    </row>
    <row r="108" ht="14.25" customHeight="1">
      <c r="A108" s="178"/>
      <c r="B108" s="10">
        <v>1979519.0</v>
      </c>
      <c r="C108" s="11">
        <v>46058.74921296296</v>
      </c>
      <c r="D108" s="179" t="s">
        <v>50</v>
      </c>
      <c r="E108" s="180" t="s">
        <v>246</v>
      </c>
      <c r="F108" s="181"/>
      <c r="G108" s="179" t="s">
        <v>94</v>
      </c>
      <c r="H108" s="190"/>
      <c r="I108" s="190"/>
      <c r="J108" s="187" t="s">
        <v>3044</v>
      </c>
      <c r="K108" s="187" t="s">
        <v>7058</v>
      </c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IFERROR(__xludf.DUMMYFUNCTION("ifna(VALUE(REGEXEXTRACT(E108,""[0-9.]+[,]+[0-9]+"")))"),4.0)</f>
        <v>4</v>
      </c>
      <c r="O108" s="332"/>
      <c r="P108" s="332"/>
      <c r="Q108" s="332"/>
      <c r="R108" s="321"/>
      <c r="S108" s="332"/>
      <c r="V108" s="281"/>
      <c r="W108" s="185"/>
    </row>
    <row r="109" ht="15.75" customHeight="1">
      <c r="A109" s="178"/>
      <c r="B109" s="10">
        <v>1979605.0</v>
      </c>
      <c r="C109" s="11">
        <v>46058.776458333334</v>
      </c>
      <c r="D109" s="179" t="s">
        <v>50</v>
      </c>
      <c r="E109" s="180" t="s">
        <v>7789</v>
      </c>
      <c r="F109" s="181"/>
      <c r="G109" s="179" t="s">
        <v>7790</v>
      </c>
      <c r="H109" s="190"/>
      <c r="I109" s="190"/>
      <c r="J109" s="187" t="s">
        <v>3467</v>
      </c>
      <c r="K109" s="187"/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IFERROR(__xludf.DUMMYFUNCTION("ifna(VALUE(REGEXEXTRACT(E109,""[0-9.]+[,]+[0-9]+"")))"),16.49)</f>
        <v>16.49</v>
      </c>
      <c r="O109" s="333"/>
      <c r="P109" s="331"/>
      <c r="Q109" s="331"/>
      <c r="R109" s="317"/>
      <c r="S109" s="331"/>
      <c r="V109" s="279"/>
      <c r="W109" s="185"/>
    </row>
    <row r="110" ht="14.25" customHeight="1">
      <c r="A110" s="178"/>
      <c r="B110" s="10">
        <v>1979608.0</v>
      </c>
      <c r="C110" s="11">
        <v>46058.77758101852</v>
      </c>
      <c r="D110" s="179" t="s">
        <v>50</v>
      </c>
      <c r="E110" s="180" t="s">
        <v>4702</v>
      </c>
      <c r="F110" s="181"/>
      <c r="G110" s="179" t="s">
        <v>7793</v>
      </c>
      <c r="H110" s="190"/>
      <c r="I110" s="190"/>
      <c r="J110" s="187" t="s">
        <v>3044</v>
      </c>
      <c r="K110" s="187" t="s">
        <v>6340</v>
      </c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IFERROR(__xludf.DUMMYFUNCTION("ifna(VALUE(REGEXEXTRACT(E110,""[0-9.]+[,]+[0-9]+"")))"),19.04)</f>
        <v>19.04</v>
      </c>
      <c r="O110" s="332"/>
      <c r="P110" s="332"/>
      <c r="Q110" s="332"/>
      <c r="R110" s="321"/>
      <c r="S110" s="332"/>
      <c r="V110" s="281"/>
      <c r="W110" s="185"/>
    </row>
    <row r="111" ht="17.25" customHeight="1">
      <c r="A111" s="178"/>
      <c r="B111" s="10">
        <v>1980207.0</v>
      </c>
      <c r="C111" s="11">
        <v>46058.92266203704</v>
      </c>
      <c r="D111" s="179" t="s">
        <v>50</v>
      </c>
      <c r="E111" s="180" t="s">
        <v>1588</v>
      </c>
      <c r="F111" s="188"/>
      <c r="G111" s="179" t="s">
        <v>7796</v>
      </c>
      <c r="H111" s="190"/>
      <c r="I111" s="190"/>
      <c r="J111" s="187" t="s">
        <v>3746</v>
      </c>
      <c r="K111" s="187" t="s">
        <v>7058</v>
      </c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"),"Depositada")</f>
        <v>Depositada</v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IFERROR(__xludf.DUMMYFUNCTION("ifna(VALUE(REGEXEXTRACT(E111,""[0-9.]+[,]+[0-9]+"")))"),1200.0)</f>
        <v>1200</v>
      </c>
      <c r="O111" s="331"/>
      <c r="P111" s="331"/>
      <c r="Q111" s="331"/>
      <c r="R111" s="317"/>
      <c r="S111" s="331"/>
      <c r="V111" s="279"/>
      <c r="W111" s="185"/>
    </row>
    <row r="112" ht="14.25" customHeight="1">
      <c r="A112" s="178"/>
      <c r="B112" s="10">
        <v>1980909.0</v>
      </c>
      <c r="C112" s="11">
        <v>46059.579976851855</v>
      </c>
      <c r="D112" s="179" t="s">
        <v>50</v>
      </c>
      <c r="E112" s="180" t="s">
        <v>7797</v>
      </c>
      <c r="F112" s="181"/>
      <c r="G112" s="179" t="s">
        <v>122</v>
      </c>
      <c r="H112" s="190"/>
      <c r="I112" s="190"/>
      <c r="J112" s="187" t="s">
        <v>3044</v>
      </c>
      <c r="K112" s="187" t="s">
        <v>6664</v>
      </c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IFERROR(__xludf.DUMMYFUNCTION("ifna(VALUE(REGEXEXTRACT(E112,""[0-9.]+[,]+[0-9]+"")))"),7.92)</f>
        <v>7.92</v>
      </c>
      <c r="O112" s="332"/>
      <c r="P112" s="332"/>
      <c r="Q112" s="332"/>
      <c r="R112" s="321"/>
      <c r="S112" s="332"/>
      <c r="V112" s="281"/>
      <c r="W112" s="185"/>
    </row>
    <row r="113" ht="14.25" customHeight="1">
      <c r="A113" s="178"/>
      <c r="B113" s="10">
        <v>1981432.0</v>
      </c>
      <c r="C113" s="11">
        <v>46059.696180555555</v>
      </c>
      <c r="D113" s="179" t="s">
        <v>50</v>
      </c>
      <c r="E113" s="180" t="s">
        <v>778</v>
      </c>
      <c r="F113" s="181"/>
      <c r="G113" s="179" t="s">
        <v>7799</v>
      </c>
      <c r="H113" s="190"/>
      <c r="I113" s="190"/>
      <c r="J113" s="187" t="s">
        <v>3044</v>
      </c>
      <c r="K113" s="187" t="s">
        <v>7052</v>
      </c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IFERROR(__xludf.DUMMYFUNCTION("ifna(VALUE(REGEXEXTRACT(E113,""[0-9.]+[,]+[0-9]+"")))"),12.4)</f>
        <v>12.4</v>
      </c>
      <c r="O113" s="331"/>
      <c r="P113" s="331"/>
      <c r="Q113" s="331"/>
      <c r="R113" s="331"/>
      <c r="S113" s="331"/>
      <c r="V113" s="279"/>
      <c r="W113" s="185"/>
    </row>
    <row r="114" ht="14.25" customHeight="1">
      <c r="A114" s="178"/>
      <c r="B114" s="10">
        <v>1981760.0</v>
      </c>
      <c r="C114" s="11">
        <v>46059.751226851855</v>
      </c>
      <c r="D114" s="179" t="s">
        <v>50</v>
      </c>
      <c r="E114" s="180" t="s">
        <v>7801</v>
      </c>
      <c r="F114" s="181"/>
      <c r="G114" s="179" t="s">
        <v>7802</v>
      </c>
      <c r="H114" s="190"/>
      <c r="I114" s="190"/>
      <c r="J114" s="187" t="s">
        <v>3903</v>
      </c>
      <c r="K114" s="187"/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85">
        <f>IFERROR(__xludf.DUMMYFUNCTION("ifna(VALUE(REGEXEXTRACT(E114,""[0-9.]+[,]+[0-9]+"")))"),199.8)</f>
        <v>199.8</v>
      </c>
      <c r="O114" s="332"/>
      <c r="P114" s="332"/>
      <c r="Q114" s="332"/>
      <c r="R114" s="332"/>
      <c r="S114" s="332"/>
      <c r="V114" s="281"/>
      <c r="W114" s="185"/>
    </row>
    <row r="115" ht="14.25" customHeight="1">
      <c r="A115" s="178"/>
      <c r="B115" s="10">
        <v>1981763.0</v>
      </c>
      <c r="C115" s="11">
        <v>46059.75166666666</v>
      </c>
      <c r="D115" s="179" t="s">
        <v>50</v>
      </c>
      <c r="E115" s="180" t="s">
        <v>7804</v>
      </c>
      <c r="F115" s="181"/>
      <c r="G115" s="179" t="s">
        <v>7805</v>
      </c>
      <c r="H115" s="190"/>
      <c r="I115" s="190"/>
      <c r="J115" s="187" t="s">
        <v>3903</v>
      </c>
      <c r="K115" s="187"/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85">
        <f>IFERROR(__xludf.DUMMYFUNCTION("ifna(VALUE(REGEXEXTRACT(E115,""[0-9.]+[,]+[0-9]+"")))"),208.02)</f>
        <v>208.02</v>
      </c>
      <c r="O115" s="331"/>
      <c r="P115" s="331"/>
      <c r="Q115" s="331"/>
      <c r="R115" s="331"/>
      <c r="S115" s="331"/>
      <c r="V115" s="279"/>
      <c r="W115" s="185"/>
    </row>
    <row r="116" ht="14.25" customHeight="1">
      <c r="A116" s="178"/>
      <c r="B116" s="10">
        <v>1981768.0</v>
      </c>
      <c r="C116" s="11">
        <v>46059.75252314815</v>
      </c>
      <c r="D116" s="179" t="s">
        <v>50</v>
      </c>
      <c r="E116" s="180" t="s">
        <v>7807</v>
      </c>
      <c r="F116" s="181"/>
      <c r="G116" s="179" t="s">
        <v>7808</v>
      </c>
      <c r="H116" s="190"/>
      <c r="I116" s="190"/>
      <c r="J116" s="187" t="s">
        <v>3903</v>
      </c>
      <c r="K116" s="187"/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"""")"),"Encontrada")</f>
        <v>Encontrada</v>
      </c>
      <c r="N116" s="185">
        <f>IFERROR(__xludf.DUMMYFUNCTION("ifna(VALUE(REGEXEXTRACT(E116,""[0-9.]+[,]+[0-9]+"")))"),134.16)</f>
        <v>134.16</v>
      </c>
      <c r="O116" s="332"/>
      <c r="P116" s="332"/>
      <c r="Q116" s="332"/>
      <c r="R116" s="332"/>
      <c r="S116" s="332"/>
      <c r="V116" s="281"/>
      <c r="W116" s="185"/>
    </row>
    <row r="117" ht="14.25" customHeight="1">
      <c r="A117" s="178"/>
      <c r="B117" s="10">
        <v>1981810.0</v>
      </c>
      <c r="C117" s="11">
        <v>46059.762025462966</v>
      </c>
      <c r="D117" s="179" t="s">
        <v>50</v>
      </c>
      <c r="E117" s="180" t="s">
        <v>157</v>
      </c>
      <c r="F117" s="181"/>
      <c r="G117" s="179" t="s">
        <v>7799</v>
      </c>
      <c r="H117" s="190"/>
      <c r="I117" s="190"/>
      <c r="J117" s="187" t="s">
        <v>3044</v>
      </c>
      <c r="K117" s="187" t="s">
        <v>7052</v>
      </c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IFERROR(__xludf.DUMMYFUNCTION("ifna(VALUE(REGEXEXTRACT(E117,""[0-9.]+[,]+[0-9]+"")))"),5.0)</f>
        <v>5</v>
      </c>
      <c r="O117" s="334"/>
      <c r="P117" s="335"/>
      <c r="Q117" s="336"/>
      <c r="R117" s="331"/>
      <c r="S117" s="331"/>
      <c r="V117" s="279"/>
      <c r="W117" s="185"/>
    </row>
    <row r="118" ht="14.25" customHeight="1">
      <c r="A118" s="178"/>
      <c r="B118" s="10">
        <v>1982694.0</v>
      </c>
      <c r="C118" s="11">
        <v>46059.92886574074</v>
      </c>
      <c r="D118" s="179" t="s">
        <v>50</v>
      </c>
      <c r="E118" s="180" t="s">
        <v>1107</v>
      </c>
      <c r="F118" s="188"/>
      <c r="G118" s="179" t="s">
        <v>7810</v>
      </c>
      <c r="H118" s="190"/>
      <c r="I118" s="190"/>
      <c r="J118" s="187" t="s">
        <v>3746</v>
      </c>
      <c r="K118" s="187" t="s">
        <v>7058</v>
      </c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"),"Depositada")</f>
        <v>Depositada</v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IFERROR(__xludf.DUMMYFUNCTION("ifna(VALUE(REGEXEXTRACT(E118,""[0-9.]+[,]+[0-9]+"")))"),1100.0)</f>
        <v>1100</v>
      </c>
      <c r="O118" s="325"/>
      <c r="P118" s="326"/>
      <c r="Q118" s="337"/>
      <c r="R118" s="332"/>
      <c r="S118" s="332"/>
      <c r="V118" s="281"/>
      <c r="W118" s="185"/>
    </row>
    <row r="119" ht="14.25" customHeight="1">
      <c r="A119" s="178"/>
      <c r="B119" s="10">
        <v>1984553.0</v>
      </c>
      <c r="C119" s="11">
        <v>46060.878020833334</v>
      </c>
      <c r="D119" s="179" t="s">
        <v>50</v>
      </c>
      <c r="E119" s="180" t="s">
        <v>943</v>
      </c>
      <c r="F119" s="181"/>
      <c r="G119" s="179" t="s">
        <v>7812</v>
      </c>
      <c r="H119" s="190"/>
      <c r="I119" s="190"/>
      <c r="J119" s="187" t="s">
        <v>3044</v>
      </c>
      <c r="K119" s="187" t="s">
        <v>7058</v>
      </c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IFERROR(__xludf.DUMMYFUNCTION("ifna(VALUE(REGEXEXTRACT(E119,""[0-9.]+[,]+[0-9]+"")))"),12.0)</f>
        <v>12</v>
      </c>
      <c r="O119" s="331"/>
      <c r="P119" s="331"/>
      <c r="Q119" s="331"/>
      <c r="R119" s="331"/>
      <c r="S119" s="331"/>
      <c r="V119" s="279"/>
      <c r="W119" s="185"/>
    </row>
    <row r="120" ht="14.25" customHeight="1">
      <c r="A120" s="178"/>
      <c r="B120" s="10">
        <v>1984557.0</v>
      </c>
      <c r="C120" s="11">
        <v>46060.87873842593</v>
      </c>
      <c r="D120" s="179" t="s">
        <v>50</v>
      </c>
      <c r="E120" s="180" t="s">
        <v>943</v>
      </c>
      <c r="F120" s="181"/>
      <c r="G120" s="179" t="s">
        <v>7813</v>
      </c>
      <c r="H120" s="190"/>
      <c r="I120" s="190"/>
      <c r="J120" s="187" t="s">
        <v>3044</v>
      </c>
      <c r="K120" s="187" t="s">
        <v>6340</v>
      </c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IFERROR(__xludf.DUMMYFUNCTION("ifna(VALUE(REGEXEXTRACT(E120,""[0-9.]+[,]+[0-9]+"")))"),12.0)</f>
        <v>12</v>
      </c>
      <c r="O120" s="332"/>
      <c r="P120" s="332"/>
      <c r="Q120" s="332"/>
      <c r="R120" s="332"/>
      <c r="S120" s="332"/>
      <c r="V120" s="281"/>
      <c r="W120" s="185"/>
    </row>
    <row r="121" ht="14.25" customHeight="1">
      <c r="A121" s="178"/>
      <c r="B121" s="10">
        <v>1984707.0</v>
      </c>
      <c r="C121" s="11">
        <v>46060.90351851852</v>
      </c>
      <c r="D121" s="179" t="s">
        <v>50</v>
      </c>
      <c r="E121" s="180" t="s">
        <v>624</v>
      </c>
      <c r="F121" s="181"/>
      <c r="G121" s="179" t="s">
        <v>7814</v>
      </c>
      <c r="H121" s="190"/>
      <c r="I121" s="190"/>
      <c r="J121" s="187" t="s">
        <v>3825</v>
      </c>
      <c r="K121" s="187"/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IFERROR(__xludf.DUMMYFUNCTION("ifna(VALUE(REGEXEXTRACT(E121,""[0-9.]+[,]+[0-9]+"")))"),130.0)</f>
        <v>130</v>
      </c>
      <c r="O121" s="331"/>
      <c r="P121" s="331"/>
      <c r="Q121" s="331"/>
      <c r="R121" s="331"/>
      <c r="S121" s="331"/>
      <c r="V121" s="279"/>
      <c r="W121" s="185"/>
    </row>
    <row r="122" ht="14.25" customHeight="1">
      <c r="A122" s="178"/>
      <c r="B122" s="10">
        <v>1984746.0</v>
      </c>
      <c r="C122" s="11">
        <v>46060.90761574074</v>
      </c>
      <c r="D122" s="179" t="s">
        <v>50</v>
      </c>
      <c r="E122" s="180" t="s">
        <v>1158</v>
      </c>
      <c r="F122" s="181"/>
      <c r="G122" s="179" t="s">
        <v>7815</v>
      </c>
      <c r="H122" s="190"/>
      <c r="I122" s="190"/>
      <c r="J122" s="187" t="s">
        <v>3746</v>
      </c>
      <c r="K122" s="187"/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"),"Caixa Sangria")</f>
        <v>Caixa Sangria</v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IFERROR(__xludf.DUMMYFUNCTION("ifna(VALUE(REGEXEXTRACT(E122,""[0-9.]+[,]+[0-9]+"")))"),800.0)</f>
        <v>800</v>
      </c>
      <c r="O122" s="332"/>
      <c r="P122" s="332"/>
      <c r="Q122" s="332"/>
      <c r="R122" s="332"/>
      <c r="S122" s="332"/>
      <c r="V122" s="281"/>
      <c r="W122" s="185"/>
    </row>
    <row r="123" ht="14.25" customHeight="1">
      <c r="A123" s="178"/>
      <c r="B123" s="10">
        <v>1984763.0</v>
      </c>
      <c r="C123" s="11">
        <v>46060.90940972222</v>
      </c>
      <c r="D123" s="179" t="s">
        <v>50</v>
      </c>
      <c r="E123" s="180" t="s">
        <v>6382</v>
      </c>
      <c r="F123" s="181"/>
      <c r="G123" s="179" t="s">
        <v>7816</v>
      </c>
      <c r="H123" s="190"/>
      <c r="I123" s="190"/>
      <c r="J123" s="187" t="s">
        <v>3825</v>
      </c>
      <c r="K123" s="187"/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IFERROR(__xludf.DUMMYFUNCTION("ifna(VALUE(REGEXEXTRACT(E123,""[0-9.]+[,]+[0-9]+"")))"),65.0)</f>
        <v>65</v>
      </c>
      <c r="O123" s="331"/>
      <c r="P123" s="331"/>
      <c r="Q123" s="331"/>
      <c r="R123" s="331"/>
      <c r="S123" s="331"/>
      <c r="V123" s="279"/>
      <c r="W123" s="185"/>
    </row>
    <row r="124" ht="14.25" customHeight="1">
      <c r="A124" s="178"/>
      <c r="B124" s="10">
        <v>1985673.0</v>
      </c>
      <c r="C124" s="11">
        <v>46061.54702546296</v>
      </c>
      <c r="D124" s="179" t="s">
        <v>50</v>
      </c>
      <c r="E124" s="180" t="s">
        <v>7817</v>
      </c>
      <c r="F124" s="181"/>
      <c r="G124" s="179" t="s">
        <v>7818</v>
      </c>
      <c r="H124" s="190"/>
      <c r="I124" s="190"/>
      <c r="J124" s="187" t="s">
        <v>3044</v>
      </c>
      <c r="K124" s="187" t="s">
        <v>7058</v>
      </c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IFERROR(__xludf.DUMMYFUNCTION("ifna(VALUE(REGEXEXTRACT(E124,""[0-9.]+[,]+[0-9]+"")))"),25.56)</f>
        <v>25.56</v>
      </c>
      <c r="O124" s="332"/>
      <c r="P124" s="332"/>
      <c r="Q124" s="332"/>
      <c r="R124" s="332"/>
      <c r="S124" s="332"/>
      <c r="V124" s="281"/>
      <c r="W124" s="185"/>
    </row>
    <row r="125" ht="14.25" customHeight="1">
      <c r="A125" s="178"/>
      <c r="B125" s="10">
        <v>1985773.0</v>
      </c>
      <c r="C125" s="11">
        <v>46061.5912962963</v>
      </c>
      <c r="D125" s="179" t="s">
        <v>50</v>
      </c>
      <c r="E125" s="180" t="s">
        <v>236</v>
      </c>
      <c r="F125" s="181"/>
      <c r="G125" s="179" t="s">
        <v>7819</v>
      </c>
      <c r="H125" s="190"/>
      <c r="I125" s="190"/>
      <c r="J125" s="187" t="s">
        <v>3467</v>
      </c>
      <c r="K125" s="187"/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IFERROR(__xludf.DUMMYFUNCTION("ifna(VALUE(REGEXEXTRACT(E125,""[0-9.]+[,]+[0-9]+"")))"),30.0)</f>
        <v>30</v>
      </c>
      <c r="O125" s="331"/>
      <c r="P125" s="331"/>
      <c r="Q125" s="331"/>
      <c r="R125" s="331"/>
      <c r="S125" s="331"/>
      <c r="V125" s="279"/>
      <c r="W125" s="185"/>
    </row>
    <row r="126" ht="16.5" customHeight="1">
      <c r="A126" s="178"/>
      <c r="B126" s="10">
        <v>1987711.0</v>
      </c>
      <c r="C126" s="11">
        <v>46061.92151620371</v>
      </c>
      <c r="D126" s="179" t="s">
        <v>50</v>
      </c>
      <c r="E126" s="180" t="s">
        <v>4019</v>
      </c>
      <c r="F126" s="181"/>
      <c r="G126" s="179" t="s">
        <v>7820</v>
      </c>
      <c r="H126" s="190"/>
      <c r="I126" s="190"/>
      <c r="J126" s="187" t="s">
        <v>3825</v>
      </c>
      <c r="K126" s="187"/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IFERROR(__xludf.DUMMYFUNCTION("ifna(VALUE(REGEXEXTRACT(E126,""[0-9.]+[,]+[0-9]+"")))"),117.0)</f>
        <v>117</v>
      </c>
      <c r="O126" s="332"/>
      <c r="P126" s="332"/>
      <c r="Q126" s="332"/>
      <c r="R126" s="332"/>
      <c r="S126" s="332"/>
      <c r="V126" s="281"/>
      <c r="W126" s="185"/>
    </row>
    <row r="127" ht="18.75" customHeight="1">
      <c r="A127" s="178"/>
      <c r="B127" s="10">
        <v>1987718.0</v>
      </c>
      <c r="C127" s="11">
        <v>46061.921898148146</v>
      </c>
      <c r="D127" s="179" t="s">
        <v>50</v>
      </c>
      <c r="E127" s="180" t="s">
        <v>4449</v>
      </c>
      <c r="F127" s="181"/>
      <c r="G127" s="179" t="s">
        <v>7821</v>
      </c>
      <c r="H127" s="190"/>
      <c r="I127" s="190"/>
      <c r="J127" s="187" t="s">
        <v>3825</v>
      </c>
      <c r="K127" s="187"/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IFERROR(__xludf.DUMMYFUNCTION("ifna(VALUE(REGEXEXTRACT(E127,""[0-9.]+[,]+[0-9]+"")))"),124.0)</f>
        <v>124</v>
      </c>
      <c r="O127" s="331"/>
      <c r="P127" s="331"/>
      <c r="Q127" s="331"/>
      <c r="R127" s="331"/>
      <c r="S127" s="331"/>
      <c r="V127" s="279"/>
      <c r="W127" s="185"/>
    </row>
    <row r="128" ht="17.25" customHeight="1">
      <c r="A128" s="178"/>
      <c r="B128" s="10">
        <v>1987768.0</v>
      </c>
      <c r="C128" s="11">
        <v>46061.92548611111</v>
      </c>
      <c r="D128" s="179" t="s">
        <v>50</v>
      </c>
      <c r="E128" s="180" t="s">
        <v>6612</v>
      </c>
      <c r="F128" s="181"/>
      <c r="G128" s="179" t="s">
        <v>7822</v>
      </c>
      <c r="H128" s="190"/>
      <c r="I128" s="190"/>
      <c r="J128" s="187" t="s">
        <v>3746</v>
      </c>
      <c r="K128" s="187" t="s">
        <v>7052</v>
      </c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"),"Depositada")</f>
        <v>Depositada</v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IFERROR(__xludf.DUMMYFUNCTION("ifna(VALUE(REGEXEXTRACT(E128,""[0-9.]+[,]+[0-9]+"")))"),2000.0)</f>
        <v>2000</v>
      </c>
      <c r="O128" s="332"/>
      <c r="P128" s="332"/>
      <c r="Q128" s="332"/>
      <c r="R128" s="332"/>
      <c r="S128" s="332"/>
      <c r="V128" s="281"/>
      <c r="W128" s="185"/>
    </row>
    <row r="129" ht="17.25" customHeight="1">
      <c r="A129" s="178"/>
      <c r="B129" s="10">
        <v>1987772.0</v>
      </c>
      <c r="C129" s="11">
        <v>46061.925787037035</v>
      </c>
      <c r="D129" s="179" t="s">
        <v>50</v>
      </c>
      <c r="E129" s="180" t="s">
        <v>7823</v>
      </c>
      <c r="F129" s="181"/>
      <c r="G129" s="179" t="s">
        <v>7824</v>
      </c>
      <c r="H129" s="190"/>
      <c r="I129" s="190"/>
      <c r="J129" s="187" t="s">
        <v>3903</v>
      </c>
      <c r="K129" s="187"/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185">
        <f>IFERROR(__xludf.DUMMYFUNCTION("ifna(VALUE(REGEXEXTRACT(E129,""[0-9.]+[,]+[0-9]+"")))"),5.42)</f>
        <v>5.42</v>
      </c>
      <c r="O129" s="331"/>
      <c r="P129" s="331"/>
      <c r="Q129" s="331"/>
      <c r="R129" s="331"/>
      <c r="S129" s="331"/>
      <c r="V129" s="279"/>
      <c r="W129" s="185"/>
    </row>
    <row r="130" ht="14.25" customHeight="1">
      <c r="A130" s="178"/>
      <c r="B130" s="10">
        <v>1987781.0</v>
      </c>
      <c r="C130" s="11">
        <v>46061.926087962966</v>
      </c>
      <c r="D130" s="179" t="s">
        <v>50</v>
      </c>
      <c r="E130" s="180" t="s">
        <v>7825</v>
      </c>
      <c r="F130" s="188"/>
      <c r="G130" s="179" t="s">
        <v>7826</v>
      </c>
      <c r="H130" s="190"/>
      <c r="I130" s="190"/>
      <c r="J130" s="187" t="s">
        <v>3903</v>
      </c>
      <c r="K130" s="187"/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85">
        <f>IFERROR(__xludf.DUMMYFUNCTION("ifna(VALUE(REGEXEXTRACT(E130,""[0-9.]+[,]+[0-9]+"")))"),212.03)</f>
        <v>212.03</v>
      </c>
      <c r="O130" s="332"/>
      <c r="P130" s="332"/>
      <c r="Q130" s="332"/>
      <c r="R130" s="332"/>
      <c r="S130" s="332"/>
      <c r="V130" s="281"/>
      <c r="W130" s="185"/>
    </row>
    <row r="131" ht="14.25" customHeight="1">
      <c r="A131" s="178"/>
      <c r="B131" s="10">
        <v>1988610.0</v>
      </c>
      <c r="C131" s="11">
        <v>46062.560625</v>
      </c>
      <c r="D131" s="179" t="s">
        <v>50</v>
      </c>
      <c r="E131" s="180" t="s">
        <v>6968</v>
      </c>
      <c r="F131" s="181"/>
      <c r="G131" s="179" t="s">
        <v>7666</v>
      </c>
      <c r="H131" s="190"/>
      <c r="I131" s="190"/>
      <c r="J131" s="187" t="s">
        <v>3044</v>
      </c>
      <c r="K131" s="187" t="s">
        <v>7052</v>
      </c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IFERROR(__xludf.DUMMYFUNCTION("ifna(VALUE(REGEXEXTRACT(E131,""[0-9.]+[,]+[0-9]+"")))"),17.0)</f>
        <v>17</v>
      </c>
      <c r="O131" s="331"/>
      <c r="P131" s="331"/>
      <c r="Q131" s="331"/>
      <c r="R131" s="331"/>
      <c r="S131" s="331"/>
      <c r="V131" s="279"/>
      <c r="W131" s="185"/>
    </row>
    <row r="132" ht="14.25" customHeight="1">
      <c r="A132" s="178"/>
      <c r="B132" s="10">
        <v>1988704.0</v>
      </c>
      <c r="C132" s="11">
        <v>46062.607256944444</v>
      </c>
      <c r="D132" s="179" t="s">
        <v>50</v>
      </c>
      <c r="E132" s="180" t="s">
        <v>6965</v>
      </c>
      <c r="F132" s="181"/>
      <c r="G132" s="179" t="s">
        <v>577</v>
      </c>
      <c r="H132" s="190"/>
      <c r="I132" s="190"/>
      <c r="J132" s="187" t="s">
        <v>3044</v>
      </c>
      <c r="K132" s="187" t="s">
        <v>6664</v>
      </c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>
        <f>IFERROR(__xludf.DUMMYFUNCTION("ifna(VALUE(REGEXEXTRACT(E132,""[0-9.]+[,]+[0-9]+"")))"),20.9)</f>
        <v>20.9</v>
      </c>
      <c r="O132" s="332"/>
      <c r="P132" s="332"/>
      <c r="Q132" s="332"/>
      <c r="R132" s="332"/>
      <c r="S132" s="332"/>
      <c r="V132" s="281"/>
      <c r="W132" s="185"/>
    </row>
    <row r="133" ht="14.25" customHeight="1">
      <c r="A133" s="178"/>
      <c r="B133" s="10">
        <v>1988928.0</v>
      </c>
      <c r="C133" s="11">
        <v>46062.67560185185</v>
      </c>
      <c r="D133" s="179" t="s">
        <v>50</v>
      </c>
      <c r="E133" s="180" t="s">
        <v>7827</v>
      </c>
      <c r="F133" s="181"/>
      <c r="G133" s="179" t="s">
        <v>7828</v>
      </c>
      <c r="H133" s="190"/>
      <c r="I133" s="190"/>
      <c r="J133" s="187" t="s">
        <v>3903</v>
      </c>
      <c r="K133" s="187"/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185">
        <f>IFERROR(__xludf.DUMMYFUNCTION("ifna(VALUE(REGEXEXTRACT(E133,""[0-9.]+[,]+[0-9]+"")))"),81.5)</f>
        <v>81.5</v>
      </c>
      <c r="O133" s="331"/>
      <c r="P133" s="331"/>
      <c r="Q133" s="331"/>
      <c r="R133" s="331"/>
      <c r="S133" s="331"/>
      <c r="V133" s="279"/>
      <c r="W133" s="185"/>
    </row>
    <row r="134" ht="14.25" customHeight="1">
      <c r="A134" s="178"/>
      <c r="B134" s="10">
        <v>1988930.0</v>
      </c>
      <c r="C134" s="11">
        <v>46062.67594907407</v>
      </c>
      <c r="D134" s="179" t="s">
        <v>50</v>
      </c>
      <c r="E134" s="180" t="s">
        <v>7829</v>
      </c>
      <c r="F134" s="181"/>
      <c r="G134" s="179" t="s">
        <v>7830</v>
      </c>
      <c r="H134" s="190"/>
      <c r="I134" s="190"/>
      <c r="J134" s="187" t="s">
        <v>3903</v>
      </c>
      <c r="K134" s="187"/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"""")"),"Encontrada")</f>
        <v>Encontrada</v>
      </c>
      <c r="N134" s="185">
        <f>IFERROR(__xludf.DUMMYFUNCTION("ifna(VALUE(REGEXEXTRACT(E134,""[0-9.]+[,]+[0-9]+"")))"),377.8)</f>
        <v>377.8</v>
      </c>
      <c r="O134" s="332"/>
      <c r="P134" s="332"/>
      <c r="Q134" s="332"/>
      <c r="R134" s="332"/>
      <c r="S134" s="332"/>
      <c r="V134" s="281"/>
      <c r="W134" s="185"/>
    </row>
    <row r="135" ht="14.25" customHeight="1">
      <c r="A135" s="178"/>
      <c r="B135" s="10">
        <v>1988943.0</v>
      </c>
      <c r="C135" s="11">
        <v>46062.68216435185</v>
      </c>
      <c r="D135" s="179" t="s">
        <v>50</v>
      </c>
      <c r="E135" s="180" t="s">
        <v>6900</v>
      </c>
      <c r="F135" s="181"/>
      <c r="G135" s="179" t="s">
        <v>7831</v>
      </c>
      <c r="H135" s="190"/>
      <c r="I135" s="190"/>
      <c r="J135" s="187" t="s">
        <v>3903</v>
      </c>
      <c r="K135" s="187"/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"""")"),"Encontrada")</f>
        <v>Encontrada</v>
      </c>
      <c r="N135" s="185">
        <f>IFERROR(__xludf.DUMMYFUNCTION("ifna(VALUE(REGEXEXTRACT(E135,""[0-9.]+[,]+[0-9]+"")))"),121.2)</f>
        <v>121.2</v>
      </c>
      <c r="O135" s="331"/>
      <c r="P135" s="331"/>
      <c r="Q135" s="331"/>
      <c r="R135" s="331"/>
      <c r="S135" s="331"/>
      <c r="V135" s="279"/>
      <c r="W135" s="185"/>
    </row>
    <row r="136" ht="14.25" customHeight="1">
      <c r="A136" s="178"/>
      <c r="B136" s="10">
        <v>1989085.0</v>
      </c>
      <c r="C136" s="11">
        <v>46062.72136574074</v>
      </c>
      <c r="D136" s="179" t="s">
        <v>50</v>
      </c>
      <c r="E136" s="180" t="s">
        <v>157</v>
      </c>
      <c r="F136" s="181"/>
      <c r="G136" s="179" t="s">
        <v>7799</v>
      </c>
      <c r="H136" s="190"/>
      <c r="I136" s="190"/>
      <c r="J136" s="187" t="s">
        <v>3044</v>
      </c>
      <c r="K136" s="187" t="s">
        <v>7052</v>
      </c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IFERROR(__xludf.DUMMYFUNCTION("ifna(VALUE(REGEXEXTRACT(E136,""[0-9.]+[,]+[0-9]+"")))"),5.0)</f>
        <v>5</v>
      </c>
      <c r="O136" s="332"/>
      <c r="P136" s="332"/>
      <c r="Q136" s="332"/>
      <c r="R136" s="332"/>
      <c r="S136" s="332"/>
      <c r="V136" s="281"/>
      <c r="W136" s="185"/>
    </row>
    <row r="137" ht="14.25" customHeight="1">
      <c r="A137" s="178"/>
      <c r="B137" s="10">
        <v>1989158.0</v>
      </c>
      <c r="C137" s="11">
        <v>46062.73847222222</v>
      </c>
      <c r="D137" s="179" t="s">
        <v>50</v>
      </c>
      <c r="E137" s="180" t="s">
        <v>329</v>
      </c>
      <c r="F137" s="188"/>
      <c r="G137" s="179" t="s">
        <v>7832</v>
      </c>
      <c r="H137" s="190"/>
      <c r="I137" s="190"/>
      <c r="J137" s="187" t="s">
        <v>4159</v>
      </c>
      <c r="K137" s="187"/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IFERROR(__xludf.DUMMYFUNCTION("ifna(VALUE(REGEXEXTRACT(E137,""[0-9.]+[,]+[0-9]+"")))"),200.0)</f>
        <v>200</v>
      </c>
      <c r="O137" s="24"/>
      <c r="P137" s="24"/>
      <c r="Q137" s="24"/>
      <c r="R137" s="24"/>
      <c r="S137" s="24"/>
      <c r="T137" s="24"/>
      <c r="U137" s="185"/>
      <c r="V137" s="185"/>
      <c r="W137" s="185"/>
    </row>
    <row r="138" ht="14.25" customHeight="1">
      <c r="A138" s="178"/>
      <c r="B138" s="10">
        <v>1989160.0</v>
      </c>
      <c r="C138" s="11">
        <v>46062.73900462963</v>
      </c>
      <c r="D138" s="179" t="s">
        <v>227</v>
      </c>
      <c r="E138" s="180" t="s">
        <v>494</v>
      </c>
      <c r="F138" s="181"/>
      <c r="G138" s="179" t="s">
        <v>7833</v>
      </c>
      <c r="H138" s="190"/>
      <c r="I138" s="190"/>
      <c r="J138" s="187"/>
      <c r="K138" s="187"/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IFERROR(__xludf.DUMMYFUNCTION("ifna(VALUE(REGEXEXTRACT(E138,""[0-9.]+[,]+[0-9]+"")))"),0.01)</f>
        <v>0.01</v>
      </c>
      <c r="O138" s="24"/>
      <c r="P138" s="24"/>
      <c r="Q138" s="24"/>
      <c r="R138" s="24"/>
      <c r="S138" s="24"/>
      <c r="T138" s="24"/>
      <c r="U138" s="185"/>
      <c r="V138" s="185"/>
      <c r="W138" s="185"/>
    </row>
    <row r="139" ht="14.25" customHeight="1">
      <c r="A139" s="178"/>
      <c r="B139" s="10">
        <v>1990474.0</v>
      </c>
      <c r="C139" s="11">
        <v>46063.584444444445</v>
      </c>
      <c r="D139" s="179" t="s">
        <v>50</v>
      </c>
      <c r="E139" s="180" t="s">
        <v>6719</v>
      </c>
      <c r="F139" s="181"/>
      <c r="G139" s="179" t="s">
        <v>7834</v>
      </c>
      <c r="H139" s="190"/>
      <c r="I139" s="190"/>
      <c r="J139" s="187" t="s">
        <v>3903</v>
      </c>
      <c r="K139" s="187"/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"""")"),"Encontrada")</f>
        <v>Encontrada</v>
      </c>
      <c r="N139" s="185">
        <f>IFERROR(__xludf.DUMMYFUNCTION("ifna(VALUE(REGEXEXTRACT(E139,""[0-9.]+[,]+[0-9]+"")))"),330.0)</f>
        <v>330</v>
      </c>
      <c r="O139" s="185"/>
      <c r="P139" s="185"/>
      <c r="Q139" s="185"/>
      <c r="R139" s="185"/>
      <c r="S139" s="185"/>
      <c r="T139" s="185"/>
      <c r="U139" s="185"/>
      <c r="V139" s="185"/>
      <c r="W139" s="185"/>
    </row>
    <row r="140" ht="14.25" customHeight="1">
      <c r="A140" s="178"/>
      <c r="B140" s="10">
        <v>1990482.0</v>
      </c>
      <c r="C140" s="11">
        <v>46063.59013888889</v>
      </c>
      <c r="D140" s="179" t="s">
        <v>50</v>
      </c>
      <c r="E140" s="180" t="s">
        <v>7748</v>
      </c>
      <c r="F140" s="181"/>
      <c r="G140" s="179" t="s">
        <v>122</v>
      </c>
      <c r="H140" s="190"/>
      <c r="I140" s="190"/>
      <c r="J140" s="187" t="s">
        <v>3044</v>
      </c>
      <c r="K140" s="187" t="s">
        <v>6664</v>
      </c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IFERROR(__xludf.DUMMYFUNCTION("ifna(VALUE(REGEXEXTRACT(E140,""[0-9.]+[,]+[0-9]+"")))"),5.75)</f>
        <v>5.75</v>
      </c>
      <c r="O140" s="185"/>
      <c r="P140" s="185"/>
      <c r="Q140" s="185"/>
      <c r="R140" s="185"/>
      <c r="S140" s="185"/>
      <c r="T140" s="185"/>
      <c r="U140" s="185"/>
      <c r="V140" s="185"/>
      <c r="W140" s="185"/>
    </row>
    <row r="141" ht="14.25" customHeight="1">
      <c r="A141" s="178"/>
      <c r="B141" s="10">
        <v>1990484.0</v>
      </c>
      <c r="C141" s="11">
        <v>46063.5909837963</v>
      </c>
      <c r="D141" s="179" t="s">
        <v>227</v>
      </c>
      <c r="E141" s="180" t="s">
        <v>1158</v>
      </c>
      <c r="F141" s="181"/>
      <c r="G141" s="179" t="s">
        <v>7835</v>
      </c>
      <c r="H141" s="190"/>
      <c r="I141" s="190"/>
      <c r="J141" s="187" t="s">
        <v>4159</v>
      </c>
      <c r="K141" s="187"/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IFERROR(__xludf.DUMMYFUNCTION("ifna(VALUE(REGEXEXTRACT(E141,""[0-9.]+[,]+[0-9]+"")))"),800.0)</f>
        <v>800</v>
      </c>
      <c r="O141" s="185"/>
      <c r="P141" s="185"/>
      <c r="Q141" s="185"/>
      <c r="R141" s="185"/>
      <c r="S141" s="185"/>
      <c r="T141" s="185"/>
      <c r="U141" s="185"/>
      <c r="V141" s="185"/>
      <c r="W141" s="185"/>
    </row>
    <row r="142" ht="14.25" customHeight="1">
      <c r="A142" s="178"/>
      <c r="B142" s="10">
        <v>1990488.0</v>
      </c>
      <c r="C142" s="11">
        <v>46063.59140046296</v>
      </c>
      <c r="D142" s="179" t="s">
        <v>50</v>
      </c>
      <c r="E142" s="180" t="s">
        <v>1158</v>
      </c>
      <c r="F142" s="181"/>
      <c r="G142" s="179" t="s">
        <v>7836</v>
      </c>
      <c r="H142" s="190"/>
      <c r="I142" s="190"/>
      <c r="J142" s="187" t="s">
        <v>3903</v>
      </c>
      <c r="K142" s="187"/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"""")"),"Encontrada")</f>
        <v>Encontrada</v>
      </c>
      <c r="N142" s="185">
        <f>IFERROR(__xludf.DUMMYFUNCTION("ifna(VALUE(REGEXEXTRACT(E142,""[0-9.]+[,]+[0-9]+"")))"),800.0)</f>
        <v>800</v>
      </c>
      <c r="O142" s="185"/>
      <c r="P142" s="185"/>
      <c r="Q142" s="185"/>
      <c r="R142" s="185"/>
      <c r="S142" s="185"/>
      <c r="T142" s="185"/>
      <c r="U142" s="185"/>
      <c r="V142" s="185"/>
      <c r="W142" s="185"/>
    </row>
    <row r="143" ht="14.25" customHeight="1">
      <c r="A143" s="178"/>
      <c r="B143" s="10">
        <v>1990514.0</v>
      </c>
      <c r="C143" s="11">
        <v>46063.602222222224</v>
      </c>
      <c r="D143" s="179" t="s">
        <v>50</v>
      </c>
      <c r="E143" s="180" t="s">
        <v>7837</v>
      </c>
      <c r="F143" s="181"/>
      <c r="G143" s="179" t="s">
        <v>7666</v>
      </c>
      <c r="H143" s="190"/>
      <c r="I143" s="190"/>
      <c r="J143" s="187" t="s">
        <v>3044</v>
      </c>
      <c r="K143" s="187" t="s">
        <v>7052</v>
      </c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IFERROR(__xludf.DUMMYFUNCTION("ifna(VALUE(REGEXEXTRACT(E143,""[0-9.]+[,]+[0-9]+"")))"),13.55)</f>
        <v>13.55</v>
      </c>
      <c r="O143" s="185"/>
      <c r="P143" s="185"/>
      <c r="Q143" s="185"/>
      <c r="R143" s="185"/>
      <c r="S143" s="185"/>
      <c r="T143" s="185"/>
      <c r="U143" s="185"/>
      <c r="V143" s="185"/>
      <c r="W143" s="185"/>
    </row>
    <row r="144" ht="14.25" customHeight="1">
      <c r="A144" s="178"/>
      <c r="B144" s="10">
        <v>1990524.0</v>
      </c>
      <c r="C144" s="11">
        <v>46063.607083333336</v>
      </c>
      <c r="D144" s="179" t="s">
        <v>50</v>
      </c>
      <c r="E144" s="180" t="s">
        <v>494</v>
      </c>
      <c r="F144" s="181"/>
      <c r="G144" s="179" t="s">
        <v>7838</v>
      </c>
      <c r="H144" s="190"/>
      <c r="I144" s="190"/>
      <c r="J144" s="187"/>
      <c r="K144" s="187"/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IFERROR(__xludf.DUMMYFUNCTION("ifna(VALUE(REGEXEXTRACT(E144,""[0-9.]+[,]+[0-9]+"")))"),0.01)</f>
        <v>0.01</v>
      </c>
      <c r="O144" s="185"/>
      <c r="P144" s="185"/>
      <c r="Q144" s="185"/>
      <c r="R144" s="185"/>
      <c r="S144" s="185"/>
      <c r="T144" s="185"/>
      <c r="U144" s="185"/>
      <c r="V144" s="185"/>
      <c r="W144" s="185"/>
    </row>
    <row r="145" ht="14.25" customHeight="1">
      <c r="A145" s="178"/>
      <c r="B145" s="10">
        <v>1990823.0</v>
      </c>
      <c r="C145" s="11">
        <v>46063.69001157407</v>
      </c>
      <c r="D145" s="179" t="s">
        <v>50</v>
      </c>
      <c r="E145" s="180" t="s">
        <v>7839</v>
      </c>
      <c r="F145" s="181"/>
      <c r="G145" s="179" t="s">
        <v>7840</v>
      </c>
      <c r="H145" s="190"/>
      <c r="I145" s="190"/>
      <c r="J145" s="187" t="s">
        <v>3903</v>
      </c>
      <c r="K145" s="187"/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"""")"),"Encontrada")</f>
        <v>Encontrada</v>
      </c>
      <c r="N145" s="185">
        <f>IFERROR(__xludf.DUMMYFUNCTION("ifna(VALUE(REGEXEXTRACT(E145,""[0-9.]+[,]+[0-9]+"")))"),41.0)</f>
        <v>41</v>
      </c>
      <c r="O145" s="185"/>
      <c r="P145" s="185"/>
      <c r="Q145" s="185"/>
      <c r="R145" s="185"/>
      <c r="S145" s="185"/>
      <c r="T145" s="185"/>
      <c r="U145" s="185"/>
      <c r="V145" s="185"/>
      <c r="W145" s="185"/>
    </row>
    <row r="146" ht="16.5" customHeight="1">
      <c r="A146" s="178"/>
      <c r="B146" s="10">
        <v>1990824.0</v>
      </c>
      <c r="C146" s="11">
        <v>46063.69167824074</v>
      </c>
      <c r="D146" s="179" t="s">
        <v>50</v>
      </c>
      <c r="E146" s="180" t="s">
        <v>7841</v>
      </c>
      <c r="F146" s="181"/>
      <c r="G146" s="179" t="s">
        <v>7842</v>
      </c>
      <c r="H146" s="190"/>
      <c r="I146" s="190"/>
      <c r="J146" s="187" t="s">
        <v>3903</v>
      </c>
      <c r="K146" s="187"/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"""")"),"Encontrada")</f>
        <v>Encontrada</v>
      </c>
      <c r="N146" s="185">
        <f>IFERROR(__xludf.DUMMYFUNCTION("ifna(VALUE(REGEXEXTRACT(E146,""[0-9.]+[,]+[0-9]+"")))"),441.42)</f>
        <v>441.42</v>
      </c>
      <c r="O146" s="185"/>
      <c r="P146" s="185"/>
      <c r="Q146" s="185"/>
      <c r="R146" s="185"/>
      <c r="S146" s="185"/>
      <c r="T146" s="185"/>
      <c r="U146" s="185"/>
      <c r="V146" s="185"/>
      <c r="W146" s="185"/>
    </row>
    <row r="147" ht="14.25" customHeight="1">
      <c r="A147" s="178"/>
      <c r="B147" s="10">
        <v>1990828.0</v>
      </c>
      <c r="C147" s="11">
        <v>46063.69280092593</v>
      </c>
      <c r="D147" s="179" t="s">
        <v>50</v>
      </c>
      <c r="E147" s="180" t="s">
        <v>7843</v>
      </c>
      <c r="F147" s="181"/>
      <c r="G147" s="179" t="s">
        <v>7844</v>
      </c>
      <c r="H147" s="190"/>
      <c r="I147" s="190"/>
      <c r="J147" s="187" t="s">
        <v>3903</v>
      </c>
      <c r="K147" s="187"/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85">
        <f>IFERROR(__xludf.DUMMYFUNCTION("ifna(VALUE(REGEXEXTRACT(E147,""[0-9.]+[,]+[0-9]+"")))"),29.7)</f>
        <v>29.7</v>
      </c>
      <c r="O147" s="185"/>
      <c r="P147" s="185"/>
      <c r="Q147" s="185"/>
      <c r="R147" s="185"/>
      <c r="S147" s="185"/>
      <c r="T147" s="185"/>
      <c r="U147" s="185"/>
      <c r="V147" s="185"/>
      <c r="W147" s="185"/>
    </row>
    <row r="148" ht="14.25" customHeight="1">
      <c r="A148" s="178"/>
      <c r="B148" s="10">
        <v>1990860.0</v>
      </c>
      <c r="C148" s="11">
        <v>46063.70180555555</v>
      </c>
      <c r="D148" s="179" t="s">
        <v>50</v>
      </c>
      <c r="E148" s="180" t="s">
        <v>1611</v>
      </c>
      <c r="F148" s="188"/>
      <c r="G148" s="179" t="s">
        <v>94</v>
      </c>
      <c r="H148" s="190"/>
      <c r="I148" s="190"/>
      <c r="J148" s="187" t="s">
        <v>3044</v>
      </c>
      <c r="K148" s="187" t="s">
        <v>7058</v>
      </c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IFERROR(__xludf.DUMMYFUNCTION("ifna(VALUE(REGEXEXTRACT(E148,""[0-9.]+[,]+[0-9]+"")))"),7.0)</f>
        <v>7</v>
      </c>
      <c r="O148" s="185"/>
      <c r="P148" s="185"/>
      <c r="Q148" s="185"/>
      <c r="R148" s="185"/>
      <c r="S148" s="185"/>
      <c r="T148" s="185"/>
      <c r="U148" s="185"/>
      <c r="V148" s="185"/>
      <c r="W148" s="185"/>
    </row>
    <row r="149" ht="14.25" customHeight="1">
      <c r="A149" s="178"/>
      <c r="B149" s="10">
        <v>1990862.0</v>
      </c>
      <c r="C149" s="11">
        <v>46063.70201388889</v>
      </c>
      <c r="D149" s="179" t="s">
        <v>50</v>
      </c>
      <c r="E149" s="180" t="s">
        <v>246</v>
      </c>
      <c r="F149" s="181"/>
      <c r="G149" s="179" t="s">
        <v>122</v>
      </c>
      <c r="H149" s="190"/>
      <c r="I149" s="190"/>
      <c r="J149" s="187" t="s">
        <v>3044</v>
      </c>
      <c r="K149" s="187" t="s">
        <v>6664</v>
      </c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IFERROR(__xludf.DUMMYFUNCTION("ifna(VALUE(REGEXEXTRACT(E149,""[0-9.]+[,]+[0-9]+"")))"),4.0)</f>
        <v>4</v>
      </c>
      <c r="O149" s="185"/>
      <c r="P149" s="185"/>
      <c r="Q149" s="185"/>
      <c r="R149" s="185"/>
      <c r="S149" s="185"/>
      <c r="T149" s="185"/>
      <c r="U149" s="185"/>
      <c r="V149" s="185"/>
      <c r="W149" s="185"/>
    </row>
    <row r="150" ht="14.25" customHeight="1">
      <c r="A150" s="178"/>
      <c r="B150" s="10">
        <v>1990896.0</v>
      </c>
      <c r="C150" s="11">
        <v>46063.70921296296</v>
      </c>
      <c r="D150" s="179" t="s">
        <v>50</v>
      </c>
      <c r="E150" s="180" t="s">
        <v>7845</v>
      </c>
      <c r="F150" s="181"/>
      <c r="G150" s="179" t="s">
        <v>122</v>
      </c>
      <c r="H150" s="190"/>
      <c r="I150" s="190"/>
      <c r="J150" s="187" t="s">
        <v>3044</v>
      </c>
      <c r="K150" s="187" t="s">
        <v>6664</v>
      </c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IFERROR(__xludf.DUMMYFUNCTION("ifna(VALUE(REGEXEXTRACT(E150,""[0-9.]+[,]+[0-9]+"")))"),29.01)</f>
        <v>29.01</v>
      </c>
      <c r="O150" s="185"/>
      <c r="P150" s="185"/>
      <c r="Q150" s="185"/>
      <c r="R150" s="185"/>
      <c r="S150" s="185"/>
      <c r="T150" s="185"/>
      <c r="U150" s="185"/>
      <c r="V150" s="185"/>
      <c r="W150" s="185"/>
    </row>
    <row r="151" ht="14.25" customHeight="1">
      <c r="A151" s="178"/>
      <c r="B151" s="10">
        <v>1991124.0</v>
      </c>
      <c r="C151" s="11">
        <v>46063.755381944444</v>
      </c>
      <c r="D151" s="179" t="s">
        <v>50</v>
      </c>
      <c r="E151" s="180" t="s">
        <v>6693</v>
      </c>
      <c r="F151" s="181"/>
      <c r="G151" s="351" t="s">
        <v>7846</v>
      </c>
      <c r="H151" s="190"/>
      <c r="I151" s="190"/>
      <c r="J151" s="187"/>
      <c r="K151" s="187"/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IFERROR(__xludf.DUMMYFUNCTION("ifna(VALUE(REGEXEXTRACT(E151,""[0-9.]+[,]+[0-9]+"")))"),550.0)</f>
        <v>550</v>
      </c>
      <c r="O151" s="185"/>
      <c r="P151" s="185"/>
      <c r="Q151" s="185"/>
      <c r="R151" s="185"/>
      <c r="S151" s="185"/>
      <c r="T151" s="185"/>
      <c r="U151" s="185"/>
      <c r="V151" s="185"/>
      <c r="W151" s="185"/>
    </row>
    <row r="152" ht="14.25" customHeight="1">
      <c r="A152" s="178"/>
      <c r="B152" s="10">
        <v>1991171.0</v>
      </c>
      <c r="C152" s="11">
        <v>46063.769166666665</v>
      </c>
      <c r="D152" s="179" t="s">
        <v>50</v>
      </c>
      <c r="E152" s="180" t="s">
        <v>7847</v>
      </c>
      <c r="F152" s="181"/>
      <c r="G152" s="179" t="s">
        <v>7793</v>
      </c>
      <c r="H152" s="190"/>
      <c r="I152" s="190"/>
      <c r="J152" s="187" t="s">
        <v>3044</v>
      </c>
      <c r="K152" s="187" t="s">
        <v>6340</v>
      </c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IFERROR(__xludf.DUMMYFUNCTION("ifna(VALUE(REGEXEXTRACT(E152,""[0-9.]+[,]+[0-9]+"")))"),18.66)</f>
        <v>18.66</v>
      </c>
      <c r="O152" s="185"/>
      <c r="P152" s="185"/>
      <c r="Q152" s="185"/>
      <c r="R152" s="185"/>
      <c r="S152" s="185"/>
      <c r="T152" s="185"/>
      <c r="U152" s="185"/>
      <c r="V152" s="185"/>
      <c r="W152" s="185"/>
    </row>
    <row r="153" ht="14.25" customHeight="1">
      <c r="A153" s="178"/>
      <c r="B153" s="10">
        <v>1991180.0</v>
      </c>
      <c r="C153" s="11">
        <v>46063.77097222222</v>
      </c>
      <c r="D153" s="179" t="s">
        <v>50</v>
      </c>
      <c r="E153" s="180" t="s">
        <v>157</v>
      </c>
      <c r="F153" s="181"/>
      <c r="G153" s="179" t="s">
        <v>7666</v>
      </c>
      <c r="H153" s="190"/>
      <c r="I153" s="190"/>
      <c r="J153" s="187" t="s">
        <v>3044</v>
      </c>
      <c r="K153" s="187" t="s">
        <v>7052</v>
      </c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IFERROR(__xludf.DUMMYFUNCTION("ifna(VALUE(REGEXEXTRACT(E153,""[0-9.]+[,]+[0-9]+"")))"),5.0)</f>
        <v>5</v>
      </c>
      <c r="O153" s="185"/>
      <c r="P153" s="185"/>
      <c r="Q153" s="185"/>
      <c r="R153" s="185"/>
      <c r="S153" s="185"/>
      <c r="T153" s="185"/>
      <c r="U153" s="185"/>
      <c r="V153" s="185"/>
      <c r="W153" s="185"/>
    </row>
    <row r="154" ht="14.25" customHeight="1">
      <c r="A154" s="178"/>
      <c r="B154" s="10">
        <v>1991188.0</v>
      </c>
      <c r="C154" s="11">
        <v>46063.77378472222</v>
      </c>
      <c r="D154" s="179" t="s">
        <v>227</v>
      </c>
      <c r="E154" s="180" t="s">
        <v>6693</v>
      </c>
      <c r="F154" s="181"/>
      <c r="G154" s="179" t="s">
        <v>7848</v>
      </c>
      <c r="H154" s="190"/>
      <c r="I154" s="190"/>
      <c r="J154" s="187" t="s">
        <v>3874</v>
      </c>
      <c r="K154" s="187"/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IFERROR(__xludf.DUMMYFUNCTION("ifna(VALUE(REGEXEXTRACT(E154,""[0-9.]+[,]+[0-9]+"")))"),550.0)</f>
        <v>550</v>
      </c>
      <c r="O154" s="185"/>
      <c r="P154" s="185"/>
      <c r="Q154" s="185"/>
      <c r="R154" s="185"/>
      <c r="S154" s="185"/>
      <c r="T154" s="185"/>
      <c r="U154" s="185"/>
      <c r="V154" s="185"/>
      <c r="W154" s="185"/>
    </row>
    <row r="155" ht="14.25" customHeight="1">
      <c r="A155" s="178"/>
      <c r="B155" s="10">
        <v>1991920.0</v>
      </c>
      <c r="C155" s="11">
        <v>46063.94571759259</v>
      </c>
      <c r="D155" s="179" t="s">
        <v>50</v>
      </c>
      <c r="E155" s="180" t="s">
        <v>494</v>
      </c>
      <c r="F155" s="181"/>
      <c r="G155" s="351" t="s">
        <v>7849</v>
      </c>
      <c r="H155" s="190"/>
      <c r="I155" s="190"/>
      <c r="J155" s="187"/>
      <c r="K155" s="187"/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IFERROR(__xludf.DUMMYFUNCTION("ifna(VALUE(REGEXEXTRACT(E155,""[0-9.]+[,]+[0-9]+"")))"),0.01)</f>
        <v>0.01</v>
      </c>
      <c r="O155" s="185"/>
      <c r="P155" s="185"/>
      <c r="Q155" s="185"/>
      <c r="R155" s="185"/>
      <c r="S155" s="185"/>
      <c r="T155" s="185"/>
      <c r="U155" s="185"/>
      <c r="V155" s="185"/>
      <c r="W155" s="185"/>
    </row>
    <row r="156" ht="14.25" customHeight="1">
      <c r="A156" s="178"/>
      <c r="B156" s="10">
        <v>1992275.0</v>
      </c>
      <c r="C156" s="11">
        <v>46064.54053240741</v>
      </c>
      <c r="D156" s="179" t="s">
        <v>50</v>
      </c>
      <c r="E156" s="180" t="s">
        <v>7784</v>
      </c>
      <c r="F156" s="181"/>
      <c r="G156" s="179" t="s">
        <v>7850</v>
      </c>
      <c r="H156" s="190"/>
      <c r="I156" s="190"/>
      <c r="J156" s="187" t="s">
        <v>3044</v>
      </c>
      <c r="K156" s="187" t="s">
        <v>7058</v>
      </c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IFERROR(__xludf.DUMMYFUNCTION("ifna(VALUE(REGEXEXTRACT(E156,""[0-9.]+[,]+[0-9]+"")))"),17.76)</f>
        <v>17.76</v>
      </c>
      <c r="O156" s="185"/>
      <c r="P156" s="185"/>
      <c r="Q156" s="185"/>
      <c r="R156" s="185"/>
      <c r="S156" s="185"/>
      <c r="T156" s="185"/>
      <c r="U156" s="185"/>
      <c r="V156" s="185"/>
      <c r="W156" s="185"/>
    </row>
    <row r="157" ht="14.25" customHeight="1">
      <c r="A157" s="178"/>
      <c r="B157" s="10">
        <v>1992388.0</v>
      </c>
      <c r="C157" s="11">
        <v>46064.59751157407</v>
      </c>
      <c r="D157" s="179" t="s">
        <v>50</v>
      </c>
      <c r="E157" s="180" t="s">
        <v>7501</v>
      </c>
      <c r="F157" s="181"/>
      <c r="G157" s="179" t="s">
        <v>7851</v>
      </c>
      <c r="H157" s="190"/>
      <c r="I157" s="190"/>
      <c r="J157" s="187" t="s">
        <v>3467</v>
      </c>
      <c r="K157" s="187"/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IFERROR(__xludf.DUMMYFUNCTION("ifna(VALUE(REGEXEXTRACT(E157,""[0-9.]+[,]+[0-9]+"")))"),50.0)</f>
        <v>50</v>
      </c>
      <c r="O157" s="185"/>
      <c r="P157" s="185"/>
      <c r="Q157" s="185"/>
      <c r="R157" s="185"/>
      <c r="S157" s="185"/>
      <c r="T157" s="185"/>
      <c r="U157" s="185"/>
      <c r="V157" s="185"/>
      <c r="W157" s="185"/>
    </row>
    <row r="158" ht="19.5" customHeight="1">
      <c r="A158" s="178"/>
      <c r="B158" s="10">
        <v>1992460.0</v>
      </c>
      <c r="C158" s="11">
        <v>46064.62461805555</v>
      </c>
      <c r="D158" s="179" t="s">
        <v>50</v>
      </c>
      <c r="E158" s="180" t="s">
        <v>157</v>
      </c>
      <c r="F158" s="181"/>
      <c r="G158" s="179" t="s">
        <v>7666</v>
      </c>
      <c r="H158" s="190"/>
      <c r="I158" s="190"/>
      <c r="J158" s="187" t="s">
        <v>3044</v>
      </c>
      <c r="K158" s="187" t="s">
        <v>7052</v>
      </c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IFERROR(__xludf.DUMMYFUNCTION("ifna(VALUE(REGEXEXTRACT(E158,""[0-9.]+[,]+[0-9]+"")))"),5.0)</f>
        <v>5</v>
      </c>
      <c r="O158" s="185"/>
      <c r="P158" s="185"/>
      <c r="Q158" s="185"/>
      <c r="R158" s="185"/>
      <c r="S158" s="185"/>
      <c r="T158" s="185"/>
      <c r="U158" s="185"/>
      <c r="V158" s="185"/>
      <c r="W158" s="185"/>
    </row>
    <row r="159" ht="18.75" customHeight="1">
      <c r="A159" s="178"/>
      <c r="B159" s="10">
        <v>1992468.0</v>
      </c>
      <c r="C159" s="11">
        <v>46064.62681712963</v>
      </c>
      <c r="D159" s="179" t="s">
        <v>50</v>
      </c>
      <c r="E159" s="180" t="s">
        <v>146</v>
      </c>
      <c r="F159" s="181"/>
      <c r="G159" s="179" t="s">
        <v>7666</v>
      </c>
      <c r="H159" s="190"/>
      <c r="I159" s="190"/>
      <c r="J159" s="187" t="s">
        <v>3044</v>
      </c>
      <c r="K159" s="187" t="s">
        <v>7052</v>
      </c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IFERROR(__xludf.DUMMYFUNCTION("ifna(VALUE(REGEXEXTRACT(E159,""[0-9.]+[,]+[0-9]+"")))"),3.0)</f>
        <v>3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</row>
    <row r="160" ht="16.5" customHeight="1">
      <c r="A160" s="178"/>
      <c r="B160" s="10">
        <v>1992738.0</v>
      </c>
      <c r="C160" s="11">
        <v>46064.69855324074</v>
      </c>
      <c r="D160" s="179" t="s">
        <v>50</v>
      </c>
      <c r="E160" s="180" t="s">
        <v>7852</v>
      </c>
      <c r="F160" s="181"/>
      <c r="G160" s="179" t="s">
        <v>7666</v>
      </c>
      <c r="H160" s="190"/>
      <c r="I160" s="190"/>
      <c r="J160" s="187" t="s">
        <v>3044</v>
      </c>
      <c r="K160" s="187" t="s">
        <v>7052</v>
      </c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IFERROR(__xludf.DUMMYFUNCTION("ifna(VALUE(REGEXEXTRACT(E160,""[0-9.]+[,]+[0-9]+"")))"),10.35)</f>
        <v>10.35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6.5" customHeight="1">
      <c r="A161" s="178"/>
      <c r="B161" s="10">
        <v>1993059.0</v>
      </c>
      <c r="C161" s="11">
        <v>46064.77340277778</v>
      </c>
      <c r="D161" s="179" t="s">
        <v>50</v>
      </c>
      <c r="E161" s="180" t="s">
        <v>7853</v>
      </c>
      <c r="F161" s="181"/>
      <c r="G161" s="179" t="s">
        <v>7854</v>
      </c>
      <c r="H161" s="190"/>
      <c r="I161" s="190"/>
      <c r="J161" s="187" t="s">
        <v>3903</v>
      </c>
      <c r="K161" s="187"/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185">
        <f>IFERROR(__xludf.DUMMYFUNCTION("ifna(VALUE(REGEXEXTRACT(E161,""[0-9.]+[,]+[0-9]+"")))"),180.65)</f>
        <v>180.65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0">
        <v>1993216.0</v>
      </c>
      <c r="C162" s="11">
        <v>46064.82685185185</v>
      </c>
      <c r="D162" s="179" t="s">
        <v>50</v>
      </c>
      <c r="E162" s="180" t="s">
        <v>7855</v>
      </c>
      <c r="F162" s="181"/>
      <c r="G162" s="179" t="s">
        <v>7793</v>
      </c>
      <c r="H162" s="190"/>
      <c r="I162" s="190"/>
      <c r="J162" s="187" t="s">
        <v>3044</v>
      </c>
      <c r="K162" s="187" t="s">
        <v>6340</v>
      </c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>
        <f>IFERROR(__xludf.DUMMYFUNCTION("ifna(VALUE(REGEXEXTRACT(E162,""[0-9.]+[,]+[0-9]+"")))"),5.24)</f>
        <v>5.24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0">
        <v>1993782.0</v>
      </c>
      <c r="C163" s="11">
        <v>46064.93628472222</v>
      </c>
      <c r="D163" s="179" t="s">
        <v>50</v>
      </c>
      <c r="E163" s="180" t="s">
        <v>1158</v>
      </c>
      <c r="F163" s="188"/>
      <c r="G163" s="179" t="s">
        <v>7856</v>
      </c>
      <c r="H163" s="190"/>
      <c r="I163" s="190"/>
      <c r="J163" s="187" t="s">
        <v>3746</v>
      </c>
      <c r="K163" s="187" t="s">
        <v>7058</v>
      </c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"),"Depositada")</f>
        <v>Depositada</v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>
        <f>IFERROR(__xludf.DUMMYFUNCTION("ifna(VALUE(REGEXEXTRACT(E163,""[0-9.]+[,]+[0-9]+"")))"),800.0)</f>
        <v>800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0">
        <v>1994556.0</v>
      </c>
      <c r="C164" s="11">
        <v>46065.67047453704</v>
      </c>
      <c r="D164" s="179" t="s">
        <v>50</v>
      </c>
      <c r="E164" s="180" t="s">
        <v>7857</v>
      </c>
      <c r="F164" s="181"/>
      <c r="G164" s="179" t="s">
        <v>7858</v>
      </c>
      <c r="H164" s="190"/>
      <c r="I164" s="190"/>
      <c r="J164" s="187" t="s">
        <v>3467</v>
      </c>
      <c r="K164" s="187"/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IFERROR(__xludf.DUMMYFUNCTION("ifna(VALUE(REGEXEXTRACT(E164,""[0-9.]+[,]+[0-9]+"")))"),45.17)</f>
        <v>45.17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0">
        <v>1994944.0</v>
      </c>
      <c r="C165" s="11">
        <v>46065.76052083333</v>
      </c>
      <c r="D165" s="179" t="s">
        <v>50</v>
      </c>
      <c r="E165" s="180" t="s">
        <v>6808</v>
      </c>
      <c r="F165" s="181"/>
      <c r="G165" s="179" t="s">
        <v>7859</v>
      </c>
      <c r="H165" s="190"/>
      <c r="I165" s="190"/>
      <c r="J165" s="187" t="s">
        <v>3903</v>
      </c>
      <c r="K165" s="187"/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"""")"),"Encontrada")</f>
        <v>Encontrada</v>
      </c>
      <c r="N165" s="185">
        <f>IFERROR(__xludf.DUMMYFUNCTION("ifna(VALUE(REGEXEXTRACT(E165,""[0-9.]+[,]+[0-9]+"")))"),202.0)</f>
        <v>202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0">
        <v>1994946.0</v>
      </c>
      <c r="C166" s="11">
        <v>46065.760983796295</v>
      </c>
      <c r="D166" s="179" t="s">
        <v>50</v>
      </c>
      <c r="E166" s="180" t="s">
        <v>7860</v>
      </c>
      <c r="F166" s="181"/>
      <c r="G166" s="179" t="s">
        <v>7861</v>
      </c>
      <c r="H166" s="190"/>
      <c r="I166" s="190"/>
      <c r="J166" s="187" t="s">
        <v>3903</v>
      </c>
      <c r="K166" s="187"/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"""")"),"Encontrada")</f>
        <v>Encontrada</v>
      </c>
      <c r="N166" s="185">
        <f>IFERROR(__xludf.DUMMYFUNCTION("ifna(VALUE(REGEXEXTRACT(E166,""[0-9.]+[,]+[0-9]+"")))"),282.55)</f>
        <v>282.55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0">
        <v>1994949.0</v>
      </c>
      <c r="C167" s="11">
        <v>46065.76138888889</v>
      </c>
      <c r="D167" s="179" t="s">
        <v>50</v>
      </c>
      <c r="E167" s="180" t="s">
        <v>7862</v>
      </c>
      <c r="F167" s="181"/>
      <c r="G167" s="179" t="s">
        <v>7863</v>
      </c>
      <c r="H167" s="190"/>
      <c r="I167" s="190"/>
      <c r="J167" s="187" t="s">
        <v>3903</v>
      </c>
      <c r="K167" s="187"/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185">
        <f>IFERROR(__xludf.DUMMYFUNCTION("ifna(VALUE(REGEXEXTRACT(E167,""[0-9.]+[,]+[0-9]+"")))"),37.0)</f>
        <v>37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0">
        <v>1995693.0</v>
      </c>
      <c r="C168" s="11">
        <v>46065.93204861111</v>
      </c>
      <c r="D168" s="179" t="s">
        <v>50</v>
      </c>
      <c r="E168" s="180" t="s">
        <v>7864</v>
      </c>
      <c r="F168" s="188"/>
      <c r="G168" s="179" t="s">
        <v>7865</v>
      </c>
      <c r="H168" s="190"/>
      <c r="I168" s="190"/>
      <c r="J168" s="187" t="s">
        <v>3467</v>
      </c>
      <c r="K168" s="187"/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>
        <f>IFERROR(__xludf.DUMMYFUNCTION("ifna(VALUE(REGEXEXTRACT(E168,""[0-9.]+[,]+[0-9]+"")))"),72.72)</f>
        <v>72.72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0">
        <v>1996151.0</v>
      </c>
      <c r="C169" s="11">
        <v>46066.537569444445</v>
      </c>
      <c r="D169" s="179" t="s">
        <v>50</v>
      </c>
      <c r="E169" s="180" t="s">
        <v>520</v>
      </c>
      <c r="F169" s="181"/>
      <c r="G169" s="179" t="s">
        <v>7793</v>
      </c>
      <c r="H169" s="190"/>
      <c r="I169" s="190"/>
      <c r="J169" s="187" t="s">
        <v>3044</v>
      </c>
      <c r="K169" s="187" t="s">
        <v>6340</v>
      </c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>
        <f>IFERROR(__xludf.DUMMYFUNCTION("ifna(VALUE(REGEXEXTRACT(E169,""[0-9.]+[,]+[0-9]+"")))"),5.62)</f>
        <v>5.62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0">
        <v>1996334.0</v>
      </c>
      <c r="C170" s="11">
        <v>46066.61109953704</v>
      </c>
      <c r="D170" s="179" t="s">
        <v>50</v>
      </c>
      <c r="E170" s="180" t="s">
        <v>6719</v>
      </c>
      <c r="F170" s="181"/>
      <c r="G170" s="179" t="s">
        <v>7866</v>
      </c>
      <c r="H170" s="190"/>
      <c r="I170" s="190"/>
      <c r="J170" s="187" t="s">
        <v>3903</v>
      </c>
      <c r="K170" s="187"/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"""")"),"Encontrada")</f>
        <v>Encontrada</v>
      </c>
      <c r="N170" s="185">
        <f>IFERROR(__xludf.DUMMYFUNCTION("ifna(VALUE(REGEXEXTRACT(E170,""[0-9.]+[,]+[0-9]+"")))"),330.0)</f>
        <v>330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0">
        <v>1996773.0</v>
      </c>
      <c r="C171" s="11">
        <v>46066.71842592592</v>
      </c>
      <c r="D171" s="179" t="s">
        <v>50</v>
      </c>
      <c r="E171" s="180" t="s">
        <v>7867</v>
      </c>
      <c r="F171" s="188"/>
      <c r="G171" s="179" t="s">
        <v>7868</v>
      </c>
      <c r="H171" s="190"/>
      <c r="I171" s="190"/>
      <c r="J171" s="187" t="s">
        <v>3903</v>
      </c>
      <c r="K171" s="187"/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"""")"),"Encontrada")</f>
        <v>Encontrada</v>
      </c>
      <c r="N171" s="185">
        <f>IFERROR(__xludf.DUMMYFUNCTION("ifna(VALUE(REGEXEXTRACT(E171,""[0-9.]+[,]+[0-9]+"")))"),124.8)</f>
        <v>124.8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0">
        <v>1997527.0</v>
      </c>
      <c r="C172" s="11">
        <v>46066.90729166667</v>
      </c>
      <c r="D172" s="179" t="s">
        <v>50</v>
      </c>
      <c r="E172" s="180" t="s">
        <v>719</v>
      </c>
      <c r="F172" s="181"/>
      <c r="G172" s="179" t="s">
        <v>7869</v>
      </c>
      <c r="H172" s="190"/>
      <c r="I172" s="190"/>
      <c r="J172" s="187" t="s">
        <v>3746</v>
      </c>
      <c r="K172" s="187" t="s">
        <v>7058</v>
      </c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"),"Depositada")</f>
        <v>Depositada</v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IFERROR(__xludf.DUMMYFUNCTION("ifna(VALUE(REGEXEXTRACT(E172,""[0-9.]+[,]+[0-9]+"")))"),500.0)</f>
        <v>500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0">
        <v>1998489.0</v>
      </c>
      <c r="C173" s="11">
        <v>46067.62596064815</v>
      </c>
      <c r="D173" s="179" t="s">
        <v>50</v>
      </c>
      <c r="E173" s="180" t="s">
        <v>302</v>
      </c>
      <c r="F173" s="181"/>
      <c r="G173" s="179" t="s">
        <v>7793</v>
      </c>
      <c r="H173" s="190"/>
      <c r="I173" s="190"/>
      <c r="J173" s="187" t="s">
        <v>3044</v>
      </c>
      <c r="K173" s="187" t="s">
        <v>6340</v>
      </c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IFERROR(__xludf.DUMMYFUNCTION("ifna(VALUE(REGEXEXTRACT(E173,""[0-9.]+[,]+[0-9]+"")))"),12.78)</f>
        <v>12.78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0">
        <v>1999577.0</v>
      </c>
      <c r="C174" s="11">
        <v>46067.87583333333</v>
      </c>
      <c r="D174" s="179" t="s">
        <v>50</v>
      </c>
      <c r="E174" s="180" t="s">
        <v>6844</v>
      </c>
      <c r="F174" s="181"/>
      <c r="G174" s="179" t="s">
        <v>7870</v>
      </c>
      <c r="H174" s="190"/>
      <c r="I174" s="190"/>
      <c r="J174" s="187" t="s">
        <v>3825</v>
      </c>
      <c r="K174" s="187"/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IFERROR(__xludf.DUMMYFUNCTION("ifna(VALUE(REGEXEXTRACT(E174,""[0-9.]+[,]+[0-9]+"")))"),123.5)</f>
        <v>123.5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0">
        <v>1999856.0</v>
      </c>
      <c r="C175" s="11">
        <v>46067.912986111114</v>
      </c>
      <c r="D175" s="179" t="s">
        <v>50</v>
      </c>
      <c r="E175" s="180" t="s">
        <v>1279</v>
      </c>
      <c r="F175" s="181"/>
      <c r="G175" s="179" t="s">
        <v>7871</v>
      </c>
      <c r="H175" s="190"/>
      <c r="I175" s="190"/>
      <c r="J175" s="187" t="s">
        <v>3746</v>
      </c>
      <c r="K175" s="187" t="s">
        <v>7052</v>
      </c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"),"Depositada")</f>
        <v>Depositada</v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>
        <f>IFERROR(__xludf.DUMMYFUNCTION("ifna(VALUE(REGEXEXTRACT(E175,""[0-9.]+[,]+[0-9]+"")))"),600.0)</f>
        <v>600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0">
        <v>2000804.0</v>
      </c>
      <c r="C176" s="11">
        <v>46068.55677083333</v>
      </c>
      <c r="D176" s="179" t="s">
        <v>50</v>
      </c>
      <c r="E176" s="180" t="s">
        <v>7872</v>
      </c>
      <c r="F176" s="181"/>
      <c r="G176" s="179" t="s">
        <v>7813</v>
      </c>
      <c r="H176" s="190"/>
      <c r="I176" s="190"/>
      <c r="J176" s="187" t="s">
        <v>3044</v>
      </c>
      <c r="K176" s="187" t="s">
        <v>6340</v>
      </c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IFERROR(__xludf.DUMMYFUNCTION("ifna(VALUE(REGEXEXTRACT(E176,""[0-9.]+[,]+[0-9]+"")))"),4.47)</f>
        <v>4.47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0">
        <v>2001060.0</v>
      </c>
      <c r="C177" s="11">
        <v>46068.656851851854</v>
      </c>
      <c r="D177" s="179" t="s">
        <v>50</v>
      </c>
      <c r="E177" s="180" t="s">
        <v>6906</v>
      </c>
      <c r="F177" s="181"/>
      <c r="G177" s="179" t="s">
        <v>7873</v>
      </c>
      <c r="H177" s="190"/>
      <c r="I177" s="190"/>
      <c r="J177" s="187" t="s">
        <v>3825</v>
      </c>
      <c r="K177" s="187"/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IFERROR(__xludf.DUMMYFUNCTION("ifna(VALUE(REGEXEXTRACT(E177,""[0-9.]+[,]+[0-9]+"")))"),45.0)</f>
        <v>45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0">
        <v>2001253.0</v>
      </c>
      <c r="C178" s="11">
        <v>46068.70216435185</v>
      </c>
      <c r="D178" s="179" t="s">
        <v>50</v>
      </c>
      <c r="E178" s="180" t="s">
        <v>7874</v>
      </c>
      <c r="F178" s="181"/>
      <c r="G178" s="179" t="s">
        <v>7875</v>
      </c>
      <c r="H178" s="190"/>
      <c r="I178" s="190"/>
      <c r="J178" s="187" t="s">
        <v>3467</v>
      </c>
      <c r="K178" s="187"/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IFERROR(__xludf.DUMMYFUNCTION("ifna(VALUE(REGEXEXTRACT(E178,""[0-9.]+[,]+[0-9]+"")))"),14.95)</f>
        <v>14.95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0">
        <v>2001254.0</v>
      </c>
      <c r="C179" s="11">
        <v>46068.702361111114</v>
      </c>
      <c r="D179" s="179" t="s">
        <v>50</v>
      </c>
      <c r="E179" s="180" t="s">
        <v>6731</v>
      </c>
      <c r="F179" s="181"/>
      <c r="G179" s="179" t="s">
        <v>1312</v>
      </c>
      <c r="H179" s="190"/>
      <c r="I179" s="190"/>
      <c r="J179" s="187" t="s">
        <v>3874</v>
      </c>
      <c r="K179" s="187"/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>
        <f>IFERROR(__xludf.DUMMYFUNCTION("ifna(VALUE(REGEXEXTRACT(E179,""[0-9.]+[,]+[0-9]+"")))"),100.0)</f>
        <v>100</v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0">
        <v>2001257.0</v>
      </c>
      <c r="C180" s="11">
        <v>46068.702731481484</v>
      </c>
      <c r="D180" s="179" t="s">
        <v>227</v>
      </c>
      <c r="E180" s="180" t="s">
        <v>494</v>
      </c>
      <c r="F180" s="181"/>
      <c r="G180" s="179" t="s">
        <v>7876</v>
      </c>
      <c r="H180" s="190"/>
      <c r="I180" s="190"/>
      <c r="J180" s="187"/>
      <c r="K180" s="187"/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>
        <f>IFERROR(__xludf.DUMMYFUNCTION("ifna(VALUE(REGEXEXTRACT(E180,""[0-9.]+[,]+[0-9]+"")))"),0.01)</f>
        <v>0.01</v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0">
        <v>2002262.0</v>
      </c>
      <c r="C181" s="11">
        <v>46068.87892361111</v>
      </c>
      <c r="D181" s="179" t="s">
        <v>50</v>
      </c>
      <c r="E181" s="180" t="s">
        <v>4449</v>
      </c>
      <c r="F181" s="188"/>
      <c r="G181" s="179" t="s">
        <v>7877</v>
      </c>
      <c r="H181" s="190"/>
      <c r="I181" s="190"/>
      <c r="J181" s="187" t="s">
        <v>3825</v>
      </c>
      <c r="K181" s="187"/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IFERROR(__xludf.DUMMYFUNCTION("ifna(VALUE(REGEXEXTRACT(E181,""[0-9.]+[,]+[0-9]+"")))"),124.0)</f>
        <v>124</v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0">
        <v>2002318.0</v>
      </c>
      <c r="C182" s="11">
        <v>46068.88453703704</v>
      </c>
      <c r="D182" s="179" t="s">
        <v>50</v>
      </c>
      <c r="E182" s="180" t="s">
        <v>6540</v>
      </c>
      <c r="F182" s="181"/>
      <c r="G182" s="179" t="s">
        <v>7878</v>
      </c>
      <c r="H182" s="190"/>
      <c r="I182" s="190"/>
      <c r="J182" s="187" t="s">
        <v>3746</v>
      </c>
      <c r="K182" s="187" t="s">
        <v>2949</v>
      </c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"),"Caixa Sangria")</f>
        <v>Caixa Sangria</v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IFERROR(__xludf.DUMMYFUNCTION("ifna(VALUE(REGEXEXTRACT(E182,""[0-9.]+[,]+[0-9]+"")))"),950.0)</f>
        <v>950</v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0">
        <v>2005066.0</v>
      </c>
      <c r="C183" s="11">
        <v>46069.83280092593</v>
      </c>
      <c r="D183" s="179" t="s">
        <v>50</v>
      </c>
      <c r="E183" s="180" t="s">
        <v>6700</v>
      </c>
      <c r="F183" s="181"/>
      <c r="G183" s="179" t="s">
        <v>7879</v>
      </c>
      <c r="H183" s="190"/>
      <c r="I183" s="190"/>
      <c r="J183" s="187" t="s">
        <v>3874</v>
      </c>
      <c r="K183" s="187"/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>
        <f>IFERROR(__xludf.DUMMYFUNCTION("ifna(VALUE(REGEXEXTRACT(E183,""[0-9.]+[,]+[0-9]+"")))"),400.0)</f>
        <v>400</v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0">
        <v>2005068.0</v>
      </c>
      <c r="C184" s="11">
        <v>46069.834027777775</v>
      </c>
      <c r="D184" s="179" t="s">
        <v>227</v>
      </c>
      <c r="E184" s="180" t="s">
        <v>494</v>
      </c>
      <c r="F184" s="181"/>
      <c r="G184" s="179" t="s">
        <v>7880</v>
      </c>
      <c r="H184" s="190"/>
      <c r="I184" s="190"/>
      <c r="J184" s="187"/>
      <c r="K184" s="187"/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IFERROR(__xludf.DUMMYFUNCTION("ifna(VALUE(REGEXEXTRACT(E184,""[0-9.]+[,]+[0-9]+"")))"),0.01)</f>
        <v>0.01</v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0">
        <v>2006944.0</v>
      </c>
      <c r="C185" s="11">
        <v>46070.709016203706</v>
      </c>
      <c r="D185" s="179" t="s">
        <v>50</v>
      </c>
      <c r="E185" s="180" t="s">
        <v>7881</v>
      </c>
      <c r="F185" s="181"/>
      <c r="G185" s="179" t="s">
        <v>7882</v>
      </c>
      <c r="H185" s="190"/>
      <c r="I185" s="190"/>
      <c r="J185" s="187" t="s">
        <v>3903</v>
      </c>
      <c r="K185" s="187"/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"""")"),"Encontrada")</f>
        <v>Encontrada</v>
      </c>
      <c r="N185" s="185">
        <f>IFERROR(__xludf.DUMMYFUNCTION("ifna(VALUE(REGEXEXTRACT(E185,""[0-9.]+[,]+[0-9]+"")))"),404.01)</f>
        <v>404.01</v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0">
        <v>2007091.0</v>
      </c>
      <c r="C186" s="11">
        <v>46070.73428240741</v>
      </c>
      <c r="D186" s="179" t="s">
        <v>50</v>
      </c>
      <c r="E186" s="180" t="s">
        <v>7883</v>
      </c>
      <c r="F186" s="181"/>
      <c r="G186" s="179" t="s">
        <v>7884</v>
      </c>
      <c r="H186" s="190"/>
      <c r="I186" s="190"/>
      <c r="J186" s="187" t="s">
        <v>3903</v>
      </c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"""")"),"Encontrada")</f>
        <v>Encontrada</v>
      </c>
      <c r="N186" s="185">
        <f>IFERROR(__xludf.DUMMYFUNCTION("ifna(VALUE(REGEXEXTRACT(E186,""[0-9.]+[,]+[0-9]+"")))"),59.9)</f>
        <v>59.9</v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0">
        <v>2007374.0</v>
      </c>
      <c r="C187" s="11">
        <v>46070.785520833335</v>
      </c>
      <c r="D187" s="179" t="s">
        <v>50</v>
      </c>
      <c r="E187" s="180" t="s">
        <v>7885</v>
      </c>
      <c r="F187" s="181"/>
      <c r="G187" s="179" t="s">
        <v>94</v>
      </c>
      <c r="H187" s="190"/>
      <c r="I187" s="190"/>
      <c r="J187" s="187" t="s">
        <v>3044</v>
      </c>
      <c r="K187" s="187" t="s">
        <v>7058</v>
      </c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IFERROR(__xludf.DUMMYFUNCTION("ifna(VALUE(REGEXEXTRACT(E187,""[0-9.]+[,]+[0-9]+"")))"),10.1)</f>
        <v>10.1</v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0">
        <v>2007380.0</v>
      </c>
      <c r="C188" s="11">
        <v>46070.78592592593</v>
      </c>
      <c r="D188" s="179" t="s">
        <v>50</v>
      </c>
      <c r="E188" s="180" t="s">
        <v>179</v>
      </c>
      <c r="F188" s="181"/>
      <c r="G188" s="179" t="s">
        <v>7793</v>
      </c>
      <c r="H188" s="190"/>
      <c r="I188" s="190"/>
      <c r="J188" s="187" t="s">
        <v>3044</v>
      </c>
      <c r="K188" s="187" t="s">
        <v>6340</v>
      </c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>
        <f>IFERROR(__xludf.DUMMYFUNCTION("ifna(VALUE(REGEXEXTRACT(E188,""[0-9.]+[,]+[0-9]+"")))"),9.71)</f>
        <v>9.71</v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0">
        <v>2007438.0</v>
      </c>
      <c r="C189" s="11">
        <v>46070.79945601852</v>
      </c>
      <c r="D189" s="179" t="s">
        <v>50</v>
      </c>
      <c r="E189" s="180" t="s">
        <v>1294</v>
      </c>
      <c r="F189" s="188"/>
      <c r="G189" s="179" t="s">
        <v>7886</v>
      </c>
      <c r="H189" s="190"/>
      <c r="I189" s="190"/>
      <c r="J189" s="187" t="s">
        <v>3467</v>
      </c>
      <c r="K189" s="187"/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>
        <f>IFERROR(__xludf.DUMMYFUNCTION("ifna(VALUE(REGEXEXTRACT(E189,""[0-9.]+[,]+[0-9]+"")))"),16.61)</f>
        <v>16.61</v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0">
        <v>2008011.0</v>
      </c>
      <c r="C190" s="11">
        <v>46070.90638888889</v>
      </c>
      <c r="D190" s="179" t="s">
        <v>50</v>
      </c>
      <c r="E190" s="180" t="s">
        <v>7594</v>
      </c>
      <c r="F190" s="181"/>
      <c r="G190" s="179" t="s">
        <v>1637</v>
      </c>
      <c r="H190" s="190"/>
      <c r="I190" s="190"/>
      <c r="J190" s="187" t="s">
        <v>3467</v>
      </c>
      <c r="K190" s="187"/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>
        <f>IFERROR(__xludf.DUMMYFUNCTION("ifna(VALUE(REGEXEXTRACT(E190,""[0-9.]+[,]+[0-9]+"")))"),37.57)</f>
        <v>37.57</v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0">
        <v>2009022.0</v>
      </c>
      <c r="C191" s="11">
        <v>46071.576898148145</v>
      </c>
      <c r="D191" s="179" t="s">
        <v>50</v>
      </c>
      <c r="E191" s="180" t="s">
        <v>7887</v>
      </c>
      <c r="F191" s="181"/>
      <c r="G191" s="179" t="s">
        <v>7888</v>
      </c>
      <c r="H191" s="190"/>
      <c r="I191" s="190"/>
      <c r="J191" s="187" t="s">
        <v>3044</v>
      </c>
      <c r="K191" s="187" t="s">
        <v>7058</v>
      </c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>
        <f>IFERROR(__xludf.DUMMYFUNCTION("ifna(VALUE(REGEXEXTRACT(E191,""[0-9.]+[,]+[0-9]+"")))"),25.25)</f>
        <v>25.25</v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0">
        <v>2009137.0</v>
      </c>
      <c r="C192" s="11">
        <v>46071.62189814815</v>
      </c>
      <c r="D192" s="179" t="s">
        <v>50</v>
      </c>
      <c r="E192" s="180" t="s">
        <v>1038</v>
      </c>
      <c r="F192" s="181"/>
      <c r="G192" s="179" t="s">
        <v>7793</v>
      </c>
      <c r="H192" s="190"/>
      <c r="I192" s="190"/>
      <c r="J192" s="187" t="s">
        <v>3044</v>
      </c>
      <c r="K192" s="187" t="s">
        <v>6340</v>
      </c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>
        <f>IFERROR(__xludf.DUMMYFUNCTION("ifna(VALUE(REGEXEXTRACT(E192,""[0-9.]+[,]+[0-9]+"")))"),10.86)</f>
        <v>10.86</v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0">
        <v>2009370.0</v>
      </c>
      <c r="C193" s="11">
        <v>46071.69068287037</v>
      </c>
      <c r="D193" s="179" t="s">
        <v>50</v>
      </c>
      <c r="E193" s="180" t="s">
        <v>7889</v>
      </c>
      <c r="F193" s="181"/>
      <c r="G193" s="179" t="s">
        <v>7890</v>
      </c>
      <c r="H193" s="190"/>
      <c r="I193" s="190"/>
      <c r="J193" s="187" t="s">
        <v>3467</v>
      </c>
      <c r="K193" s="187"/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>
        <f>IFERROR(__xludf.DUMMYFUNCTION("ifna(VALUE(REGEXEXTRACT(E193,""[0-9.]+[,]+[0-9]+"")))"),24.67)</f>
        <v>24.67</v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0">
        <v>2009513.0</v>
      </c>
      <c r="C194" s="11">
        <v>46071.72046296296</v>
      </c>
      <c r="D194" s="179" t="s">
        <v>50</v>
      </c>
      <c r="E194" s="180" t="s">
        <v>6794</v>
      </c>
      <c r="F194" s="181"/>
      <c r="G194" s="179" t="s">
        <v>7891</v>
      </c>
      <c r="H194" s="190"/>
      <c r="I194" s="190"/>
      <c r="J194" s="187" t="s">
        <v>3903</v>
      </c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185">
        <f>IFERROR(__xludf.DUMMYFUNCTION("ifna(VALUE(REGEXEXTRACT(E194,""[0-9.]+[,]+[0-9]+"")))"),220.0)</f>
        <v>220</v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0">
        <v>2009646.0</v>
      </c>
      <c r="C195" s="11">
        <v>46071.74450231482</v>
      </c>
      <c r="D195" s="179" t="s">
        <v>50</v>
      </c>
      <c r="E195" s="180" t="s">
        <v>7892</v>
      </c>
      <c r="F195" s="181"/>
      <c r="G195" s="179" t="s">
        <v>7893</v>
      </c>
      <c r="H195" s="190"/>
      <c r="I195" s="190"/>
      <c r="J195" s="187" t="s">
        <v>3903</v>
      </c>
      <c r="K195" s="187"/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"""")"),"Encontrada")</f>
        <v>Encontrada</v>
      </c>
      <c r="N195" s="185">
        <f>IFERROR(__xludf.DUMMYFUNCTION("ifna(VALUE(REGEXEXTRACT(E195,""[0-9.]+[,]+[0-9]+"")))"),17.95)</f>
        <v>17.95</v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0">
        <v>2009892.0</v>
      </c>
      <c r="C196" s="11">
        <v>46071.82071759259</v>
      </c>
      <c r="D196" s="179" t="s">
        <v>50</v>
      </c>
      <c r="E196" s="180" t="s">
        <v>7660</v>
      </c>
      <c r="F196" s="181"/>
      <c r="G196" s="179" t="s">
        <v>1657</v>
      </c>
      <c r="H196" s="190"/>
      <c r="I196" s="190"/>
      <c r="J196" s="187" t="s">
        <v>3044</v>
      </c>
      <c r="K196" s="187" t="s">
        <v>7058</v>
      </c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>
        <f>IFERROR(__xludf.DUMMYFUNCTION("ifna(VALUE(REGEXEXTRACT(E196,""[0-9.]+[,]+[0-9]+"")))"),15.85)</f>
        <v>15.85</v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0">
        <v>2010281.0</v>
      </c>
      <c r="C197" s="11">
        <v>46071.90864583333</v>
      </c>
      <c r="D197" s="179" t="s">
        <v>50</v>
      </c>
      <c r="E197" s="180" t="s">
        <v>1158</v>
      </c>
      <c r="F197" s="188"/>
      <c r="G197" s="179" t="s">
        <v>7894</v>
      </c>
      <c r="H197" s="190"/>
      <c r="I197" s="190"/>
      <c r="J197" s="187" t="s">
        <v>3746</v>
      </c>
      <c r="K197" s="187" t="s">
        <v>7058</v>
      </c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"),"Depositada")</f>
        <v>Depositada</v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>
        <f>IFERROR(__xludf.DUMMYFUNCTION("ifna(VALUE(REGEXEXTRACT(E197,""[0-9.]+[,]+[0-9]+"")))"),800.0)</f>
        <v>800</v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0">
        <v>2011076.0</v>
      </c>
      <c r="C198" s="11">
        <v>46072.578935185185</v>
      </c>
      <c r="D198" s="179" t="s">
        <v>50</v>
      </c>
      <c r="E198" s="180" t="s">
        <v>157</v>
      </c>
      <c r="F198" s="188"/>
      <c r="G198" s="179" t="s">
        <v>7895</v>
      </c>
      <c r="H198" s="190"/>
      <c r="I198" s="190"/>
      <c r="J198" s="187" t="s">
        <v>3044</v>
      </c>
      <c r="K198" s="187" t="s">
        <v>7058</v>
      </c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>
        <f>IFERROR(__xludf.DUMMYFUNCTION("ifna(VALUE(REGEXEXTRACT(E198,""[0-9.]+[,]+[0-9]+"")))"),5.0)</f>
        <v>5</v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0">
        <v>2011692.0</v>
      </c>
      <c r="C199" s="11">
        <v>46072.75398148148</v>
      </c>
      <c r="D199" s="179" t="s">
        <v>50</v>
      </c>
      <c r="E199" s="180" t="s">
        <v>6467</v>
      </c>
      <c r="F199" s="181"/>
      <c r="G199" s="179" t="s">
        <v>7896</v>
      </c>
      <c r="H199" s="190"/>
      <c r="I199" s="190"/>
      <c r="J199" s="187" t="s">
        <v>3044</v>
      </c>
      <c r="K199" s="187" t="s">
        <v>6664</v>
      </c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>
        <f>IFERROR(__xludf.DUMMYFUNCTION("ifna(VALUE(REGEXEXTRACT(E199,""[0-9.]+[,]+[0-9]+"")))"),18.0)</f>
        <v>18</v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0">
        <v>2011701.0</v>
      </c>
      <c r="C200" s="11">
        <v>46072.75604166667</v>
      </c>
      <c r="D200" s="179" t="s">
        <v>50</v>
      </c>
      <c r="E200" s="180" t="s">
        <v>7897</v>
      </c>
      <c r="F200" s="181"/>
      <c r="G200" s="179" t="s">
        <v>7898</v>
      </c>
      <c r="H200" s="190"/>
      <c r="I200" s="190"/>
      <c r="J200" s="187" t="s">
        <v>3903</v>
      </c>
      <c r="K200" s="187"/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"""")"),"Encontrada")</f>
        <v>Encontrada</v>
      </c>
      <c r="N200" s="185">
        <f>IFERROR(__xludf.DUMMYFUNCTION("ifna(VALUE(REGEXEXTRACT(E200,""[0-9.]+[,]+[0-9]+"")))"),7.1)</f>
        <v>7.1</v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0">
        <v>2012241.0</v>
      </c>
      <c r="C201" s="11">
        <v>46072.91217592593</v>
      </c>
      <c r="D201" s="179" t="s">
        <v>50</v>
      </c>
      <c r="E201" s="180" t="s">
        <v>1158</v>
      </c>
      <c r="F201" s="181"/>
      <c r="G201" s="179" t="s">
        <v>7899</v>
      </c>
      <c r="H201" s="190"/>
      <c r="I201" s="190"/>
      <c r="J201" s="187" t="s">
        <v>3746</v>
      </c>
      <c r="K201" s="187" t="s">
        <v>7058</v>
      </c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"),"Depositada")</f>
        <v>Depositada</v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>
        <f>IFERROR(__xludf.DUMMYFUNCTION("ifna(VALUE(REGEXEXTRACT(E201,""[0-9.]+[,]+[0-9]+"")))"),800.0)</f>
        <v>800</v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0">
        <v>2013050.0</v>
      </c>
      <c r="C202" s="11">
        <v>46073.60570601852</v>
      </c>
      <c r="D202" s="179" t="s">
        <v>50</v>
      </c>
      <c r="E202" s="180" t="s">
        <v>205</v>
      </c>
      <c r="F202" s="181"/>
      <c r="G202" s="179" t="s">
        <v>7900</v>
      </c>
      <c r="H202" s="190"/>
      <c r="I202" s="190"/>
      <c r="J202" s="187" t="s">
        <v>3044</v>
      </c>
      <c r="K202" s="187" t="s">
        <v>7058</v>
      </c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>
        <f>IFERROR(__xludf.DUMMYFUNCTION("ifna(VALUE(REGEXEXTRACT(E202,""[0-9.]+[,]+[0-9]+"")))"),10.0)</f>
        <v>10</v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0">
        <v>2013210.0</v>
      </c>
      <c r="C203" s="11">
        <v>46073.65099537037</v>
      </c>
      <c r="D203" s="179" t="s">
        <v>50</v>
      </c>
      <c r="E203" s="180" t="s">
        <v>329</v>
      </c>
      <c r="F203" s="181"/>
      <c r="G203" s="179" t="s">
        <v>7901</v>
      </c>
      <c r="H203" s="190"/>
      <c r="I203" s="190"/>
      <c r="J203" s="187" t="s">
        <v>3466</v>
      </c>
      <c r="K203" s="187"/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>
        <f>IFERROR(__xludf.DUMMYFUNCTION("ifna(VALUE(REGEXEXTRACT(E203,""[0-9.]+[,]+[0-9]+"")))"),200.0)</f>
        <v>200</v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0">
        <v>2013212.0</v>
      </c>
      <c r="C204" s="11">
        <v>46073.65170138889</v>
      </c>
      <c r="D204" s="179" t="s">
        <v>50</v>
      </c>
      <c r="E204" s="180" t="s">
        <v>494</v>
      </c>
      <c r="F204" s="181"/>
      <c r="G204" s="179" t="s">
        <v>7902</v>
      </c>
      <c r="H204" s="190"/>
      <c r="I204" s="190"/>
      <c r="J204" s="187"/>
      <c r="K204" s="187"/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>
        <f>IFERROR(__xludf.DUMMYFUNCTION("ifna(VALUE(REGEXEXTRACT(E204,""[0-9.]+[,]+[0-9]+"")))"),0.01)</f>
        <v>0.01</v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0">
        <v>2013215.0</v>
      </c>
      <c r="C205" s="11">
        <v>46073.652337962965</v>
      </c>
      <c r="D205" s="179" t="s">
        <v>227</v>
      </c>
      <c r="E205" s="180" t="s">
        <v>6731</v>
      </c>
      <c r="F205" s="181"/>
      <c r="G205" s="179" t="s">
        <v>7903</v>
      </c>
      <c r="H205" s="190"/>
      <c r="I205" s="190"/>
      <c r="J205" s="187" t="s">
        <v>3466</v>
      </c>
      <c r="K205" s="187"/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>
        <f>IFERROR(__xludf.DUMMYFUNCTION("ifna(VALUE(REGEXEXTRACT(E205,""[0-9.]+[,]+[0-9]+"")))"),100.0)</f>
        <v>100</v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0">
        <v>2013331.0</v>
      </c>
      <c r="C206" s="11">
        <v>46073.67969907408</v>
      </c>
      <c r="D206" s="179" t="s">
        <v>50</v>
      </c>
      <c r="E206" s="180" t="s">
        <v>7904</v>
      </c>
      <c r="F206" s="181"/>
      <c r="G206" s="179" t="s">
        <v>7905</v>
      </c>
      <c r="H206" s="190"/>
      <c r="I206" s="190"/>
      <c r="J206" s="187" t="s">
        <v>3903</v>
      </c>
      <c r="K206" s="187"/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"""")"),"Encontrada")</f>
        <v>Encontrada</v>
      </c>
      <c r="N206" s="185">
        <f>IFERROR(__xludf.DUMMYFUNCTION("ifna(VALUE(REGEXEXTRACT(E206,""[0-9.]+[,]+[0-9]+"")))"),261.6)</f>
        <v>261.6</v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0">
        <v>2014938.0</v>
      </c>
      <c r="C207" s="11">
        <v>46074.55105324074</v>
      </c>
      <c r="D207" s="179" t="s">
        <v>50</v>
      </c>
      <c r="E207" s="180" t="s">
        <v>7906</v>
      </c>
      <c r="F207" s="181"/>
      <c r="G207" s="179" t="s">
        <v>7907</v>
      </c>
      <c r="H207" s="190"/>
      <c r="I207" s="190"/>
      <c r="J207" s="187" t="s">
        <v>3903</v>
      </c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"""")"),"Encontrada")</f>
        <v>Encontrada</v>
      </c>
      <c r="N207" s="185">
        <f>IFERROR(__xludf.DUMMYFUNCTION("ifna(VALUE(REGEXEXTRACT(E207,""[0-9.]+[,]+[0-9]+"")))"),5.82)</f>
        <v>5.82</v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0">
        <v>2016279.0</v>
      </c>
      <c r="C208" s="11">
        <v>46074.88601851852</v>
      </c>
      <c r="D208" s="179" t="s">
        <v>50</v>
      </c>
      <c r="E208" s="180" t="s">
        <v>7908</v>
      </c>
      <c r="F208" s="181"/>
      <c r="G208" s="179" t="s">
        <v>7909</v>
      </c>
      <c r="H208" s="190"/>
      <c r="I208" s="190"/>
      <c r="J208" s="187" t="s">
        <v>3903</v>
      </c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"""")"),"Encontrada")</f>
        <v>Encontrada</v>
      </c>
      <c r="N208" s="185">
        <f>IFERROR(__xludf.DUMMYFUNCTION("ifna(VALUE(REGEXEXTRACT(E208,""[0-9.]+[,]+[0-9]+"")))"),406.76)</f>
        <v>406.76</v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0">
        <v>2016289.0</v>
      </c>
      <c r="C209" s="11">
        <v>46074.88743055556</v>
      </c>
      <c r="D209" s="179" t="s">
        <v>50</v>
      </c>
      <c r="E209" s="180" t="s">
        <v>719</v>
      </c>
      <c r="F209" s="181"/>
      <c r="G209" s="179" t="s">
        <v>7910</v>
      </c>
      <c r="H209" s="190"/>
      <c r="I209" s="190"/>
      <c r="J209" s="187" t="s">
        <v>3746</v>
      </c>
      <c r="K209" s="187" t="s">
        <v>2949</v>
      </c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"),"Caixa Sangria")</f>
        <v>Caixa Sangria</v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>
        <f>IFERROR(__xludf.DUMMYFUNCTION("ifna(VALUE(REGEXEXTRACT(E209,""[0-9.]+[,]+[0-9]+"")))"),500.0)</f>
        <v>500</v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0">
        <v>2016293.0</v>
      </c>
      <c r="C210" s="11">
        <v>46074.887824074074</v>
      </c>
      <c r="D210" s="179" t="s">
        <v>50</v>
      </c>
      <c r="E210" s="180" t="s">
        <v>4449</v>
      </c>
      <c r="F210" s="181"/>
      <c r="G210" s="179" t="s">
        <v>7911</v>
      </c>
      <c r="H210" s="190"/>
      <c r="I210" s="190"/>
      <c r="J210" s="187" t="s">
        <v>3825</v>
      </c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>
        <f>IFERROR(__xludf.DUMMYFUNCTION("ifna(VALUE(REGEXEXTRACT(E210,""[0-9.]+[,]+[0-9]+"")))"),124.0)</f>
        <v>124</v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0">
        <v>2016296.0</v>
      </c>
      <c r="C211" s="11">
        <v>46074.888090277775</v>
      </c>
      <c r="D211" s="179" t="s">
        <v>50</v>
      </c>
      <c r="E211" s="180" t="s">
        <v>4449</v>
      </c>
      <c r="F211" s="181"/>
      <c r="G211" s="179" t="s">
        <v>7877</v>
      </c>
      <c r="H211" s="190"/>
      <c r="I211" s="190"/>
      <c r="J211" s="187" t="s">
        <v>3825</v>
      </c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>
        <f>IFERROR(__xludf.DUMMYFUNCTION("ifna(VALUE(REGEXEXTRACT(E211,""[0-9.]+[,]+[0-9]+"")))"),124.0)</f>
        <v>124</v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0">
        <v>2017372.0</v>
      </c>
      <c r="C212" s="11">
        <v>46075.55894675926</v>
      </c>
      <c r="D212" s="179" t="s">
        <v>50</v>
      </c>
      <c r="E212" s="180" t="s">
        <v>7912</v>
      </c>
      <c r="F212" s="181"/>
      <c r="G212" s="179" t="s">
        <v>7913</v>
      </c>
      <c r="H212" s="190"/>
      <c r="I212" s="190"/>
      <c r="J212" s="187" t="s">
        <v>3903</v>
      </c>
      <c r="K212" s="187"/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"""")"),"Encontrada")</f>
        <v>Encontrada</v>
      </c>
      <c r="N212" s="185">
        <f>IFERROR(__xludf.DUMMYFUNCTION("ifna(VALUE(REGEXEXTRACT(E212,""[0-9.]+[,]+[0-9]+"")))"),13.91)</f>
        <v>13.91</v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0">
        <v>2019529.0</v>
      </c>
      <c r="C213" s="11">
        <v>46075.92733796296</v>
      </c>
      <c r="D213" s="179" t="s">
        <v>50</v>
      </c>
      <c r="E213" s="180" t="s">
        <v>6844</v>
      </c>
      <c r="F213" s="188"/>
      <c r="G213" s="179" t="s">
        <v>7914</v>
      </c>
      <c r="H213" s="190"/>
      <c r="I213" s="190"/>
      <c r="J213" s="187" t="s">
        <v>3825</v>
      </c>
      <c r="K213" s="187"/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>
        <f>IFERROR(__xludf.DUMMYFUNCTION("ifna(VALUE(REGEXEXTRACT(E213,""[0-9.]+[,]+[0-9]+"")))"),123.5)</f>
        <v>123.5</v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0">
        <v>2019680.0</v>
      </c>
      <c r="C214" s="11">
        <v>46075.937268518515</v>
      </c>
      <c r="D214" s="179" t="s">
        <v>50</v>
      </c>
      <c r="E214" s="180" t="s">
        <v>991</v>
      </c>
      <c r="F214" s="181"/>
      <c r="G214" s="179" t="s">
        <v>7915</v>
      </c>
      <c r="H214" s="190"/>
      <c r="I214" s="190"/>
      <c r="J214" s="187" t="s">
        <v>3746</v>
      </c>
      <c r="K214" s="187" t="s">
        <v>7052</v>
      </c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"),"Depositada")</f>
        <v>Depositada</v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>
        <f>IFERROR(__xludf.DUMMYFUNCTION("ifna(VALUE(REGEXEXTRACT(E214,""[0-9.]+[,]+[0-9]+"")))"),700.0)</f>
        <v>700</v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0">
        <v>2020342.0</v>
      </c>
      <c r="C215" s="11">
        <v>46076.566782407404</v>
      </c>
      <c r="D215" s="179" t="s">
        <v>50</v>
      </c>
      <c r="E215" s="180" t="s">
        <v>823</v>
      </c>
      <c r="F215" s="181"/>
      <c r="G215" s="179" t="s">
        <v>7916</v>
      </c>
      <c r="H215" s="190"/>
      <c r="I215" s="190"/>
      <c r="J215" s="187" t="s">
        <v>3044</v>
      </c>
      <c r="K215" s="187" t="s">
        <v>6340</v>
      </c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>
        <f>IFERROR(__xludf.DUMMYFUNCTION("ifna(VALUE(REGEXEXTRACT(E215,""[0-9.]+[,]+[0-9]+"")))"),8.95)</f>
        <v>8.95</v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0">
        <v>2020343.0</v>
      </c>
      <c r="C216" s="11">
        <v>46076.567037037035</v>
      </c>
      <c r="D216" s="179" t="s">
        <v>50</v>
      </c>
      <c r="E216" s="180" t="s">
        <v>246</v>
      </c>
      <c r="F216" s="181"/>
      <c r="G216" s="179" t="s">
        <v>7917</v>
      </c>
      <c r="H216" s="190"/>
      <c r="I216" s="190"/>
      <c r="J216" s="187" t="s">
        <v>3044</v>
      </c>
      <c r="K216" s="187" t="s">
        <v>6664</v>
      </c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>
        <f>IFERROR(__xludf.DUMMYFUNCTION("ifna(VALUE(REGEXEXTRACT(E216,""[0-9.]+[,]+[0-9]+"")))"),4.0)</f>
        <v>4</v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0">
        <v>2020865.0</v>
      </c>
      <c r="C217" s="11">
        <v>46076.74773148148</v>
      </c>
      <c r="D217" s="179" t="s">
        <v>50</v>
      </c>
      <c r="E217" s="180" t="s">
        <v>3944</v>
      </c>
      <c r="F217" s="181"/>
      <c r="G217" s="179" t="s">
        <v>7918</v>
      </c>
      <c r="H217" s="190"/>
      <c r="I217" s="190"/>
      <c r="J217" s="187" t="s">
        <v>3903</v>
      </c>
      <c r="K217" s="187"/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"""")"),"Encontrada")</f>
        <v>Encontrada</v>
      </c>
      <c r="N217" s="185">
        <f>IFERROR(__xludf.DUMMYFUNCTION("ifna(VALUE(REGEXEXTRACT(E217,""[0-9.]+[,]+[0-9]+"")))"),85.0)</f>
        <v>85</v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0">
        <v>2020893.0</v>
      </c>
      <c r="C218" s="11">
        <v>46076.75518518518</v>
      </c>
      <c r="D218" s="179" t="s">
        <v>50</v>
      </c>
      <c r="E218" s="180" t="s">
        <v>6527</v>
      </c>
      <c r="F218" s="181"/>
      <c r="G218" s="179" t="s">
        <v>577</v>
      </c>
      <c r="H218" s="190"/>
      <c r="I218" s="190"/>
      <c r="J218" s="187" t="s">
        <v>3044</v>
      </c>
      <c r="K218" s="187" t="s">
        <v>6664</v>
      </c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>
        <f>IFERROR(__xludf.DUMMYFUNCTION("ifna(VALUE(REGEXEXTRACT(E218,""[0-9.]+[,]+[0-9]+"")))"),15.9)</f>
        <v>15.9</v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0">
        <v>2020916.0</v>
      </c>
      <c r="C219" s="11">
        <v>46076.76012731482</v>
      </c>
      <c r="D219" s="179" t="s">
        <v>50</v>
      </c>
      <c r="E219" s="180" t="s">
        <v>7919</v>
      </c>
      <c r="F219" s="181"/>
      <c r="G219" s="179" t="s">
        <v>577</v>
      </c>
      <c r="H219" s="190"/>
      <c r="I219" s="190"/>
      <c r="J219" s="187" t="s">
        <v>3044</v>
      </c>
      <c r="K219" s="187" t="s">
        <v>6664</v>
      </c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>
        <f>IFERROR(__xludf.DUMMYFUNCTION("ifna(VALUE(REGEXEXTRACT(E219,""[0-9.]+[,]+[0-9]+"")))"),19.3)</f>
        <v>19.3</v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0">
        <v>2021059.0</v>
      </c>
      <c r="C220" s="11">
        <v>46076.8071875</v>
      </c>
      <c r="D220" s="179" t="s">
        <v>50</v>
      </c>
      <c r="E220" s="180" t="s">
        <v>246</v>
      </c>
      <c r="F220" s="181"/>
      <c r="G220" s="179" t="s">
        <v>94</v>
      </c>
      <c r="H220" s="190"/>
      <c r="I220" s="190"/>
      <c r="J220" s="187" t="s">
        <v>3044</v>
      </c>
      <c r="K220" s="187" t="s">
        <v>7058</v>
      </c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>
        <f>IFERROR(__xludf.DUMMYFUNCTION("ifna(VALUE(REGEXEXTRACT(E220,""[0-9.]+[,]+[0-9]+"")))"),4.0)</f>
        <v>4</v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0">
        <v>2021359.0</v>
      </c>
      <c r="C221" s="11">
        <v>46076.906180555554</v>
      </c>
      <c r="D221" s="179" t="s">
        <v>50</v>
      </c>
      <c r="E221" s="180" t="s">
        <v>719</v>
      </c>
      <c r="F221" s="181"/>
      <c r="G221" s="179" t="s">
        <v>7920</v>
      </c>
      <c r="H221" s="190"/>
      <c r="I221" s="190"/>
      <c r="J221" s="187" t="s">
        <v>3746</v>
      </c>
      <c r="K221" s="187" t="s">
        <v>6340</v>
      </c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"),"Depositada")</f>
        <v>Depositada</v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>
        <f>IFERROR(__xludf.DUMMYFUNCTION("ifna(VALUE(REGEXEXTRACT(E221,""[0-9.]+[,]+[0-9]+"")))"),500.0)</f>
        <v>500</v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0">
        <v>2021929.0</v>
      </c>
      <c r="C222" s="11">
        <v>46077.522824074076</v>
      </c>
      <c r="D222" s="179" t="s">
        <v>50</v>
      </c>
      <c r="E222" s="180" t="s">
        <v>7921</v>
      </c>
      <c r="F222" s="181"/>
      <c r="G222" s="179" t="s">
        <v>7922</v>
      </c>
      <c r="H222" s="190"/>
      <c r="I222" s="190"/>
      <c r="J222" s="187" t="s">
        <v>3044</v>
      </c>
      <c r="K222" s="187" t="s">
        <v>6340</v>
      </c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>
        <f>IFERROR(__xludf.DUMMYFUNCTION("ifna(VALUE(REGEXEXTRACT(E222,""[0-9.]+[,]+[0-9]+"")))"),6.24)</f>
        <v>6.24</v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0">
        <v>2021931.0</v>
      </c>
      <c r="C223" s="11">
        <v>46077.523310185185</v>
      </c>
      <c r="D223" s="179" t="s">
        <v>50</v>
      </c>
      <c r="E223" s="180" t="s">
        <v>7923</v>
      </c>
      <c r="F223" s="181"/>
      <c r="G223" s="179" t="s">
        <v>7924</v>
      </c>
      <c r="H223" s="190"/>
      <c r="I223" s="190"/>
      <c r="J223" s="187" t="s">
        <v>3044</v>
      </c>
      <c r="K223" s="187" t="s">
        <v>6340</v>
      </c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>
        <f>IFERROR(__xludf.DUMMYFUNCTION("ifna(VALUE(REGEXEXTRACT(E223,""[0-9.]+[,]+[0-9]+"")))"),12.17)</f>
        <v>12.17</v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0">
        <v>2021932.0</v>
      </c>
      <c r="C224" s="11">
        <v>46077.52371527778</v>
      </c>
      <c r="D224" s="179" t="s">
        <v>50</v>
      </c>
      <c r="E224" s="180" t="s">
        <v>246</v>
      </c>
      <c r="F224" s="181"/>
      <c r="G224" s="179" t="s">
        <v>7926</v>
      </c>
      <c r="H224" s="190"/>
      <c r="I224" s="190"/>
      <c r="J224" s="187" t="s">
        <v>3044</v>
      </c>
      <c r="K224" s="187" t="s">
        <v>6664</v>
      </c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>
        <f>IFERROR(__xludf.DUMMYFUNCTION("ifna(VALUE(REGEXEXTRACT(E224,""[0-9.]+[,]+[0-9]+"")))"),4.0)</f>
        <v>4</v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0">
        <v>2022283.0</v>
      </c>
      <c r="C225" s="11">
        <v>46077.68483796297</v>
      </c>
      <c r="D225" s="179" t="s">
        <v>50</v>
      </c>
      <c r="E225" s="180" t="s">
        <v>7927</v>
      </c>
      <c r="F225" s="181"/>
      <c r="G225" s="179" t="s">
        <v>7928</v>
      </c>
      <c r="H225" s="190"/>
      <c r="I225" s="190"/>
      <c r="J225" s="187" t="s">
        <v>3903</v>
      </c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185">
        <f>IFERROR(__xludf.DUMMYFUNCTION("ifna(VALUE(REGEXEXTRACT(E225,""[0-9.]+[,]+[0-9]+"")))"),181.68)</f>
        <v>181.68</v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0">
        <v>2022514.0</v>
      </c>
      <c r="C226" s="11">
        <v>46077.759050925924</v>
      </c>
      <c r="D226" s="179" t="s">
        <v>50</v>
      </c>
      <c r="E226" s="180" t="s">
        <v>7930</v>
      </c>
      <c r="F226" s="188"/>
      <c r="G226" s="179" t="s">
        <v>7931</v>
      </c>
      <c r="H226" s="190"/>
      <c r="I226" s="190"/>
      <c r="J226" s="187" t="s">
        <v>3903</v>
      </c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"""")"),"Encontrada")</f>
        <v>Encontrada</v>
      </c>
      <c r="N226" s="185">
        <f>IFERROR(__xludf.DUMMYFUNCTION("ifna(VALUE(REGEXEXTRACT(E226,""[0-9.]+[,]+[0-9]+"")))"),188.0)</f>
        <v>188</v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0">
        <v>2022759.0</v>
      </c>
      <c r="C227" s="11">
        <v>46077.853113425925</v>
      </c>
      <c r="D227" s="179" t="s">
        <v>50</v>
      </c>
      <c r="E227" s="180" t="s">
        <v>7933</v>
      </c>
      <c r="F227" s="181"/>
      <c r="G227" s="179" t="s">
        <v>7793</v>
      </c>
      <c r="H227" s="190"/>
      <c r="I227" s="190"/>
      <c r="J227" s="187" t="s">
        <v>3044</v>
      </c>
      <c r="K227" s="187" t="s">
        <v>6340</v>
      </c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>
        <f>IFERROR(__xludf.DUMMYFUNCTION("ifna(VALUE(REGEXEXTRACT(E227,""[0-9.]+[,]+[0-9]+"")))"),26.84)</f>
        <v>26.84</v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0">
        <v>2024124.0</v>
      </c>
      <c r="C228" s="11">
        <v>46078.74862268518</v>
      </c>
      <c r="D228" s="179" t="s">
        <v>50</v>
      </c>
      <c r="E228" s="180" t="s">
        <v>7748</v>
      </c>
      <c r="F228" s="181"/>
      <c r="G228" s="179" t="s">
        <v>7935</v>
      </c>
      <c r="H228" s="190"/>
      <c r="I228" s="190"/>
      <c r="J228" s="187" t="s">
        <v>3044</v>
      </c>
      <c r="K228" s="187" t="s">
        <v>6340</v>
      </c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>
        <f>IFERROR(__xludf.DUMMYFUNCTION("ifna(VALUE(REGEXEXTRACT(E228,""[0-9.]+[,]+[0-9]+"")))"),5.75)</f>
        <v>5.75</v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0">
        <v>2024272.0</v>
      </c>
      <c r="C229" s="11">
        <v>46078.80688657407</v>
      </c>
      <c r="D229" s="179" t="s">
        <v>50</v>
      </c>
      <c r="E229" s="180" t="s">
        <v>7936</v>
      </c>
      <c r="F229" s="181"/>
      <c r="G229" s="179" t="s">
        <v>7937</v>
      </c>
      <c r="H229" s="190"/>
      <c r="I229" s="190"/>
      <c r="J229" s="187" t="s">
        <v>3903</v>
      </c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"""")"),"Encontrada")</f>
        <v>Encontrada</v>
      </c>
      <c r="N229" s="185">
        <f>IFERROR(__xludf.DUMMYFUNCTION("ifna(VALUE(REGEXEXTRACT(E229,""[0-9.]+[,]+[0-9]+"")))"),333.95)</f>
        <v>333.95</v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0">
        <v>2024273.0</v>
      </c>
      <c r="C230" s="11">
        <v>46078.80731481482</v>
      </c>
      <c r="D230" s="179" t="s">
        <v>50</v>
      </c>
      <c r="E230" s="180" t="s">
        <v>7938</v>
      </c>
      <c r="F230" s="181"/>
      <c r="G230" s="179" t="s">
        <v>7939</v>
      </c>
      <c r="H230" s="190"/>
      <c r="I230" s="190"/>
      <c r="J230" s="187" t="s">
        <v>3903</v>
      </c>
      <c r="K230" s="187"/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"""")"),"Encontrada")</f>
        <v>Encontrada</v>
      </c>
      <c r="N230" s="185">
        <f>IFERROR(__xludf.DUMMYFUNCTION("ifna(VALUE(REGEXEXTRACT(E230,""[0-9.]+[,]+[0-9]+"")))"),11.94)</f>
        <v>11.94</v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0">
        <v>2024275.0</v>
      </c>
      <c r="C231" s="11">
        <v>46078.80762731482</v>
      </c>
      <c r="D231" s="179" t="s">
        <v>50</v>
      </c>
      <c r="E231" s="180" t="s">
        <v>7940</v>
      </c>
      <c r="F231" s="181"/>
      <c r="G231" s="10" t="s">
        <v>7941</v>
      </c>
      <c r="H231" s="190"/>
      <c r="I231" s="190"/>
      <c r="J231" s="187" t="s">
        <v>3903</v>
      </c>
      <c r="K231" s="187"/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"""")"),"Encontrada")</f>
        <v>Encontrada</v>
      </c>
      <c r="N231" s="185">
        <f>IFERROR(__xludf.DUMMYFUNCTION("ifna(VALUE(REGEXEXTRACT(E231,""[0-9.]+[,]+[0-9]+"")))"),35.04)</f>
        <v>35.04</v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0">
        <v>2024719.0</v>
      </c>
      <c r="C232" s="11">
        <v>46078.92438657407</v>
      </c>
      <c r="D232" s="179" t="s">
        <v>50</v>
      </c>
      <c r="E232" s="180" t="s">
        <v>3899</v>
      </c>
      <c r="F232" s="188"/>
      <c r="G232" s="179" t="s">
        <v>7942</v>
      </c>
      <c r="H232" s="190"/>
      <c r="I232" s="190"/>
      <c r="J232" s="187" t="s">
        <v>3746</v>
      </c>
      <c r="K232" s="187" t="s">
        <v>7058</v>
      </c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"),"Depositada")</f>
        <v>Depositada</v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>
        <f>IFERROR(__xludf.DUMMYFUNCTION("ifna(VALUE(REGEXEXTRACT(E232,""[0-9.]+[,]+[0-9]+"")))"),1000.0)</f>
        <v>1000</v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0"/>
      <c r="C234" s="11"/>
      <c r="D234" s="179"/>
      <c r="E234" s="180"/>
      <c r="F234" s="188"/>
      <c r="G234" s="179"/>
      <c r="H234" s="190"/>
      <c r="I234" s="190"/>
      <c r="J234" s="187"/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1"/>
      <c r="D235" s="179"/>
      <c r="E235" s="180"/>
      <c r="F235" s="181"/>
      <c r="G235" s="179"/>
      <c r="H235" s="190"/>
      <c r="I235" s="190"/>
      <c r="J235" s="187"/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IFERROR(__xludf.DUMMYFUNCTION("IF(
  AND(D282=""Saída"", J282=""Sangria""),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IFERROR(__xludf.DUMMYFUNCTION("IF(
  AND(D283=""Saída"", J283=""Sangria""),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IFERROR(__xludf.DUMMYFUNCTION("IF(
  AND(D284=""Saída"", J284=""Sangria""),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IFERROR(__xludf.DUMMYFUNCTION("IF(
  AND(D285=""Saída"", J285=""Sangria""),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IFERROR(__xludf.DUMMYFUNCTION("IF(
  AND(D286=""Saída"", J286=""Sangria""),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IFERROR(__xludf.DUMMYFUNCTION("IF(
  AND(D287=""Saída"", J287=""Sangria""),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IFERROR(__xludf.DUMMYFUNCTION("IF(
  AND(D288=""Saída"", J288=""Sangria""),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IFERROR(__xludf.DUMMYFUNCTION("IF(
  AND(D289=""Saída"", J289=""Sangria""),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IFERROR(__xludf.DUMMYFUNCTION("IF(
  AND(D290=""Saída"", J290=""Sangria""),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IFERROR(__xludf.DUMMYFUNCTION("IF(
  AND(D291=""Saída"", J291=""Sangria""),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IFERROR(__xludf.DUMMYFUNCTION("IF(
  AND(D292=""Saída"", J292=""Sangria""),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IFERROR(__xludf.DUMMYFUNCTION("IF(
  AND(D293=""Saída"", J293=""Sangria""),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IFERROR(__xludf.DUMMYFUNCTION("IF(
  AND(D294=""Saída"", J294=""Sangria""),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IFERROR(__xludf.DUMMYFUNCTION("IF(
  AND(D295=""Saída"", J295=""Sangria""),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IFERROR(__xludf.DUMMYFUNCTION("IF(
  AND(D296=""Saída"", J296=""Sangria""),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IFERROR(__xludf.DUMMYFUNCTION("IF(
  AND(D297=""Saída"", J297=""Sangria""),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IFERROR(__xludf.DUMMYFUNCTION("IF(
  AND(D298=""Saída"", J298=""Sangria""),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IFERROR(__xludf.DUMMYFUNCTION("IF(
  AND(D299=""Saída"", J299=""Sangria""),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IFERROR(__xludf.DUMMYFUNCTION("IF(
  AND(D300=""Saída"", J300=""Sangria""),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IFERROR(__xludf.DUMMYFUNCTION("IF(
  AND(D301=""Saída"", J301=""Sangria""),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IFERROR(__xludf.DUMMYFUNCTION("IF(
  AND(D302=""Saída"", J302=""Sangria""),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IFERROR(__xludf.DUMMYFUNCTION("IF(
  AND(D303=""Saída"", J303=""Sangria""),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IFERROR(__xludf.DUMMYFUNCTION("IF(
  AND(D304=""Saída"", J304=""Sangria""),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IFERROR(__xludf.DUMMYFUNCTION("IF(
  AND(D305=""Saída"", J305=""Sangria""),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IFERROR(__xludf.DUMMYFUNCTION("IF(
  AND(D306=""Saída"", J306=""Sangria""),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IFERROR(__xludf.DUMMYFUNCTION("IF(
  AND(D307=""Saída"", J307=""Sangria""),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IFERROR(__xludf.DUMMYFUNCTION("IF(
  AND(D308=""Saída"", J308=""Sangria""),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IFERROR(__xludf.DUMMYFUNCTION("IF(
  AND(D309=""Saída"", J309=""Sangria""),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IFERROR(__xludf.DUMMYFUNCTION("IF(
  AND(D310=""Saída"", J310=""Sangria""),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IFERROR(__xludf.DUMMYFUNCTION("IF(
  AND(D311=""Saída"", J311=""Sangria""),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IFERROR(__xludf.DUMMYFUNCTION("IF(
  AND(D312=""Saída"", J312=""Sangria""),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IFERROR(__xludf.DUMMYFUNCTION("IF(
  AND(D313=""Saída"", J313=""Sangria""),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IFERROR(__xludf.DUMMYFUNCTION("IF(
  AND(D314=""Saída"", J314=""Sangria""),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IFERROR(__xludf.DUMMYFUNCTION("IF(
  AND(D315=""Saída"", J315=""Sangria""),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IFERROR(__xludf.DUMMYFUNCTION("IF(
  AND(D316=""Saída"", J316=""Sangria""),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IFERROR(__xludf.DUMMYFUNCTION("IF(
  AND(D317=""Saída"", J317=""Sangria""),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IFERROR(__xludf.DUMMYFUNCTION("IF(
  AND(D318=""Saída"", J318=""Sangria""),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IFERROR(__xludf.DUMMYFUNCTION("IF(
  AND(D319=""Saída"", J319=""Sangria""),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IFERROR(__xludf.DUMMYFUNCTION("IF(
  AND(D320=""Saída"", J320=""Sangria""),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IFERROR(__xludf.DUMMYFUNCTION("IF(
  AND(D321=""Saída"", J321=""Sangria""),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IFERROR(__xludf.DUMMYFUNCTION("IF(
  AND(D322=""Saída"", J322=""Sangria""),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IFERROR(__xludf.DUMMYFUNCTION("IF(
  AND(D323=""Saída"", J323=""Sangria""),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IFERROR(__xludf.DUMMYFUNCTION("IF(
  AND(D324=""Saída"", J324=""Sangria""),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IFERROR(__xludf.DUMMYFUNCTION("IF(
  AND(D325=""Saída"", J325=""Sangria""),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IFERROR(__xludf.DUMMYFUNCTION("IF(
  AND(D326=""Saída"", J326=""Sangria""),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IFERROR(__xludf.DUMMYFUNCTION("IF(
  AND(D327=""Saída"", J327=""Sangria""),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IFERROR(__xludf.DUMMYFUNCTION("IF(
  AND(D328=""Saída"", J328=""Sangria""),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IFERROR(__xludf.DUMMYFUNCTION("IF(
  AND(D329=""Saída"", J329=""Sangria""),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IFERROR(__xludf.DUMMYFUNCTION("IF(
  AND(D330=""Saída"", J330=""Sangria""),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IFERROR(__xludf.DUMMYFUNCTION("IF(
  AND(D331=""Saída"", J331=""Sangria""),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IFERROR(__xludf.DUMMYFUNCTION("IF(
  AND(D332=""Saída"", J332=""Sangria""),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IFERROR(__xludf.DUMMYFUNCTION("IF(
  AND(D333=""Saída"", J333=""Sangria""),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IFERROR(__xludf.DUMMYFUNCTION("IF(
  AND(D334=""Saída"", J334=""Sangria""),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IFERROR(__xludf.DUMMYFUNCTION("IF(
  AND(D335=""Saída"", J335=""Sangria""),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IFERROR(__xludf.DUMMYFUNCTION("IF(
  AND(D336=""Saída"", J336=""Sangria""),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IFERROR(__xludf.DUMMYFUNCTION("IF(
  AND(D337=""Saída"", J337=""Sangria""),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IFERROR(__xludf.DUMMYFUNCTION("IF(
  AND(D338=""Saída"", J338=""Sangria""),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IFERROR(__xludf.DUMMYFUNCTION("IF(
  AND(D339=""Saída"", J339=""Sangria""),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IFERROR(__xludf.DUMMYFUNCTION("IF(
  AND(D340=""Saída"", J340=""Sangria""),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IFERROR(__xludf.DUMMYFUNCTION("IF(
  AND(D341=""Saída"", J341=""Sangria""),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IFERROR(__xludf.DUMMYFUNCTION("IF(
  AND(D342=""Saída"", J342=""Sangria""),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IFERROR(__xludf.DUMMYFUNCTION("IF(
  AND(D343=""Saída"", J343=""Sangria""),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IFERROR(__xludf.DUMMYFUNCTION("IF(
  AND(D344=""Saída"", J344=""Sangria""),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IFERROR(__xludf.DUMMYFUNCTION("IF(
  AND(D345=""Saída"", J345=""Sangria""),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IFERROR(__xludf.DUMMYFUNCTION("IF(
  AND(D346=""Saída"", J346=""Sangria""),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IFERROR(__xludf.DUMMYFUNCTION("IF(
  AND(D347=""Saída"", J347=""Sangria""),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IFERROR(__xludf.DUMMYFUNCTION("IF(
  AND(D348=""Saída"", J348=""Sangria""),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IFERROR(__xludf.DUMMYFUNCTION("IF(
  AND(D349=""Saída"", J349=""Sangria""),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IFERROR(__xludf.DUMMYFUNCTION("IF(
  AND(D350=""Saída"", J350=""Sangria""),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IFERROR(__xludf.DUMMYFUNCTION("IF(
  AND(D351=""Saída"", J351=""Sangria""),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IFERROR(__xludf.DUMMYFUNCTION("IF(
  AND(D352=""Saída"", J352=""Sangria""),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IFERROR(__xludf.DUMMYFUNCTION("IF(
  AND(D353=""Saída"", J353=""Sangria""),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IFERROR(__xludf.DUMMYFUNCTION("IF(
  AND(D354=""Saída"", J354=""Sangria""),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IFERROR(__xludf.DUMMYFUNCTION("IF(
  AND(D355=""Saída"", J355=""Sangria""),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IFERROR(__xludf.DUMMYFUNCTION("IF(
  AND(D356=""Saída"", J356=""Sangria""),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IFERROR(__xludf.DUMMYFUNCTION("IF(
  AND(D357=""Saída"", J357=""Sangria""),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IFERROR(__xludf.DUMMYFUNCTION("IF(
  AND(D358=""Saída"", J358=""Sangria""),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IFERROR(__xludf.DUMMYFUNCTION("IF(
  AND(D359=""Saída"", J359=""Sangria""),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IFERROR(__xludf.DUMMYFUNCTION("IF(
  AND(D360=""Saída"", J360=""Sangria""),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IFERROR(__xludf.DUMMYFUNCTION("IF(
  AND(D361=""Saída"", J361=""Sangria""),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IFERROR(__xludf.DUMMYFUNCTION("IF(
  AND(D362=""Saída"", J362=""Sangria""),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IFERROR(__xludf.DUMMYFUNCTION("IF(
  AND(D363=""Saída"", J363=""Sangria""),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IFERROR(__xludf.DUMMYFUNCTION("IF(
  AND(D364=""Saída"", J364=""Sangria""),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IFERROR(__xludf.DUMMYFUNCTION("IF(
  AND(D365=""Saída"", J365=""Sangria""),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IFERROR(__xludf.DUMMYFUNCTION("IF(
  AND(D366=""Saída"", J366=""Sangria""),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IFERROR(__xludf.DUMMYFUNCTION("IF(
  AND(D367=""Saída"", J367=""Sangria""),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IFERROR(__xludf.DUMMYFUNCTION("IF(
  AND(D368=""Saída"", J368=""Sangria""),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IFERROR(__xludf.DUMMYFUNCTION("IF(
  AND(D369=""Saída"", J369=""Sangria""),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IFERROR(__xludf.DUMMYFUNCTION("IF(
  AND(D370=""Saída"", J370=""Sangria""),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IFERROR(__xludf.DUMMYFUNCTION("IF(
  AND(D371=""Saída"", J371=""Sangria""),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IFERROR(__xludf.DUMMYFUNCTION("IF(
  AND(D372=""Saída"", J372=""Sangria""),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IFERROR(__xludf.DUMMYFUNCTION("IF(
  AND(D373=""Saída"", J373=""Sangria""),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IFERROR(__xludf.DUMMYFUNCTION("IF(
  AND(D374=""Saída"", J374=""Sangria""),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IFERROR(__xludf.DUMMYFUNCTION("IF(
  AND(D375=""Saída"", J375=""Sangria""),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IFERROR(__xludf.DUMMYFUNCTION("IF(
  AND(D376=""Saída"", J376=""Sangria""),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IFERROR(__xludf.DUMMYFUNCTION("IF(
  AND(D377=""Saída"", J377=""Sangria""),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IFERROR(__xludf.DUMMYFUNCTION("IF(
  AND(D378=""Saída"", J378=""Sangria""),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IFERROR(__xludf.DUMMYFUNCTION("IF(
  AND(D379=""Saída"", J379=""Sangria""),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IFERROR(__xludf.DUMMYFUNCTION("IF(
  AND(D380=""Saída"", J380=""Sangria""),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IFERROR(__xludf.DUMMYFUNCTION("IF(
  AND(D381=""Saída"", J381=""Sangria""),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IFERROR(__xludf.DUMMYFUNCTION("IF(
  AND(D382=""Saída"", J382=""Sangria""),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IFERROR(__xludf.DUMMYFUNCTION("IF(
  AND(D383=""Saída"", J383=""Sangria""),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IFERROR(__xludf.DUMMYFUNCTION("IF(
  AND(D384=""Saída"", J384=""Sangria""),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IFERROR(__xludf.DUMMYFUNCTION("IF(
  AND(D385=""Saída"", J385=""Sangria""),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IFERROR(__xludf.DUMMYFUNCTION("IF(
  AND(D386=""Saída"", J386=""Sangria""),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IFERROR(__xludf.DUMMYFUNCTION("IF(
  AND(D387=""Saída"", J387=""Sangria""),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IFERROR(__xludf.DUMMYFUNCTION("IF(
  AND(D388=""Saída"", J388=""Sangria""),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IFERROR(__xludf.DUMMYFUNCTION("IF(
  AND(D389=""Saída"", J389=""Sangria""),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IFERROR(__xludf.DUMMYFUNCTION("IF(
  AND(D390=""Saída"", J390=""Sangria""),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IFERROR(__xludf.DUMMYFUNCTION("IF(
  AND(D391=""Saída"", J391=""Sangria""),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IFERROR(__xludf.DUMMYFUNCTION("IF(
  AND(D392=""Saída"", J392=""Sangria""),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IFERROR(__xludf.DUMMYFUNCTION("IF(
  AND(D393=""Saída"", J393=""Sangria""),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IFERROR(__xludf.DUMMYFUNCTION("IF(
  AND(D394=""Saída"", J394=""Sangria""),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IFERROR(__xludf.DUMMYFUNCTION("IF(
  AND(D395=""Saída"", J395=""Sangria""),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IFERROR(__xludf.DUMMYFUNCTION("IF(
  AND(D396=""Saída"", J396=""Sangria""),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IFERROR(__xludf.DUMMYFUNCTION("IF(
  AND(D397=""Saída"", J397=""Sangria""),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IFERROR(__xludf.DUMMYFUNCTION("IF(
  AND(D398=""Saída"", J398=""Sangria""),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IFERROR(__xludf.DUMMYFUNCTION("IF(
  AND(D399=""Saída"", J399=""Sangria""),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IFERROR(__xludf.DUMMYFUNCTION("IF(
  AND(D400=""Saída"", J400=""Sangria""),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IFERROR(__xludf.DUMMYFUNCTION("IF(
  AND(D401=""Saída"", J401=""Sangria""),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IFERROR(__xludf.DUMMYFUNCTION("IF(
  AND(D402=""Saída"", J402=""Sangria""),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IFERROR(__xludf.DUMMYFUNCTION("IF(
  AND(D403=""Saída"", J403=""Sangria""),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IFERROR(__xludf.DUMMYFUNCTION("IF(
  AND(D404=""Saída"", J404=""Sangria""),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IFERROR(__xludf.DUMMYFUNCTION("IF(
  AND(D405=""Saída"", J405=""Sangria""),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IFERROR(__xludf.DUMMYFUNCTION("IF(
  AND(D406=""Saída"", J406=""Sangria""),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IFERROR(__xludf.DUMMYFUNCTION("IF(
  AND(D407=""Saída"", J407=""Sangria""),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IFERROR(__xludf.DUMMYFUNCTION("IF(
  AND(D408=""Saída"", J408=""Sangria""),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IFERROR(__xludf.DUMMYFUNCTION("IF(
  AND(D409=""Saída"", J409=""Sangria""),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IFERROR(__xludf.DUMMYFUNCTION("IF(
  AND(D410=""Saída"", J410=""Sangria""),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IFERROR(__xludf.DUMMYFUNCTION("IF(
  AND(D411=""Saída"", J411=""Sangria""),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IFERROR(__xludf.DUMMYFUNCTION("IF(
  AND(D412=""Saída"", J412=""Sangria""),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IFERROR(__xludf.DUMMYFUNCTION("IF(
  AND(D413=""Saída"", J413=""Sangria""),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IFERROR(__xludf.DUMMYFUNCTION("IF(
  AND(D414=""Saída"", J414=""Sangria""),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IFERROR(__xludf.DUMMYFUNCTION("IF(
  AND(D415=""Saída"", J415=""Sangria""),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IFERROR(__xludf.DUMMYFUNCTION("IF(
  AND(D416=""Saída"", J416=""Sangria""),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IFERROR(__xludf.DUMMYFUNCTION("IF(
  AND(D417=""Saída"", J417=""Sangria""),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IFERROR(__xludf.DUMMYFUNCTION("IF(
  AND(D418=""Saída"", J418=""Sangria""),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IFERROR(__xludf.DUMMYFUNCTION("IF(
  AND(D419=""Saída"", J419=""Sangria""),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IFERROR(__xludf.DUMMYFUNCTION("IF(
  AND(D420=""Saída"", J420=""Sangria""),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IFERROR(__xludf.DUMMYFUNCTION("IF(
  AND(D421=""Saída"", J421=""Sangria""),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IFERROR(__xludf.DUMMYFUNCTION("IF(
  AND(D422=""Saída"", J422=""Sangria""),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IFERROR(__xludf.DUMMYFUNCTION("IF(
  AND(D423=""Saída"", J423=""Sangria""),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IFERROR(__xludf.DUMMYFUNCTION("IF(
  AND(D424=""Saída"", J424=""Sangria""),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IFERROR(__xludf.DUMMYFUNCTION("IF(
  AND(D425=""Saída"", J425=""Sangria""),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IFERROR(__xludf.DUMMYFUNCTION("IF(
  AND(D426=""Saída"", J426=""Sangria""),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IFERROR(__xludf.DUMMYFUNCTION("IF(
  AND(D427=""Saída"", J427=""Sangria""),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IFERROR(__xludf.DUMMYFUNCTION("IF(
  AND(D428=""Saída"", J428=""Sangria""),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IFERROR(__xludf.DUMMYFUNCTION("IF(
  AND(D429=""Saída"", J429=""Sangria""),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IFERROR(__xludf.DUMMYFUNCTION("IF(
  AND(D430=""Saída"", J430=""Sangria""),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IFERROR(__xludf.DUMMYFUNCTION("IF(
  AND(D431=""Saída"", J431=""Sangria""),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IFERROR(__xludf.DUMMYFUNCTION("IF(
  AND(D432=""Saída"", J432=""Sangria""),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IFERROR(__xludf.DUMMYFUNCTION("IF(
  AND(D433=""Saída"", J433=""Sangria""),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IFERROR(__xludf.DUMMYFUNCTION("IF(
  AND(D434=""Saída"", J434=""Sangria""),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IFERROR(__xludf.DUMMYFUNCTION("IF(
  AND(D435=""Saída"", J435=""Sangria""),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IFERROR(__xludf.DUMMYFUNCTION("IF(
  AND(D436=""Saída"", J436=""Sangria""),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IFERROR(__xludf.DUMMYFUNCTION("IF(
  AND(D437=""Saída"", J437=""Sangria""),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IFERROR(__xludf.DUMMYFUNCTION("IF(
  AND(D438=""Saída"", J438=""Sangria""),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IFERROR(__xludf.DUMMYFUNCTION("IF(
  AND(D439=""Saída"", J439=""Sangria""),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IFERROR(__xludf.DUMMYFUNCTION("IF(
  AND(D440=""Saída"", J440=""Sangria""),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IFERROR(__xludf.DUMMYFUNCTION("IF(
  AND(D441=""Saída"", J441=""Sangria""),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IFERROR(__xludf.DUMMYFUNCTION("IF(
  AND(D442=""Saída"", J442=""Sangria""),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IFERROR(__xludf.DUMMYFUNCTION("IF(
  AND(D443=""Saída"", J443=""Sangria""),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IFERROR(__xludf.DUMMYFUNCTION("IF(
  AND(D444=""Saída"", J444=""Sangria""),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IFERROR(__xludf.DUMMYFUNCTION("IF(
  AND(D445=""Saída"", J445=""Sangria""),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IFERROR(__xludf.DUMMYFUNCTION("IF(
  AND(D446=""Saída"", J446=""Sangria""),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IFERROR(__xludf.DUMMYFUNCTION("IF(
  AND(D447=""Saída"", J447=""Sangria""),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IFERROR(__xludf.DUMMYFUNCTION("IF(
  AND(D448=""Saída"", J448=""Sangria""),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IFERROR(__xludf.DUMMYFUNCTION("IF(
  AND(D449=""Saída"", J449=""Sangria""),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IFERROR(__xludf.DUMMYFUNCTION("IF(
  AND(D450=""Saída"", J450=""Sangria""),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IFERROR(__xludf.DUMMYFUNCTION("IF(
  AND(D451=""Saída"", J451=""Sangria""),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IFERROR(__xludf.DUMMYFUNCTION("IF(
  AND(D452=""Saída"", J452=""Sangria""),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IFERROR(__xludf.DUMMYFUNCTION("IF(
  AND(D453=""Saída"", J453=""Sangria""),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IFERROR(__xludf.DUMMYFUNCTION("IF(
  AND(D454=""Saída"", J454=""Sangria""),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IFERROR(__xludf.DUMMYFUNCTION("IF(
  AND(D455=""Saída"", J455=""Sangria""),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IFERROR(__xludf.DUMMYFUNCTION("IF(
  AND(D456=""Saída"", J456=""Sangria""),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IFERROR(__xludf.DUMMYFUNCTION("IF(
  AND(D457=""Saída"", J457=""Sangria""),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IFERROR(__xludf.DUMMYFUNCTION("IF(
  AND(D458=""Saída"", J458=""Sangria""),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IFERROR(__xludf.DUMMYFUNCTION("IF(
  AND(D459=""Saída"", J459=""Sangria""),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IFERROR(__xludf.DUMMYFUNCTION("IF(
  AND(D460=""Saída"", J460=""Sangria""),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IFERROR(__xludf.DUMMYFUNCTION("IF(
  AND(D461=""Saída"", J461=""Sangria""),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IFERROR(__xludf.DUMMYFUNCTION("IF(
  AND(D462=""Saída"", J462=""Sangria""),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IFERROR(__xludf.DUMMYFUNCTION("IF(
  AND(D463=""Saída"", J463=""Sangria""),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IFERROR(__xludf.DUMMYFUNCTION("IF(
  AND(D464=""Saída"", J464=""Sangria""),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IFERROR(__xludf.DUMMYFUNCTION("IF(
  AND(D465=""Saída"", J465=""Sangria""),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IFERROR(__xludf.DUMMYFUNCTION("IF(
  AND(D466=""Saída"", J466=""Sangria""),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IFERROR(__xludf.DUMMYFUNCTION("IF(
  AND(D467=""Saída"", J467=""Sangria""),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IFERROR(__xludf.DUMMYFUNCTION("IF(
  AND(D468=""Saída"", J468=""Sangria""),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IFERROR(__xludf.DUMMYFUNCTION("IF(
  AND(D469=""Saída"", J469=""Sangria""),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IFERROR(__xludf.DUMMYFUNCTION("IF(
  AND(D470=""Saída"", J470=""Sangria""),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IFERROR(__xludf.DUMMYFUNCTION("IF(
  AND(D471=""Saída"", J471=""Sangria""),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IFERROR(__xludf.DUMMYFUNCTION("IF(
  AND(D472=""Saída"", J472=""Sangria""),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IFERROR(__xludf.DUMMYFUNCTION("IF(
  AND(D473=""Saída"", J473=""Sangria""),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IFERROR(__xludf.DUMMYFUNCTION("IF(
  AND(D474=""Saída"", J474=""Sangria""),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IFERROR(__xludf.DUMMYFUNCTION("IF(
  AND(D475=""Saída"", J475=""Sangria""),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IFERROR(__xludf.DUMMYFUNCTION("IF(
  AND(D476=""Saída"", J476=""Sangria""),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IFERROR(__xludf.DUMMYFUNCTION("IF(
  AND(D477=""Saída"", J477=""Sangria""),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IFERROR(__xludf.DUMMYFUNCTION("IF(
  AND(D478=""Saída"", J478=""Sangria""),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IFERROR(__xludf.DUMMYFUNCTION("IF(
  AND(D479=""Saída"", J479=""Sangria""),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IFERROR(__xludf.DUMMYFUNCTION("IF(
  AND(D480=""Saída"", J480=""Sangria""),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IFERROR(__xludf.DUMMYFUNCTION("IF(
  AND(D481=""Saída"", J481=""Sangria""),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IFERROR(__xludf.DUMMYFUNCTION("IF(
  AND(D482=""Saída"", J482=""Sangria""),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IFERROR(__xludf.DUMMYFUNCTION("IF(
  AND(D483=""Saída"", J483=""Sangria""),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IFERROR(__xludf.DUMMYFUNCTION("IF(
  AND(D484=""Saída"", J484=""Sangria""),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IFERROR(__xludf.DUMMYFUNCTION("IF(
  AND(D485=""Saída"", J485=""Sangria""),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IFERROR(__xludf.DUMMYFUNCTION("IF(
  AND(D486=""Saída"", J486=""Sangria""),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IFERROR(__xludf.DUMMYFUNCTION("IF(
  AND(D487=""Saída"", J487=""Sangria""),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IFERROR(__xludf.DUMMYFUNCTION("IF(
  AND(D488=""Saída"", J488=""Sangria""),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IFERROR(__xludf.DUMMYFUNCTION("IF(
  AND(D489=""Saída"", J489=""Sangria""),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IFERROR(__xludf.DUMMYFUNCTION("IF(
  AND(D490=""Saída"", J490=""Sangria""),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IFERROR(__xludf.DUMMYFUNCTION("IF(
  AND(D491=""Saída"", J491=""Sangria""),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IFERROR(__xludf.DUMMYFUNCTION("IF(
  AND(D492=""Saída"", J492=""Sangria""),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IFERROR(__xludf.DUMMYFUNCTION("IF(
  AND(D493=""Saída"", J493=""Sangria""),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IFERROR(__xludf.DUMMYFUNCTION("IF(
  AND(D494=""Saída"", J494=""Sangria""),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IFERROR(__xludf.DUMMYFUNCTION("IF(
  AND(D495=""Saída"", J495=""Sangria""),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IFERROR(__xludf.DUMMYFUNCTION("IF(
  AND(D496=""Saída"", J496=""Sangria""),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IFERROR(__xludf.DUMMYFUNCTION("IF(
  AND(D497=""Saída"", J497=""Sangria""),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IFERROR(__xludf.DUMMYFUNCTION("IF(
  AND(D498=""Saída"", J498=""Sangria""),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IFERROR(__xludf.DUMMYFUNCTION("IF(
  AND(D499=""Saída"", J499=""Sangria""),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IFERROR(__xludf.DUMMYFUNCTION("IF(
  AND(D500=""Saída"", J500=""Sangria""),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IFERROR(__xludf.DUMMYFUNCTION("IF(
  AND(D501=""Saída"", J501=""Sangria""),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IFERROR(__xludf.DUMMYFUNCTION("IF(
  AND(D502=""Saída"", J502=""Sangria""),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IFERROR(__xludf.DUMMYFUNCTION("IF(
  AND(D503=""Saída"", J503=""Sangria""),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IFERROR(__xludf.DUMMYFUNCTION("IF(
  AND(D504=""Saída"", J504=""Sangria""),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252" t="str">
        <f>IFERROR(__xludf.DUMMYFUNCTION("IF(
  AND(D505=""Saída"", J505=""Sangria""),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252" t="str">
        <f>IFERROR(__xludf.DUMMYFUNCTION("IF(
  AND(D506=""Saída"", J506=""Sangria""),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7" t="str">
        <f>IFERROR(__xludf.DUMMYFUNCTION("IF(
  AND(D507=""Saída"", J507=""Sangria""),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9:R39"/>
    <mergeCell ref="O61:T62"/>
    <mergeCell ref="S63:T63"/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30:U130"/>
    <mergeCell ref="S131:U131"/>
    <mergeCell ref="S132:U132"/>
    <mergeCell ref="S133:U133"/>
    <mergeCell ref="S134:U134"/>
    <mergeCell ref="S135:U135"/>
    <mergeCell ref="S136:U136"/>
    <mergeCell ref="S123:U123"/>
    <mergeCell ref="S124:U124"/>
    <mergeCell ref="S125:U125"/>
    <mergeCell ref="S126:U126"/>
    <mergeCell ref="S127:U127"/>
    <mergeCell ref="S128:U128"/>
    <mergeCell ref="S129:U129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9:W39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507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L4:W4 L11 D20 O20:W20 O40:W40 O49:W49 U69:W69">
    <cfRule type="cellIs" dxfId="6" priority="19" operator="greaterThanOrEqual">
      <formula>500</formula>
    </cfRule>
  </conditionalFormatting>
  <conditionalFormatting sqref="L4:W4 L11 D20 O20:W20 O40:W40 O49:W49 U69:W69">
    <cfRule type="cellIs" dxfId="7" priority="20" operator="between">
      <formula>400</formula>
      <formula>500</formula>
    </cfRule>
  </conditionalFormatting>
  <conditionalFormatting sqref="E36:E507">
    <cfRule type="containsText" dxfId="9" priority="21" operator="containsText" text="R$">
      <formula>NOT(ISERROR(SEARCH(("R$"),(E36))))</formula>
    </cfRule>
  </conditionalFormatting>
  <conditionalFormatting sqref="K36:K507">
    <cfRule type="expression" dxfId="10" priority="22">
      <formula>or($J$29:$J$218="Compra Moedas",$J$29:$J$218="Cortesias",$J$29:$J$218="Troco")</formula>
    </cfRule>
  </conditionalFormatting>
  <conditionalFormatting sqref="K36:K507">
    <cfRule type="expression" dxfId="11" priority="23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4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5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6">
      <formula>LEN(TRIM(I43))&gt;0</formula>
    </cfRule>
  </conditionalFormatting>
  <conditionalFormatting sqref="I36:I507">
    <cfRule type="expression" dxfId="8" priority="27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8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29">
      <formula>and($C$29:$C$218="",or($D$29:$D$218="Entrada",$D$29:$D$218="Saída"))</formula>
    </cfRule>
  </conditionalFormatting>
  <conditionalFormatting sqref="I36:I507">
    <cfRule type="expression" dxfId="8" priority="30">
      <formula>and(K36 = "",or(J36="Consumo",J36="Adiantamento"))</formula>
    </cfRule>
  </conditionalFormatting>
  <conditionalFormatting sqref="M29:M507">
    <cfRule type="cellIs" dxfId="8" priority="31" operator="equal">
      <formula>"Não Encontrada"</formula>
    </cfRule>
  </conditionalFormatting>
  <conditionalFormatting sqref="L29:L507">
    <cfRule type="cellIs" dxfId="8" priority="32" operator="equal">
      <formula>"Caixa Sangria"</formula>
    </cfRule>
  </conditionalFormatting>
  <dataValidations>
    <dataValidation type="list" allowBlank="1" showErrorMessage="1" sqref="K29:K507">
      <formula1>'FEVEREIRO 2026'!$B$4:$B$16</formula1>
    </dataValidation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6.13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15.25"/>
    <col customWidth="1" min="22" max="22" width="13.75"/>
    <col customWidth="1" min="23" max="23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B9</f>
        <v>Janaina</v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" t="str">
        <f>B4</f>
        <v>Marcos</v>
      </c>
      <c r="P3" s="27"/>
      <c r="Q3" s="27"/>
      <c r="R3" s="28"/>
      <c r="S3" s="37"/>
      <c r="T3" s="38" t="str">
        <f>B5</f>
        <v>Rayanna</v>
      </c>
      <c r="U3" s="27"/>
      <c r="V3" s="27"/>
      <c r="W3" s="28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400</v>
      </c>
      <c r="E4" s="43" t="s">
        <v>1112</v>
      </c>
      <c r="F4" s="42">
        <f>SUMIFS(N29:N504,J29:J504,E4,K29:K504,E3)+SUMIF(Q64:Q106,A5,R64:R106)+F9</f>
        <v>500</v>
      </c>
      <c r="G4" s="43" t="s">
        <v>1112</v>
      </c>
      <c r="H4" s="42">
        <f>SUMIFS(N29:N504,J29:J504,G4,K29:K504,G3)+SUMIF(Q64:Q106,A9,R64:R106)+H9</f>
        <v>300</v>
      </c>
      <c r="I4" s="43" t="s">
        <v>1112</v>
      </c>
      <c r="J4" s="42">
        <f>SUMIFS(N29:N504,J29:J504,C4,K29:K504,I3)+SUMIF(Q64:Q106,A7,R64:R106)+J9</f>
        <v>500</v>
      </c>
      <c r="K4" s="43" t="s">
        <v>1112</v>
      </c>
      <c r="L4" s="44">
        <f>SUMIFS(N29:N504,J29:J504,C4,K29:K504,K3)+SUMIF(Q64:Q106,A8,R64:R106)+L9</f>
        <v>500</v>
      </c>
      <c r="M4" s="25"/>
      <c r="N4" s="25"/>
      <c r="O4" s="45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4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'""&amp;B5&amp;""'"",1)"),"Data")</f>
        <v>Data</v>
      </c>
      <c r="U4" s="49" t="str">
        <f>IFERROR(__xludf.DUMMYFUNCTION("""COMPUTED_VALUE"""),"Valor ")</f>
        <v>Valor </v>
      </c>
      <c r="V4" s="49" t="str">
        <f>IFERROR(__xludf.DUMMYFUNCTION("""COMPUTED_VALUE"""),"Tipo")</f>
        <v>Tipo</v>
      </c>
      <c r="W4" s="50" t="str">
        <f>IFERROR(__xludf.DUMMYFUNCTION("""COMPUTED_VALUE"""),"Funcionário")</f>
        <v>Funcionário</v>
      </c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256.48</v>
      </c>
      <c r="G5" s="43" t="s">
        <v>3044</v>
      </c>
      <c r="H5" s="42">
        <f>SUMIFS(N29:N504,J29:J504,C5,K29:K504,G3)</f>
        <v>78.54</v>
      </c>
      <c r="I5" s="43" t="s">
        <v>3044</v>
      </c>
      <c r="J5" s="42">
        <f>SUMIFS(N29:N504,J29:J504,C5,K29:K504,I3)</f>
        <v>141.39</v>
      </c>
      <c r="K5" s="43" t="s">
        <v>3044</v>
      </c>
      <c r="L5" s="44">
        <f>SUMIFS(N29:N504,J29:J504,C5,K29:K504,K3)</f>
        <v>280.5</v>
      </c>
      <c r="M5" s="25"/>
      <c r="N5" s="25"/>
      <c r="O5" s="51"/>
      <c r="P5" s="52"/>
      <c r="Q5" s="52"/>
      <c r="R5" s="53"/>
      <c r="S5" s="54"/>
      <c r="T5" s="55">
        <f>IFERROR(__xludf.DUMMYFUNCTION("""COMPUTED_VALUE"""),46079.532326388886)</f>
        <v>46079.53233</v>
      </c>
      <c r="U5" s="52" t="str">
        <f>IFERROR(__xludf.DUMMYFUNCTION("""COMPUTED_VALUE"""),"R$ 6,00")</f>
        <v>R$ 6,00</v>
      </c>
      <c r="V5" s="52" t="str">
        <f>IFERROR(__xludf.DUMMYFUNCTION("""COMPUTED_VALUE"""),"Consumo")</f>
        <v>Consumo</v>
      </c>
      <c r="W5" s="53" t="str">
        <f>IFERROR(__xludf.DUMMYFUNCTION("""COMPUTED_VALUE"""),"Rayanna")</f>
        <v>Rayanna</v>
      </c>
    </row>
    <row r="6" ht="16.5" customHeight="1">
      <c r="A6" s="56"/>
      <c r="B6" s="40"/>
      <c r="C6" s="41" t="s">
        <v>3082</v>
      </c>
      <c r="D6" s="42">
        <f>D5*0.8</f>
        <v>0</v>
      </c>
      <c r="E6" s="43" t="s">
        <v>3082</v>
      </c>
      <c r="F6" s="42">
        <f>F5*0.8</f>
        <v>205.184</v>
      </c>
      <c r="G6" s="43" t="s">
        <v>3082</v>
      </c>
      <c r="H6" s="42">
        <f>H5*0.8</f>
        <v>62.832</v>
      </c>
      <c r="I6" s="43" t="s">
        <v>3082</v>
      </c>
      <c r="J6" s="42">
        <f>J5*0.8</f>
        <v>113.112</v>
      </c>
      <c r="K6" s="57" t="s">
        <v>3082</v>
      </c>
      <c r="L6" s="44">
        <f>L5*0.8</f>
        <v>224.4</v>
      </c>
      <c r="M6" s="25"/>
      <c r="N6" s="25"/>
      <c r="O6" s="51"/>
      <c r="P6" s="52"/>
      <c r="Q6" s="52"/>
      <c r="R6" s="53"/>
      <c r="S6" s="54"/>
      <c r="T6" s="55">
        <f>IFERROR(__xludf.DUMMYFUNCTION("""COMPUTED_VALUE"""),46080.53203703703)</f>
        <v>46080.53204</v>
      </c>
      <c r="U6" s="52" t="str">
        <f>IFERROR(__xludf.DUMMYFUNCTION("""COMPUTED_VALUE"""),"R$ 12,00")</f>
        <v>R$ 12,00</v>
      </c>
      <c r="V6" s="52" t="str">
        <f>IFERROR(__xludf.DUMMYFUNCTION("""COMPUTED_VALUE"""),"Consumo")</f>
        <v>Consumo</v>
      </c>
      <c r="W6" s="53" t="str">
        <f>IFERROR(__xludf.DUMMYFUNCTION("""COMPUTED_VALUE"""),"Rayanna")</f>
        <v>Rayanna</v>
      </c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51"/>
      <c r="P7" s="52"/>
      <c r="Q7" s="52"/>
      <c r="R7" s="53"/>
      <c r="S7" s="54"/>
      <c r="T7" s="55">
        <f>IFERROR(__xludf.DUMMYFUNCTION("""COMPUTED_VALUE"""),46082.86785879629)</f>
        <v>46082.86786</v>
      </c>
      <c r="U7" s="52" t="str">
        <f>IFERROR(__xludf.DUMMYFUNCTION("""COMPUTED_VALUE"""),"R$ 40,78")</f>
        <v>R$ 40,78</v>
      </c>
      <c r="V7" s="52" t="str">
        <f>IFERROR(__xludf.DUMMYFUNCTION("""COMPUTED_VALUE"""),"Consumo")</f>
        <v>Consumo</v>
      </c>
      <c r="W7" s="53" t="str">
        <f>IFERROR(__xludf.DUMMYFUNCTION("""COMPUTED_VALUE"""),"Rayanna")</f>
        <v>Rayanna</v>
      </c>
    </row>
    <row r="8" ht="14.25" customHeight="1">
      <c r="A8" s="12" t="s">
        <v>78</v>
      </c>
      <c r="B8" s="40" t="s">
        <v>7058</v>
      </c>
      <c r="C8" s="63" t="s">
        <v>3170</v>
      </c>
      <c r="D8" s="67">
        <v>45781.0</v>
      </c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51"/>
      <c r="P8" s="52"/>
      <c r="Q8" s="52"/>
      <c r="R8" s="53"/>
      <c r="S8" s="54"/>
      <c r="T8" s="55">
        <f>IFERROR(__xludf.DUMMYFUNCTION("""COMPUTED_VALUE"""),46083.535682870366)</f>
        <v>46083.53568</v>
      </c>
      <c r="U8" s="52" t="str">
        <f>IFERROR(__xludf.DUMMYFUNCTION("""COMPUTED_VALUE"""),"R$ 27,00")</f>
        <v>R$ 27,00</v>
      </c>
      <c r="V8" s="52" t="str">
        <f>IFERROR(__xludf.DUMMYFUNCTION("""COMPUTED_VALUE"""),"Consumo")</f>
        <v>Consumo</v>
      </c>
      <c r="W8" s="53" t="str">
        <f>IFERROR(__xludf.DUMMYFUNCTION("""COMPUTED_VALUE"""),"Rayanna")</f>
        <v>Rayanna</v>
      </c>
    </row>
    <row r="9">
      <c r="A9" s="39" t="s">
        <v>1900</v>
      </c>
      <c r="B9" s="40" t="s">
        <v>6340</v>
      </c>
      <c r="C9" s="70" t="s">
        <v>41</v>
      </c>
      <c r="D9" s="71">
        <v>400.0</v>
      </c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51"/>
      <c r="P9" s="52"/>
      <c r="Q9" s="52"/>
      <c r="R9" s="53"/>
      <c r="S9" s="54"/>
      <c r="T9" s="55">
        <f>IFERROR(__xludf.DUMMYFUNCTION("""COMPUTED_VALUE"""),46083.713749999995)</f>
        <v>46083.71375</v>
      </c>
      <c r="U9" s="52" t="str">
        <f>IFERROR(__xludf.DUMMYFUNCTION("""COMPUTED_VALUE"""),"R$ 5,00")</f>
        <v>R$ 5,00</v>
      </c>
      <c r="V9" s="52" t="str">
        <f>IFERROR(__xludf.DUMMYFUNCTION("""COMPUTED_VALUE"""),"Consumo")</f>
        <v>Consumo</v>
      </c>
      <c r="W9" s="53" t="str">
        <f>IFERROR(__xludf.DUMMYFUNCTION("""COMPUTED_VALUE"""),"Rayanna")</f>
        <v>Rayanna</v>
      </c>
    </row>
    <row r="10" ht="21.75" customHeight="1">
      <c r="A10" s="39"/>
      <c r="B10" s="40"/>
      <c r="C10" s="75"/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51"/>
      <c r="P10" s="79"/>
      <c r="Q10" s="79"/>
      <c r="R10" s="80"/>
      <c r="S10" s="81"/>
      <c r="T10" s="55">
        <f>IFERROR(__xludf.DUMMYFUNCTION("""COMPUTED_VALUE"""),46084.71015046297)</f>
        <v>46084.71015</v>
      </c>
      <c r="U10" s="79" t="str">
        <f>IFERROR(__xludf.DUMMYFUNCTION("""COMPUTED_VALUE"""),"R$ 5,00")</f>
        <v>R$ 5,00</v>
      </c>
      <c r="V10" s="79" t="str">
        <f>IFERROR(__xludf.DUMMYFUNCTION("""COMPUTED_VALUE"""),"Consumo")</f>
        <v>Consumo</v>
      </c>
      <c r="W10" s="80" t="str">
        <f>IFERROR(__xludf.DUMMYFUNCTION("""COMPUTED_VALUE"""),"Rayanna")</f>
        <v>Rayanna</v>
      </c>
    </row>
    <row r="11">
      <c r="A11" s="82"/>
      <c r="B11" s="83"/>
      <c r="C11" s="84" t="s">
        <v>1112</v>
      </c>
      <c r="D11" s="85">
        <f>SUMIFS(N29:N514,J29:J514,C11,K29:K514,C10)+SUMIF(Q64:Q106,A9,R64:R106)+D16</f>
        <v>300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88"/>
      <c r="P11" s="89"/>
      <c r="Q11" s="89"/>
      <c r="R11" s="90"/>
      <c r="S11" s="91"/>
      <c r="T11" s="236">
        <f>IFERROR(__xludf.DUMMYFUNCTION("""COMPUTED_VALUE"""),46086.70422453704)</f>
        <v>46086.70422</v>
      </c>
      <c r="U11" s="89" t="str">
        <f>IFERROR(__xludf.DUMMYFUNCTION("""COMPUTED_VALUE"""),"R$ 5,00")</f>
        <v>R$ 5,00</v>
      </c>
      <c r="V11" s="89" t="str">
        <f>IFERROR(__xludf.DUMMYFUNCTION("""COMPUTED_VALUE"""),"Consumo")</f>
        <v>Consumo</v>
      </c>
      <c r="W11" s="90" t="str">
        <f>IFERROR(__xludf.DUMMYFUNCTION("""COMPUTED_VALUE"""),"Rayanna")</f>
        <v>Rayanna</v>
      </c>
    </row>
    <row r="12">
      <c r="A12" s="82"/>
      <c r="B12" s="83"/>
      <c r="C12" s="84" t="s">
        <v>3044</v>
      </c>
      <c r="D12" s="85">
        <f>SUMIFS(N36:N514,J36:J514,C12,K36:K514,C10)</f>
        <v>0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88"/>
      <c r="P12" s="89"/>
      <c r="Q12" s="89"/>
      <c r="R12" s="90"/>
      <c r="S12" s="91"/>
      <c r="T12" s="236">
        <f>IFERROR(__xludf.DUMMYFUNCTION("""COMPUTED_VALUE"""),46088.76993055556)</f>
        <v>46088.76993</v>
      </c>
      <c r="U12" s="89" t="str">
        <f>IFERROR(__xludf.DUMMYFUNCTION("""COMPUTED_VALUE"""),"R$ 34,52")</f>
        <v>R$ 34,52</v>
      </c>
      <c r="V12" s="89" t="str">
        <f>IFERROR(__xludf.DUMMYFUNCTION("""COMPUTED_VALUE"""),"Consumo")</f>
        <v>Consumo</v>
      </c>
      <c r="W12" s="90" t="str">
        <f>IFERROR(__xludf.DUMMYFUNCTION("""COMPUTED_VALUE"""),"Rayanna")</f>
        <v>Rayanna</v>
      </c>
    </row>
    <row r="13">
      <c r="A13" s="82"/>
      <c r="B13" s="93"/>
      <c r="C13" s="84" t="s">
        <v>3082</v>
      </c>
      <c r="D13" s="85">
        <f>D12*0.8</f>
        <v>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88"/>
      <c r="P13" s="89"/>
      <c r="Q13" s="89"/>
      <c r="R13" s="90"/>
      <c r="S13" s="91"/>
      <c r="T13" s="236">
        <f>IFERROR(__xludf.DUMMYFUNCTION("""COMPUTED_VALUE"""),46089.592835648145)</f>
        <v>46089.59284</v>
      </c>
      <c r="U13" s="89" t="str">
        <f>IFERROR(__xludf.DUMMYFUNCTION("""COMPUTED_VALUE"""),"R$ 6,00")</f>
        <v>R$ 6,00</v>
      </c>
      <c r="V13" s="89" t="str">
        <f>IFERROR(__xludf.DUMMYFUNCTION("""COMPUTED_VALUE"""),"Consumo")</f>
        <v>Consumo</v>
      </c>
      <c r="W13" s="90" t="str">
        <f>IFERROR(__xludf.DUMMYFUNCTION("""COMPUTED_VALUE"""),"Rayanna")</f>
        <v>Rayanna</v>
      </c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88"/>
      <c r="P14" s="89"/>
      <c r="Q14" s="89"/>
      <c r="R14" s="90"/>
      <c r="S14" s="91"/>
      <c r="T14" s="236">
        <f>IFERROR(__xludf.DUMMYFUNCTION("""COMPUTED_VALUE"""),46089.93106481481)</f>
        <v>46089.93106</v>
      </c>
      <c r="U14" s="89" t="str">
        <f>IFERROR(__xludf.DUMMYFUNCTION("""COMPUTED_VALUE"""),"R$ 60,18")</f>
        <v>R$ 60,18</v>
      </c>
      <c r="V14" s="89" t="str">
        <f>IFERROR(__xludf.DUMMYFUNCTION("""COMPUTED_VALUE"""),"Consumo")</f>
        <v>Consumo</v>
      </c>
      <c r="W14" s="90" t="str">
        <f>IFERROR(__xludf.DUMMYFUNCTION("""COMPUTED_VALUE"""),"Rayanna")</f>
        <v>Rayanna</v>
      </c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88"/>
      <c r="P15" s="89"/>
      <c r="Q15" s="89"/>
      <c r="R15" s="90"/>
      <c r="S15" s="91"/>
      <c r="T15" s="236">
        <f>IFERROR(__xludf.DUMMYFUNCTION("""COMPUTED_VALUE"""),46090.64877314815)</f>
        <v>46090.64877</v>
      </c>
      <c r="U15" s="89" t="str">
        <f>IFERROR(__xludf.DUMMYFUNCTION("""COMPUTED_VALUE"""),"R$ 12,00")</f>
        <v>R$ 12,00</v>
      </c>
      <c r="V15" s="89" t="str">
        <f>IFERROR(__xludf.DUMMYFUNCTION("""COMPUTED_VALUE"""),"Consumo")</f>
        <v>Consumo</v>
      </c>
      <c r="W15" s="90" t="str">
        <f>IFERROR(__xludf.DUMMYFUNCTION("""COMPUTED_VALUE"""),"Rayanna")</f>
        <v>Rayanna</v>
      </c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88"/>
      <c r="P16" s="89"/>
      <c r="Q16" s="89"/>
      <c r="R16" s="90"/>
      <c r="S16" s="91"/>
      <c r="T16" s="236">
        <f>IFERROR(__xludf.DUMMYFUNCTION("""COMPUTED_VALUE"""),46095.91111111111)</f>
        <v>46095.91111</v>
      </c>
      <c r="U16" s="89" t="str">
        <f>IFERROR(__xludf.DUMMYFUNCTION("""COMPUTED_VALUE"""),"R$ 15,00")</f>
        <v>R$ 15,00</v>
      </c>
      <c r="V16" s="89" t="str">
        <f>IFERROR(__xludf.DUMMYFUNCTION("""COMPUTED_VALUE"""),"Consumo")</f>
        <v>Consumo</v>
      </c>
      <c r="W16" s="90" t="str">
        <f>IFERROR(__xludf.DUMMYFUNCTION("""COMPUTED_VALUE"""),"Rayanna")</f>
        <v>Rayanna</v>
      </c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88"/>
      <c r="P17" s="89"/>
      <c r="Q17" s="89"/>
      <c r="R17" s="90"/>
      <c r="S17" s="91"/>
      <c r="T17" s="236">
        <f>IFERROR(__xludf.DUMMYFUNCTION("""COMPUTED_VALUE"""),46097.759629629625)</f>
        <v>46097.75963</v>
      </c>
      <c r="U17" s="89" t="str">
        <f>IFERROR(__xludf.DUMMYFUNCTION("""COMPUTED_VALUE"""),"R$ 28,00")</f>
        <v>R$ 28,00</v>
      </c>
      <c r="V17" s="89" t="str">
        <f>IFERROR(__xludf.DUMMYFUNCTION("""COMPUTED_VALUE"""),"Consumo")</f>
        <v>Consumo</v>
      </c>
      <c r="W17" s="90" t="str">
        <f>IFERROR(__xludf.DUMMYFUNCTION("""COMPUTED_VALUE"""),"Rayanna")</f>
        <v>Rayanna</v>
      </c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1850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191" t="str">
        <f>B7</f>
        <v>Ana Carolina</v>
      </c>
      <c r="P19" s="106"/>
      <c r="Q19" s="106"/>
      <c r="R19" s="106"/>
      <c r="S19" s="110"/>
      <c r="T19" s="123" t="str">
        <f>B8</f>
        <v>Sabrina</v>
      </c>
      <c r="U19" s="106"/>
      <c r="V19" s="106"/>
      <c r="W19" s="124"/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149.79</v>
      </c>
      <c r="J20" s="132">
        <f>SUMIF(J29:J504,J19,N29:N504)</f>
        <v>215.47</v>
      </c>
      <c r="K20" s="133" t="s">
        <v>3520</v>
      </c>
      <c r="L20" s="134"/>
      <c r="M20" s="24"/>
      <c r="N20" s="24"/>
      <c r="O20" s="45" t="str">
        <f>IFERROR(__xludf.DUMMYFUNCTION("query(C28:L507,""select Col1,Col3,Col8,Col9 where (Col8 = 'Adiantamento' or Col8 = 'Consumo') and Col9 = '""&amp;B7&amp;""'"",1)"),"Data")</f>
        <v>Data</v>
      </c>
      <c r="P20" s="46" t="str">
        <f>IFERROR(__xludf.DUMMYFUNCTION("""COMPUTED_VALUE"""),"Valor ")</f>
        <v>Valor </v>
      </c>
      <c r="Q20" s="46" t="str">
        <f>IFERROR(__xludf.DUMMYFUNCTION("""COMPUTED_VALUE"""),"Tipo")</f>
        <v>Tipo</v>
      </c>
      <c r="R20" s="46" t="str">
        <f>IFERROR(__xludf.DUMMYFUNCTION("""COMPUTED_VALUE"""),"Funcionário")</f>
        <v>Funcionário</v>
      </c>
      <c r="S20" s="48"/>
      <c r="T20" s="49" t="str">
        <f>IFERROR(__xludf.DUMMYFUNCTION("query(C28:L507,""select Col1,Col3,Col8,Col9 where (Col8 = 'Adiantamento' or Col8 = 'Consumo') and Col9 = '""&amp;B8&amp;""'"",1)"),"Data")</f>
        <v>Data</v>
      </c>
      <c r="U20" s="49" t="str">
        <f>IFERROR(__xludf.DUMMYFUNCTION("""COMPUTED_VALUE"""),"Valor ")</f>
        <v>Valor </v>
      </c>
      <c r="V20" s="49" t="str">
        <f>IFERROR(__xludf.DUMMYFUNCTION("""COMPUTED_VALUE"""),"Tipo")</f>
        <v>Tipo</v>
      </c>
      <c r="W20" s="50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12600</v>
      </c>
      <c r="I21" s="138"/>
      <c r="J21" s="139"/>
      <c r="K21" s="133" t="s">
        <v>3570</v>
      </c>
      <c r="L21" s="134"/>
      <c r="M21" s="24"/>
      <c r="N21" s="24"/>
      <c r="O21" s="51">
        <f>IFERROR(__xludf.DUMMYFUNCTION("""COMPUTED_VALUE"""),46079.53395833333)</f>
        <v>46079.53396</v>
      </c>
      <c r="P21" s="52" t="str">
        <f>IFERROR(__xludf.DUMMYFUNCTION("""COMPUTED_VALUE"""),"R$ 13,00")</f>
        <v>R$ 13,00</v>
      </c>
      <c r="Q21" s="52" t="str">
        <f>IFERROR(__xludf.DUMMYFUNCTION("""COMPUTED_VALUE"""),"Consumo")</f>
        <v>Consumo</v>
      </c>
      <c r="R21" s="52" t="str">
        <f>IFERROR(__xludf.DUMMYFUNCTION("""COMPUTED_VALUE"""),"Ana Carolina")</f>
        <v>Ana Carolina</v>
      </c>
      <c r="S21" s="54"/>
      <c r="T21" s="55">
        <f>IFERROR(__xludf.DUMMYFUNCTION("""COMPUTED_VALUE"""),46079.53271990741)</f>
        <v>46079.53272</v>
      </c>
      <c r="U21" s="52" t="str">
        <f>IFERROR(__xludf.DUMMYFUNCTION("""COMPUTED_VALUE"""),"R$ 10,00")</f>
        <v>R$ 10,00</v>
      </c>
      <c r="V21" s="52" t="str">
        <f>IFERROR(__xludf.DUMMYFUNCTION("""COMPUTED_VALUE"""),"Consumo")</f>
        <v>Consumo</v>
      </c>
      <c r="W21" s="53" t="str">
        <f>IFERROR(__xludf.DUMMYFUNCTION("""COMPUTED_VALUE"""),"Sabrina")</f>
        <v>Sabrina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51">
        <f>IFERROR(__xludf.DUMMYFUNCTION("""COMPUTED_VALUE"""),46080.75331018519)</f>
        <v>46080.75331</v>
      </c>
      <c r="P22" s="52" t="str">
        <f>IFERROR(__xludf.DUMMYFUNCTION("""COMPUTED_VALUE"""),"R$ 33,48")</f>
        <v>R$ 33,48</v>
      </c>
      <c r="Q22" s="52" t="str">
        <f>IFERROR(__xludf.DUMMYFUNCTION("""COMPUTED_VALUE"""),"Consumo")</f>
        <v>Consumo</v>
      </c>
      <c r="R22" s="52" t="str">
        <f>IFERROR(__xludf.DUMMYFUNCTION("""COMPUTED_VALUE"""),"Ana Carolina")</f>
        <v>Ana Carolina</v>
      </c>
      <c r="S22" s="54"/>
      <c r="T22" s="55">
        <f>IFERROR(__xludf.DUMMYFUNCTION("""COMPUTED_VALUE"""),46079.72547453704)</f>
        <v>46079.72547</v>
      </c>
      <c r="U22" s="52" t="str">
        <f>IFERROR(__xludf.DUMMYFUNCTION("""COMPUTED_VALUE"""),"R$ 4,00")</f>
        <v>R$ 4,00</v>
      </c>
      <c r="V22" s="52" t="str">
        <f>IFERROR(__xludf.DUMMYFUNCTION("""COMPUTED_VALUE"""),"Consumo")</f>
        <v>Consumo</v>
      </c>
      <c r="W22" s="53" t="str">
        <f>IFERROR(__xludf.DUMMYFUNCTION("""COMPUTED_VALUE"""),"Sabrina")</f>
        <v>Sabrina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51">
        <f>IFERROR(__xludf.DUMMYFUNCTION("""COMPUTED_VALUE"""),46080.76997685185)</f>
        <v>46080.76998</v>
      </c>
      <c r="P23" s="52" t="str">
        <f>IFERROR(__xludf.DUMMYFUNCTION("""COMPUTED_VALUE"""),"R$ 4,00")</f>
        <v>R$ 4,00</v>
      </c>
      <c r="Q23" s="52" t="str">
        <f>IFERROR(__xludf.DUMMYFUNCTION("""COMPUTED_VALUE"""),"Consumo")</f>
        <v>Consumo</v>
      </c>
      <c r="R23" s="52" t="str">
        <f>IFERROR(__xludf.DUMMYFUNCTION("""COMPUTED_VALUE"""),"Ana Carolina")</f>
        <v>Ana Carolina</v>
      </c>
      <c r="S23" s="54"/>
      <c r="T23" s="55">
        <f>IFERROR(__xludf.DUMMYFUNCTION("""COMPUTED_VALUE"""),46079.895902777775)</f>
        <v>46079.8959</v>
      </c>
      <c r="U23" s="52" t="str">
        <f>IFERROR(__xludf.DUMMYFUNCTION("""COMPUTED_VALUE"""),"R$ 7,92")</f>
        <v>R$ 7,92</v>
      </c>
      <c r="V23" s="52" t="str">
        <f>IFERROR(__xludf.DUMMYFUNCTION("""COMPUTED_VALUE"""),"Consumo")</f>
        <v>Consumo</v>
      </c>
      <c r="W23" s="53" t="str">
        <f>IFERROR(__xludf.DUMMYFUNCTION("""COMPUTED_VALUE"""),"Sabrina")</f>
        <v>Sabrina</v>
      </c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0</v>
      </c>
      <c r="I24" s="157" t="s">
        <v>3653</v>
      </c>
      <c r="J24" s="150"/>
      <c r="K24" s="133" t="s">
        <v>3656</v>
      </c>
      <c r="L24" s="134"/>
      <c r="M24" s="24"/>
      <c r="N24" s="24"/>
      <c r="O24" s="51">
        <f>IFERROR(__xludf.DUMMYFUNCTION("""COMPUTED_VALUE"""),46081.6778125)</f>
        <v>46081.67781</v>
      </c>
      <c r="P24" s="52" t="str">
        <f>IFERROR(__xludf.DUMMYFUNCTION("""COMPUTED_VALUE"""),"R$ 8,00")</f>
        <v>R$ 8,00</v>
      </c>
      <c r="Q24" s="52" t="str">
        <f>IFERROR(__xludf.DUMMYFUNCTION("""COMPUTED_VALUE"""),"Consumo")</f>
        <v>Consumo</v>
      </c>
      <c r="R24" s="52" t="str">
        <f>IFERROR(__xludf.DUMMYFUNCTION("""COMPUTED_VALUE"""),"Ana Carolina")</f>
        <v>Ana Carolina</v>
      </c>
      <c r="S24" s="54"/>
      <c r="T24" s="55">
        <f>IFERROR(__xludf.DUMMYFUNCTION("""COMPUTED_VALUE"""),46081.55517361111)</f>
        <v>46081.55517</v>
      </c>
      <c r="U24" s="52" t="str">
        <f>IFERROR(__xludf.DUMMYFUNCTION("""COMPUTED_VALUE"""),"R$ 38,47")</f>
        <v>R$ 38,47</v>
      </c>
      <c r="V24" s="52" t="str">
        <f>IFERROR(__xludf.DUMMYFUNCTION("""COMPUTED_VALUE"""),"Consumo")</f>
        <v>Consumo</v>
      </c>
      <c r="W24" s="53" t="str">
        <f>IFERROR(__xludf.DUMMYFUNCTION("""COMPUTED_VALUE"""),"Sabrina")</f>
        <v>Sabrina</v>
      </c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10750</v>
      </c>
      <c r="I25" s="151">
        <f>SUMIF(J29:J504,I24,N29:N504)</f>
        <v>0</v>
      </c>
      <c r="J25" s="152"/>
      <c r="K25" s="162"/>
      <c r="L25" s="163"/>
      <c r="M25" s="25"/>
      <c r="N25" s="25"/>
      <c r="O25" s="51">
        <f>IFERROR(__xludf.DUMMYFUNCTION("""COMPUTED_VALUE"""),46087.551782407405)</f>
        <v>46087.55178</v>
      </c>
      <c r="P25" s="52" t="str">
        <f>IFERROR(__xludf.DUMMYFUNCTION("""COMPUTED_VALUE"""),"R$ 4,00")</f>
        <v>R$ 4,00</v>
      </c>
      <c r="Q25" s="52" t="str">
        <f>IFERROR(__xludf.DUMMYFUNCTION("""COMPUTED_VALUE"""),"Consumo")</f>
        <v>Consumo</v>
      </c>
      <c r="R25" s="52" t="str">
        <f>IFERROR(__xludf.DUMMYFUNCTION("""COMPUTED_VALUE"""),"Ana Carolina")</f>
        <v>Ana Carolina</v>
      </c>
      <c r="S25" s="54"/>
      <c r="T25" s="55">
        <f>IFERROR(__xludf.DUMMYFUNCTION("""COMPUTED_VALUE"""),46082.55725694445)</f>
        <v>46082.55726</v>
      </c>
      <c r="U25" s="52" t="str">
        <f>IFERROR(__xludf.DUMMYFUNCTION("""COMPUTED_VALUE"""),"R$ 40,07")</f>
        <v>R$ 40,07</v>
      </c>
      <c r="V25" s="52" t="str">
        <f>IFERROR(__xludf.DUMMYFUNCTION("""COMPUTED_VALUE"""),"Consumo")</f>
        <v>Consumo</v>
      </c>
      <c r="W25" s="53" t="str">
        <f>IFERROR(__xludf.DUMMYFUNCTION("""COMPUTED_VALUE"""),"Sabrina")</f>
        <v>Sabrina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51">
        <f>IFERROR(__xludf.DUMMYFUNCTION("""COMPUTED_VALUE"""),46090.59342592592)</f>
        <v>46090.59343</v>
      </c>
      <c r="P26" s="79" t="str">
        <f>IFERROR(__xludf.DUMMYFUNCTION("""COMPUTED_VALUE"""),"R$ 8,00")</f>
        <v>R$ 8,00</v>
      </c>
      <c r="Q26" s="79" t="str">
        <f>IFERROR(__xludf.DUMMYFUNCTION("""COMPUTED_VALUE"""),"Consumo")</f>
        <v>Consumo</v>
      </c>
      <c r="R26" s="79" t="str">
        <f>IFERROR(__xludf.DUMMYFUNCTION("""COMPUTED_VALUE"""),"Ana Carolina")</f>
        <v>Ana Carolina</v>
      </c>
      <c r="S26" s="81"/>
      <c r="T26" s="55">
        <f>IFERROR(__xludf.DUMMYFUNCTION("""COMPUTED_VALUE"""),46083.775254629625)</f>
        <v>46083.77525</v>
      </c>
      <c r="U26" s="79" t="str">
        <f>IFERROR(__xludf.DUMMYFUNCTION("""COMPUTED_VALUE"""),"R$ 10,00")</f>
        <v>R$ 10,00</v>
      </c>
      <c r="V26" s="79" t="str">
        <f>IFERROR(__xludf.DUMMYFUNCTION("""COMPUTED_VALUE"""),"Consumo")</f>
        <v>Consumo</v>
      </c>
      <c r="W26" s="80" t="str">
        <f>IFERROR(__xludf.DUMMYFUNCTION("""COMPUTED_VALUE"""),"Sabrina")</f>
        <v>Sabrina</v>
      </c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247">
        <f>IFERROR(__xludf.DUMMYFUNCTION("""COMPUTED_VALUE"""),46094.690983796296)</f>
        <v>46094.69098</v>
      </c>
      <c r="P27" s="89" t="str">
        <f>IFERROR(__xludf.DUMMYFUNCTION("""COMPUTED_VALUE"""),"R$ 4,00")</f>
        <v>R$ 4,00</v>
      </c>
      <c r="Q27" s="89" t="str">
        <f>IFERROR(__xludf.DUMMYFUNCTION("""COMPUTED_VALUE"""),"Consumo")</f>
        <v>Consumo</v>
      </c>
      <c r="R27" s="89" t="str">
        <f>IFERROR(__xludf.DUMMYFUNCTION("""COMPUTED_VALUE"""),"Ana Carolina")</f>
        <v>Ana Carolina</v>
      </c>
      <c r="S27" s="91"/>
      <c r="T27" s="236">
        <f>IFERROR(__xludf.DUMMYFUNCTION("""COMPUTED_VALUE"""),46084.69594907407)</f>
        <v>46084.69595</v>
      </c>
      <c r="U27" s="89" t="str">
        <f>IFERROR(__xludf.DUMMYFUNCTION("""COMPUTED_VALUE"""),"R$ 4,00")</f>
        <v>R$ 4,00</v>
      </c>
      <c r="V27" s="89" t="str">
        <f>IFERROR(__xludf.DUMMYFUNCTION("""COMPUTED_VALUE"""),"Consumo")</f>
        <v>Consumo</v>
      </c>
      <c r="W27" s="90" t="str">
        <f>IFERROR(__xludf.DUMMYFUNCTION("""COMPUTED_VALUE"""),"Sabrina")</f>
        <v>Sabrina</v>
      </c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340" t="s">
        <v>3724</v>
      </c>
      <c r="M28" s="274" t="s">
        <v>12</v>
      </c>
      <c r="N28" s="167"/>
      <c r="O28" s="247">
        <f>IFERROR(__xludf.DUMMYFUNCTION("""COMPUTED_VALUE"""),46096.926770833335)</f>
        <v>46096.92677</v>
      </c>
      <c r="P28" s="89" t="str">
        <f>IFERROR(__xludf.DUMMYFUNCTION("""COMPUTED_VALUE"""),"R$ 20,59")</f>
        <v>R$ 20,59</v>
      </c>
      <c r="Q28" s="89" t="str">
        <f>IFERROR(__xludf.DUMMYFUNCTION("""COMPUTED_VALUE"""),"Consumo")</f>
        <v>Consumo</v>
      </c>
      <c r="R28" s="89" t="str">
        <f>IFERROR(__xludf.DUMMYFUNCTION("""COMPUTED_VALUE"""),"Ana Carolina")</f>
        <v>Ana Carolina</v>
      </c>
      <c r="S28" s="91"/>
      <c r="T28" s="236">
        <f>IFERROR(__xludf.DUMMYFUNCTION("""COMPUTED_VALUE"""),46085.81303240741)</f>
        <v>46085.81303</v>
      </c>
      <c r="U28" s="89" t="str">
        <f>IFERROR(__xludf.DUMMYFUNCTION("""COMPUTED_VALUE"""),"R$ 28,15")</f>
        <v>R$ 28,15</v>
      </c>
      <c r="V28" s="89" t="str">
        <f>IFERROR(__xludf.DUMMYFUNCTION("""COMPUTED_VALUE"""),"Consumo")</f>
        <v>Consumo</v>
      </c>
      <c r="W28" s="90" t="str">
        <f>IFERROR(__xludf.DUMMYFUNCTION("""COMPUTED_VALUE"""),"Sabrina")</f>
        <v>Sabrina</v>
      </c>
    </row>
    <row r="29" ht="14.25" customHeight="1">
      <c r="A29" s="178"/>
      <c r="B29" s="10">
        <v>2025131.0</v>
      </c>
      <c r="C29" s="11">
        <v>46079.532326388886</v>
      </c>
      <c r="D29" s="179" t="s">
        <v>50</v>
      </c>
      <c r="E29" s="180" t="s">
        <v>6561</v>
      </c>
      <c r="F29" s="181"/>
      <c r="G29" s="179" t="s">
        <v>7666</v>
      </c>
      <c r="H29" s="190"/>
      <c r="I29" s="190"/>
      <c r="J29" s="187" t="s">
        <v>3044</v>
      </c>
      <c r="K29" s="187" t="s">
        <v>7052</v>
      </c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IFERROR(__xludf.DUMMYFUNCTION("ifna(VALUE(REGEXEXTRACT(E29,""[0-9.]+[,]+[0-9]+"")))"),6.0)</f>
        <v>6</v>
      </c>
      <c r="O29" s="247">
        <f>IFERROR(__xludf.DUMMYFUNCTION("""COMPUTED_VALUE"""),46097.761712962965)</f>
        <v>46097.76171</v>
      </c>
      <c r="P29" s="89" t="str">
        <f>IFERROR(__xludf.DUMMYFUNCTION("""COMPUTED_VALUE"""),"R$ 7,80")</f>
        <v>R$ 7,80</v>
      </c>
      <c r="Q29" s="89" t="str">
        <f>IFERROR(__xludf.DUMMYFUNCTION("""COMPUTED_VALUE"""),"Consumo")</f>
        <v>Consumo</v>
      </c>
      <c r="R29" s="89" t="str">
        <f>IFERROR(__xludf.DUMMYFUNCTION("""COMPUTED_VALUE"""),"Ana Carolina")</f>
        <v>Ana Carolina</v>
      </c>
      <c r="S29" s="91"/>
      <c r="T29" s="236">
        <f>IFERROR(__xludf.DUMMYFUNCTION("""COMPUTED_VALUE"""),46087.542719907404)</f>
        <v>46087.54272</v>
      </c>
      <c r="U29" s="89" t="str">
        <f>IFERROR(__xludf.DUMMYFUNCTION("""COMPUTED_VALUE"""),"R$ 32,45")</f>
        <v>R$ 32,45</v>
      </c>
      <c r="V29" s="89" t="str">
        <f>IFERROR(__xludf.DUMMYFUNCTION("""COMPUTED_VALUE"""),"Consumo")</f>
        <v>Consumo</v>
      </c>
      <c r="W29" s="90" t="str">
        <f>IFERROR(__xludf.DUMMYFUNCTION("""COMPUTED_VALUE"""),"Sabrina")</f>
        <v>Sabrina</v>
      </c>
    </row>
    <row r="30">
      <c r="A30" s="178"/>
      <c r="B30" s="10">
        <v>2025132.0</v>
      </c>
      <c r="C30" s="11">
        <v>46079.53271990741</v>
      </c>
      <c r="D30" s="179" t="s">
        <v>50</v>
      </c>
      <c r="E30" s="180" t="s">
        <v>205</v>
      </c>
      <c r="F30" s="181"/>
      <c r="G30" s="179" t="s">
        <v>7925</v>
      </c>
      <c r="H30" s="190"/>
      <c r="I30" s="190"/>
      <c r="J30" s="187" t="s">
        <v>3044</v>
      </c>
      <c r="K30" s="187" t="s">
        <v>7058</v>
      </c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IFERROR(__xludf.DUMMYFUNCTION("ifna(VALUE(REGEXEXTRACT(E30,""[0-9.]+[,]+[0-9]+"")))"),10.0)</f>
        <v>10</v>
      </c>
      <c r="O30" s="247">
        <f>IFERROR(__xludf.DUMMYFUNCTION("""COMPUTED_VALUE"""),46098.563055555554)</f>
        <v>46098.56306</v>
      </c>
      <c r="P30" s="89" t="str">
        <f>IFERROR(__xludf.DUMMYFUNCTION("""COMPUTED_VALUE"""),"R$ 4,00")</f>
        <v>R$ 4,00</v>
      </c>
      <c r="Q30" s="89" t="str">
        <f>IFERROR(__xludf.DUMMYFUNCTION("""COMPUTED_VALUE"""),"Consumo")</f>
        <v>Consumo</v>
      </c>
      <c r="R30" s="89" t="str">
        <f>IFERROR(__xludf.DUMMYFUNCTION("""COMPUTED_VALUE"""),"Ana Carolina")</f>
        <v>Ana Carolina</v>
      </c>
      <c r="S30" s="91"/>
      <c r="T30" s="236">
        <f>IFERROR(__xludf.DUMMYFUNCTION("""COMPUTED_VALUE"""),46087.76672453704)</f>
        <v>46087.76672</v>
      </c>
      <c r="U30" s="89" t="str">
        <f>IFERROR(__xludf.DUMMYFUNCTION("""COMPUTED_VALUE"""),"R$ 3,00")</f>
        <v>R$ 3,00</v>
      </c>
      <c r="V30" s="89" t="str">
        <f>IFERROR(__xludf.DUMMYFUNCTION("""COMPUTED_VALUE"""),"Consumo")</f>
        <v>Consumo</v>
      </c>
      <c r="W30" s="90" t="str">
        <f>IFERROR(__xludf.DUMMYFUNCTION("""COMPUTED_VALUE"""),"Sabrina")</f>
        <v>Sabrina</v>
      </c>
    </row>
    <row r="31" ht="14.25" customHeight="1">
      <c r="A31" s="178"/>
      <c r="B31" s="10">
        <v>2025134.0</v>
      </c>
      <c r="C31" s="11">
        <v>46079.53334490741</v>
      </c>
      <c r="D31" s="179" t="s">
        <v>50</v>
      </c>
      <c r="E31" s="180" t="s">
        <v>943</v>
      </c>
      <c r="F31" s="181"/>
      <c r="G31" s="10" t="s">
        <v>7929</v>
      </c>
      <c r="H31" s="190"/>
      <c r="I31" s="190"/>
      <c r="J31" s="187"/>
      <c r="K31" s="187"/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IFERROR(__xludf.DUMMYFUNCTION("ifna(VALUE(REGEXEXTRACT(E31,""[0-9.]+[,]+[0-9]+"")))"),12.0)</f>
        <v>12</v>
      </c>
      <c r="O31" s="250">
        <f>IFERROR(__xludf.DUMMYFUNCTION("""COMPUTED_VALUE"""),46100.620196759264)</f>
        <v>46100.6202</v>
      </c>
      <c r="P31" s="193" t="str">
        <f>IFERROR(__xludf.DUMMYFUNCTION("""COMPUTED_VALUE"""),"R$ 9,00")</f>
        <v>R$ 9,00</v>
      </c>
      <c r="Q31" s="194" t="str">
        <f>IFERROR(__xludf.DUMMYFUNCTION("""COMPUTED_VALUE"""),"Consumo")</f>
        <v>Consumo</v>
      </c>
      <c r="R31" s="195" t="str">
        <f>IFERROR(__xludf.DUMMYFUNCTION("""COMPUTED_VALUE"""),"Ana Carolina")</f>
        <v>Ana Carolina</v>
      </c>
      <c r="S31" s="91"/>
      <c r="T31" s="236">
        <f>IFERROR(__xludf.DUMMYFUNCTION("""COMPUTED_VALUE"""),46088.60015046297)</f>
        <v>46088.60015</v>
      </c>
      <c r="U31" s="89" t="str">
        <f>IFERROR(__xludf.DUMMYFUNCTION("""COMPUTED_VALUE"""),"R$ 5,00")</f>
        <v>R$ 5,00</v>
      </c>
      <c r="V31" s="89" t="str">
        <f>IFERROR(__xludf.DUMMYFUNCTION("""COMPUTED_VALUE"""),"Consumo")</f>
        <v>Consumo</v>
      </c>
      <c r="W31" s="90" t="str">
        <f>IFERROR(__xludf.DUMMYFUNCTION("""COMPUTED_VALUE"""),"Sabrina")</f>
        <v>Sabrina</v>
      </c>
    </row>
    <row r="32" ht="14.25" customHeight="1">
      <c r="A32" s="178"/>
      <c r="B32" s="10">
        <v>2025136.0</v>
      </c>
      <c r="C32" s="11">
        <v>46079.53395833333</v>
      </c>
      <c r="D32" s="179" t="s">
        <v>50</v>
      </c>
      <c r="E32" s="180" t="s">
        <v>6846</v>
      </c>
      <c r="F32" s="181"/>
      <c r="G32" s="179" t="s">
        <v>7932</v>
      </c>
      <c r="H32" s="190"/>
      <c r="I32" s="190"/>
      <c r="J32" s="187" t="s">
        <v>3044</v>
      </c>
      <c r="K32" s="187" t="s">
        <v>6664</v>
      </c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IFERROR(__xludf.DUMMYFUNCTION("ifna(VALUE(REGEXEXTRACT(E32,""[0-9.]+[,]+[0-9]+"")))"),13.0)</f>
        <v>13</v>
      </c>
      <c r="O32" s="247">
        <f>IFERROR(__xludf.DUMMYFUNCTION("""COMPUTED_VALUE"""),46101.76038194445)</f>
        <v>46101.76038</v>
      </c>
      <c r="P32" s="89" t="str">
        <f>IFERROR(__xludf.DUMMYFUNCTION("""COMPUTED_VALUE"""),"R$ 5,00")</f>
        <v>R$ 5,00</v>
      </c>
      <c r="Q32" s="89" t="str">
        <f>IFERROR(__xludf.DUMMYFUNCTION("""COMPUTED_VALUE"""),"Consumo")</f>
        <v>Consumo</v>
      </c>
      <c r="R32" s="89" t="str">
        <f>IFERROR(__xludf.DUMMYFUNCTION("""COMPUTED_VALUE"""),"Ana Carolina")</f>
        <v>Ana Carolina</v>
      </c>
      <c r="S32" s="91"/>
      <c r="T32" s="236">
        <f>IFERROR(__xludf.DUMMYFUNCTION("""COMPUTED_VALUE"""),46089.931759259256)</f>
        <v>46089.93176</v>
      </c>
      <c r="U32" s="89" t="str">
        <f>IFERROR(__xludf.DUMMYFUNCTION("""COMPUTED_VALUE"""),"R$ 10,00")</f>
        <v>R$ 10,00</v>
      </c>
      <c r="V32" s="89" t="str">
        <f>IFERROR(__xludf.DUMMYFUNCTION("""COMPUTED_VALUE"""),"Consumo")</f>
        <v>Consumo</v>
      </c>
      <c r="W32" s="90" t="str">
        <f>IFERROR(__xludf.DUMMYFUNCTION("""COMPUTED_VALUE"""),"Sabrina")</f>
        <v>Sabrina</v>
      </c>
    </row>
    <row r="33" ht="14.25" customHeight="1">
      <c r="A33" s="178"/>
      <c r="B33" s="10">
        <v>2025156.0</v>
      </c>
      <c r="C33" s="11">
        <v>46079.55305555555</v>
      </c>
      <c r="D33" s="179" t="s">
        <v>50</v>
      </c>
      <c r="E33" s="180" t="s">
        <v>494</v>
      </c>
      <c r="F33" s="181"/>
      <c r="G33" s="179" t="s">
        <v>7934</v>
      </c>
      <c r="H33" s="190"/>
      <c r="I33" s="190"/>
      <c r="J33" s="187"/>
      <c r="K33" s="187"/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IFERROR(__xludf.DUMMYFUNCTION("ifna(VALUE(REGEXEXTRACT(E33,""[0-9.]+[,]+[0-9]+"")))"),0.01)</f>
        <v>0.01</v>
      </c>
      <c r="O33" s="247">
        <f>IFERROR(__xludf.DUMMYFUNCTION("""COMPUTED_VALUE"""),46102.57177083333)</f>
        <v>46102.57177</v>
      </c>
      <c r="P33" s="89" t="str">
        <f>IFERROR(__xludf.DUMMYFUNCTION("""COMPUTED_VALUE"""),"R$ 4,00")</f>
        <v>R$ 4,00</v>
      </c>
      <c r="Q33" s="89" t="str">
        <f>IFERROR(__xludf.DUMMYFUNCTION("""COMPUTED_VALUE"""),"Consumo")</f>
        <v>Consumo</v>
      </c>
      <c r="R33" s="89" t="str">
        <f>IFERROR(__xludf.DUMMYFUNCTION("""COMPUTED_VALUE"""),"Ana Carolina")</f>
        <v>Ana Carolina</v>
      </c>
      <c r="S33" s="91"/>
      <c r="T33" s="236">
        <f>IFERROR(__xludf.DUMMYFUNCTION("""COMPUTED_VALUE"""),46089.9390625)</f>
        <v>46089.93906</v>
      </c>
      <c r="U33" s="89" t="str">
        <f>IFERROR(__xludf.DUMMYFUNCTION("""COMPUTED_VALUE"""),"R$ 19,68")</f>
        <v>R$ 19,68</v>
      </c>
      <c r="V33" s="89" t="str">
        <f>IFERROR(__xludf.DUMMYFUNCTION("""COMPUTED_VALUE"""),"Consumo")</f>
        <v>Consumo</v>
      </c>
      <c r="W33" s="90" t="str">
        <f>IFERROR(__xludf.DUMMYFUNCTION("""COMPUTED_VALUE"""),"Sabrina")</f>
        <v>Sabrina</v>
      </c>
    </row>
    <row r="34" ht="14.25" customHeight="1">
      <c r="A34" s="178"/>
      <c r="B34" s="10">
        <v>2025586.0</v>
      </c>
      <c r="C34" s="11">
        <v>46079.72547453704</v>
      </c>
      <c r="D34" s="179" t="s">
        <v>50</v>
      </c>
      <c r="E34" s="180" t="s">
        <v>246</v>
      </c>
      <c r="F34" s="181"/>
      <c r="G34" s="179" t="s">
        <v>94</v>
      </c>
      <c r="H34" s="190"/>
      <c r="I34" s="190"/>
      <c r="J34" s="187" t="s">
        <v>3044</v>
      </c>
      <c r="K34" s="187" t="s">
        <v>7058</v>
      </c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IFERROR(__xludf.DUMMYFUNCTION("ifna(VALUE(REGEXEXTRACT(E34,""[0-9.]+[,]+[0-9]+"")))"),4.0)</f>
        <v>4</v>
      </c>
      <c r="O34" s="247">
        <f>IFERROR(__xludf.DUMMYFUNCTION("""COMPUTED_VALUE"""),46106.776226851856)</f>
        <v>46106.77623</v>
      </c>
      <c r="P34" s="109" t="str">
        <f>IFERROR(__xludf.DUMMYFUNCTION("""COMPUTED_VALUE"""),"R$ 12,52")</f>
        <v>R$ 12,52</v>
      </c>
      <c r="Q34" s="109" t="str">
        <f>IFERROR(__xludf.DUMMYFUNCTION("""COMPUTED_VALUE"""),"Consumo")</f>
        <v>Consumo</v>
      </c>
      <c r="R34" s="109" t="str">
        <f>IFERROR(__xludf.DUMMYFUNCTION("""COMPUTED_VALUE"""),"Ana Carolina")</f>
        <v>Ana Carolina</v>
      </c>
      <c r="S34" s="110"/>
      <c r="T34" s="236">
        <f>IFERROR(__xludf.DUMMYFUNCTION("""COMPUTED_VALUE"""),46092.71302083333)</f>
        <v>46092.71302</v>
      </c>
      <c r="U34" s="109" t="str">
        <f>IFERROR(__xludf.DUMMYFUNCTION("""COMPUTED_VALUE"""),"R$ 24,92")</f>
        <v>R$ 24,92</v>
      </c>
      <c r="V34" s="109" t="str">
        <f>IFERROR(__xludf.DUMMYFUNCTION("""COMPUTED_VALUE"""),"Consumo")</f>
        <v>Consumo</v>
      </c>
      <c r="W34" s="111" t="str">
        <f>IFERROR(__xludf.DUMMYFUNCTION("""COMPUTED_VALUE"""),"Sabrina")</f>
        <v>Sabrina</v>
      </c>
    </row>
    <row r="35" ht="18.75" customHeight="1">
      <c r="A35" s="178"/>
      <c r="B35" s="10">
        <v>2026096.0</v>
      </c>
      <c r="C35" s="11">
        <v>46079.895902777775</v>
      </c>
      <c r="D35" s="179" t="s">
        <v>50</v>
      </c>
      <c r="E35" s="180" t="s">
        <v>7797</v>
      </c>
      <c r="F35" s="181"/>
      <c r="G35" s="179" t="s">
        <v>94</v>
      </c>
      <c r="H35" s="190"/>
      <c r="I35" s="190"/>
      <c r="J35" s="187" t="s">
        <v>3044</v>
      </c>
      <c r="K35" s="187" t="s">
        <v>7058</v>
      </c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IFERROR(__xludf.DUMMYFUNCTION("ifna(VALUE(REGEXEXTRACT(E35,""[0-9.]+[,]+[0-9]+"")))"),7.92)</f>
        <v>7.92</v>
      </c>
      <c r="O35" s="238">
        <f>IFERROR(__xludf.DUMMYFUNCTION("""COMPUTED_VALUE"""),46106.80206018519)</f>
        <v>46106.80206</v>
      </c>
      <c r="P35" s="239" t="str">
        <f>IFERROR(__xludf.DUMMYFUNCTION("""COMPUTED_VALUE"""),"R$ 4,00")</f>
        <v>R$ 4,00</v>
      </c>
      <c r="Q35" s="239" t="str">
        <f>IFERROR(__xludf.DUMMYFUNCTION("""COMPUTED_VALUE"""),"Consumo")</f>
        <v>Consumo</v>
      </c>
      <c r="R35" s="239" t="str">
        <f>IFERROR(__xludf.DUMMYFUNCTION("""COMPUTED_VALUE"""),"Ana Carolina")</f>
        <v>Ana Carolina</v>
      </c>
      <c r="S35" s="24"/>
      <c r="T35" s="238">
        <f>IFERROR(__xludf.DUMMYFUNCTION("""COMPUTED_VALUE"""),46096.89681712963)</f>
        <v>46096.89682</v>
      </c>
      <c r="U35" s="239" t="str">
        <f>IFERROR(__xludf.DUMMYFUNCTION("""COMPUTED_VALUE"""),"R$ 5,00")</f>
        <v>R$ 5,00</v>
      </c>
      <c r="V35" s="239" t="str">
        <f>IFERROR(__xludf.DUMMYFUNCTION("""COMPUTED_VALUE"""),"Consumo")</f>
        <v>Consumo</v>
      </c>
      <c r="W35" s="239" t="str">
        <f>IFERROR(__xludf.DUMMYFUNCTION("""COMPUTED_VALUE"""),"Sabrina")</f>
        <v>Sabrina</v>
      </c>
    </row>
    <row r="36" ht="14.25" customHeight="1">
      <c r="A36" s="178"/>
      <c r="B36" s="10">
        <v>2026732.0</v>
      </c>
      <c r="C36" s="11">
        <v>46080.53203703704</v>
      </c>
      <c r="D36" s="179" t="s">
        <v>50</v>
      </c>
      <c r="E36" s="180" t="s">
        <v>943</v>
      </c>
      <c r="F36" s="181"/>
      <c r="G36" s="179" t="s">
        <v>7666</v>
      </c>
      <c r="H36" s="186"/>
      <c r="I36" s="186"/>
      <c r="J36" s="187" t="s">
        <v>3044</v>
      </c>
      <c r="K36" s="187" t="s">
        <v>7052</v>
      </c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IFERROR(__xludf.DUMMYFUNCTION("ifna(VALUE(REGEXEXTRACT(E36,""[0-9.]+[,]+[0-9]+"")))"),12.0)</f>
        <v>12</v>
      </c>
      <c r="S36" s="24"/>
      <c r="T36" s="238">
        <f>IFERROR(__xludf.DUMMYFUNCTION("""COMPUTED_VALUE"""),46096.92444444445)</f>
        <v>46096.92444</v>
      </c>
      <c r="U36" s="239" t="str">
        <f>IFERROR(__xludf.DUMMYFUNCTION("""COMPUTED_VALUE"""),"R$ 32,84")</f>
        <v>R$ 32,84</v>
      </c>
      <c r="V36" s="239" t="str">
        <f>IFERROR(__xludf.DUMMYFUNCTION("""COMPUTED_VALUE"""),"Consumo")</f>
        <v>Consumo</v>
      </c>
      <c r="W36" s="239" t="str">
        <f>IFERROR(__xludf.DUMMYFUNCTION("""COMPUTED_VALUE"""),"Sabrina")</f>
        <v>Sabrina</v>
      </c>
    </row>
    <row r="37" ht="14.25" customHeight="1">
      <c r="A37" s="178"/>
      <c r="B37" s="10">
        <v>2027455.0</v>
      </c>
      <c r="C37" s="11">
        <v>46080.75331018519</v>
      </c>
      <c r="D37" s="179" t="s">
        <v>50</v>
      </c>
      <c r="E37" s="180" t="s">
        <v>7943</v>
      </c>
      <c r="F37" s="181"/>
      <c r="G37" s="179" t="s">
        <v>122</v>
      </c>
      <c r="H37" s="186"/>
      <c r="I37" s="186"/>
      <c r="J37" s="187" t="s">
        <v>3044</v>
      </c>
      <c r="K37" s="187" t="s">
        <v>6664</v>
      </c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IFERROR(__xludf.DUMMYFUNCTION("ifna(VALUE(REGEXEXTRACT(E37,""[0-9.]+[,]+[0-9]+"")))"),33.48)</f>
        <v>33.48</v>
      </c>
      <c r="S37" s="24"/>
      <c r="T37" s="238">
        <f>IFERROR(__xludf.DUMMYFUNCTION("""COMPUTED_VALUE"""),46096.92697916667)</f>
        <v>46096.92698</v>
      </c>
      <c r="U37" s="239" t="str">
        <f>IFERROR(__xludf.DUMMYFUNCTION("""COMPUTED_VALUE"""),"R$ 5,00")</f>
        <v>R$ 5,00</v>
      </c>
      <c r="V37" s="239" t="str">
        <f>IFERROR(__xludf.DUMMYFUNCTION("""COMPUTED_VALUE"""),"Consumo")</f>
        <v>Consumo</v>
      </c>
      <c r="W37" s="239" t="str">
        <f>IFERROR(__xludf.DUMMYFUNCTION("""COMPUTED_VALUE"""),"Sabrina")</f>
        <v>Sabrina</v>
      </c>
    </row>
    <row r="38" ht="14.25" customHeight="1">
      <c r="A38" s="178"/>
      <c r="B38" s="10">
        <v>2027520.0</v>
      </c>
      <c r="C38" s="11">
        <v>46080.76997685185</v>
      </c>
      <c r="D38" s="179" t="s">
        <v>50</v>
      </c>
      <c r="E38" s="180" t="s">
        <v>246</v>
      </c>
      <c r="F38" s="181"/>
      <c r="G38" s="179" t="s">
        <v>122</v>
      </c>
      <c r="H38" s="186"/>
      <c r="I38" s="186"/>
      <c r="J38" s="187" t="s">
        <v>3044</v>
      </c>
      <c r="K38" s="187" t="s">
        <v>6664</v>
      </c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IFERROR(__xludf.DUMMYFUNCTION("ifna(VALUE(REGEXEXTRACT(E38,""[0-9.]+[,]+[0-9]+"")))"),4.0)</f>
        <v>4</v>
      </c>
      <c r="S38" s="24"/>
    </row>
    <row r="39" ht="21.75" customHeight="1">
      <c r="A39" s="178"/>
      <c r="B39" s="10">
        <v>2027545.0</v>
      </c>
      <c r="C39" s="11">
        <v>46080.774872685186</v>
      </c>
      <c r="D39" s="179" t="s">
        <v>50</v>
      </c>
      <c r="E39" s="180" t="s">
        <v>7944</v>
      </c>
      <c r="F39" s="181"/>
      <c r="G39" s="179" t="s">
        <v>7945</v>
      </c>
      <c r="H39" s="186"/>
      <c r="I39" s="186"/>
      <c r="J39" s="187" t="s">
        <v>3903</v>
      </c>
      <c r="K39" s="187"/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"""")"),"Encontrada")</f>
        <v>Encontrada</v>
      </c>
      <c r="N39" s="185">
        <f>IFERROR(__xludf.DUMMYFUNCTION("ifna(VALUE(REGEXEXTRACT(E39,""[0-9.]+[,]+[0-9]+"")))"),279.92)</f>
        <v>279.92</v>
      </c>
      <c r="O39" s="191" t="str">
        <f>B9</f>
        <v>Janaina</v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</row>
    <row r="40" ht="14.25" customHeight="1">
      <c r="A40" s="178"/>
      <c r="B40" s="10">
        <v>2027551.0</v>
      </c>
      <c r="C40" s="11">
        <v>46080.776284722226</v>
      </c>
      <c r="D40" s="179" t="s">
        <v>50</v>
      </c>
      <c r="E40" s="180" t="s">
        <v>7946</v>
      </c>
      <c r="F40" s="181"/>
      <c r="G40" s="179" t="s">
        <v>7947</v>
      </c>
      <c r="H40" s="186"/>
      <c r="I40" s="186"/>
      <c r="J40" s="187" t="s">
        <v>3903</v>
      </c>
      <c r="K40" s="187"/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"""")"),"Encontrada")</f>
        <v>Encontrada</v>
      </c>
      <c r="N40" s="185">
        <f>IFERROR(__xludf.DUMMYFUNCTION("ifna(VALUE(REGEXEXTRACT(E40,""[0-9.]+[,]+[0-9]+"")))"),372.16)</f>
        <v>372.16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</row>
    <row r="41" ht="27.0" customHeight="1">
      <c r="A41" s="178"/>
      <c r="B41" s="10">
        <v>2027557.0</v>
      </c>
      <c r="C41" s="11">
        <v>46080.77990740741</v>
      </c>
      <c r="D41" s="179" t="s">
        <v>227</v>
      </c>
      <c r="E41" s="180" t="s">
        <v>3983</v>
      </c>
      <c r="F41" s="181"/>
      <c r="G41" s="179" t="s">
        <v>7948</v>
      </c>
      <c r="H41" s="186"/>
      <c r="I41" s="186"/>
      <c r="J41" s="187" t="s">
        <v>4159</v>
      </c>
      <c r="K41" s="187"/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IFERROR(__xludf.DUMMYFUNCTION("ifna(VALUE(REGEXEXTRACT(E41,""[0-9.]+[,]+[0-9]+"")))"),150.0)</f>
        <v>150</v>
      </c>
      <c r="O41" s="51">
        <f>IFERROR(__xludf.DUMMYFUNCTION("""COMPUTED_VALUE"""),46088.89769675926)</f>
        <v>46088.8977</v>
      </c>
      <c r="P41" s="52" t="str">
        <f>IFERROR(__xludf.DUMMYFUNCTION("""COMPUTED_VALUE"""),"R$ 10,00")</f>
        <v>R$ 10,00</v>
      </c>
      <c r="Q41" s="52" t="str">
        <f>IFERROR(__xludf.DUMMYFUNCTION("""COMPUTED_VALUE"""),"Consumo")</f>
        <v>Consumo</v>
      </c>
      <c r="R41" s="52" t="str">
        <f>IFERROR(__xludf.DUMMYFUNCTION("""COMPUTED_VALUE"""),"Janaina")</f>
        <v>Janaina</v>
      </c>
      <c r="S41" s="54"/>
      <c r="T41" s="52"/>
      <c r="U41" s="52"/>
      <c r="V41" s="52"/>
      <c r="W41" s="53"/>
    </row>
    <row r="42" ht="14.25" customHeight="1">
      <c r="A42" s="178"/>
      <c r="B42" s="10">
        <v>2027559.0</v>
      </c>
      <c r="C42" s="11">
        <v>46080.78045138889</v>
      </c>
      <c r="D42" s="179" t="s">
        <v>50</v>
      </c>
      <c r="E42" s="180" t="s">
        <v>7544</v>
      </c>
      <c r="F42" s="188"/>
      <c r="G42" s="179" t="s">
        <v>7949</v>
      </c>
      <c r="H42" s="186"/>
      <c r="I42" s="186"/>
      <c r="J42" s="187" t="s">
        <v>3903</v>
      </c>
      <c r="K42" s="187"/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85">
        <f>IFERROR(__xludf.DUMMYFUNCTION("ifna(VALUE(REGEXEXTRACT(E42,""[0-9.]+[,]+[0-9]+"")))"),462.0)</f>
        <v>462</v>
      </c>
      <c r="O42" s="51">
        <f>IFERROR(__xludf.DUMMYFUNCTION("""COMPUTED_VALUE"""),46089.9321412037)</f>
        <v>46089.93214</v>
      </c>
      <c r="P42" s="52" t="str">
        <f>IFERROR(__xludf.DUMMYFUNCTION("""COMPUTED_VALUE"""),"R$ 12,00")</f>
        <v>R$ 12,00</v>
      </c>
      <c r="Q42" s="52" t="str">
        <f>IFERROR(__xludf.DUMMYFUNCTION("""COMPUTED_VALUE"""),"Consumo")</f>
        <v>Consumo</v>
      </c>
      <c r="R42" s="52" t="str">
        <f>IFERROR(__xludf.DUMMYFUNCTION("""COMPUTED_VALUE"""),"Janaina")</f>
        <v>Janaina</v>
      </c>
      <c r="S42" s="54"/>
      <c r="T42" s="52"/>
      <c r="U42" s="52"/>
      <c r="V42" s="52"/>
      <c r="W42" s="53"/>
    </row>
    <row r="43" ht="14.25" customHeight="1">
      <c r="A43" s="178"/>
      <c r="B43" s="10">
        <v>2028710.0</v>
      </c>
      <c r="C43" s="11">
        <v>46081.55517361111</v>
      </c>
      <c r="D43" s="179" t="s">
        <v>50</v>
      </c>
      <c r="E43" s="180" t="s">
        <v>6990</v>
      </c>
      <c r="F43" s="181"/>
      <c r="G43" s="179" t="s">
        <v>7950</v>
      </c>
      <c r="H43" s="189"/>
      <c r="I43" s="189"/>
      <c r="J43" s="187" t="s">
        <v>3044</v>
      </c>
      <c r="K43" s="187" t="s">
        <v>7058</v>
      </c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IFERROR(__xludf.DUMMYFUNCTION("ifna(VALUE(REGEXEXTRACT(E43,""[0-9.]+[,]+[0-9]+"")))"),38.47)</f>
        <v>38.47</v>
      </c>
      <c r="O43" s="51">
        <f>IFERROR(__xludf.DUMMYFUNCTION("""COMPUTED_VALUE"""),46097.91657407407)</f>
        <v>46097.91657</v>
      </c>
      <c r="P43" s="52" t="str">
        <f>IFERROR(__xludf.DUMMYFUNCTION("""COMPUTED_VALUE"""),"R$ 5,00")</f>
        <v>R$ 5,00</v>
      </c>
      <c r="Q43" s="52" t="str">
        <f>IFERROR(__xludf.DUMMYFUNCTION("""COMPUTED_VALUE"""),"Consumo")</f>
        <v>Consumo</v>
      </c>
      <c r="R43" s="52" t="str">
        <f>IFERROR(__xludf.DUMMYFUNCTION("""COMPUTED_VALUE"""),"Janaina")</f>
        <v>Janaina</v>
      </c>
      <c r="S43" s="54"/>
      <c r="T43" s="52"/>
      <c r="U43" s="52"/>
      <c r="V43" s="52"/>
      <c r="W43" s="53"/>
    </row>
    <row r="44" ht="14.25" customHeight="1">
      <c r="A44" s="178"/>
      <c r="B44" s="10">
        <v>2028737.0</v>
      </c>
      <c r="C44" s="11">
        <v>46081.573067129626</v>
      </c>
      <c r="D44" s="179" t="s">
        <v>50</v>
      </c>
      <c r="E44" s="180" t="s">
        <v>7951</v>
      </c>
      <c r="F44" s="181"/>
      <c r="G44" s="179" t="s">
        <v>7952</v>
      </c>
      <c r="H44" s="189"/>
      <c r="I44" s="189"/>
      <c r="J44" s="187" t="s">
        <v>3467</v>
      </c>
      <c r="K44" s="187"/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IFERROR(__xludf.DUMMYFUNCTION("ifna(VALUE(REGEXEXTRACT(E44,""[0-9.]+[,]+[0-9]+"")))"),16.74)</f>
        <v>16.74</v>
      </c>
      <c r="O44" s="51">
        <f>IFERROR(__xludf.DUMMYFUNCTION("""COMPUTED_VALUE"""),46097.93502314815)</f>
        <v>46097.93502</v>
      </c>
      <c r="P44" s="52" t="str">
        <f>IFERROR(__xludf.DUMMYFUNCTION("""COMPUTED_VALUE"""),"R$ 20,00")</f>
        <v>R$ 20,00</v>
      </c>
      <c r="Q44" s="52" t="str">
        <f>IFERROR(__xludf.DUMMYFUNCTION("""COMPUTED_VALUE"""),"Consumo")</f>
        <v>Consumo</v>
      </c>
      <c r="R44" s="52" t="str">
        <f>IFERROR(__xludf.DUMMYFUNCTION("""COMPUTED_VALUE"""),"Janaina")</f>
        <v>Janaina</v>
      </c>
      <c r="S44" s="54"/>
      <c r="T44" s="52"/>
      <c r="U44" s="52"/>
      <c r="V44" s="52"/>
      <c r="W44" s="53"/>
    </row>
    <row r="45" ht="14.25" customHeight="1">
      <c r="A45" s="178"/>
      <c r="B45" s="10">
        <v>2028738.0</v>
      </c>
      <c r="C45" s="11">
        <v>46081.57376157407</v>
      </c>
      <c r="D45" s="179" t="s">
        <v>50</v>
      </c>
      <c r="E45" s="180" t="s">
        <v>7953</v>
      </c>
      <c r="F45" s="181"/>
      <c r="G45" s="179" t="s">
        <v>7954</v>
      </c>
      <c r="H45" s="190"/>
      <c r="I45" s="190"/>
      <c r="J45" s="187" t="s">
        <v>3903</v>
      </c>
      <c r="K45" s="187"/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"""")"),"Encontrada")</f>
        <v>Encontrada</v>
      </c>
      <c r="N45" s="185">
        <f>IFERROR(__xludf.DUMMYFUNCTION("ifna(VALUE(REGEXEXTRACT(E45,""[0-9.]+[,]+[0-9]+"")))"),7.59)</f>
        <v>7.59</v>
      </c>
      <c r="O45" s="51">
        <f>IFERROR(__xludf.DUMMYFUNCTION("""COMPUTED_VALUE"""),46098.91150462963)</f>
        <v>46098.9115</v>
      </c>
      <c r="P45" s="52" t="str">
        <f>IFERROR(__xludf.DUMMYFUNCTION("""COMPUTED_VALUE"""),"R$ 18,54")</f>
        <v>R$ 18,54</v>
      </c>
      <c r="Q45" s="52" t="str">
        <f>IFERROR(__xludf.DUMMYFUNCTION("""COMPUTED_VALUE"""),"Consumo")</f>
        <v>Consumo</v>
      </c>
      <c r="R45" s="52" t="str">
        <f>IFERROR(__xludf.DUMMYFUNCTION("""COMPUTED_VALUE"""),"Janaina")</f>
        <v>Janaina</v>
      </c>
      <c r="S45" s="54"/>
      <c r="T45" s="52"/>
      <c r="U45" s="52"/>
      <c r="V45" s="52"/>
      <c r="W45" s="53"/>
    </row>
    <row r="46" ht="18.75" customHeight="1">
      <c r="A46" s="178"/>
      <c r="B46" s="10">
        <v>2029044.0</v>
      </c>
      <c r="C46" s="11">
        <v>46081.6778125</v>
      </c>
      <c r="D46" s="179" t="s">
        <v>50</v>
      </c>
      <c r="E46" s="180" t="s">
        <v>708</v>
      </c>
      <c r="F46" s="181"/>
      <c r="G46" s="179" t="s">
        <v>7955</v>
      </c>
      <c r="H46" s="190"/>
      <c r="I46" s="190"/>
      <c r="J46" s="187" t="s">
        <v>3044</v>
      </c>
      <c r="K46" s="187" t="s">
        <v>6664</v>
      </c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IFERROR(__xludf.DUMMYFUNCTION("ifna(VALUE(REGEXEXTRACT(E46,""[0-9.]+[,]+[0-9]+"")))"),8.0)</f>
        <v>8</v>
      </c>
      <c r="O46" s="51">
        <f>IFERROR(__xludf.DUMMYFUNCTION("""COMPUTED_VALUE"""),46103.76006944444)</f>
        <v>46103.76007</v>
      </c>
      <c r="P46" s="79" t="str">
        <f>IFERROR(__xludf.DUMMYFUNCTION("""COMPUTED_VALUE"""),"R$ 3,00")</f>
        <v>R$ 3,00</v>
      </c>
      <c r="Q46" s="79" t="str">
        <f>IFERROR(__xludf.DUMMYFUNCTION("""COMPUTED_VALUE"""),"Consumo")</f>
        <v>Consumo</v>
      </c>
      <c r="R46" s="79" t="str">
        <f>IFERROR(__xludf.DUMMYFUNCTION("""COMPUTED_VALUE"""),"Janaina")</f>
        <v>Janaina</v>
      </c>
      <c r="S46" s="81"/>
      <c r="T46" s="79"/>
      <c r="U46" s="79"/>
      <c r="V46" s="79"/>
      <c r="W46" s="80"/>
    </row>
    <row r="47" ht="14.25" customHeight="1">
      <c r="A47" s="178"/>
      <c r="B47" s="10">
        <v>2029999.0</v>
      </c>
      <c r="C47" s="11">
        <v>46081.88025462963</v>
      </c>
      <c r="D47" s="179" t="s">
        <v>50</v>
      </c>
      <c r="E47" s="180" t="s">
        <v>4300</v>
      </c>
      <c r="F47" s="181"/>
      <c r="G47" s="179" t="s">
        <v>7956</v>
      </c>
      <c r="H47" s="354"/>
      <c r="I47" s="190"/>
      <c r="J47" s="187" t="s">
        <v>3825</v>
      </c>
      <c r="K47" s="187"/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IFERROR(__xludf.DUMMYFUNCTION("ifna(VALUE(REGEXEXTRACT(E47,""[0-9.]+[,]+[0-9]+"")))"),104.0)</f>
        <v>104</v>
      </c>
      <c r="O47" s="247">
        <f>IFERROR(__xludf.DUMMYFUNCTION("""COMPUTED_VALUE"""),46104.908796296295)</f>
        <v>46104.9088</v>
      </c>
      <c r="P47" s="89" t="str">
        <f>IFERROR(__xludf.DUMMYFUNCTION("""COMPUTED_VALUE"""),"R$ 10,00")</f>
        <v>R$ 10,00</v>
      </c>
      <c r="Q47" s="89" t="str">
        <f>IFERROR(__xludf.DUMMYFUNCTION("""COMPUTED_VALUE"""),"Consumo")</f>
        <v>Consumo</v>
      </c>
      <c r="R47" s="89" t="str">
        <f>IFERROR(__xludf.DUMMYFUNCTION("""COMPUTED_VALUE"""),"Janaina")</f>
        <v>Janaina</v>
      </c>
      <c r="S47" s="91"/>
      <c r="T47" s="89"/>
      <c r="U47" s="89"/>
      <c r="V47" s="89"/>
      <c r="W47" s="90"/>
    </row>
    <row r="48">
      <c r="A48" s="178"/>
      <c r="B48" s="10">
        <v>2030004.0</v>
      </c>
      <c r="C48" s="11">
        <v>46081.88085648148</v>
      </c>
      <c r="D48" s="179" t="s">
        <v>50</v>
      </c>
      <c r="E48" s="180" t="s">
        <v>4019</v>
      </c>
      <c r="F48" s="181"/>
      <c r="G48" s="179" t="s">
        <v>7957</v>
      </c>
      <c r="H48" s="355"/>
      <c r="I48" s="190"/>
      <c r="J48" s="187" t="s">
        <v>3825</v>
      </c>
      <c r="K48" s="187"/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IFERROR(__xludf.DUMMYFUNCTION("ifna(VALUE(REGEXEXTRACT(E48,""[0-9.]+[,]+[0-9]+"")))"),117.0)</f>
        <v>117</v>
      </c>
      <c r="O48" s="192"/>
      <c r="P48" s="193"/>
      <c r="Q48" s="194"/>
      <c r="R48" s="195"/>
      <c r="S48" s="91"/>
      <c r="T48" s="89"/>
      <c r="U48" s="89"/>
      <c r="V48" s="89"/>
      <c r="W48" s="90"/>
    </row>
    <row r="49" ht="21.0" customHeight="1">
      <c r="A49" s="178"/>
      <c r="B49" s="10">
        <v>2030018.0</v>
      </c>
      <c r="C49" s="11">
        <v>46081.88380787037</v>
      </c>
      <c r="D49" s="179" t="s">
        <v>50</v>
      </c>
      <c r="E49" s="180" t="s">
        <v>4276</v>
      </c>
      <c r="F49" s="181"/>
      <c r="G49" s="179" t="s">
        <v>7958</v>
      </c>
      <c r="H49" s="190"/>
      <c r="I49" s="190"/>
      <c r="J49" s="187" t="s">
        <v>3746</v>
      </c>
      <c r="K49" s="187" t="s">
        <v>7052</v>
      </c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"),"Depositada")</f>
        <v>Depositada</v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IFERROR(__xludf.DUMMYFUNCTION("ifna(VALUE(REGEXEXTRACT(E49,""[0-9.]+[,]+[0-9]+"")))"),1500.0)</f>
        <v>1500</v>
      </c>
      <c r="O49" s="192"/>
      <c r="P49" s="193"/>
      <c r="Q49" s="194"/>
      <c r="R49" s="195"/>
      <c r="S49" s="91"/>
      <c r="T49" s="89"/>
      <c r="U49" s="89"/>
      <c r="V49" s="89"/>
      <c r="W49" s="90"/>
    </row>
    <row r="50" ht="14.25" customHeight="1">
      <c r="A50" s="178"/>
      <c r="B50" s="10">
        <v>2031111.0</v>
      </c>
      <c r="C50" s="11">
        <v>46082.55725694444</v>
      </c>
      <c r="D50" s="179" t="s">
        <v>50</v>
      </c>
      <c r="E50" s="180" t="s">
        <v>7959</v>
      </c>
      <c r="F50" s="181"/>
      <c r="G50" s="179" t="s">
        <v>94</v>
      </c>
      <c r="H50" s="190"/>
      <c r="I50" s="190"/>
      <c r="J50" s="187" t="s">
        <v>3044</v>
      </c>
      <c r="K50" s="187" t="s">
        <v>7058</v>
      </c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IFERROR(__xludf.DUMMYFUNCTION("ifna(VALUE(REGEXEXTRACT(E50,""[0-9.]+[,]+[0-9]+"")))"),40.07)</f>
        <v>40.07</v>
      </c>
      <c r="O50" s="192"/>
      <c r="P50" s="193"/>
      <c r="Q50" s="194"/>
      <c r="R50" s="195"/>
      <c r="S50" s="91"/>
      <c r="T50" s="89"/>
      <c r="U50" s="89"/>
      <c r="V50" s="89"/>
      <c r="W50" s="90"/>
    </row>
    <row r="51" ht="24.75" customHeight="1">
      <c r="A51" s="178"/>
      <c r="B51" s="10">
        <v>2032521.0</v>
      </c>
      <c r="C51" s="11">
        <v>46082.858668981484</v>
      </c>
      <c r="D51" s="179" t="s">
        <v>50</v>
      </c>
      <c r="E51" s="180" t="s">
        <v>329</v>
      </c>
      <c r="F51" s="181"/>
      <c r="G51" s="179" t="s">
        <v>7960</v>
      </c>
      <c r="H51" s="190"/>
      <c r="I51" s="190"/>
      <c r="J51" s="187" t="s">
        <v>4159</v>
      </c>
      <c r="K51" s="187"/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IFERROR(__xludf.DUMMYFUNCTION("ifna(VALUE(REGEXEXTRACT(E51,""[0-9.]+[,]+[0-9]+"")))"),200.0)</f>
        <v>200</v>
      </c>
      <c r="O51" s="192"/>
      <c r="P51" s="193"/>
      <c r="Q51" s="194"/>
      <c r="R51" s="195"/>
      <c r="S51" s="91"/>
      <c r="T51" s="89"/>
      <c r="U51" s="89"/>
      <c r="V51" s="89"/>
      <c r="W51" s="90"/>
    </row>
    <row r="52" ht="14.25" customHeight="1">
      <c r="A52" s="178"/>
      <c r="B52" s="10">
        <v>2032528.0</v>
      </c>
      <c r="C52" s="11">
        <v>46082.859293981484</v>
      </c>
      <c r="D52" s="179" t="s">
        <v>227</v>
      </c>
      <c r="E52" s="180" t="s">
        <v>494</v>
      </c>
      <c r="F52" s="181"/>
      <c r="G52" s="179" t="s">
        <v>7961</v>
      </c>
      <c r="H52" s="190"/>
      <c r="I52" s="190"/>
      <c r="J52" s="187" t="s">
        <v>4159</v>
      </c>
      <c r="K52" s="187"/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IFERROR(__xludf.DUMMYFUNCTION("ifna(VALUE(REGEXEXTRACT(E52,""[0-9.]+[,]+[0-9]+"")))"),0.01)</f>
        <v>0.01</v>
      </c>
      <c r="O52" s="88"/>
      <c r="P52" s="89"/>
      <c r="Q52" s="89"/>
      <c r="R52" s="89"/>
      <c r="S52" s="91"/>
      <c r="T52" s="89"/>
      <c r="U52" s="89"/>
      <c r="V52" s="89"/>
      <c r="W52" s="90"/>
    </row>
    <row r="53" ht="14.25" customHeight="1">
      <c r="A53" s="178"/>
      <c r="B53" s="10">
        <v>2032555.0</v>
      </c>
      <c r="C53" s="11">
        <v>46082.86386574074</v>
      </c>
      <c r="D53" s="179" t="s">
        <v>50</v>
      </c>
      <c r="E53" s="180" t="s">
        <v>7267</v>
      </c>
      <c r="F53" s="181"/>
      <c r="G53" s="179" t="s">
        <v>7962</v>
      </c>
      <c r="H53" s="190"/>
      <c r="I53" s="190"/>
      <c r="J53" s="187" t="s">
        <v>3466</v>
      </c>
      <c r="K53" s="187"/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IFERROR(__xludf.DUMMYFUNCTION("ifna(VALUE(REGEXEXTRACT(E53,""[0-9.]+[,]+[0-9]+"")))"),28.5)</f>
        <v>28.5</v>
      </c>
      <c r="O53" s="88"/>
      <c r="P53" s="89"/>
      <c r="Q53" s="89"/>
      <c r="R53" s="89"/>
      <c r="S53" s="91"/>
      <c r="T53" s="89"/>
      <c r="U53" s="89"/>
      <c r="V53" s="89"/>
      <c r="W53" s="90"/>
    </row>
    <row r="54" ht="14.25" customHeight="1">
      <c r="A54" s="178"/>
      <c r="B54" s="10">
        <v>2032588.0</v>
      </c>
      <c r="C54" s="11">
        <v>46082.86785879629</v>
      </c>
      <c r="D54" s="179" t="s">
        <v>50</v>
      </c>
      <c r="E54" s="180" t="s">
        <v>7963</v>
      </c>
      <c r="F54" s="181"/>
      <c r="G54" s="179" t="s">
        <v>7666</v>
      </c>
      <c r="H54" s="190"/>
      <c r="I54" s="190"/>
      <c r="J54" s="187" t="s">
        <v>3044</v>
      </c>
      <c r="K54" s="187" t="s">
        <v>7052</v>
      </c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IFERROR(__xludf.DUMMYFUNCTION("ifna(VALUE(REGEXEXTRACT(E54,""[0-9.]+[,]+[0-9]+"")))"),40.78)</f>
        <v>40.78</v>
      </c>
      <c r="O54" s="108"/>
      <c r="P54" s="109"/>
      <c r="Q54" s="109"/>
      <c r="R54" s="109"/>
      <c r="S54" s="91"/>
      <c r="T54" s="109"/>
      <c r="U54" s="109"/>
      <c r="V54" s="109"/>
      <c r="W54" s="111"/>
    </row>
    <row r="55" ht="14.25" customHeight="1">
      <c r="A55" s="178"/>
      <c r="B55" s="10">
        <v>2032803.0</v>
      </c>
      <c r="C55" s="11">
        <v>46082.89628472222</v>
      </c>
      <c r="D55" s="179" t="s">
        <v>50</v>
      </c>
      <c r="E55" s="180" t="s">
        <v>6362</v>
      </c>
      <c r="F55" s="181"/>
      <c r="G55" s="179" t="s">
        <v>7964</v>
      </c>
      <c r="H55" s="190"/>
      <c r="I55" s="190"/>
      <c r="J55" s="187" t="s">
        <v>3825</v>
      </c>
      <c r="K55" s="187"/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IFERROR(__xludf.DUMMYFUNCTION("ifna(VALUE(REGEXEXTRACT(E55,""[0-9.]+[,]+[0-9]+"")))"),111.0)</f>
        <v>111</v>
      </c>
      <c r="O55" s="197"/>
      <c r="P55" s="198"/>
      <c r="Q55" s="198"/>
      <c r="R55" s="198"/>
      <c r="S55" s="91"/>
      <c r="T55" s="198"/>
      <c r="U55" s="198"/>
      <c r="V55" s="198"/>
      <c r="W55" s="199"/>
    </row>
    <row r="56" ht="14.25" customHeight="1">
      <c r="A56" s="178"/>
      <c r="B56" s="10">
        <v>2032838.0</v>
      </c>
      <c r="C56" s="11">
        <v>46082.89922453704</v>
      </c>
      <c r="D56" s="179" t="s">
        <v>50</v>
      </c>
      <c r="E56" s="180" t="s">
        <v>7965</v>
      </c>
      <c r="F56" s="181"/>
      <c r="G56" s="179" t="s">
        <v>7909</v>
      </c>
      <c r="H56" s="190"/>
      <c r="I56" s="190"/>
      <c r="J56" s="187" t="s">
        <v>3903</v>
      </c>
      <c r="K56" s="187"/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185">
        <f>IFERROR(__xludf.DUMMYFUNCTION("ifna(VALUE(REGEXEXTRACT(E56,""[0-9.]+[,]+[0-9]+"")))"),212.37)</f>
        <v>212.37</v>
      </c>
      <c r="O56" s="197"/>
      <c r="P56" s="198"/>
      <c r="Q56" s="198"/>
      <c r="R56" s="198"/>
      <c r="S56" s="91"/>
      <c r="T56" s="198"/>
      <c r="U56" s="198"/>
      <c r="V56" s="198"/>
      <c r="W56" s="199"/>
    </row>
    <row r="57" ht="17.25" customHeight="1">
      <c r="A57" s="178"/>
      <c r="B57" s="10">
        <v>2032859.0</v>
      </c>
      <c r="C57" s="11">
        <v>46082.90114583333</v>
      </c>
      <c r="D57" s="179" t="s">
        <v>50</v>
      </c>
      <c r="E57" s="180" t="s">
        <v>6540</v>
      </c>
      <c r="F57" s="181"/>
      <c r="G57" s="179" t="s">
        <v>7966</v>
      </c>
      <c r="H57" s="190"/>
      <c r="I57" s="190"/>
      <c r="J57" s="187" t="s">
        <v>3746</v>
      </c>
      <c r="K57" s="187" t="s">
        <v>2949</v>
      </c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"),"Caixa Sangria")</f>
        <v>Caixa Sangria</v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IFERROR(__xludf.DUMMYFUNCTION("ifna(VALUE(REGEXEXTRACT(E57,""[0-9.]+[,]+[0-9]+"")))"),950.0)</f>
        <v>950</v>
      </c>
      <c r="O57" s="197"/>
      <c r="P57" s="198"/>
      <c r="Q57" s="198"/>
      <c r="R57" s="198"/>
      <c r="S57" s="91"/>
      <c r="T57" s="198"/>
      <c r="U57" s="198"/>
      <c r="V57" s="198"/>
      <c r="W57" s="199"/>
    </row>
    <row r="58" ht="14.25" customHeight="1">
      <c r="A58" s="178"/>
      <c r="B58" s="10">
        <v>2032871.0</v>
      </c>
      <c r="C58" s="11">
        <v>46082.90186342593</v>
      </c>
      <c r="D58" s="179" t="s">
        <v>50</v>
      </c>
      <c r="E58" s="180" t="s">
        <v>7240</v>
      </c>
      <c r="F58" s="188"/>
      <c r="G58" s="179" t="s">
        <v>7967</v>
      </c>
      <c r="H58" s="190"/>
      <c r="I58" s="190"/>
      <c r="J58" s="187" t="s">
        <v>3825</v>
      </c>
      <c r="K58" s="187"/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IFERROR(__xludf.DUMMYFUNCTION("ifna(VALUE(REGEXEXTRACT(E58,""[0-9.]+[,]+[0-9]+"")))"),98.0)</f>
        <v>98</v>
      </c>
      <c r="O58" s="197"/>
      <c r="P58" s="198"/>
      <c r="Q58" s="198"/>
      <c r="R58" s="198"/>
      <c r="S58" s="91"/>
      <c r="T58" s="198"/>
      <c r="U58" s="198"/>
      <c r="V58" s="198"/>
      <c r="W58" s="199"/>
    </row>
    <row r="59" ht="14.25" customHeight="1">
      <c r="A59" s="178"/>
      <c r="B59" s="10">
        <v>2034014.0</v>
      </c>
      <c r="C59" s="11">
        <v>46083.53568287037</v>
      </c>
      <c r="D59" s="10" t="s">
        <v>50</v>
      </c>
      <c r="E59" s="10" t="s">
        <v>7728</v>
      </c>
      <c r="F59" s="13"/>
      <c r="G59" s="10" t="s">
        <v>7666</v>
      </c>
      <c r="H59" s="190"/>
      <c r="I59" s="190"/>
      <c r="J59" s="187" t="s">
        <v>3044</v>
      </c>
      <c r="K59" s="187" t="s">
        <v>7052</v>
      </c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IFERROR(__xludf.DUMMYFUNCTION("ifna(VALUE(REGEXEXTRACT(E59,""[0-9.]+[,]+[0-9]+"")))"),27.0)</f>
        <v>27</v>
      </c>
      <c r="O59" s="200"/>
      <c r="P59" s="201"/>
      <c r="Q59" s="201"/>
      <c r="R59" s="201"/>
      <c r="S59" s="202"/>
      <c r="T59" s="201"/>
      <c r="U59" s="201"/>
      <c r="V59" s="201"/>
      <c r="W59" s="203"/>
    </row>
    <row r="60" ht="14.25" customHeight="1">
      <c r="A60" s="178"/>
      <c r="B60" s="10">
        <v>2034450.0</v>
      </c>
      <c r="C60" s="11">
        <v>46083.687106481484</v>
      </c>
      <c r="D60" s="179" t="s">
        <v>50</v>
      </c>
      <c r="E60" s="180" t="s">
        <v>7968</v>
      </c>
      <c r="F60" s="181"/>
      <c r="G60" s="179" t="s">
        <v>7969</v>
      </c>
      <c r="H60" s="190"/>
      <c r="I60" s="190"/>
      <c r="J60" s="187" t="s">
        <v>3903</v>
      </c>
      <c r="K60" s="187"/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"""")"),"Encontrada")</f>
        <v>Encontrada</v>
      </c>
      <c r="N60" s="185">
        <f>IFERROR(__xludf.DUMMYFUNCTION("ifna(VALUE(REGEXEXTRACT(E60,""[0-9.]+[,]+[0-9]+"")))"),13.07)</f>
        <v>13.07</v>
      </c>
      <c r="O60" s="24"/>
      <c r="P60" s="24"/>
      <c r="Q60" s="24"/>
      <c r="R60" s="24"/>
      <c r="S60" s="24"/>
      <c r="T60" s="24"/>
      <c r="U60" s="24"/>
      <c r="V60" s="24"/>
      <c r="W60" s="24"/>
    </row>
    <row r="61">
      <c r="A61" s="178"/>
      <c r="B61" s="10">
        <v>2034479.0</v>
      </c>
      <c r="C61" s="11">
        <v>46083.69461805555</v>
      </c>
      <c r="D61" s="179" t="s">
        <v>50</v>
      </c>
      <c r="E61" s="180" t="s">
        <v>7433</v>
      </c>
      <c r="F61" s="181"/>
      <c r="G61" s="179" t="s">
        <v>7970</v>
      </c>
      <c r="H61" s="190"/>
      <c r="I61" s="190"/>
      <c r="J61" s="187" t="s">
        <v>3466</v>
      </c>
      <c r="K61" s="187"/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IFERROR(__xludf.DUMMYFUNCTION("ifna(VALUE(REGEXEXTRACT(E61,""[0-9.]+[,]+[0-9]+"")))"),28.63)</f>
        <v>28.63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</row>
    <row r="62" ht="14.25" customHeight="1">
      <c r="A62" s="178"/>
      <c r="B62" s="10">
        <v>2034496.0</v>
      </c>
      <c r="C62" s="11">
        <v>46083.698125</v>
      </c>
      <c r="D62" s="179" t="s">
        <v>50</v>
      </c>
      <c r="E62" s="180" t="s">
        <v>583</v>
      </c>
      <c r="F62" s="181"/>
      <c r="G62" s="179" t="s">
        <v>7971</v>
      </c>
      <c r="H62" s="190"/>
      <c r="I62" s="190"/>
      <c r="J62" s="187" t="s">
        <v>3466</v>
      </c>
      <c r="K62" s="187"/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IFERROR(__xludf.DUMMYFUNCTION("ifna(VALUE(REGEXEXTRACT(E62,""[0-9.]+[,]+[0-9]+"")))"),14.44)</f>
        <v>14.44</v>
      </c>
      <c r="O62" s="206"/>
      <c r="T62" s="207"/>
      <c r="U62" s="24"/>
      <c r="V62" s="24"/>
      <c r="W62" s="24"/>
    </row>
    <row r="63" ht="14.25" customHeight="1">
      <c r="A63" s="178"/>
      <c r="B63" s="10">
        <v>2034500.0</v>
      </c>
      <c r="C63" s="11">
        <v>46083.699282407404</v>
      </c>
      <c r="D63" s="179" t="s">
        <v>227</v>
      </c>
      <c r="E63" s="180" t="s">
        <v>494</v>
      </c>
      <c r="F63" s="181"/>
      <c r="G63" s="179" t="s">
        <v>7972</v>
      </c>
      <c r="H63" s="190"/>
      <c r="I63" s="190"/>
      <c r="J63" s="187"/>
      <c r="K63" s="187"/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IFERROR(__xludf.DUMMYFUNCTION("ifna(VALUE(REGEXEXTRACT(E63,""[0-9.]+[,]+[0-9]+"")))"),0.01)</f>
        <v>0.01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</row>
    <row r="64" ht="14.25" customHeight="1">
      <c r="A64" s="178"/>
      <c r="B64" s="10">
        <v>2034503.0</v>
      </c>
      <c r="C64" s="11">
        <v>46083.699791666666</v>
      </c>
      <c r="D64" s="179" t="s">
        <v>50</v>
      </c>
      <c r="E64" s="180" t="s">
        <v>329</v>
      </c>
      <c r="F64" s="181"/>
      <c r="G64" s="179" t="s">
        <v>7973</v>
      </c>
      <c r="H64" s="190"/>
      <c r="I64" s="190"/>
      <c r="J64" s="187" t="s">
        <v>4159</v>
      </c>
      <c r="K64" s="187"/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IFERROR(__xludf.DUMMYFUNCTION("ifna(VALUE(REGEXEXTRACT(E64,""[0-9.]+[,]+[0-9]+"")))"),200.0)</f>
        <v>200</v>
      </c>
      <c r="O64" s="283" t="s">
        <v>2448</v>
      </c>
      <c r="P64" s="284">
        <v>46083.0</v>
      </c>
      <c r="Q64" s="285" t="s">
        <v>78</v>
      </c>
      <c r="R64" s="286">
        <v>500.0</v>
      </c>
      <c r="S64" s="287"/>
      <c r="T64" s="288" t="str">
        <f t="shared" ref="T64:T82" si="1">IFERROR(VLOOKUP(Q64, $A$4:$B$11, 2, FALSE), "")</f>
        <v>Sabrina</v>
      </c>
      <c r="U64" s="24"/>
      <c r="V64" s="24"/>
      <c r="W64" s="24"/>
    </row>
    <row r="65" ht="14.25" customHeight="1">
      <c r="A65" s="178"/>
      <c r="B65" s="10">
        <v>2034563.0</v>
      </c>
      <c r="C65" s="11">
        <v>46083.71375</v>
      </c>
      <c r="D65" s="179" t="s">
        <v>50</v>
      </c>
      <c r="E65" s="180" t="s">
        <v>157</v>
      </c>
      <c r="F65" s="181"/>
      <c r="G65" s="179" t="s">
        <v>7666</v>
      </c>
      <c r="H65" s="190"/>
      <c r="I65" s="190"/>
      <c r="J65" s="187" t="s">
        <v>3044</v>
      </c>
      <c r="K65" s="187" t="s">
        <v>7052</v>
      </c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IFERROR(__xludf.DUMMYFUNCTION("ifna(VALUE(REGEXEXTRACT(E65,""[0-9.]+[,]+[0-9]+"")))"),5.0)</f>
        <v>5</v>
      </c>
      <c r="O65" s="289" t="s">
        <v>2417</v>
      </c>
      <c r="P65" s="290">
        <v>46079.0</v>
      </c>
      <c r="Q65" s="291" t="s">
        <v>1183</v>
      </c>
      <c r="R65" s="292">
        <v>500.0</v>
      </c>
      <c r="S65" s="293"/>
      <c r="T65" s="294" t="str">
        <f t="shared" si="1"/>
        <v>Rayanna</v>
      </c>
      <c r="U65" s="24"/>
      <c r="V65" s="24"/>
      <c r="W65" s="24"/>
    </row>
    <row r="66" ht="14.25" customHeight="1">
      <c r="A66" s="178"/>
      <c r="B66" s="10">
        <v>2034808.0</v>
      </c>
      <c r="C66" s="11">
        <v>46083.77525462963</v>
      </c>
      <c r="D66" s="179" t="s">
        <v>50</v>
      </c>
      <c r="E66" s="180" t="s">
        <v>205</v>
      </c>
      <c r="F66" s="181"/>
      <c r="G66" s="179" t="s">
        <v>7974</v>
      </c>
      <c r="H66" s="190"/>
      <c r="I66" s="190"/>
      <c r="J66" s="187" t="s">
        <v>3044</v>
      </c>
      <c r="K66" s="187" t="s">
        <v>7058</v>
      </c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IFERROR(__xludf.DUMMYFUNCTION("ifna(VALUE(REGEXEXTRACT(E66,""[0-9.]+[,]+[0-9]+"")))"),10.0)</f>
        <v>10</v>
      </c>
      <c r="O66" s="283" t="s">
        <v>2422</v>
      </c>
      <c r="P66" s="284">
        <v>46079.0</v>
      </c>
      <c r="Q66" s="295" t="s">
        <v>62</v>
      </c>
      <c r="R66" s="286">
        <v>100.0</v>
      </c>
      <c r="S66" s="296"/>
      <c r="T66" s="288" t="str">
        <f t="shared" si="1"/>
        <v>Ana Carolina</v>
      </c>
      <c r="U66" s="24"/>
      <c r="V66" s="24"/>
      <c r="W66" s="24"/>
    </row>
    <row r="67" ht="14.25" customHeight="1">
      <c r="A67" s="178"/>
      <c r="B67" s="10">
        <v>2035474.0</v>
      </c>
      <c r="C67" s="11">
        <v>46083.92246527778</v>
      </c>
      <c r="D67" s="179" t="s">
        <v>50</v>
      </c>
      <c r="E67" s="180" t="s">
        <v>991</v>
      </c>
      <c r="F67" s="188"/>
      <c r="G67" s="179" t="s">
        <v>7975</v>
      </c>
      <c r="H67" s="190"/>
      <c r="I67" s="190"/>
      <c r="J67" s="187" t="s">
        <v>3746</v>
      </c>
      <c r="K67" s="187" t="s">
        <v>7058</v>
      </c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"),"Depositada")</f>
        <v>Depositada</v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IFERROR(__xludf.DUMMYFUNCTION("ifna(VALUE(REGEXEXTRACT(E67,""[0-9.]+[,]+[0-9]+"")))"),700.0)</f>
        <v>700</v>
      </c>
      <c r="O67" s="289" t="s">
        <v>2444</v>
      </c>
      <c r="P67" s="290">
        <v>46081.0</v>
      </c>
      <c r="Q67" s="291" t="s">
        <v>1900</v>
      </c>
      <c r="R67" s="292">
        <v>300.0</v>
      </c>
      <c r="S67" s="297"/>
      <c r="T67" s="294" t="str">
        <f t="shared" si="1"/>
        <v>Janaina</v>
      </c>
      <c r="U67" s="24"/>
      <c r="V67" s="24"/>
      <c r="W67" s="24"/>
    </row>
    <row r="68">
      <c r="A68" s="178"/>
      <c r="B68" s="10">
        <v>2036397.0</v>
      </c>
      <c r="C68" s="11">
        <v>46084.67680555556</v>
      </c>
      <c r="D68" s="179" t="s">
        <v>50</v>
      </c>
      <c r="E68" s="180" t="s">
        <v>7976</v>
      </c>
      <c r="F68" s="181"/>
      <c r="G68" s="179" t="s">
        <v>7977</v>
      </c>
      <c r="H68" s="190"/>
      <c r="I68" s="190"/>
      <c r="J68" s="187" t="s">
        <v>3903</v>
      </c>
      <c r="K68" s="187"/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"""")"),"Encontrada")</f>
        <v>Encontrada</v>
      </c>
      <c r="N68" s="185">
        <f>IFERROR(__xludf.DUMMYFUNCTION("ifna(VALUE(REGEXEXTRACT(E68,""[0-9.]+[,]+[0-9]+"")))"),6.63)</f>
        <v>6.63</v>
      </c>
      <c r="O68" s="283" t="s">
        <v>2569</v>
      </c>
      <c r="P68" s="284">
        <v>46083.0</v>
      </c>
      <c r="Q68" s="295" t="s">
        <v>62</v>
      </c>
      <c r="R68" s="286">
        <v>400.0</v>
      </c>
      <c r="S68" s="296"/>
      <c r="T68" s="288" t="str">
        <f t="shared" si="1"/>
        <v>Ana Carolina</v>
      </c>
      <c r="U68" s="24"/>
      <c r="V68" s="24"/>
      <c r="W68" s="24"/>
    </row>
    <row r="69" ht="14.25" customHeight="1">
      <c r="A69" s="178"/>
      <c r="B69" s="10">
        <v>2036488.0</v>
      </c>
      <c r="C69" s="11">
        <v>46084.69594907408</v>
      </c>
      <c r="D69" s="179" t="s">
        <v>50</v>
      </c>
      <c r="E69" s="180" t="s">
        <v>246</v>
      </c>
      <c r="F69" s="181"/>
      <c r="G69" s="179" t="s">
        <v>7978</v>
      </c>
      <c r="H69" s="190"/>
      <c r="I69" s="190"/>
      <c r="J69" s="187" t="s">
        <v>3044</v>
      </c>
      <c r="K69" s="187" t="s">
        <v>7058</v>
      </c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IFERROR(__xludf.DUMMYFUNCTION("ifna(VALUE(REGEXEXTRACT(E69,""[0-9.]+[,]+[0-9]+"")))"),4.0)</f>
        <v>4</v>
      </c>
      <c r="O69" s="289"/>
      <c r="P69" s="290"/>
      <c r="Q69" s="291"/>
      <c r="R69" s="292"/>
      <c r="S69" s="297"/>
      <c r="T69" s="294" t="str">
        <f t="shared" si="1"/>
        <v/>
      </c>
      <c r="U69" s="24"/>
      <c r="V69" s="24"/>
      <c r="W69" s="24"/>
    </row>
    <row r="70">
      <c r="A70" s="178"/>
      <c r="B70" s="10">
        <v>2036555.0</v>
      </c>
      <c r="C70" s="11">
        <v>46084.71015046296</v>
      </c>
      <c r="D70" s="179" t="s">
        <v>50</v>
      </c>
      <c r="E70" s="180" t="s">
        <v>157</v>
      </c>
      <c r="F70" s="181"/>
      <c r="G70" s="179" t="s">
        <v>7666</v>
      </c>
      <c r="H70" s="190"/>
      <c r="I70" s="190"/>
      <c r="J70" s="187" t="s">
        <v>3044</v>
      </c>
      <c r="K70" s="187" t="s">
        <v>7052</v>
      </c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IFERROR(__xludf.DUMMYFUNCTION("ifna(VALUE(REGEXEXTRACT(E70,""[0-9.]+[,]+[0-9]+"")))"),5.0)</f>
        <v>5</v>
      </c>
      <c r="O70" s="283"/>
      <c r="P70" s="284"/>
      <c r="Q70" s="295"/>
      <c r="R70" s="286"/>
      <c r="S70" s="296" t="str">
        <f t="shared" ref="S70:S82" si="2">IFERROR(VLOOKUP(Q70, $A$4:$B$18, 2, FALSE), "")</f>
        <v/>
      </c>
      <c r="T70" s="288" t="str">
        <f t="shared" si="1"/>
        <v/>
      </c>
      <c r="U70" s="24"/>
      <c r="V70" s="24"/>
      <c r="W70" s="24"/>
    </row>
    <row r="71" ht="14.25" customHeight="1">
      <c r="A71" s="178"/>
      <c r="B71" s="10">
        <v>2037090.0</v>
      </c>
      <c r="C71" s="11">
        <v>46084.85087962963</v>
      </c>
      <c r="D71" s="179" t="s">
        <v>50</v>
      </c>
      <c r="E71" s="180" t="s">
        <v>7311</v>
      </c>
      <c r="F71" s="181"/>
      <c r="G71" s="179" t="s">
        <v>7979</v>
      </c>
      <c r="H71" s="190"/>
      <c r="I71" s="190"/>
      <c r="J71" s="187" t="s">
        <v>3903</v>
      </c>
      <c r="K71" s="187"/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"""")"),"Encontrada")</f>
        <v>Encontrada</v>
      </c>
      <c r="N71" s="185">
        <f>IFERROR(__xludf.DUMMYFUNCTION("ifna(VALUE(REGEXEXTRACT(E71,""[0-9.]+[,]+[0-9]+"")))"),58.0)</f>
        <v>58</v>
      </c>
      <c r="O71" s="289"/>
      <c r="P71" s="290"/>
      <c r="Q71" s="291"/>
      <c r="R71" s="292"/>
      <c r="S71" s="297" t="str">
        <f t="shared" si="2"/>
        <v/>
      </c>
      <c r="T71" s="294" t="str">
        <f t="shared" si="1"/>
        <v/>
      </c>
      <c r="U71" s="24"/>
      <c r="V71" s="24"/>
      <c r="W71" s="24"/>
    </row>
    <row r="72" ht="14.25" customHeight="1">
      <c r="A72" s="178"/>
      <c r="B72" s="10">
        <v>2037094.0</v>
      </c>
      <c r="C72" s="11">
        <v>46084.85170138889</v>
      </c>
      <c r="D72" s="179" t="s">
        <v>50</v>
      </c>
      <c r="E72" s="180" t="s">
        <v>7704</v>
      </c>
      <c r="F72" s="181"/>
      <c r="G72" s="179" t="s">
        <v>7980</v>
      </c>
      <c r="H72" s="190"/>
      <c r="I72" s="190"/>
      <c r="J72" s="187" t="s">
        <v>3903</v>
      </c>
      <c r="K72" s="187"/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"""")"),"Encontrada")</f>
        <v>Encontrada</v>
      </c>
      <c r="N72" s="185">
        <f>IFERROR(__xludf.DUMMYFUNCTION("ifna(VALUE(REGEXEXTRACT(E72,""[0-9.]+[,]+[0-9]+"")))"),55.0)</f>
        <v>55</v>
      </c>
      <c r="O72" s="283"/>
      <c r="P72" s="284"/>
      <c r="Q72" s="295"/>
      <c r="R72" s="286"/>
      <c r="S72" s="296" t="str">
        <f t="shared" si="2"/>
        <v/>
      </c>
      <c r="T72" s="288" t="str">
        <f t="shared" si="1"/>
        <v/>
      </c>
      <c r="U72" s="24"/>
      <c r="V72" s="24"/>
      <c r="W72" s="24"/>
    </row>
    <row r="73">
      <c r="A73" s="178"/>
      <c r="B73" s="10">
        <v>2037523.0</v>
      </c>
      <c r="C73" s="11">
        <v>46084.925578703704</v>
      </c>
      <c r="D73" s="179" t="s">
        <v>50</v>
      </c>
      <c r="E73" s="180" t="s">
        <v>1279</v>
      </c>
      <c r="F73" s="181"/>
      <c r="G73" s="179" t="s">
        <v>7981</v>
      </c>
      <c r="H73" s="190"/>
      <c r="I73" s="190"/>
      <c r="J73" s="187" t="s">
        <v>3746</v>
      </c>
      <c r="K73" s="187" t="s">
        <v>7058</v>
      </c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"),"Depositada")</f>
        <v>Depositada</v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IFERROR(__xludf.DUMMYFUNCTION("ifna(VALUE(REGEXEXTRACT(E73,""[0-9.]+[,]+[0-9]+"")))"),600.0)</f>
        <v>600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</row>
    <row r="74" ht="14.25" customHeight="1">
      <c r="A74" s="178"/>
      <c r="B74" s="10">
        <v>2038106.0</v>
      </c>
      <c r="C74" s="11">
        <v>46085.58155092593</v>
      </c>
      <c r="D74" s="179" t="s">
        <v>227</v>
      </c>
      <c r="E74" s="180" t="s">
        <v>329</v>
      </c>
      <c r="F74" s="181"/>
      <c r="G74" s="179" t="s">
        <v>7982</v>
      </c>
      <c r="H74" s="190"/>
      <c r="I74" s="190"/>
      <c r="J74" s="187" t="s">
        <v>4159</v>
      </c>
      <c r="K74" s="187"/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IFERROR(__xludf.DUMMYFUNCTION("ifna(VALUE(REGEXEXTRACT(E74,""[0-9.]+[,]+[0-9]+"")))"),200.0)</f>
        <v>200</v>
      </c>
      <c r="O74" s="299"/>
      <c r="P74" s="300"/>
      <c r="Q74" s="301"/>
      <c r="R74" s="302" t="str">
        <f t="shared" ref="R74:R82" si="3">IFERROR(VLOOKUP(Q74, $B$4:$C$18, 2, FALSE), "")</f>
        <v/>
      </c>
      <c r="S74" s="296" t="str">
        <f t="shared" si="2"/>
        <v/>
      </c>
      <c r="T74" s="288" t="str">
        <f t="shared" si="1"/>
        <v/>
      </c>
      <c r="U74" s="24"/>
      <c r="V74" s="24"/>
      <c r="W74" s="24"/>
    </row>
    <row r="75" ht="14.25" customHeight="1">
      <c r="A75" s="178"/>
      <c r="B75" s="10">
        <v>2038108.0</v>
      </c>
      <c r="C75" s="11">
        <v>46085.581828703704</v>
      </c>
      <c r="D75" s="179" t="s">
        <v>50</v>
      </c>
      <c r="E75" s="180" t="s">
        <v>329</v>
      </c>
      <c r="F75" s="181"/>
      <c r="G75" s="179" t="s">
        <v>7983</v>
      </c>
      <c r="H75" s="190"/>
      <c r="I75" s="190"/>
      <c r="J75" s="187" t="s">
        <v>4159</v>
      </c>
      <c r="K75" s="187"/>
      <c r="L75" s="343" t="s">
        <v>7984</v>
      </c>
      <c r="M75" s="344" t="s">
        <v>7462</v>
      </c>
      <c r="N75" s="185">
        <f>IFERROR(__xludf.DUMMYFUNCTION("ifna(VALUE(REGEXEXTRACT(E75,""[0-9.]+[,]+[0-9]+"")))"),200.0)</f>
        <v>200</v>
      </c>
      <c r="O75" s="303"/>
      <c r="P75" s="121"/>
      <c r="Q75" s="121"/>
      <c r="R75" s="304" t="str">
        <f t="shared" si="3"/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</row>
    <row r="76" ht="14.25" customHeight="1">
      <c r="A76" s="178"/>
      <c r="B76" s="10">
        <v>2038114.0</v>
      </c>
      <c r="C76" s="11">
        <v>46085.58311342593</v>
      </c>
      <c r="D76" s="179" t="s">
        <v>50</v>
      </c>
      <c r="E76" s="180" t="s">
        <v>6519</v>
      </c>
      <c r="F76" s="181"/>
      <c r="G76" s="179" t="s">
        <v>7985</v>
      </c>
      <c r="H76" s="190"/>
      <c r="I76" s="190"/>
      <c r="J76" s="187" t="s">
        <v>3467</v>
      </c>
      <c r="K76" s="187"/>
      <c r="L76" s="252" t="str">
        <f>IFERROR(__xludf.DUMMYFUNCTION("IF(
  AND(D76=""Saída"",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IFERROR(__xludf.DUMMYFUNCTION("IF(J75=""Compra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IFERROR(__xludf.DUMMYFUNCTION("ifna(VALUE(REGEXEXTRACT(E76,""[0-9.]+[,]+[0-9]+"")))"),29.39)</f>
        <v>29.39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</row>
    <row r="77" ht="14.25" customHeight="1">
      <c r="A77" s="178"/>
      <c r="B77" s="10">
        <v>2038877.0</v>
      </c>
      <c r="C77" s="11">
        <v>46085.81303240741</v>
      </c>
      <c r="D77" s="179" t="s">
        <v>50</v>
      </c>
      <c r="E77" s="180" t="s">
        <v>7986</v>
      </c>
      <c r="F77" s="188"/>
      <c r="G77" s="179" t="s">
        <v>94</v>
      </c>
      <c r="H77" s="190"/>
      <c r="I77" s="190"/>
      <c r="J77" s="187" t="s">
        <v>3044</v>
      </c>
      <c r="K77" s="187" t="s">
        <v>7058</v>
      </c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IFERROR(__xludf.DUMMYFUNCTION("ifna(VALUE(REGEXEXTRACT(E77,""[0-9.]+[,]+[0-9]+"")))"),28.15)</f>
        <v>28.15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</row>
    <row r="78">
      <c r="A78" s="178"/>
      <c r="B78" s="10">
        <v>2039913.0</v>
      </c>
      <c r="C78" s="11">
        <v>46086.58372685185</v>
      </c>
      <c r="D78" s="179" t="s">
        <v>50</v>
      </c>
      <c r="E78" s="180" t="s">
        <v>7987</v>
      </c>
      <c r="F78" s="181"/>
      <c r="G78" s="179" t="s">
        <v>7988</v>
      </c>
      <c r="H78" s="190"/>
      <c r="I78" s="190"/>
      <c r="J78" s="187" t="s">
        <v>3467</v>
      </c>
      <c r="K78" s="187"/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IFERROR(__xludf.DUMMYFUNCTION("ifna(VALUE(REGEXEXTRACT(E78,""[0-9.]+[,]+[0-9]+"")))"),25.18)</f>
        <v>25.18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</row>
    <row r="79" ht="14.25" customHeight="1">
      <c r="A79" s="178"/>
      <c r="B79" s="10">
        <v>2039975.0</v>
      </c>
      <c r="C79" s="11">
        <v>46086.60563657407</v>
      </c>
      <c r="D79" s="179" t="s">
        <v>50</v>
      </c>
      <c r="E79" s="180" t="s">
        <v>7989</v>
      </c>
      <c r="F79" s="181"/>
      <c r="G79" s="179" t="s">
        <v>7990</v>
      </c>
      <c r="H79" s="190"/>
      <c r="I79" s="190"/>
      <c r="J79" s="187" t="s">
        <v>3903</v>
      </c>
      <c r="K79" s="187"/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85">
        <f>IFERROR(__xludf.DUMMYFUNCTION("ifna(VALUE(REGEXEXTRACT(E79,""[0-9.]+[,]+[0-9]+"")))"),199.68)</f>
        <v>199.68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</row>
    <row r="80" ht="14.25" customHeight="1">
      <c r="A80" s="178"/>
      <c r="B80" s="10">
        <v>2040000.0</v>
      </c>
      <c r="C80" s="11">
        <v>46086.61019675926</v>
      </c>
      <c r="D80" s="179" t="s">
        <v>50</v>
      </c>
      <c r="E80" s="180" t="s">
        <v>7991</v>
      </c>
      <c r="F80" s="181"/>
      <c r="G80" s="179" t="s">
        <v>7992</v>
      </c>
      <c r="H80" s="190"/>
      <c r="I80" s="190"/>
      <c r="J80" s="187" t="s">
        <v>3903</v>
      </c>
      <c r="K80" s="187"/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"""")"),"Encontrada")</f>
        <v>Encontrada</v>
      </c>
      <c r="N80" s="185">
        <f>IFERROR(__xludf.DUMMYFUNCTION("ifna(VALUE(REGEXEXTRACT(E80,""[0-9.]+[,]+[0-9]+"")))"),37.4)</f>
        <v>37.4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</row>
    <row r="81" ht="14.25" customHeight="1">
      <c r="A81" s="178"/>
      <c r="B81" s="10">
        <v>2040323.0</v>
      </c>
      <c r="C81" s="11">
        <v>46086.70422453704</v>
      </c>
      <c r="D81" s="179" t="s">
        <v>50</v>
      </c>
      <c r="E81" s="180" t="s">
        <v>157</v>
      </c>
      <c r="F81" s="181"/>
      <c r="G81" s="179" t="s">
        <v>7666</v>
      </c>
      <c r="H81" s="190"/>
      <c r="I81" s="190"/>
      <c r="J81" s="187" t="s">
        <v>3044</v>
      </c>
      <c r="K81" s="187" t="s">
        <v>7052</v>
      </c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IFERROR(__xludf.DUMMYFUNCTION("ifna(VALUE(REGEXEXTRACT(E81,""[0-9.]+[,]+[0-9]+"")))"),5.0)</f>
        <v>5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</row>
    <row r="82" ht="14.25" customHeight="1">
      <c r="A82" s="178"/>
      <c r="B82" s="10">
        <v>2041199.0</v>
      </c>
      <c r="C82" s="11">
        <v>46086.915185185186</v>
      </c>
      <c r="D82" s="179" t="s">
        <v>50</v>
      </c>
      <c r="E82" s="180" t="s">
        <v>991</v>
      </c>
      <c r="F82" s="181"/>
      <c r="G82" s="179" t="s">
        <v>7993</v>
      </c>
      <c r="H82" s="190"/>
      <c r="I82" s="190"/>
      <c r="J82" s="187" t="s">
        <v>3746</v>
      </c>
      <c r="K82" s="187" t="s">
        <v>7058</v>
      </c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"),"Depositada")</f>
        <v>Depositada</v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IFERROR(__xludf.DUMMYFUNCTION("ifna(VALUE(REGEXEXTRACT(E82,""[0-9.]+[,]+[0-9]+"")))"),700.0)</f>
        <v>700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</row>
    <row r="83" ht="14.25" customHeight="1">
      <c r="A83" s="178"/>
      <c r="B83" s="10">
        <v>2041829.0</v>
      </c>
      <c r="C83" s="11">
        <v>46087.53943287037</v>
      </c>
      <c r="D83" s="179" t="s">
        <v>50</v>
      </c>
      <c r="E83" s="180" t="s">
        <v>7994</v>
      </c>
      <c r="F83" s="181"/>
      <c r="G83" s="179" t="s">
        <v>7995</v>
      </c>
      <c r="H83" s="190"/>
      <c r="I83" s="190"/>
      <c r="J83" s="187" t="s">
        <v>3903</v>
      </c>
      <c r="K83" s="187"/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185">
        <f>IFERROR(__xludf.DUMMYFUNCTION("ifna(VALUE(REGEXEXTRACT(E83,""[0-9.]+[,]+[0-9]+"")))"),29.95)</f>
        <v>29.95</v>
      </c>
      <c r="O83" s="305"/>
      <c r="P83" s="305"/>
      <c r="Q83" s="305"/>
      <c r="R83" s="306"/>
      <c r="S83" s="305"/>
      <c r="T83" s="91"/>
      <c r="U83" s="24"/>
      <c r="V83" s="24"/>
      <c r="W83" s="24"/>
    </row>
    <row r="84" ht="14.25" customHeight="1">
      <c r="A84" s="178"/>
      <c r="B84" s="10">
        <v>2041830.0</v>
      </c>
      <c r="C84" s="11">
        <v>46087.53980324074</v>
      </c>
      <c r="D84" s="179" t="s">
        <v>50</v>
      </c>
      <c r="E84" s="180" t="s">
        <v>7706</v>
      </c>
      <c r="F84" s="181"/>
      <c r="G84" s="179" t="s">
        <v>7996</v>
      </c>
      <c r="H84" s="190"/>
      <c r="I84" s="190"/>
      <c r="J84" s="187" t="s">
        <v>3903</v>
      </c>
      <c r="K84" s="187"/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85">
        <f>IFERROR(__xludf.DUMMYFUNCTION("ifna(VALUE(REGEXEXTRACT(E84,""[0-9.]+[,]+[0-9]+"")))"),16.0)</f>
        <v>16</v>
      </c>
      <c r="O84" s="307" t="s">
        <v>7170</v>
      </c>
      <c r="W84" s="24"/>
    </row>
    <row r="85" ht="14.25" customHeight="1">
      <c r="A85" s="178"/>
      <c r="B85" s="10">
        <v>2041835.0</v>
      </c>
      <c r="C85" s="11">
        <v>46087.542719907404</v>
      </c>
      <c r="D85" s="179" t="s">
        <v>50</v>
      </c>
      <c r="E85" s="180" t="s">
        <v>7997</v>
      </c>
      <c r="F85" s="181"/>
      <c r="G85" s="179" t="s">
        <v>7998</v>
      </c>
      <c r="H85" s="190"/>
      <c r="I85" s="190"/>
      <c r="J85" s="187" t="s">
        <v>3044</v>
      </c>
      <c r="K85" s="187" t="s">
        <v>7058</v>
      </c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IFERROR(__xludf.DUMMYFUNCTION("ifna(VALUE(REGEXEXTRACT(E85,""[0-9.]+[,]+[0-9]+"")))"),32.45)</f>
        <v>32.45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</row>
    <row r="86" ht="14.25" customHeight="1">
      <c r="A86" s="178"/>
      <c r="B86" s="10">
        <v>2041854.0</v>
      </c>
      <c r="C86" s="11">
        <v>46087.551782407405</v>
      </c>
      <c r="D86" s="179" t="s">
        <v>50</v>
      </c>
      <c r="E86" s="180" t="s">
        <v>246</v>
      </c>
      <c r="F86" s="181"/>
      <c r="G86" s="179" t="s">
        <v>7999</v>
      </c>
      <c r="H86" s="190"/>
      <c r="I86" s="190"/>
      <c r="J86" s="187" t="s">
        <v>3044</v>
      </c>
      <c r="K86" s="187" t="s">
        <v>6664</v>
      </c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IFERROR(__xludf.DUMMYFUNCTION("ifna(VALUE(REGEXEXTRACT(E86,""[0-9.]+[,]+[0-9]+"")))"),4.0)</f>
        <v>4</v>
      </c>
      <c r="O86" s="356">
        <f>IFERROR(__xludf.DUMMYFUNCTION("""COMPUTED_VALUE"""),2047869.0)</f>
        <v>2047869</v>
      </c>
      <c r="P86" s="312">
        <f>IFERROR(__xludf.DUMMYFUNCTION("""COMPUTED_VALUE"""),46089.81800925926)</f>
        <v>46089.81801</v>
      </c>
      <c r="Q86" s="311" t="str">
        <f>IFERROR(__xludf.DUMMYFUNCTION("""COMPUTED_VALUE"""),"Saída")</f>
        <v>Saída</v>
      </c>
      <c r="R86" s="313" t="str">
        <f>IFERROR(__xludf.DUMMYFUNCTION("""COMPUTED_VALUE"""),"R$ 695,63")</f>
        <v>R$ 695,63</v>
      </c>
      <c r="S86" s="311" t="str">
        <f>IFERROR(__xludf.DUMMYFUNCTION("""COMPUTED_VALUE"""),"Saida Outros: decorativos de pascoa para loja. 06/03/2026.")</f>
        <v>Saida Outros: decorativos de pascoa para loja. 06/03/2026.</v>
      </c>
      <c r="V86" s="314" t="str">
        <f>IFERROR(__xludf.DUMMYFUNCTION("""COMPUTED_VALUE"""),"Não Encontrada")</f>
        <v>Não Encontrada</v>
      </c>
      <c r="W86" s="24"/>
    </row>
    <row r="87" ht="14.25" customHeight="1">
      <c r="A87" s="178"/>
      <c r="B87" s="10">
        <v>2041937.0</v>
      </c>
      <c r="C87" s="11">
        <v>46087.583449074074</v>
      </c>
      <c r="D87" s="179" t="s">
        <v>227</v>
      </c>
      <c r="E87" s="180" t="s">
        <v>991</v>
      </c>
      <c r="F87" s="181"/>
      <c r="G87" s="179" t="s">
        <v>8000</v>
      </c>
      <c r="H87" s="190"/>
      <c r="I87" s="190"/>
      <c r="J87" s="187" t="s">
        <v>4159</v>
      </c>
      <c r="K87" s="187"/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IFERROR(__xludf.DUMMYFUNCTION("ifna(VALUE(REGEXEXTRACT(E87,""[0-9.]+[,]+[0-9]+"")))"),700.0)</f>
        <v>700</v>
      </c>
      <c r="O87" s="315">
        <f>IFERROR(__xludf.DUMMYFUNCTION("""COMPUTED_VALUE"""),2050428.0)</f>
        <v>2050428</v>
      </c>
      <c r="P87" s="316">
        <f>IFERROR(__xludf.DUMMYFUNCTION("""COMPUTED_VALUE"""),46090.855208333334)</f>
        <v>46090.85521</v>
      </c>
      <c r="Q87" s="315" t="str">
        <f>IFERROR(__xludf.DUMMYFUNCTION("""COMPUTED_VALUE"""),"Saída")</f>
        <v>Saída</v>
      </c>
      <c r="R87" s="317" t="str">
        <f>IFERROR(__xludf.DUMMYFUNCTION("""COMPUTED_VALUE"""),"R$ 15,00")</f>
        <v>R$ 15,00</v>
      </c>
      <c r="S87" s="315" t="str">
        <f>IFERROR(__xludf.DUMMYFUNCTION("""COMPUTED_VALUE"""),"Saida Outros: silicone para colar válvula 09/03 (não tem nota fiscal)")</f>
        <v>Saida Outros: silicone para colar válvula 09/03 (não tem nota fiscal)</v>
      </c>
      <c r="V87" s="318" t="str">
        <f>IFERROR(__xludf.DUMMYFUNCTION("""COMPUTED_VALUE"""),"Não Encontrada")</f>
        <v>Não Encontrada</v>
      </c>
      <c r="W87" s="24"/>
    </row>
    <row r="88" ht="14.25" customHeight="1">
      <c r="A88" s="178"/>
      <c r="B88" s="10">
        <v>2041939.0</v>
      </c>
      <c r="C88" s="11">
        <v>46087.58388888889</v>
      </c>
      <c r="D88" s="179" t="s">
        <v>50</v>
      </c>
      <c r="E88" s="180" t="s">
        <v>8001</v>
      </c>
      <c r="F88" s="181"/>
      <c r="G88" s="179" t="s">
        <v>8002</v>
      </c>
      <c r="H88" s="190"/>
      <c r="I88" s="190"/>
      <c r="J88" s="187" t="s">
        <v>3903</v>
      </c>
      <c r="K88" s="187"/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85">
        <f>IFERROR(__xludf.DUMMYFUNCTION("ifna(VALUE(REGEXEXTRACT(E88,""[0-9.]+[,]+[0-9]+"")))"),262.39)</f>
        <v>262.39</v>
      </c>
      <c r="O88" s="319">
        <f>IFERROR(__xludf.DUMMYFUNCTION("""COMPUTED_VALUE"""),2083422.0)</f>
        <v>2083422</v>
      </c>
      <c r="P88" s="320">
        <f>IFERROR(__xludf.DUMMYFUNCTION("""COMPUTED_VALUE"""),46106.582928240736)</f>
        <v>46106.58293</v>
      </c>
      <c r="Q88" s="319" t="str">
        <f>IFERROR(__xludf.DUMMYFUNCTION("""COMPUTED_VALUE"""),"Saída")</f>
        <v>Saída</v>
      </c>
      <c r="R88" s="321" t="str">
        <f>IFERROR(__xludf.DUMMYFUNCTION("""COMPUTED_VALUE"""),"R$ 315,00")</f>
        <v>R$ 315,00</v>
      </c>
      <c r="S88" s="319" t="str">
        <f>IFERROR(__xludf.DUMMYFUNCTION("""COMPUTED_VALUE"""),"Saida Outros: pagamento de produtos para loja. 25/03/2026.")</f>
        <v>Saida Outros: pagamento de produtos para loja. 25/03/2026.</v>
      </c>
      <c r="V88" s="322" t="str">
        <f>IFERROR(__xludf.DUMMYFUNCTION("""COMPUTED_VALUE"""),"Não Encontrada")</f>
        <v>Não Encontrada</v>
      </c>
      <c r="W88" s="24"/>
    </row>
    <row r="89" ht="14.25" customHeight="1">
      <c r="A89" s="178"/>
      <c r="B89" s="10">
        <v>2041940.0</v>
      </c>
      <c r="C89" s="11">
        <v>46087.58422453704</v>
      </c>
      <c r="D89" s="179" t="s">
        <v>50</v>
      </c>
      <c r="E89" s="180" t="s">
        <v>8003</v>
      </c>
      <c r="F89" s="181"/>
      <c r="G89" s="179" t="s">
        <v>8002</v>
      </c>
      <c r="H89" s="323"/>
      <c r="I89" s="190"/>
      <c r="J89" s="187" t="s">
        <v>3903</v>
      </c>
      <c r="K89" s="187"/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85">
        <f>IFERROR(__xludf.DUMMYFUNCTION("ifna(VALUE(REGEXEXTRACT(E89,""[0-9.]+[,]+[0-9]+"")))"),259.07)</f>
        <v>259.07</v>
      </c>
      <c r="O89" s="315"/>
      <c r="P89" s="316"/>
      <c r="Q89" s="315"/>
      <c r="R89" s="317"/>
      <c r="S89" s="315"/>
      <c r="V89" s="318"/>
      <c r="W89" s="24"/>
    </row>
    <row r="90" ht="14.25" customHeight="1">
      <c r="A90" s="178"/>
      <c r="B90" s="10">
        <v>2041943.0</v>
      </c>
      <c r="C90" s="11">
        <v>46087.584652777776</v>
      </c>
      <c r="D90" s="179" t="s">
        <v>50</v>
      </c>
      <c r="E90" s="180" t="s">
        <v>8004</v>
      </c>
      <c r="F90" s="181"/>
      <c r="G90" s="179" t="s">
        <v>8002</v>
      </c>
      <c r="H90" s="190"/>
      <c r="I90" s="190"/>
      <c r="J90" s="187" t="s">
        <v>3903</v>
      </c>
      <c r="K90" s="187"/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185">
        <f>IFERROR(__xludf.DUMMYFUNCTION("ifna(VALUE(REGEXEXTRACT(E90,""[0-9.]+[,]+[0-9]+"")))"),229.61)</f>
        <v>229.61</v>
      </c>
      <c r="O90" s="319"/>
      <c r="P90" s="320"/>
      <c r="Q90" s="319"/>
      <c r="R90" s="321"/>
      <c r="S90" s="319"/>
      <c r="V90" s="322"/>
      <c r="W90" s="24"/>
    </row>
    <row r="91" ht="14.25" customHeight="1">
      <c r="A91" s="178"/>
      <c r="B91" s="10">
        <v>2042735.0</v>
      </c>
      <c r="C91" s="11">
        <v>46087.76672453704</v>
      </c>
      <c r="D91" s="179" t="s">
        <v>50</v>
      </c>
      <c r="E91" s="180" t="s">
        <v>146</v>
      </c>
      <c r="F91" s="181"/>
      <c r="G91" s="179" t="s">
        <v>8005</v>
      </c>
      <c r="H91" s="190"/>
      <c r="I91" s="190"/>
      <c r="J91" s="187" t="s">
        <v>3044</v>
      </c>
      <c r="K91" s="187" t="s">
        <v>7058</v>
      </c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IFERROR(__xludf.DUMMYFUNCTION("ifna(VALUE(REGEXEXTRACT(E91,""[0-9.]+[,]+[0-9]+"")))"),3.0)</f>
        <v>3</v>
      </c>
      <c r="O91" s="315"/>
      <c r="P91" s="316"/>
      <c r="Q91" s="315"/>
      <c r="R91" s="317"/>
      <c r="S91" s="315"/>
      <c r="V91" s="318"/>
      <c r="W91" s="24"/>
    </row>
    <row r="92" ht="14.25" customHeight="1">
      <c r="A92" s="178"/>
      <c r="B92" s="10">
        <v>2042962.0</v>
      </c>
      <c r="C92" s="11">
        <v>46087.83079861111</v>
      </c>
      <c r="D92" s="179" t="s">
        <v>50</v>
      </c>
      <c r="E92" s="180" t="s">
        <v>8006</v>
      </c>
      <c r="F92" s="181"/>
      <c r="G92" s="179" t="s">
        <v>8007</v>
      </c>
      <c r="H92" s="190"/>
      <c r="I92" s="190"/>
      <c r="J92" s="187" t="s">
        <v>3903</v>
      </c>
      <c r="K92" s="187"/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85">
        <f>IFERROR(__xludf.DUMMYFUNCTION("ifna(VALUE(REGEXEXTRACT(E92,""[0-9.]+[,]+[0-9]+"")))"),193.0)</f>
        <v>193</v>
      </c>
      <c r="O92" s="319"/>
      <c r="P92" s="320"/>
      <c r="Q92" s="319"/>
      <c r="R92" s="321"/>
      <c r="S92" s="319"/>
      <c r="V92" s="281"/>
      <c r="W92" s="185"/>
    </row>
    <row r="93" ht="14.25" customHeight="1">
      <c r="A93" s="178"/>
      <c r="B93" s="10">
        <v>2042967.0</v>
      </c>
      <c r="C93" s="11">
        <v>46087.83136574074</v>
      </c>
      <c r="D93" s="179" t="s">
        <v>50</v>
      </c>
      <c r="E93" s="180" t="s">
        <v>8008</v>
      </c>
      <c r="F93" s="181"/>
      <c r="G93" s="179" t="s">
        <v>8009</v>
      </c>
      <c r="H93" s="190"/>
      <c r="I93" s="190"/>
      <c r="J93" s="187" t="s">
        <v>3903</v>
      </c>
      <c r="K93" s="187"/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"""")"),"Encontrada")</f>
        <v>Encontrada</v>
      </c>
      <c r="N93" s="185">
        <f>IFERROR(__xludf.DUMMYFUNCTION("ifna(VALUE(REGEXEXTRACT(E93,""[0-9.]+[,]+[0-9]+"")))"),36.0)</f>
        <v>36</v>
      </c>
      <c r="O93" s="315"/>
      <c r="P93" s="316"/>
      <c r="Q93" s="315"/>
      <c r="R93" s="317"/>
      <c r="S93" s="315"/>
      <c r="V93" s="279"/>
      <c r="W93" s="185"/>
    </row>
    <row r="94" ht="14.25" customHeight="1">
      <c r="A94" s="178"/>
      <c r="B94" s="10">
        <v>2044223.0</v>
      </c>
      <c r="C94" s="11">
        <v>46088.60015046296</v>
      </c>
      <c r="D94" s="179" t="s">
        <v>50</v>
      </c>
      <c r="E94" s="180" t="s">
        <v>157</v>
      </c>
      <c r="F94" s="181"/>
      <c r="G94" s="179" t="s">
        <v>94</v>
      </c>
      <c r="H94" s="190"/>
      <c r="I94" s="190"/>
      <c r="J94" s="187" t="s">
        <v>3044</v>
      </c>
      <c r="K94" s="187" t="s">
        <v>7058</v>
      </c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IFERROR(__xludf.DUMMYFUNCTION("ifna(VALUE(REGEXEXTRACT(E94,""[0-9.]+[,]+[0-9]+"")))"),5.0)</f>
        <v>5</v>
      </c>
      <c r="O94" s="319"/>
      <c r="P94" s="320"/>
      <c r="Q94" s="319"/>
      <c r="R94" s="321"/>
      <c r="S94" s="319"/>
      <c r="V94" s="281"/>
      <c r="W94" s="185"/>
    </row>
    <row r="95" ht="14.25" customHeight="1">
      <c r="A95" s="178"/>
      <c r="B95" s="10">
        <v>2044402.0</v>
      </c>
      <c r="C95" s="11">
        <v>46088.65256944444</v>
      </c>
      <c r="D95" s="179" t="s">
        <v>50</v>
      </c>
      <c r="E95" s="180" t="s">
        <v>6719</v>
      </c>
      <c r="F95" s="181"/>
      <c r="G95" s="179" t="s">
        <v>8010</v>
      </c>
      <c r="H95" s="190"/>
      <c r="I95" s="190"/>
      <c r="J95" s="187" t="s">
        <v>3903</v>
      </c>
      <c r="K95" s="187"/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"""")"),"Encontrada")</f>
        <v>Encontrada</v>
      </c>
      <c r="N95" s="185">
        <f>IFERROR(__xludf.DUMMYFUNCTION("ifna(VALUE(REGEXEXTRACT(E95,""[0-9.]+[,]+[0-9]+"")))"),330.0)</f>
        <v>330</v>
      </c>
      <c r="O95" s="315"/>
      <c r="P95" s="316"/>
      <c r="Q95" s="315"/>
      <c r="R95" s="317"/>
      <c r="S95" s="315"/>
      <c r="V95" s="279"/>
      <c r="W95" s="185"/>
    </row>
    <row r="96" ht="14.25" customHeight="1">
      <c r="A96" s="178"/>
      <c r="B96" s="10">
        <v>2044936.0</v>
      </c>
      <c r="C96" s="11">
        <v>46088.76993055556</v>
      </c>
      <c r="D96" s="179" t="s">
        <v>50</v>
      </c>
      <c r="E96" s="180" t="s">
        <v>8011</v>
      </c>
      <c r="F96" s="181"/>
      <c r="G96" s="179" t="s">
        <v>7666</v>
      </c>
      <c r="H96" s="190"/>
      <c r="I96" s="190"/>
      <c r="J96" s="187" t="s">
        <v>3044</v>
      </c>
      <c r="K96" s="187" t="s">
        <v>7052</v>
      </c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IFERROR(__xludf.DUMMYFUNCTION("ifna(VALUE(REGEXEXTRACT(E96,""[0-9.]+[,]+[0-9]+"")))"),34.52)</f>
        <v>34.52</v>
      </c>
      <c r="O96" s="325"/>
      <c r="P96" s="326"/>
      <c r="Q96" s="326"/>
      <c r="R96" s="321"/>
      <c r="S96" s="319"/>
      <c r="V96" s="281"/>
      <c r="W96" s="185"/>
    </row>
    <row r="97" ht="14.25" customHeight="1">
      <c r="A97" s="178"/>
      <c r="B97" s="10">
        <v>2045580.0</v>
      </c>
      <c r="C97" s="11">
        <v>46088.89769675926</v>
      </c>
      <c r="D97" s="179" t="s">
        <v>50</v>
      </c>
      <c r="E97" s="180" t="s">
        <v>205</v>
      </c>
      <c r="F97" s="188"/>
      <c r="G97" s="179" t="s">
        <v>7793</v>
      </c>
      <c r="H97" s="190"/>
      <c r="I97" s="190"/>
      <c r="J97" s="187" t="s">
        <v>3044</v>
      </c>
      <c r="K97" s="187" t="s">
        <v>6340</v>
      </c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IFERROR(__xludf.DUMMYFUNCTION("ifna(VALUE(REGEXEXTRACT(E97,""[0-9.]+[,]+[0-9]+"")))"),10.0)</f>
        <v>10</v>
      </c>
      <c r="O97" s="315"/>
      <c r="P97" s="316"/>
      <c r="Q97" s="315"/>
      <c r="R97" s="317"/>
      <c r="S97" s="315"/>
      <c r="V97" s="279"/>
      <c r="W97" s="185"/>
    </row>
    <row r="98" ht="14.25" customHeight="1">
      <c r="A98" s="178"/>
      <c r="B98" s="10">
        <v>2045604.0</v>
      </c>
      <c r="C98" s="11">
        <v>46088.90084490741</v>
      </c>
      <c r="D98" s="179" t="s">
        <v>50</v>
      </c>
      <c r="E98" s="180" t="s">
        <v>8012</v>
      </c>
      <c r="F98" s="181"/>
      <c r="G98" s="179" t="s">
        <v>8013</v>
      </c>
      <c r="H98" s="190"/>
      <c r="I98" s="190"/>
      <c r="J98" s="187" t="s">
        <v>3903</v>
      </c>
      <c r="K98" s="187"/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"""")"),"Encontrada")</f>
        <v>Encontrada</v>
      </c>
      <c r="N98" s="185">
        <f>IFERROR(__xludf.DUMMYFUNCTION("ifna(VALUE(REGEXEXTRACT(E98,""[0-9.]+[,]+[0-9]+"")))"),156.29)</f>
        <v>156.29</v>
      </c>
      <c r="O98" s="319"/>
      <c r="P98" s="320"/>
      <c r="Q98" s="319"/>
      <c r="R98" s="321"/>
      <c r="S98" s="319"/>
      <c r="V98" s="281"/>
      <c r="W98" s="185"/>
    </row>
    <row r="99" ht="14.25" customHeight="1">
      <c r="A99" s="178"/>
      <c r="B99" s="10">
        <v>2045616.0</v>
      </c>
      <c r="C99" s="11">
        <v>46088.90274305556</v>
      </c>
      <c r="D99" s="179" t="s">
        <v>50</v>
      </c>
      <c r="E99" s="180" t="s">
        <v>4019</v>
      </c>
      <c r="F99" s="181"/>
      <c r="G99" s="179" t="s">
        <v>8014</v>
      </c>
      <c r="H99" s="190"/>
      <c r="I99" s="190"/>
      <c r="J99" s="187" t="s">
        <v>3825</v>
      </c>
      <c r="K99" s="187"/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IFERROR(__xludf.DUMMYFUNCTION("ifna(VALUE(REGEXEXTRACT(E99,""[0-9.]+[,]+[0-9]+"")))"),117.0)</f>
        <v>117</v>
      </c>
      <c r="O99" s="315"/>
      <c r="P99" s="316"/>
      <c r="Q99" s="315"/>
      <c r="R99" s="317"/>
      <c r="S99" s="315"/>
      <c r="V99" s="279"/>
      <c r="W99" s="185"/>
    </row>
    <row r="100" ht="14.25" customHeight="1">
      <c r="A100" s="178"/>
      <c r="B100" s="10">
        <v>2046750.0</v>
      </c>
      <c r="C100" s="11">
        <v>46089.592835648145</v>
      </c>
      <c r="D100" s="179" t="s">
        <v>50</v>
      </c>
      <c r="E100" s="180" t="s">
        <v>6561</v>
      </c>
      <c r="F100" s="181"/>
      <c r="G100" s="179" t="s">
        <v>7799</v>
      </c>
      <c r="H100" s="190"/>
      <c r="I100" s="190"/>
      <c r="J100" s="187" t="s">
        <v>3044</v>
      </c>
      <c r="K100" s="187" t="s">
        <v>7052</v>
      </c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IFERROR(__xludf.DUMMYFUNCTION("ifna(VALUE(REGEXEXTRACT(E100,""[0-9.]+[,]+[0-9]+"")))"),6.0)</f>
        <v>6</v>
      </c>
      <c r="O100" s="319"/>
      <c r="P100" s="320"/>
      <c r="Q100" s="319"/>
      <c r="R100" s="321"/>
      <c r="S100" s="319"/>
      <c r="V100" s="281"/>
      <c r="W100" s="185"/>
    </row>
    <row r="101" ht="14.25" customHeight="1">
      <c r="A101" s="178"/>
      <c r="B101" s="10">
        <v>2047351.0</v>
      </c>
      <c r="C101" s="11">
        <v>46089.735555555555</v>
      </c>
      <c r="D101" s="179" t="s">
        <v>50</v>
      </c>
      <c r="E101" s="180" t="s">
        <v>8015</v>
      </c>
      <c r="F101" s="181"/>
      <c r="G101" s="179" t="s">
        <v>8016</v>
      </c>
      <c r="H101" s="190"/>
      <c r="I101" s="190"/>
      <c r="J101" s="187" t="s">
        <v>3825</v>
      </c>
      <c r="K101" s="187"/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IFERROR(__xludf.DUMMYFUNCTION("ifna(VALUE(REGEXEXTRACT(E101,""[0-9.]+[,]+[0-9]+"")))"),58.5)</f>
        <v>58.5</v>
      </c>
      <c r="O101" s="315"/>
      <c r="P101" s="316"/>
      <c r="Q101" s="315"/>
      <c r="R101" s="317"/>
      <c r="S101" s="315"/>
      <c r="V101" s="279"/>
      <c r="W101" s="185"/>
    </row>
    <row r="102" ht="17.25" customHeight="1">
      <c r="A102" s="178"/>
      <c r="B102" s="10">
        <v>2047864.0</v>
      </c>
      <c r="C102" s="11">
        <v>46089.817037037035</v>
      </c>
      <c r="D102" s="179" t="s">
        <v>50</v>
      </c>
      <c r="E102" s="180" t="s">
        <v>8017</v>
      </c>
      <c r="F102" s="181"/>
      <c r="G102" s="179" t="s">
        <v>8018</v>
      </c>
      <c r="H102" s="190"/>
      <c r="I102" s="190"/>
      <c r="J102" s="187" t="s">
        <v>3825</v>
      </c>
      <c r="K102" s="187"/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IFERROR(__xludf.DUMMYFUNCTION("ifna(VALUE(REGEXEXTRACT(E102,""[0-9.]+[,]+[0-9]+"")))"),97.5)</f>
        <v>97.5</v>
      </c>
      <c r="O102" s="319"/>
      <c r="P102" s="320"/>
      <c r="Q102" s="319"/>
      <c r="R102" s="321"/>
      <c r="S102" s="319"/>
      <c r="V102" s="281"/>
      <c r="W102" s="185"/>
    </row>
    <row r="103" ht="14.25" customHeight="1">
      <c r="A103" s="178"/>
      <c r="B103" s="10">
        <v>2047869.0</v>
      </c>
      <c r="C103" s="11">
        <v>46089.81800925926</v>
      </c>
      <c r="D103" s="179" t="s">
        <v>50</v>
      </c>
      <c r="E103" s="180" t="s">
        <v>8019</v>
      </c>
      <c r="F103" s="181"/>
      <c r="G103" s="179" t="s">
        <v>8020</v>
      </c>
      <c r="H103" s="190"/>
      <c r="I103" s="190"/>
      <c r="J103" s="187" t="s">
        <v>3903</v>
      </c>
      <c r="K103" s="187"/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TRIM(CLEAN(TO_TEXT(#REF!)))) &gt; 0,
      ""Encontrada"",
      ""Não Encontrada""
   ),
"""")"),"Não Encontrada")</f>
        <v>Não Encontrada</v>
      </c>
      <c r="N103" s="185">
        <f>IFERROR(__xludf.DUMMYFUNCTION("ifna(VALUE(REGEXEXTRACT(E103,""[0-9.]+[,]+[0-9]+"")))"),695.63)</f>
        <v>695.63</v>
      </c>
      <c r="O103" s="315"/>
      <c r="P103" s="316"/>
      <c r="Q103" s="315"/>
      <c r="R103" s="317"/>
      <c r="S103" s="315"/>
      <c r="V103" s="279"/>
      <c r="W103" s="185"/>
    </row>
    <row r="104" ht="14.25" customHeight="1">
      <c r="A104" s="178"/>
      <c r="B104" s="10">
        <v>2047888.0</v>
      </c>
      <c r="C104" s="11">
        <v>46089.822060185186</v>
      </c>
      <c r="D104" s="10" t="s">
        <v>50</v>
      </c>
      <c r="E104" s="10" t="s">
        <v>6909</v>
      </c>
      <c r="F104" s="13"/>
      <c r="G104" s="10" t="s">
        <v>8021</v>
      </c>
      <c r="H104" s="190"/>
      <c r="I104" s="190"/>
      <c r="J104" s="187" t="s">
        <v>3825</v>
      </c>
      <c r="K104" s="187"/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TRIM(CLEAN(TO_TEXT(B103)))) &gt; 0,
      ""Encontrada"",
      ""Não Encontrada""
   ),
"""")"),"")</f>
        <v/>
      </c>
      <c r="N104" s="185">
        <f>IFERROR(__xludf.DUMMYFUNCTION("ifna(VALUE(REGEXEXTRACT(E104,""[0-9.]+[,]+[0-9]+"")))"),75.0)</f>
        <v>75</v>
      </c>
      <c r="O104" s="319"/>
      <c r="P104" s="320"/>
      <c r="Q104" s="319"/>
      <c r="R104" s="321"/>
      <c r="S104" s="319"/>
      <c r="V104" s="281"/>
      <c r="W104" s="185"/>
    </row>
    <row r="105" ht="14.25" customHeight="1">
      <c r="A105" s="178"/>
      <c r="B105" s="10">
        <v>2047909.0</v>
      </c>
      <c r="C105" s="11">
        <v>46089.82530092593</v>
      </c>
      <c r="D105" s="179" t="s">
        <v>50</v>
      </c>
      <c r="E105" s="180" t="s">
        <v>1588</v>
      </c>
      <c r="F105" s="181"/>
      <c r="G105" s="179" t="s">
        <v>8022</v>
      </c>
      <c r="H105" s="190"/>
      <c r="I105" s="190"/>
      <c r="J105" s="187" t="s">
        <v>3746</v>
      </c>
      <c r="K105" s="187" t="s">
        <v>7052</v>
      </c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"),"Depositada")</f>
        <v>Depositada</v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IFERROR(__xludf.DUMMYFUNCTION("ifna(VALUE(REGEXEXTRACT(E105,""[0-9.]+[,]+[0-9]+"")))"),1200.0)</f>
        <v>1200</v>
      </c>
      <c r="O105" s="315"/>
      <c r="P105" s="315"/>
      <c r="Q105" s="315"/>
      <c r="R105" s="317"/>
      <c r="S105" s="315"/>
      <c r="V105" s="279"/>
      <c r="W105" s="185"/>
    </row>
    <row r="106" ht="14.25" customHeight="1">
      <c r="A106" s="178"/>
      <c r="B106" s="10">
        <v>2047913.0</v>
      </c>
      <c r="C106" s="11">
        <v>46089.82612268518</v>
      </c>
      <c r="D106" s="179" t="s">
        <v>50</v>
      </c>
      <c r="E106" s="180" t="s">
        <v>8023</v>
      </c>
      <c r="F106" s="181"/>
      <c r="G106" s="179" t="s">
        <v>8024</v>
      </c>
      <c r="H106" s="190"/>
      <c r="I106" s="190"/>
      <c r="J106" s="187" t="s">
        <v>3903</v>
      </c>
      <c r="K106" s="187"/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"""")"),"Encontrada")</f>
        <v>Encontrada</v>
      </c>
      <c r="N106" s="185">
        <f>IFERROR(__xludf.DUMMYFUNCTION("ifna(VALUE(REGEXEXTRACT(E106,""[0-9.]+[,]+[0-9]+"")))"),70.07)</f>
        <v>70.07</v>
      </c>
      <c r="O106" s="319"/>
      <c r="P106" s="319"/>
      <c r="Q106" s="319"/>
      <c r="R106" s="321"/>
      <c r="S106" s="319"/>
      <c r="V106" s="281"/>
      <c r="W106" s="185"/>
    </row>
    <row r="107" ht="18.75" customHeight="1">
      <c r="A107" s="178"/>
      <c r="B107" s="10">
        <v>2048788.0</v>
      </c>
      <c r="C107" s="11">
        <v>46089.93106481482</v>
      </c>
      <c r="D107" s="179" t="s">
        <v>50</v>
      </c>
      <c r="E107" s="180" t="s">
        <v>8025</v>
      </c>
      <c r="F107" s="188"/>
      <c r="G107" s="179" t="s">
        <v>7666</v>
      </c>
      <c r="H107" s="190"/>
      <c r="I107" s="190"/>
      <c r="J107" s="187" t="s">
        <v>3044</v>
      </c>
      <c r="K107" s="187" t="s">
        <v>7052</v>
      </c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IFERROR(__xludf.DUMMYFUNCTION("ifna(VALUE(REGEXEXTRACT(E107,""[0-9.]+[,]+[0-9]+"")))"),60.18)</f>
        <v>60.18</v>
      </c>
      <c r="O107" s="331"/>
      <c r="P107" s="331"/>
      <c r="Q107" s="331"/>
      <c r="R107" s="317"/>
      <c r="S107" s="331"/>
      <c r="V107" s="279"/>
      <c r="W107" s="185"/>
    </row>
    <row r="108" ht="14.25" customHeight="1">
      <c r="A108" s="178"/>
      <c r="B108" s="10">
        <v>2048798.0</v>
      </c>
      <c r="C108" s="11">
        <v>46089.931759259256</v>
      </c>
      <c r="D108" s="179" t="s">
        <v>50</v>
      </c>
      <c r="E108" s="180" t="s">
        <v>205</v>
      </c>
      <c r="F108" s="181"/>
      <c r="G108" s="179" t="s">
        <v>8026</v>
      </c>
      <c r="H108" s="190"/>
      <c r="I108" s="190"/>
      <c r="J108" s="187" t="s">
        <v>3044</v>
      </c>
      <c r="K108" s="187" t="s">
        <v>7058</v>
      </c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IFERROR(__xludf.DUMMYFUNCTION("ifna(VALUE(REGEXEXTRACT(E108,""[0-9.]+[,]+[0-9]+"")))"),10.0)</f>
        <v>10</v>
      </c>
      <c r="O108" s="332"/>
      <c r="P108" s="332"/>
      <c r="Q108" s="332"/>
      <c r="R108" s="321"/>
      <c r="S108" s="332"/>
      <c r="V108" s="281"/>
      <c r="W108" s="185"/>
    </row>
    <row r="109" ht="15.75" customHeight="1">
      <c r="A109" s="178"/>
      <c r="B109" s="10">
        <v>2048803.0</v>
      </c>
      <c r="C109" s="11">
        <v>46089.9321412037</v>
      </c>
      <c r="D109" s="179" t="s">
        <v>50</v>
      </c>
      <c r="E109" s="180" t="s">
        <v>943</v>
      </c>
      <c r="F109" s="181"/>
      <c r="G109" s="179" t="s">
        <v>8027</v>
      </c>
      <c r="H109" s="190"/>
      <c r="I109" s="190"/>
      <c r="J109" s="187" t="s">
        <v>3044</v>
      </c>
      <c r="K109" s="187" t="s">
        <v>6340</v>
      </c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IFERROR(__xludf.DUMMYFUNCTION("ifna(VALUE(REGEXEXTRACT(E109,""[0-9.]+[,]+[0-9]+"")))"),12.0)</f>
        <v>12</v>
      </c>
      <c r="O109" s="333"/>
      <c r="P109" s="331"/>
      <c r="Q109" s="331"/>
      <c r="R109" s="317"/>
      <c r="S109" s="331"/>
      <c r="V109" s="279"/>
      <c r="W109" s="185"/>
    </row>
    <row r="110" ht="14.25" customHeight="1">
      <c r="A110" s="178"/>
      <c r="B110" s="10">
        <v>2048903.0</v>
      </c>
      <c r="C110" s="11">
        <v>46089.9390625</v>
      </c>
      <c r="D110" s="179" t="s">
        <v>50</v>
      </c>
      <c r="E110" s="180" t="s">
        <v>6746</v>
      </c>
      <c r="F110" s="188"/>
      <c r="G110" s="179" t="s">
        <v>8026</v>
      </c>
      <c r="H110" s="190"/>
      <c r="I110" s="190"/>
      <c r="J110" s="187" t="s">
        <v>3044</v>
      </c>
      <c r="K110" s="187" t="s">
        <v>7058</v>
      </c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IFERROR(__xludf.DUMMYFUNCTION("ifna(VALUE(REGEXEXTRACT(E110,""[0-9.]+[,]+[0-9]+"")))"),19.68)</f>
        <v>19.68</v>
      </c>
      <c r="O110" s="332"/>
      <c r="P110" s="332"/>
      <c r="Q110" s="332"/>
      <c r="R110" s="321"/>
      <c r="S110" s="332"/>
      <c r="V110" s="281"/>
      <c r="W110" s="185"/>
    </row>
    <row r="111" ht="17.25" customHeight="1">
      <c r="A111" s="178"/>
      <c r="B111" s="10">
        <v>2049670.0</v>
      </c>
      <c r="C111" s="11">
        <v>46090.59342592592</v>
      </c>
      <c r="D111" s="179" t="s">
        <v>50</v>
      </c>
      <c r="E111" s="180" t="s">
        <v>708</v>
      </c>
      <c r="F111" s="181"/>
      <c r="G111" s="179" t="s">
        <v>8028</v>
      </c>
      <c r="H111" s="190"/>
      <c r="I111" s="190"/>
      <c r="J111" s="187" t="s">
        <v>3044</v>
      </c>
      <c r="K111" s="187" t="s">
        <v>6664</v>
      </c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IFERROR(__xludf.DUMMYFUNCTION("ifna(VALUE(REGEXEXTRACT(E111,""[0-9.]+[,]+[0-9]+"")))"),8.0)</f>
        <v>8</v>
      </c>
      <c r="O111" s="331"/>
      <c r="P111" s="331"/>
      <c r="Q111" s="331"/>
      <c r="R111" s="317"/>
      <c r="S111" s="331"/>
      <c r="V111" s="279"/>
      <c r="W111" s="185"/>
    </row>
    <row r="112" ht="14.25" customHeight="1">
      <c r="A112" s="178"/>
      <c r="B112" s="10">
        <v>2049799.0</v>
      </c>
      <c r="C112" s="11">
        <v>46090.63454861111</v>
      </c>
      <c r="D112" s="179" t="s">
        <v>50</v>
      </c>
      <c r="E112" s="180" t="s">
        <v>8029</v>
      </c>
      <c r="F112" s="181"/>
      <c r="G112" s="179" t="s">
        <v>1637</v>
      </c>
      <c r="H112" s="190"/>
      <c r="I112" s="190"/>
      <c r="J112" s="187" t="s">
        <v>3467</v>
      </c>
      <c r="K112" s="187"/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IFERROR(__xludf.DUMMYFUNCTION("ifna(VALUE(REGEXEXTRACT(E112,""[0-9.]+[,]+[0-9]+"")))"),17.89)</f>
        <v>17.89</v>
      </c>
      <c r="O112" s="332"/>
      <c r="P112" s="332"/>
      <c r="Q112" s="332"/>
      <c r="R112" s="321"/>
      <c r="S112" s="332"/>
      <c r="V112" s="281"/>
      <c r="W112" s="185"/>
    </row>
    <row r="113" ht="14.25" customHeight="1">
      <c r="A113" s="178"/>
      <c r="B113" s="10">
        <v>2049836.0</v>
      </c>
      <c r="C113" s="11">
        <v>46090.64877314815</v>
      </c>
      <c r="D113" s="179" t="s">
        <v>50</v>
      </c>
      <c r="E113" s="180" t="s">
        <v>943</v>
      </c>
      <c r="F113" s="181"/>
      <c r="G113" s="179" t="s">
        <v>7666</v>
      </c>
      <c r="H113" s="190"/>
      <c r="I113" s="190"/>
      <c r="J113" s="187" t="s">
        <v>3044</v>
      </c>
      <c r="K113" s="187" t="s">
        <v>7052</v>
      </c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IFERROR(__xludf.DUMMYFUNCTION("ifna(VALUE(REGEXEXTRACT(E113,""[0-9.]+[,]+[0-9]+"")))"),12.0)</f>
        <v>12</v>
      </c>
      <c r="O113" s="331"/>
      <c r="P113" s="331"/>
      <c r="Q113" s="331"/>
      <c r="R113" s="331"/>
      <c r="S113" s="331"/>
      <c r="V113" s="279"/>
      <c r="W113" s="185"/>
    </row>
    <row r="114" ht="14.25" customHeight="1">
      <c r="A114" s="178"/>
      <c r="B114" s="10">
        <v>2050132.0</v>
      </c>
      <c r="C114" s="11">
        <v>46090.736238425925</v>
      </c>
      <c r="D114" s="179" t="s">
        <v>50</v>
      </c>
      <c r="E114" s="180" t="s">
        <v>7215</v>
      </c>
      <c r="F114" s="181"/>
      <c r="G114" s="179" t="s">
        <v>8030</v>
      </c>
      <c r="H114" s="190"/>
      <c r="I114" s="190"/>
      <c r="J114" s="187" t="s">
        <v>3903</v>
      </c>
      <c r="K114" s="187"/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85">
        <f>IFERROR(__xludf.DUMMYFUNCTION("ifna(VALUE(REGEXEXTRACT(E114,""[0-9.]+[,]+[0-9]+"")))"),66.0)</f>
        <v>66</v>
      </c>
      <c r="O114" s="332"/>
      <c r="P114" s="332"/>
      <c r="Q114" s="332"/>
      <c r="R114" s="332"/>
      <c r="S114" s="332"/>
      <c r="V114" s="281"/>
      <c r="W114" s="185"/>
    </row>
    <row r="115" ht="14.25" customHeight="1">
      <c r="A115" s="178"/>
      <c r="B115" s="10">
        <v>2050135.0</v>
      </c>
      <c r="C115" s="11">
        <v>46090.73684027778</v>
      </c>
      <c r="D115" s="179" t="s">
        <v>50</v>
      </c>
      <c r="E115" s="180" t="s">
        <v>8031</v>
      </c>
      <c r="F115" s="181"/>
      <c r="G115" s="179" t="s">
        <v>8032</v>
      </c>
      <c r="H115" s="190"/>
      <c r="I115" s="190"/>
      <c r="J115" s="187" t="s">
        <v>3903</v>
      </c>
      <c r="K115" s="187"/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85">
        <f>IFERROR(__xludf.DUMMYFUNCTION("ifna(VALUE(REGEXEXTRACT(E115,""[0-9.]+[,]+[0-9]+"")))"),47.9)</f>
        <v>47.9</v>
      </c>
      <c r="O115" s="331"/>
      <c r="P115" s="331"/>
      <c r="Q115" s="331"/>
      <c r="R115" s="331"/>
      <c r="S115" s="331"/>
      <c r="V115" s="279"/>
      <c r="W115" s="185"/>
    </row>
    <row r="116" ht="14.25" customHeight="1">
      <c r="A116" s="178"/>
      <c r="B116" s="10">
        <v>2050138.0</v>
      </c>
      <c r="C116" s="11">
        <v>46090.737546296295</v>
      </c>
      <c r="D116" s="179" t="s">
        <v>50</v>
      </c>
      <c r="E116" s="180" t="s">
        <v>8033</v>
      </c>
      <c r="F116" s="181"/>
      <c r="G116" s="179" t="s">
        <v>8034</v>
      </c>
      <c r="H116" s="190"/>
      <c r="I116" s="190"/>
      <c r="J116" s="187" t="s">
        <v>3903</v>
      </c>
      <c r="K116" s="187"/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"""")"),"Encontrada")</f>
        <v>Encontrada</v>
      </c>
      <c r="N116" s="185">
        <f>IFERROR(__xludf.DUMMYFUNCTION("ifna(VALUE(REGEXEXTRACT(E116,""[0-9.]+[,]+[0-9]+"")))"),66.25)</f>
        <v>66.25</v>
      </c>
      <c r="O116" s="332"/>
      <c r="P116" s="332"/>
      <c r="Q116" s="332"/>
      <c r="R116" s="332"/>
      <c r="S116" s="332"/>
      <c r="V116" s="281"/>
      <c r="W116" s="185"/>
    </row>
    <row r="117" ht="14.25" customHeight="1">
      <c r="A117" s="178"/>
      <c r="B117" s="10">
        <v>2050425.0</v>
      </c>
      <c r="C117" s="11">
        <v>46090.854537037034</v>
      </c>
      <c r="D117" s="179" t="s">
        <v>50</v>
      </c>
      <c r="E117" s="180" t="s">
        <v>8035</v>
      </c>
      <c r="F117" s="181"/>
      <c r="G117" s="179" t="s">
        <v>8036</v>
      </c>
      <c r="H117" s="190"/>
      <c r="I117" s="190"/>
      <c r="J117" s="187" t="s">
        <v>3903</v>
      </c>
      <c r="K117" s="187"/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"""")"),"Encontrada")</f>
        <v>Encontrada</v>
      </c>
      <c r="N117" s="185">
        <f>IFERROR(__xludf.DUMMYFUNCTION("ifna(VALUE(REGEXEXTRACT(E117,""[0-9.]+[,]+[0-9]+"")))"),8.49)</f>
        <v>8.49</v>
      </c>
      <c r="O117" s="334"/>
      <c r="P117" s="335"/>
      <c r="Q117" s="336"/>
      <c r="R117" s="331"/>
      <c r="S117" s="331"/>
      <c r="V117" s="279"/>
      <c r="W117" s="185"/>
    </row>
    <row r="118" ht="14.25" customHeight="1">
      <c r="A118" s="178"/>
      <c r="B118" s="10">
        <v>2050428.0</v>
      </c>
      <c r="C118" s="11">
        <v>46090.855208333334</v>
      </c>
      <c r="D118" s="179" t="s">
        <v>50</v>
      </c>
      <c r="E118" s="180" t="s">
        <v>427</v>
      </c>
      <c r="F118" s="188"/>
      <c r="G118" s="179" t="s">
        <v>8037</v>
      </c>
      <c r="H118" s="190"/>
      <c r="I118" s="190"/>
      <c r="J118" s="187" t="s">
        <v>3903</v>
      </c>
      <c r="K118" s="187"/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"""")"),"Não Encontrada")</f>
        <v>Não Encontrada</v>
      </c>
      <c r="N118" s="185">
        <f>IFERROR(__xludf.DUMMYFUNCTION("ifna(VALUE(REGEXEXTRACT(E118,""[0-9.]+[,]+[0-9]+"")))"),15.0)</f>
        <v>15</v>
      </c>
      <c r="O118" s="325"/>
      <c r="P118" s="326"/>
      <c r="Q118" s="337"/>
      <c r="R118" s="332"/>
      <c r="S118" s="332"/>
      <c r="V118" s="281"/>
      <c r="W118" s="185"/>
    </row>
    <row r="119" ht="14.25" customHeight="1">
      <c r="A119" s="178"/>
      <c r="B119" s="10">
        <v>2051255.0</v>
      </c>
      <c r="C119" s="11">
        <v>46091.55924768518</v>
      </c>
      <c r="D119" s="179" t="s">
        <v>50</v>
      </c>
      <c r="E119" s="180" t="s">
        <v>8038</v>
      </c>
      <c r="F119" s="181"/>
      <c r="G119" s="179" t="s">
        <v>8039</v>
      </c>
      <c r="H119" s="190"/>
      <c r="I119" s="190"/>
      <c r="J119" s="187" t="s">
        <v>3903</v>
      </c>
      <c r="K119" s="187"/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"""")"),"Encontrada")</f>
        <v>Encontrada</v>
      </c>
      <c r="N119" s="185">
        <f>IFERROR(__xludf.DUMMYFUNCTION("ifna(VALUE(REGEXEXTRACT(E119,""[0-9.]+[,]+[0-9]+"")))"),28.4)</f>
        <v>28.4</v>
      </c>
      <c r="O119" s="331"/>
      <c r="P119" s="331"/>
      <c r="Q119" s="331"/>
      <c r="R119" s="331"/>
      <c r="S119" s="331"/>
      <c r="V119" s="279"/>
      <c r="W119" s="185"/>
    </row>
    <row r="120" ht="14.25" customHeight="1">
      <c r="A120" s="178"/>
      <c r="B120" s="10">
        <v>2051257.0</v>
      </c>
      <c r="C120" s="11">
        <v>46091.55971064815</v>
      </c>
      <c r="D120" s="179" t="s">
        <v>50</v>
      </c>
      <c r="E120" s="180" t="s">
        <v>3868</v>
      </c>
      <c r="F120" s="181"/>
      <c r="G120" s="179" t="s">
        <v>8040</v>
      </c>
      <c r="H120" s="190"/>
      <c r="I120" s="190"/>
      <c r="J120" s="187" t="s">
        <v>3903</v>
      </c>
      <c r="K120" s="187"/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"""")"),"Encontrada")</f>
        <v>Encontrada</v>
      </c>
      <c r="N120" s="185">
        <f>IFERROR(__xludf.DUMMYFUNCTION("ifna(VALUE(REGEXEXTRACT(E120,""[0-9.]+[,]+[0-9]+"")))"),38.0)</f>
        <v>38</v>
      </c>
      <c r="O120" s="332"/>
      <c r="P120" s="332"/>
      <c r="Q120" s="332"/>
      <c r="R120" s="332"/>
      <c r="S120" s="332"/>
      <c r="V120" s="281"/>
      <c r="W120" s="185"/>
    </row>
    <row r="121" ht="14.25" customHeight="1">
      <c r="A121" s="178"/>
      <c r="B121" s="10">
        <v>2051678.0</v>
      </c>
      <c r="C121" s="11">
        <v>46091.72305555556</v>
      </c>
      <c r="D121" s="179" t="s">
        <v>50</v>
      </c>
      <c r="E121" s="180" t="s">
        <v>8041</v>
      </c>
      <c r="F121" s="181"/>
      <c r="G121" s="179" t="s">
        <v>8042</v>
      </c>
      <c r="H121" s="190"/>
      <c r="I121" s="190"/>
      <c r="J121" s="187" t="s">
        <v>3903</v>
      </c>
      <c r="K121" s="187"/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"""")"),"Encontrada")</f>
        <v>Encontrada</v>
      </c>
      <c r="N121" s="185">
        <f>IFERROR(__xludf.DUMMYFUNCTION("ifna(VALUE(REGEXEXTRACT(E121,""[0-9.]+[,]+[0-9]+"")))"),247.08)</f>
        <v>247.08</v>
      </c>
      <c r="O121" s="331"/>
      <c r="P121" s="331"/>
      <c r="Q121" s="331"/>
      <c r="R121" s="331"/>
      <c r="S121" s="331"/>
      <c r="V121" s="279"/>
      <c r="W121" s="185"/>
    </row>
    <row r="122" ht="14.25" customHeight="1">
      <c r="A122" s="178"/>
      <c r="B122" s="10">
        <v>2052324.0</v>
      </c>
      <c r="C122" s="11">
        <v>46091.91763888889</v>
      </c>
      <c r="D122" s="179" t="s">
        <v>50</v>
      </c>
      <c r="E122" s="180" t="s">
        <v>1228</v>
      </c>
      <c r="F122" s="188"/>
      <c r="G122" s="179" t="s">
        <v>8043</v>
      </c>
      <c r="H122" s="190"/>
      <c r="I122" s="190"/>
      <c r="J122" s="187" t="s">
        <v>3746</v>
      </c>
      <c r="K122" s="187" t="s">
        <v>7058</v>
      </c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"),"Depositada")</f>
        <v>Depositada</v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IFERROR(__xludf.DUMMYFUNCTION("ifna(VALUE(REGEXEXTRACT(E122,""[0-9.]+[,]+[0-9]+"")))"),450.0)</f>
        <v>450</v>
      </c>
      <c r="O122" s="332"/>
      <c r="P122" s="332"/>
      <c r="Q122" s="332"/>
      <c r="R122" s="332"/>
      <c r="S122" s="332"/>
      <c r="V122" s="281"/>
      <c r="W122" s="185"/>
    </row>
    <row r="123" ht="14.25" customHeight="1">
      <c r="A123" s="178"/>
      <c r="B123" s="10">
        <v>2052952.0</v>
      </c>
      <c r="C123" s="11">
        <v>46092.60506944444</v>
      </c>
      <c r="D123" s="179" t="s">
        <v>227</v>
      </c>
      <c r="E123" s="180" t="s">
        <v>6739</v>
      </c>
      <c r="F123" s="181"/>
      <c r="G123" s="179" t="s">
        <v>8044</v>
      </c>
      <c r="H123" s="190"/>
      <c r="I123" s="190"/>
      <c r="J123" s="187" t="s">
        <v>4159</v>
      </c>
      <c r="K123" s="187"/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IFERROR(__xludf.DUMMYFUNCTION("ifna(VALUE(REGEXEXTRACT(E123,""[0-9.]+[,]+[0-9]+"")))"),350.0)</f>
        <v>350</v>
      </c>
      <c r="O123" s="331"/>
      <c r="P123" s="331"/>
      <c r="Q123" s="331"/>
      <c r="R123" s="331"/>
      <c r="S123" s="331"/>
      <c r="V123" s="279"/>
      <c r="W123" s="185"/>
    </row>
    <row r="124" ht="14.25" customHeight="1">
      <c r="A124" s="178"/>
      <c r="B124" s="10">
        <v>2052954.0</v>
      </c>
      <c r="C124" s="11">
        <v>46092.60533564815</v>
      </c>
      <c r="D124" s="179" t="s">
        <v>50</v>
      </c>
      <c r="E124" s="180" t="s">
        <v>6794</v>
      </c>
      <c r="F124" s="181"/>
      <c r="G124" s="179" t="s">
        <v>8045</v>
      </c>
      <c r="H124" s="190"/>
      <c r="I124" s="190"/>
      <c r="J124" s="187" t="s">
        <v>3903</v>
      </c>
      <c r="K124" s="187"/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85">
        <f>IFERROR(__xludf.DUMMYFUNCTION("ifna(VALUE(REGEXEXTRACT(E124,""[0-9.]+[,]+[0-9]+"")))"),220.0)</f>
        <v>220</v>
      </c>
      <c r="O124" s="332"/>
      <c r="P124" s="332"/>
      <c r="Q124" s="332"/>
      <c r="R124" s="332"/>
      <c r="S124" s="332"/>
      <c r="V124" s="281"/>
      <c r="W124" s="185"/>
    </row>
    <row r="125" ht="14.25" customHeight="1">
      <c r="A125" s="178"/>
      <c r="B125" s="10">
        <v>2053259.0</v>
      </c>
      <c r="C125" s="11">
        <v>46092.71302083333</v>
      </c>
      <c r="D125" s="179" t="s">
        <v>50</v>
      </c>
      <c r="E125" s="180" t="s">
        <v>8046</v>
      </c>
      <c r="F125" s="181"/>
      <c r="G125" s="179" t="s">
        <v>94</v>
      </c>
      <c r="H125" s="190"/>
      <c r="I125" s="190"/>
      <c r="J125" s="187" t="s">
        <v>3044</v>
      </c>
      <c r="K125" s="187" t="s">
        <v>7058</v>
      </c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IFERROR(__xludf.DUMMYFUNCTION("ifna(VALUE(REGEXEXTRACT(E125,""[0-9.]+[,]+[0-9]+"")))"),24.92)</f>
        <v>24.92</v>
      </c>
      <c r="O125" s="331"/>
      <c r="P125" s="331"/>
      <c r="Q125" s="331"/>
      <c r="R125" s="331"/>
      <c r="S125" s="331"/>
      <c r="V125" s="279"/>
      <c r="W125" s="185"/>
    </row>
    <row r="126" ht="16.5" customHeight="1">
      <c r="A126" s="178"/>
      <c r="B126" s="10">
        <v>2053516.0</v>
      </c>
      <c r="C126" s="11">
        <v>46092.786724537036</v>
      </c>
      <c r="D126" s="179" t="s">
        <v>50</v>
      </c>
      <c r="E126" s="180" t="s">
        <v>1600</v>
      </c>
      <c r="F126" s="181"/>
      <c r="G126" s="179" t="s">
        <v>8047</v>
      </c>
      <c r="H126" s="190"/>
      <c r="I126" s="190"/>
      <c r="J126" s="187" t="s">
        <v>3903</v>
      </c>
      <c r="K126" s="187"/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"""")"),"Encontrada")</f>
        <v>Encontrada</v>
      </c>
      <c r="N126" s="185">
        <f>IFERROR(__xludf.DUMMYFUNCTION("ifna(VALUE(REGEXEXTRACT(E126,""[0-9.]+[,]+[0-9]+"")))"),13.5)</f>
        <v>13.5</v>
      </c>
      <c r="O126" s="332"/>
      <c r="P126" s="332"/>
      <c r="Q126" s="332"/>
      <c r="R126" s="332"/>
      <c r="S126" s="332"/>
      <c r="V126" s="281"/>
      <c r="W126" s="185"/>
    </row>
    <row r="127" ht="18.75" customHeight="1">
      <c r="A127" s="178"/>
      <c r="B127" s="10">
        <v>2053862.0</v>
      </c>
      <c r="C127" s="11">
        <v>46092.91038194444</v>
      </c>
      <c r="D127" s="179" t="s">
        <v>50</v>
      </c>
      <c r="E127" s="180" t="s">
        <v>1279</v>
      </c>
      <c r="F127" s="188"/>
      <c r="G127" s="179" t="s">
        <v>8048</v>
      </c>
      <c r="H127" s="190"/>
      <c r="I127" s="190"/>
      <c r="J127" s="187" t="s">
        <v>3746</v>
      </c>
      <c r="K127" s="187" t="s">
        <v>7058</v>
      </c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"),"Depositada")</f>
        <v>Depositada</v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IFERROR(__xludf.DUMMYFUNCTION("ifna(VALUE(REGEXEXTRACT(E127,""[0-9.]+[,]+[0-9]+"")))"),600.0)</f>
        <v>600</v>
      </c>
      <c r="O127" s="331"/>
      <c r="P127" s="331"/>
      <c r="Q127" s="331"/>
      <c r="R127" s="331"/>
      <c r="S127" s="331"/>
      <c r="V127" s="279"/>
      <c r="W127" s="185"/>
    </row>
    <row r="128" ht="17.25" customHeight="1">
      <c r="A128" s="178"/>
      <c r="B128" s="10">
        <v>2054560.0</v>
      </c>
      <c r="C128" s="11">
        <v>46093.63758101852</v>
      </c>
      <c r="D128" s="179" t="s">
        <v>50</v>
      </c>
      <c r="E128" s="180" t="s">
        <v>6456</v>
      </c>
      <c r="F128" s="181"/>
      <c r="G128" s="179" t="s">
        <v>1637</v>
      </c>
      <c r="H128" s="190"/>
      <c r="I128" s="190"/>
      <c r="J128" s="187" t="s">
        <v>3467</v>
      </c>
      <c r="K128" s="187"/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IFERROR(__xludf.DUMMYFUNCTION("ifna(VALUE(REGEXEXTRACT(E128,""[0-9.]+[,]+[0-9]+"")))"),20.06)</f>
        <v>20.06</v>
      </c>
      <c r="O128" s="332"/>
      <c r="P128" s="332"/>
      <c r="Q128" s="332"/>
      <c r="R128" s="332"/>
      <c r="S128" s="332"/>
      <c r="V128" s="281"/>
      <c r="W128" s="185"/>
    </row>
    <row r="129" ht="17.25" customHeight="1">
      <c r="A129" s="178"/>
      <c r="B129" s="10">
        <v>2054589.0</v>
      </c>
      <c r="C129" s="11">
        <v>46093.649872685186</v>
      </c>
      <c r="D129" s="179" t="s">
        <v>50</v>
      </c>
      <c r="E129" s="180" t="s">
        <v>6909</v>
      </c>
      <c r="F129" s="181"/>
      <c r="G129" s="179" t="s">
        <v>8049</v>
      </c>
      <c r="H129" s="190"/>
      <c r="I129" s="190"/>
      <c r="J129" s="187" t="s">
        <v>3903</v>
      </c>
      <c r="K129" s="187"/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185">
        <f>IFERROR(__xludf.DUMMYFUNCTION("ifna(VALUE(REGEXEXTRACT(E129,""[0-9.]+[,]+[0-9]+"")))"),75.0)</f>
        <v>75</v>
      </c>
      <c r="O129" s="331"/>
      <c r="P129" s="331"/>
      <c r="Q129" s="331"/>
      <c r="R129" s="331"/>
      <c r="S129" s="331"/>
      <c r="V129" s="279"/>
      <c r="W129" s="185"/>
    </row>
    <row r="130" ht="14.25" customHeight="1">
      <c r="A130" s="178"/>
      <c r="B130" s="10">
        <v>2055476.0</v>
      </c>
      <c r="C130" s="11">
        <v>46093.92105324074</v>
      </c>
      <c r="D130" s="179" t="s">
        <v>50</v>
      </c>
      <c r="E130" s="180" t="s">
        <v>6654</v>
      </c>
      <c r="F130" s="188"/>
      <c r="G130" s="179" t="s">
        <v>8050</v>
      </c>
      <c r="H130" s="190"/>
      <c r="I130" s="190"/>
      <c r="J130" s="187" t="s">
        <v>3825</v>
      </c>
      <c r="K130" s="187"/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IFERROR(__xludf.DUMMYFUNCTION("ifna(VALUE(REGEXEXTRACT(E130,""[0-9.]+[,]+[0-9]+"")))"),60.0)</f>
        <v>60</v>
      </c>
      <c r="O130" s="332"/>
      <c r="P130" s="332"/>
      <c r="Q130" s="332"/>
      <c r="R130" s="332"/>
      <c r="S130" s="332"/>
      <c r="V130" s="281"/>
      <c r="W130" s="185"/>
    </row>
    <row r="131" ht="14.25" customHeight="1">
      <c r="A131" s="178"/>
      <c r="B131" s="10">
        <v>2056246.0</v>
      </c>
      <c r="C131" s="11">
        <v>46094.638020833336</v>
      </c>
      <c r="D131" s="179" t="s">
        <v>50</v>
      </c>
      <c r="E131" s="180" t="s">
        <v>8051</v>
      </c>
      <c r="F131" s="181"/>
      <c r="G131" s="179" t="s">
        <v>8052</v>
      </c>
      <c r="H131" s="190"/>
      <c r="I131" s="190"/>
      <c r="J131" s="187" t="s">
        <v>3903</v>
      </c>
      <c r="K131" s="187"/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85">
        <f>IFERROR(__xludf.DUMMYFUNCTION("ifna(VALUE(REGEXEXTRACT(E131,""[0-9.]+[,]+[0-9]+"")))"),268.0)</f>
        <v>268</v>
      </c>
      <c r="O131" s="331"/>
      <c r="P131" s="331"/>
      <c r="Q131" s="331"/>
      <c r="R131" s="331"/>
      <c r="S131" s="331"/>
      <c r="V131" s="279"/>
      <c r="W131" s="185"/>
    </row>
    <row r="132" ht="14.25" customHeight="1">
      <c r="A132" s="178"/>
      <c r="B132" s="10">
        <v>2056457.0</v>
      </c>
      <c r="C132" s="11">
        <v>46094.690983796296</v>
      </c>
      <c r="D132" s="179" t="s">
        <v>50</v>
      </c>
      <c r="E132" s="180" t="s">
        <v>246</v>
      </c>
      <c r="F132" s="181"/>
      <c r="G132" s="179" t="s">
        <v>122</v>
      </c>
      <c r="H132" s="190"/>
      <c r="I132" s="190"/>
      <c r="J132" s="187" t="s">
        <v>3044</v>
      </c>
      <c r="K132" s="187" t="s">
        <v>6664</v>
      </c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>
        <f>IFERROR(__xludf.DUMMYFUNCTION("ifna(VALUE(REGEXEXTRACT(E132,""[0-9.]+[,]+[0-9]+"")))"),4.0)</f>
        <v>4</v>
      </c>
      <c r="O132" s="332"/>
      <c r="P132" s="332"/>
      <c r="Q132" s="332"/>
      <c r="R132" s="332"/>
      <c r="S132" s="332"/>
      <c r="V132" s="281"/>
      <c r="W132" s="185"/>
    </row>
    <row r="133" ht="14.25" customHeight="1">
      <c r="A133" s="178"/>
      <c r="B133" s="10">
        <v>2056880.0</v>
      </c>
      <c r="C133" s="11">
        <v>46094.78876157408</v>
      </c>
      <c r="D133" s="179" t="s">
        <v>50</v>
      </c>
      <c r="E133" s="180" t="s">
        <v>7544</v>
      </c>
      <c r="F133" s="181"/>
      <c r="G133" s="179" t="s">
        <v>8053</v>
      </c>
      <c r="H133" s="190"/>
      <c r="I133" s="190"/>
      <c r="J133" s="187" t="s">
        <v>3903</v>
      </c>
      <c r="K133" s="187"/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185">
        <f>IFERROR(__xludf.DUMMYFUNCTION("ifna(VALUE(REGEXEXTRACT(E133,""[0-9.]+[,]+[0-9]+"")))"),462.0)</f>
        <v>462</v>
      </c>
      <c r="O133" s="331"/>
      <c r="P133" s="331"/>
      <c r="Q133" s="331"/>
      <c r="R133" s="331"/>
      <c r="S133" s="331"/>
      <c r="V133" s="279"/>
      <c r="W133" s="185"/>
    </row>
    <row r="134" ht="14.25" customHeight="1">
      <c r="A134" s="178"/>
      <c r="B134" s="10">
        <v>2057094.0</v>
      </c>
      <c r="C134" s="11">
        <v>46094.86855324074</v>
      </c>
      <c r="D134" s="179" t="s">
        <v>50</v>
      </c>
      <c r="E134" s="180" t="s">
        <v>6536</v>
      </c>
      <c r="F134" s="181"/>
      <c r="G134" s="179" t="s">
        <v>8054</v>
      </c>
      <c r="H134" s="190"/>
      <c r="I134" s="190"/>
      <c r="J134" s="187" t="s">
        <v>3825</v>
      </c>
      <c r="K134" s="187"/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IFERROR(__xludf.DUMMYFUNCTION("ifna(VALUE(REGEXEXTRACT(E134,""[0-9.]+[,]+[0-9]+"")))"),72.0)</f>
        <v>72</v>
      </c>
      <c r="O134" s="332"/>
      <c r="P134" s="332"/>
      <c r="Q134" s="332"/>
      <c r="R134" s="332"/>
      <c r="S134" s="332"/>
      <c r="V134" s="281"/>
      <c r="W134" s="185"/>
    </row>
    <row r="135" ht="14.25" customHeight="1">
      <c r="A135" s="178"/>
      <c r="B135" s="10">
        <v>2058321.0</v>
      </c>
      <c r="C135" s="11">
        <v>46095.64726851852</v>
      </c>
      <c r="D135" s="179" t="s">
        <v>50</v>
      </c>
      <c r="E135" s="180" t="s">
        <v>8055</v>
      </c>
      <c r="F135" s="181"/>
      <c r="G135" s="179" t="s">
        <v>8056</v>
      </c>
      <c r="H135" s="190"/>
      <c r="I135" s="190"/>
      <c r="J135" s="187" t="s">
        <v>3466</v>
      </c>
      <c r="K135" s="187"/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IFERROR(__xludf.DUMMYFUNCTION("ifna(VALUE(REGEXEXTRACT(E135,""[0-9.]+[,]+[0-9]+"")))"),47.8)</f>
        <v>47.8</v>
      </c>
      <c r="O135" s="331"/>
      <c r="P135" s="331"/>
      <c r="Q135" s="331"/>
      <c r="R135" s="331"/>
      <c r="S135" s="331"/>
      <c r="V135" s="279"/>
      <c r="W135" s="185"/>
    </row>
    <row r="136" ht="14.25" customHeight="1">
      <c r="A136" s="178"/>
      <c r="B136" s="10">
        <v>2059099.0</v>
      </c>
      <c r="C136" s="11">
        <v>46095.81408564815</v>
      </c>
      <c r="D136" s="179" t="s">
        <v>50</v>
      </c>
      <c r="E136" s="180" t="s">
        <v>8017</v>
      </c>
      <c r="F136" s="181"/>
      <c r="G136" s="179" t="s">
        <v>8057</v>
      </c>
      <c r="H136" s="190"/>
      <c r="I136" s="190"/>
      <c r="J136" s="187" t="s">
        <v>3825</v>
      </c>
      <c r="K136" s="187"/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IFERROR(__xludf.DUMMYFUNCTION("ifna(VALUE(REGEXEXTRACT(E136,""[0-9.]+[,]+[0-9]+"")))"),97.5)</f>
        <v>97.5</v>
      </c>
      <c r="O136" s="332"/>
      <c r="P136" s="332"/>
      <c r="Q136" s="332"/>
      <c r="R136" s="332"/>
      <c r="S136" s="332"/>
      <c r="V136" s="281"/>
      <c r="W136" s="185"/>
    </row>
    <row r="137" ht="14.25" customHeight="1">
      <c r="A137" s="178"/>
      <c r="B137" s="10">
        <v>2059102.0</v>
      </c>
      <c r="C137" s="11">
        <v>46095.8146412037</v>
      </c>
      <c r="D137" s="179" t="s">
        <v>50</v>
      </c>
      <c r="E137" s="180" t="s">
        <v>3885</v>
      </c>
      <c r="F137" s="181"/>
      <c r="G137" s="179" t="s">
        <v>8058</v>
      </c>
      <c r="H137" s="190"/>
      <c r="I137" s="190"/>
      <c r="J137" s="187" t="s">
        <v>3825</v>
      </c>
      <c r="K137" s="187"/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IFERROR(__xludf.DUMMYFUNCTION("ifna(VALUE(REGEXEXTRACT(E137,""[0-9.]+[,]+[0-9]+"")))"),78.0)</f>
        <v>78</v>
      </c>
      <c r="O137" s="24"/>
      <c r="P137" s="24"/>
      <c r="Q137" s="24"/>
      <c r="R137" s="24"/>
      <c r="S137" s="24"/>
      <c r="T137" s="24"/>
      <c r="U137" s="185"/>
      <c r="V137" s="185"/>
      <c r="W137" s="185"/>
    </row>
    <row r="138" ht="14.25" customHeight="1">
      <c r="A138" s="178"/>
      <c r="B138" s="10">
        <v>2059146.0</v>
      </c>
      <c r="C138" s="11">
        <v>46095.824212962965</v>
      </c>
      <c r="D138" s="179" t="s">
        <v>50</v>
      </c>
      <c r="E138" s="180" t="s">
        <v>7791</v>
      </c>
      <c r="F138" s="181"/>
      <c r="G138" s="179" t="s">
        <v>8059</v>
      </c>
      <c r="H138" s="190"/>
      <c r="I138" s="190"/>
      <c r="J138" s="187" t="s">
        <v>3746</v>
      </c>
      <c r="K138" s="187" t="s">
        <v>7052</v>
      </c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"),"Depositada")</f>
        <v>Depositada</v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IFERROR(__xludf.DUMMYFUNCTION("ifna(VALUE(REGEXEXTRACT(E138,""[0-9.]+[,]+[0-9]+"")))"),1600.0)</f>
        <v>1600</v>
      </c>
      <c r="O138" s="24"/>
      <c r="P138" s="24"/>
      <c r="Q138" s="24"/>
      <c r="R138" s="24"/>
      <c r="S138" s="24"/>
      <c r="T138" s="24"/>
      <c r="U138" s="185"/>
      <c r="V138" s="185"/>
      <c r="W138" s="185"/>
    </row>
    <row r="139" ht="14.25" customHeight="1">
      <c r="A139" s="178"/>
      <c r="B139" s="10">
        <v>2059501.0</v>
      </c>
      <c r="C139" s="11">
        <v>46095.89332175926</v>
      </c>
      <c r="D139" s="179" t="s">
        <v>50</v>
      </c>
      <c r="E139" s="180" t="s">
        <v>6844</v>
      </c>
      <c r="F139" s="181"/>
      <c r="G139" s="179" t="s">
        <v>8060</v>
      </c>
      <c r="H139" s="190"/>
      <c r="I139" s="190"/>
      <c r="J139" s="187" t="s">
        <v>3825</v>
      </c>
      <c r="K139" s="187"/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IFERROR(__xludf.DUMMYFUNCTION("ifna(VALUE(REGEXEXTRACT(E139,""[0-9.]+[,]+[0-9]+"")))"),123.5)</f>
        <v>123.5</v>
      </c>
      <c r="O139" s="185"/>
      <c r="P139" s="185"/>
      <c r="Q139" s="185"/>
      <c r="R139" s="185"/>
      <c r="S139" s="185"/>
      <c r="T139" s="185"/>
      <c r="U139" s="185"/>
      <c r="V139" s="185"/>
      <c r="W139" s="185"/>
    </row>
    <row r="140" ht="14.25" customHeight="1">
      <c r="A140" s="178"/>
      <c r="B140" s="10">
        <v>2059709.0</v>
      </c>
      <c r="C140" s="11">
        <v>46095.91111111111</v>
      </c>
      <c r="D140" s="179" t="s">
        <v>50</v>
      </c>
      <c r="E140" s="180" t="s">
        <v>427</v>
      </c>
      <c r="F140" s="181"/>
      <c r="G140" s="179" t="s">
        <v>7666</v>
      </c>
      <c r="H140" s="190"/>
      <c r="I140" s="190"/>
      <c r="J140" s="187" t="s">
        <v>3044</v>
      </c>
      <c r="K140" s="187" t="s">
        <v>7052</v>
      </c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IFERROR(__xludf.DUMMYFUNCTION("ifna(VALUE(REGEXEXTRACT(E140,""[0-9.]+[,]+[0-9]+"")))"),15.0)</f>
        <v>15</v>
      </c>
      <c r="O140" s="185"/>
      <c r="P140" s="185"/>
      <c r="Q140" s="185"/>
      <c r="R140" s="185"/>
      <c r="S140" s="185"/>
      <c r="T140" s="185"/>
      <c r="U140" s="185"/>
      <c r="V140" s="185"/>
      <c r="W140" s="185"/>
    </row>
    <row r="141" ht="14.25" customHeight="1">
      <c r="A141" s="178"/>
      <c r="B141" s="10">
        <v>2061363.0</v>
      </c>
      <c r="C141" s="11">
        <v>46096.718668981484</v>
      </c>
      <c r="D141" s="179" t="s">
        <v>50</v>
      </c>
      <c r="E141" s="180" t="s">
        <v>8061</v>
      </c>
      <c r="F141" s="181"/>
      <c r="G141" s="179" t="s">
        <v>8062</v>
      </c>
      <c r="H141" s="190"/>
      <c r="I141" s="190"/>
      <c r="J141" s="187" t="s">
        <v>3903</v>
      </c>
      <c r="K141" s="187"/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185">
        <f>IFERROR(__xludf.DUMMYFUNCTION("ifna(VALUE(REGEXEXTRACT(E141,""[0-9.]+[,]+[0-9]+"")))"),80.23)</f>
        <v>80.23</v>
      </c>
      <c r="O141" s="185"/>
      <c r="P141" s="185"/>
      <c r="Q141" s="185"/>
      <c r="R141" s="185"/>
      <c r="S141" s="185"/>
      <c r="T141" s="185"/>
      <c r="U141" s="185"/>
      <c r="V141" s="185"/>
      <c r="W141" s="185"/>
    </row>
    <row r="142" ht="14.25" customHeight="1">
      <c r="A142" s="178"/>
      <c r="B142" s="10">
        <v>2061496.0</v>
      </c>
      <c r="C142" s="11">
        <v>46096.74068287037</v>
      </c>
      <c r="D142" s="179" t="s">
        <v>50</v>
      </c>
      <c r="E142" s="180" t="s">
        <v>8063</v>
      </c>
      <c r="F142" s="181"/>
      <c r="G142" s="179" t="s">
        <v>8064</v>
      </c>
      <c r="H142" s="190"/>
      <c r="I142" s="190"/>
      <c r="J142" s="187" t="s">
        <v>3903</v>
      </c>
      <c r="K142" s="187"/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"""")"),"Encontrada")</f>
        <v>Encontrada</v>
      </c>
      <c r="N142" s="185">
        <f>IFERROR(__xludf.DUMMYFUNCTION("ifna(VALUE(REGEXEXTRACT(E142,""[0-9.]+[,]+[0-9]+"")))"),505.87)</f>
        <v>505.87</v>
      </c>
      <c r="O142" s="185"/>
      <c r="P142" s="185"/>
      <c r="Q142" s="185"/>
      <c r="R142" s="185"/>
      <c r="S142" s="185"/>
      <c r="T142" s="185"/>
      <c r="U142" s="185"/>
      <c r="V142" s="185"/>
      <c r="W142" s="185"/>
    </row>
    <row r="143" ht="14.25" customHeight="1">
      <c r="A143" s="178"/>
      <c r="B143" s="10">
        <v>2061503.0</v>
      </c>
      <c r="C143" s="11">
        <v>46096.74208333333</v>
      </c>
      <c r="D143" s="179" t="s">
        <v>50</v>
      </c>
      <c r="E143" s="180" t="s">
        <v>8065</v>
      </c>
      <c r="F143" s="181"/>
      <c r="G143" s="179" t="s">
        <v>8066</v>
      </c>
      <c r="H143" s="190"/>
      <c r="I143" s="190"/>
      <c r="J143" s="187" t="s">
        <v>3903</v>
      </c>
      <c r="K143" s="187"/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"""")"),"Encontrada")</f>
        <v>Encontrada</v>
      </c>
      <c r="N143" s="185">
        <f>IFERROR(__xludf.DUMMYFUNCTION("ifna(VALUE(REGEXEXTRACT(E143,""[0-9.]+[,]+[0-9]+"")))"),291.03)</f>
        <v>291.03</v>
      </c>
      <c r="O143" s="185"/>
      <c r="P143" s="185"/>
      <c r="Q143" s="185"/>
      <c r="R143" s="185"/>
      <c r="S143" s="185"/>
      <c r="T143" s="185"/>
      <c r="U143" s="185"/>
      <c r="V143" s="185"/>
      <c r="W143" s="185"/>
    </row>
    <row r="144" ht="14.25" customHeight="1">
      <c r="A144" s="178"/>
      <c r="B144" s="10">
        <v>2062499.0</v>
      </c>
      <c r="C144" s="11">
        <v>46096.878645833334</v>
      </c>
      <c r="D144" s="179" t="s">
        <v>50</v>
      </c>
      <c r="E144" s="180" t="s">
        <v>4300</v>
      </c>
      <c r="F144" s="188"/>
      <c r="G144" s="179" t="s">
        <v>8067</v>
      </c>
      <c r="H144" s="190"/>
      <c r="I144" s="190"/>
      <c r="J144" s="187" t="s">
        <v>3825</v>
      </c>
      <c r="K144" s="187"/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IFERROR(__xludf.DUMMYFUNCTION("ifna(VALUE(REGEXEXTRACT(E144,""[0-9.]+[,]+[0-9]+"")))"),104.0)</f>
        <v>104</v>
      </c>
      <c r="O144" s="185"/>
      <c r="P144" s="185"/>
      <c r="Q144" s="185"/>
      <c r="R144" s="185"/>
      <c r="S144" s="185"/>
      <c r="T144" s="185"/>
      <c r="U144" s="185"/>
      <c r="V144" s="185"/>
      <c r="W144" s="185"/>
    </row>
    <row r="145" ht="14.25" customHeight="1">
      <c r="A145" s="178"/>
      <c r="B145" s="10">
        <v>2062654.0</v>
      </c>
      <c r="C145" s="11">
        <v>46096.89681712963</v>
      </c>
      <c r="D145" s="179" t="s">
        <v>50</v>
      </c>
      <c r="E145" s="180" t="s">
        <v>157</v>
      </c>
      <c r="F145" s="181"/>
      <c r="G145" s="179" t="s">
        <v>94</v>
      </c>
      <c r="H145" s="190"/>
      <c r="I145" s="190"/>
      <c r="J145" s="187" t="s">
        <v>3044</v>
      </c>
      <c r="K145" s="187" t="s">
        <v>7058</v>
      </c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IFERROR(__xludf.DUMMYFUNCTION("ifna(VALUE(REGEXEXTRACT(E145,""[0-9.]+[,]+[0-9]+"")))"),5.0)</f>
        <v>5</v>
      </c>
      <c r="O145" s="185"/>
      <c r="P145" s="185"/>
      <c r="Q145" s="185"/>
      <c r="R145" s="185"/>
      <c r="S145" s="185"/>
      <c r="T145" s="185"/>
      <c r="U145" s="185"/>
      <c r="V145" s="185"/>
      <c r="W145" s="185"/>
    </row>
    <row r="146" ht="16.5" customHeight="1">
      <c r="A146" s="178"/>
      <c r="B146" s="10">
        <v>2063112.0</v>
      </c>
      <c r="C146" s="11">
        <v>46096.92444444444</v>
      </c>
      <c r="D146" s="179" t="s">
        <v>50</v>
      </c>
      <c r="E146" s="180" t="s">
        <v>8068</v>
      </c>
      <c r="F146" s="181"/>
      <c r="G146" s="179" t="s">
        <v>94</v>
      </c>
      <c r="H146" s="190"/>
      <c r="I146" s="190"/>
      <c r="J146" s="187" t="s">
        <v>3044</v>
      </c>
      <c r="K146" s="187" t="s">
        <v>7058</v>
      </c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IFERROR(__xludf.DUMMYFUNCTION("ifna(VALUE(REGEXEXTRACT(E146,""[0-9.]+[,]+[0-9]+"")))"),32.84)</f>
        <v>32.84</v>
      </c>
      <c r="O146" s="185"/>
      <c r="P146" s="185"/>
      <c r="Q146" s="185"/>
      <c r="R146" s="185"/>
      <c r="S146" s="185"/>
      <c r="T146" s="185"/>
      <c r="U146" s="185"/>
      <c r="V146" s="185"/>
      <c r="W146" s="185"/>
    </row>
    <row r="147" ht="14.25" customHeight="1">
      <c r="A147" s="178"/>
      <c r="B147" s="10">
        <v>2063155.0</v>
      </c>
      <c r="C147" s="11">
        <v>46096.926770833335</v>
      </c>
      <c r="D147" s="179" t="s">
        <v>50</v>
      </c>
      <c r="E147" s="180" t="s">
        <v>8069</v>
      </c>
      <c r="F147" s="181"/>
      <c r="G147" s="179" t="s">
        <v>122</v>
      </c>
      <c r="H147" s="190"/>
      <c r="I147" s="190"/>
      <c r="J147" s="187" t="s">
        <v>3044</v>
      </c>
      <c r="K147" s="187" t="s">
        <v>6664</v>
      </c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IFERROR(__xludf.DUMMYFUNCTION("ifna(VALUE(REGEXEXTRACT(E147,""[0-9.]+[,]+[0-9]+"")))"),20.59)</f>
        <v>20.59</v>
      </c>
      <c r="O147" s="185"/>
      <c r="P147" s="185"/>
      <c r="Q147" s="185"/>
      <c r="R147" s="185"/>
      <c r="S147" s="185"/>
      <c r="T147" s="185"/>
      <c r="U147" s="185"/>
      <c r="V147" s="185"/>
      <c r="W147" s="185"/>
    </row>
    <row r="148" ht="14.25" customHeight="1">
      <c r="A148" s="178"/>
      <c r="B148" s="10">
        <v>2063159.0</v>
      </c>
      <c r="C148" s="11">
        <v>46096.92697916667</v>
      </c>
      <c r="D148" s="179" t="s">
        <v>50</v>
      </c>
      <c r="E148" s="180" t="s">
        <v>157</v>
      </c>
      <c r="F148" s="181"/>
      <c r="G148" s="179" t="s">
        <v>94</v>
      </c>
      <c r="H148" s="190"/>
      <c r="I148" s="190"/>
      <c r="J148" s="187" t="s">
        <v>3044</v>
      </c>
      <c r="K148" s="187" t="s">
        <v>7058</v>
      </c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IFERROR(__xludf.DUMMYFUNCTION("ifna(VALUE(REGEXEXTRACT(E148,""[0-9.]+[,]+[0-9]+"")))"),5.0)</f>
        <v>5</v>
      </c>
      <c r="O148" s="185"/>
      <c r="P148" s="185"/>
      <c r="Q148" s="185"/>
      <c r="R148" s="185"/>
      <c r="S148" s="185"/>
      <c r="T148" s="185"/>
      <c r="U148" s="185"/>
      <c r="V148" s="185"/>
      <c r="W148" s="185"/>
    </row>
    <row r="149" ht="14.25" customHeight="1">
      <c r="A149" s="178"/>
      <c r="B149" s="10">
        <v>2063184.0</v>
      </c>
      <c r="C149" s="11">
        <v>46096.92834490741</v>
      </c>
      <c r="D149" s="179" t="s">
        <v>50</v>
      </c>
      <c r="E149" s="180" t="s">
        <v>6362</v>
      </c>
      <c r="F149" s="181"/>
      <c r="G149" s="179" t="s">
        <v>8070</v>
      </c>
      <c r="H149" s="190"/>
      <c r="I149" s="190"/>
      <c r="J149" s="187" t="s">
        <v>3825</v>
      </c>
      <c r="K149" s="187"/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IFERROR(__xludf.DUMMYFUNCTION("ifna(VALUE(REGEXEXTRACT(E149,""[0-9.]+[,]+[0-9]+"")))"),111.0)</f>
        <v>111</v>
      </c>
      <c r="O149" s="185"/>
      <c r="P149" s="185"/>
      <c r="Q149" s="185"/>
      <c r="R149" s="185"/>
      <c r="S149" s="185"/>
      <c r="T149" s="185"/>
      <c r="U149" s="185"/>
      <c r="V149" s="185"/>
      <c r="W149" s="185"/>
    </row>
    <row r="150" ht="14.25" customHeight="1">
      <c r="A150" s="178"/>
      <c r="B150" s="10">
        <v>2063218.0</v>
      </c>
      <c r="C150" s="11">
        <v>46096.93</v>
      </c>
      <c r="D150" s="179" t="s">
        <v>50</v>
      </c>
      <c r="E150" s="180" t="s">
        <v>3899</v>
      </c>
      <c r="F150" s="188"/>
      <c r="G150" s="179" t="s">
        <v>8071</v>
      </c>
      <c r="H150" s="190"/>
      <c r="I150" s="190"/>
      <c r="J150" s="187" t="s">
        <v>3746</v>
      </c>
      <c r="K150" s="187" t="s">
        <v>7058</v>
      </c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"),"Depositada")</f>
        <v>Depositada</v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IFERROR(__xludf.DUMMYFUNCTION("ifna(VALUE(REGEXEXTRACT(E150,""[0-9.]+[,]+[0-9]+"")))"),1000.0)</f>
        <v>1000</v>
      </c>
      <c r="O150" s="185"/>
      <c r="P150" s="185"/>
      <c r="Q150" s="185"/>
      <c r="R150" s="185"/>
      <c r="S150" s="185"/>
      <c r="T150" s="185"/>
      <c r="U150" s="185"/>
      <c r="V150" s="185"/>
      <c r="W150" s="185"/>
    </row>
    <row r="151" ht="14.25" customHeight="1">
      <c r="A151" s="178"/>
      <c r="B151" s="10">
        <v>2064808.0</v>
      </c>
      <c r="C151" s="11">
        <v>46097.75962962963</v>
      </c>
      <c r="D151" s="179" t="s">
        <v>50</v>
      </c>
      <c r="E151" s="180" t="s">
        <v>7186</v>
      </c>
      <c r="F151" s="181"/>
      <c r="G151" s="179" t="s">
        <v>7666</v>
      </c>
      <c r="H151" s="190"/>
      <c r="I151" s="190"/>
      <c r="J151" s="187" t="s">
        <v>3044</v>
      </c>
      <c r="K151" s="187" t="s">
        <v>7052</v>
      </c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IFERROR(__xludf.DUMMYFUNCTION("ifna(VALUE(REGEXEXTRACT(E151,""[0-9.]+[,]+[0-9]+"")))"),28.0)</f>
        <v>28</v>
      </c>
      <c r="O151" s="185"/>
      <c r="P151" s="185"/>
      <c r="Q151" s="185"/>
      <c r="R151" s="185"/>
      <c r="S151" s="185"/>
      <c r="T151" s="185"/>
      <c r="U151" s="185"/>
      <c r="V151" s="185"/>
      <c r="W151" s="185"/>
    </row>
    <row r="152" ht="14.25" customHeight="1">
      <c r="A152" s="178"/>
      <c r="B152" s="10">
        <v>2064821.0</v>
      </c>
      <c r="C152" s="11">
        <v>46097.761712962965</v>
      </c>
      <c r="D152" s="179" t="s">
        <v>50</v>
      </c>
      <c r="E152" s="180" t="s">
        <v>8072</v>
      </c>
      <c r="F152" s="181"/>
      <c r="G152" s="179" t="s">
        <v>122</v>
      </c>
      <c r="H152" s="190"/>
      <c r="I152" s="190"/>
      <c r="J152" s="187" t="s">
        <v>3044</v>
      </c>
      <c r="K152" s="187" t="s">
        <v>6664</v>
      </c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IFERROR(__xludf.DUMMYFUNCTION("ifna(VALUE(REGEXEXTRACT(E152,""[0-9.]+[,]+[0-9]+"")))"),7.8)</f>
        <v>7.8</v>
      </c>
      <c r="O152" s="185"/>
      <c r="P152" s="185"/>
      <c r="Q152" s="185"/>
      <c r="R152" s="185"/>
      <c r="S152" s="185"/>
      <c r="T152" s="185"/>
      <c r="U152" s="185"/>
      <c r="V152" s="185"/>
      <c r="W152" s="185"/>
    </row>
    <row r="153" ht="14.25" customHeight="1">
      <c r="A153" s="178"/>
      <c r="B153" s="10">
        <v>2065426.0</v>
      </c>
      <c r="C153" s="11">
        <v>46097.91657407407</v>
      </c>
      <c r="D153" s="179" t="s">
        <v>50</v>
      </c>
      <c r="E153" s="180" t="s">
        <v>157</v>
      </c>
      <c r="F153" s="181"/>
      <c r="G153" s="179" t="s">
        <v>7793</v>
      </c>
      <c r="H153" s="190"/>
      <c r="I153" s="190"/>
      <c r="J153" s="187" t="s">
        <v>3044</v>
      </c>
      <c r="K153" s="187" t="s">
        <v>6340</v>
      </c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IFERROR(__xludf.DUMMYFUNCTION("ifna(VALUE(REGEXEXTRACT(E153,""[0-9.]+[,]+[0-9]+"")))"),5.0)</f>
        <v>5</v>
      </c>
      <c r="O153" s="185"/>
      <c r="P153" s="185"/>
      <c r="Q153" s="185"/>
      <c r="R153" s="185"/>
      <c r="S153" s="185"/>
      <c r="T153" s="185"/>
      <c r="U153" s="185"/>
      <c r="V153" s="185"/>
      <c r="W153" s="185"/>
    </row>
    <row r="154" ht="14.25" customHeight="1">
      <c r="A154" s="178"/>
      <c r="B154" s="10">
        <v>2065635.0</v>
      </c>
      <c r="C154" s="11">
        <v>46097.93502314815</v>
      </c>
      <c r="D154" s="179" t="s">
        <v>50</v>
      </c>
      <c r="E154" s="180" t="s">
        <v>6545</v>
      </c>
      <c r="F154" s="181"/>
      <c r="G154" s="179" t="s">
        <v>7793</v>
      </c>
      <c r="H154" s="190"/>
      <c r="I154" s="190"/>
      <c r="J154" s="187" t="s">
        <v>3044</v>
      </c>
      <c r="K154" s="187" t="s">
        <v>6340</v>
      </c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IFERROR(__xludf.DUMMYFUNCTION("ifna(VALUE(REGEXEXTRACT(E154,""[0-9.]+[,]+[0-9]+"")))"),20.0)</f>
        <v>20</v>
      </c>
      <c r="O154" s="185"/>
      <c r="P154" s="185"/>
      <c r="Q154" s="185"/>
      <c r="R154" s="185"/>
      <c r="S154" s="185"/>
      <c r="T154" s="185"/>
      <c r="U154" s="185"/>
      <c r="V154" s="185"/>
      <c r="W154" s="185"/>
    </row>
    <row r="155" ht="14.25" customHeight="1">
      <c r="A155" s="178"/>
      <c r="B155" s="10">
        <v>2065642.0</v>
      </c>
      <c r="C155" s="11">
        <v>46097.93591435185</v>
      </c>
      <c r="D155" s="179" t="s">
        <v>50</v>
      </c>
      <c r="E155" s="180" t="s">
        <v>1158</v>
      </c>
      <c r="F155" s="181"/>
      <c r="G155" s="179" t="s">
        <v>8073</v>
      </c>
      <c r="H155" s="190"/>
      <c r="I155" s="190"/>
      <c r="J155" s="187" t="s">
        <v>3746</v>
      </c>
      <c r="K155" s="187" t="s">
        <v>7058</v>
      </c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"),"Depositada")</f>
        <v>Depositada</v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IFERROR(__xludf.DUMMYFUNCTION("ifna(VALUE(REGEXEXTRACT(E155,""[0-9.]+[,]+[0-9]+"")))"),800.0)</f>
        <v>800</v>
      </c>
      <c r="O155" s="185"/>
      <c r="P155" s="185"/>
      <c r="Q155" s="185"/>
      <c r="R155" s="185"/>
      <c r="S155" s="185"/>
      <c r="T155" s="185"/>
      <c r="U155" s="185"/>
      <c r="V155" s="185"/>
      <c r="W155" s="185"/>
    </row>
    <row r="156" ht="14.25" customHeight="1">
      <c r="A156" s="178"/>
      <c r="B156" s="10">
        <v>2066116.0</v>
      </c>
      <c r="C156" s="11">
        <v>46098.563055555554</v>
      </c>
      <c r="D156" s="179" t="s">
        <v>50</v>
      </c>
      <c r="E156" s="180" t="s">
        <v>246</v>
      </c>
      <c r="F156" s="181"/>
      <c r="G156" s="179" t="s">
        <v>122</v>
      </c>
      <c r="H156" s="190"/>
      <c r="I156" s="190"/>
      <c r="J156" s="187" t="s">
        <v>3044</v>
      </c>
      <c r="K156" s="187" t="s">
        <v>6664</v>
      </c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IFERROR(__xludf.DUMMYFUNCTION("ifna(VALUE(REGEXEXTRACT(E156,""[0-9.]+[,]+[0-9]+"")))"),4.0)</f>
        <v>4</v>
      </c>
      <c r="O156" s="185"/>
      <c r="P156" s="185"/>
      <c r="Q156" s="185"/>
      <c r="R156" s="185"/>
      <c r="S156" s="185"/>
      <c r="T156" s="185"/>
      <c r="U156" s="185"/>
      <c r="V156" s="185"/>
      <c r="W156" s="185"/>
    </row>
    <row r="157" ht="14.25" customHeight="1">
      <c r="A157" s="178"/>
      <c r="B157" s="10">
        <v>2066463.0</v>
      </c>
      <c r="C157" s="11">
        <v>46098.68509259259</v>
      </c>
      <c r="D157" s="179" t="s">
        <v>50</v>
      </c>
      <c r="E157" s="180" t="s">
        <v>8074</v>
      </c>
      <c r="F157" s="181"/>
      <c r="G157" s="179" t="s">
        <v>8075</v>
      </c>
      <c r="H157" s="190"/>
      <c r="I157" s="190"/>
      <c r="J157" s="187" t="s">
        <v>3903</v>
      </c>
      <c r="K157" s="187"/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"""")"),"Encontrada")</f>
        <v>Encontrada</v>
      </c>
      <c r="N157" s="185">
        <f>IFERROR(__xludf.DUMMYFUNCTION("ifna(VALUE(REGEXEXTRACT(E157,""[0-9.]+[,]+[0-9]+"")))"),77.93)</f>
        <v>77.93</v>
      </c>
      <c r="O157" s="185"/>
      <c r="P157" s="185"/>
      <c r="Q157" s="185"/>
      <c r="R157" s="185"/>
      <c r="S157" s="185"/>
      <c r="T157" s="185"/>
      <c r="U157" s="185"/>
      <c r="V157" s="185"/>
      <c r="W157" s="185"/>
    </row>
    <row r="158" ht="19.5" customHeight="1">
      <c r="A158" s="178"/>
      <c r="B158" s="10">
        <v>2066464.0</v>
      </c>
      <c r="C158" s="11">
        <v>46098.68545138889</v>
      </c>
      <c r="D158" s="179" t="s">
        <v>50</v>
      </c>
      <c r="E158" s="180" t="s">
        <v>8076</v>
      </c>
      <c r="F158" s="188"/>
      <c r="G158" s="179" t="s">
        <v>8077</v>
      </c>
      <c r="H158" s="190"/>
      <c r="I158" s="190"/>
      <c r="J158" s="187" t="s">
        <v>3903</v>
      </c>
      <c r="K158" s="187"/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"""")"),"Encontrada")</f>
        <v>Encontrada</v>
      </c>
      <c r="N158" s="185">
        <f>IFERROR(__xludf.DUMMYFUNCTION("ifna(VALUE(REGEXEXTRACT(E158,""[0-9.]+[,]+[0-9]+"")))"),46.45)</f>
        <v>46.45</v>
      </c>
      <c r="O158" s="185"/>
      <c r="P158" s="185"/>
      <c r="Q158" s="185"/>
      <c r="R158" s="185"/>
      <c r="S158" s="185"/>
      <c r="T158" s="185"/>
      <c r="U158" s="185"/>
      <c r="V158" s="185"/>
      <c r="W158" s="185"/>
    </row>
    <row r="159" ht="18.75" customHeight="1">
      <c r="A159" s="178"/>
      <c r="B159" s="10">
        <v>2067294.0</v>
      </c>
      <c r="C159" s="11">
        <v>46098.91150462963</v>
      </c>
      <c r="D159" s="179" t="s">
        <v>50</v>
      </c>
      <c r="E159" s="180" t="s">
        <v>8078</v>
      </c>
      <c r="F159" s="181"/>
      <c r="G159" s="179" t="s">
        <v>7793</v>
      </c>
      <c r="H159" s="190"/>
      <c r="I159" s="190"/>
      <c r="J159" s="187" t="s">
        <v>3044</v>
      </c>
      <c r="K159" s="187" t="s">
        <v>6340</v>
      </c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IFERROR(__xludf.DUMMYFUNCTION("ifna(VALUE(REGEXEXTRACT(E159,""[0-9.]+[,]+[0-9]+"")))"),18.54)</f>
        <v>18.54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</row>
    <row r="160" ht="16.5" customHeight="1">
      <c r="A160" s="178"/>
      <c r="B160" s="10">
        <v>2067995.0</v>
      </c>
      <c r="C160" s="11">
        <v>46099.5928587963</v>
      </c>
      <c r="D160" s="179" t="s">
        <v>227</v>
      </c>
      <c r="E160" s="180" t="s">
        <v>194</v>
      </c>
      <c r="F160" s="181"/>
      <c r="G160" s="179" t="s">
        <v>8079</v>
      </c>
      <c r="H160" s="190"/>
      <c r="I160" s="190"/>
      <c r="J160" s="187" t="s">
        <v>4159</v>
      </c>
      <c r="K160" s="187"/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IFERROR(__xludf.DUMMYFUNCTION("ifna(VALUE(REGEXEXTRACT(E160,""[0-9.]+[,]+[0-9]+"")))"),250.0)</f>
        <v>250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6.5" customHeight="1">
      <c r="A161" s="178"/>
      <c r="B161" s="10">
        <v>2067998.0</v>
      </c>
      <c r="C161" s="11">
        <v>46099.59386574074</v>
      </c>
      <c r="D161" s="179" t="s">
        <v>50</v>
      </c>
      <c r="E161" s="180" t="s">
        <v>8080</v>
      </c>
      <c r="F161" s="181"/>
      <c r="G161" s="179" t="s">
        <v>8081</v>
      </c>
      <c r="H161" s="190"/>
      <c r="I161" s="190"/>
      <c r="J161" s="187" t="s">
        <v>3903</v>
      </c>
      <c r="K161" s="187"/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185">
        <f>IFERROR(__xludf.DUMMYFUNCTION("ifna(VALUE(REGEXEXTRACT(E161,""[0-9.]+[,]+[0-9]+"")))"),297.1)</f>
        <v>297.1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0">
        <v>2068179.0</v>
      </c>
      <c r="C162" s="11">
        <v>46099.66431712963</v>
      </c>
      <c r="D162" s="179" t="s">
        <v>50</v>
      </c>
      <c r="E162" s="180" t="s">
        <v>1516</v>
      </c>
      <c r="F162" s="181"/>
      <c r="G162" s="179" t="s">
        <v>8082</v>
      </c>
      <c r="H162" s="190"/>
      <c r="I162" s="190"/>
      <c r="J162" s="187" t="s">
        <v>3467</v>
      </c>
      <c r="K162" s="187"/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>
        <f>IFERROR(__xludf.DUMMYFUNCTION("ifna(VALUE(REGEXEXTRACT(E162,""[0-9.]+[,]+[0-9]+"")))"),20.96)</f>
        <v>20.96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0">
        <v>2068565.0</v>
      </c>
      <c r="C163" s="11">
        <v>46099.7533912037</v>
      </c>
      <c r="D163" s="179" t="s">
        <v>50</v>
      </c>
      <c r="E163" s="180" t="s">
        <v>8083</v>
      </c>
      <c r="F163" s="188"/>
      <c r="G163" s="179" t="s">
        <v>8084</v>
      </c>
      <c r="H163" s="190"/>
      <c r="I163" s="190"/>
      <c r="J163" s="187" t="s">
        <v>3903</v>
      </c>
      <c r="K163" s="187"/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"""")"),"Encontrada")</f>
        <v>Encontrada</v>
      </c>
      <c r="N163" s="185">
        <f>IFERROR(__xludf.DUMMYFUNCTION("ifna(VALUE(REGEXEXTRACT(E163,""[0-9.]+[,]+[0-9]+"")))"),68.0)</f>
        <v>68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0">
        <v>2070002.0</v>
      </c>
      <c r="C164" s="11">
        <v>46100.62019675926</v>
      </c>
      <c r="D164" s="179" t="s">
        <v>50</v>
      </c>
      <c r="E164" s="180" t="s">
        <v>871</v>
      </c>
      <c r="F164" s="181"/>
      <c r="G164" s="179" t="s">
        <v>122</v>
      </c>
      <c r="H164" s="190"/>
      <c r="I164" s="190"/>
      <c r="J164" s="187" t="s">
        <v>3044</v>
      </c>
      <c r="K164" s="187" t="s">
        <v>6664</v>
      </c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IFERROR(__xludf.DUMMYFUNCTION("ifna(VALUE(REGEXEXTRACT(E164,""[0-9.]+[,]+[0-9]+"")))"),9.0)</f>
        <v>9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0">
        <v>2070057.0</v>
      </c>
      <c r="C165" s="11">
        <v>46100.639398148145</v>
      </c>
      <c r="D165" s="179" t="s">
        <v>50</v>
      </c>
      <c r="E165" s="180" t="s">
        <v>8085</v>
      </c>
      <c r="F165" s="181"/>
      <c r="G165" s="179" t="s">
        <v>8086</v>
      </c>
      <c r="H165" s="190"/>
      <c r="I165" s="190"/>
      <c r="J165" s="187" t="s">
        <v>3903</v>
      </c>
      <c r="K165" s="187"/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"""")"),"Encontrada")</f>
        <v>Encontrada</v>
      </c>
      <c r="N165" s="185">
        <f>IFERROR(__xludf.DUMMYFUNCTION("ifna(VALUE(REGEXEXTRACT(E165,""[0-9.]+[,]+[0-9]+"")))"),205.2)</f>
        <v>205.2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0">
        <v>2070143.0</v>
      </c>
      <c r="C166" s="11">
        <v>46100.66260416667</v>
      </c>
      <c r="D166" s="179" t="s">
        <v>50</v>
      </c>
      <c r="E166" s="180" t="s">
        <v>8087</v>
      </c>
      <c r="F166" s="181"/>
      <c r="G166" s="179" t="s">
        <v>8088</v>
      </c>
      <c r="H166" s="190"/>
      <c r="I166" s="190"/>
      <c r="J166" s="187" t="s">
        <v>3466</v>
      </c>
      <c r="K166" s="187"/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>
        <f>IFERROR(__xludf.DUMMYFUNCTION("ifna(VALUE(REGEXEXTRACT(E166,""[0-9.]+[,]+[0-9]+"")))"),30.42)</f>
        <v>30.42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0">
        <v>2070779.0</v>
      </c>
      <c r="C167" s="11">
        <v>46100.85650462963</v>
      </c>
      <c r="D167" s="179" t="s">
        <v>50</v>
      </c>
      <c r="E167" s="180" t="s">
        <v>329</v>
      </c>
      <c r="F167" s="181"/>
      <c r="G167" s="179" t="s">
        <v>8089</v>
      </c>
      <c r="H167" s="190"/>
      <c r="I167" s="190"/>
      <c r="J167" s="187" t="s">
        <v>4159</v>
      </c>
      <c r="K167" s="187"/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>
        <f>IFERROR(__xludf.DUMMYFUNCTION("ifna(VALUE(REGEXEXTRACT(E167,""[0-9.]+[,]+[0-9]+"")))"),200.0)</f>
        <v>200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0">
        <v>2070780.0</v>
      </c>
      <c r="C168" s="11">
        <v>46100.8575</v>
      </c>
      <c r="D168" s="179" t="s">
        <v>227</v>
      </c>
      <c r="E168" s="180" t="s">
        <v>8090</v>
      </c>
      <c r="F168" s="181"/>
      <c r="G168" s="179" t="s">
        <v>8091</v>
      </c>
      <c r="H168" s="190"/>
      <c r="I168" s="190"/>
      <c r="J168" s="187"/>
      <c r="K168" s="187"/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>
        <f>IFERROR(__xludf.DUMMYFUNCTION("ifna(VALUE(REGEXEXTRACT(E168,""[0-9.]+[,]+[0-9]+"")))"),217.0)</f>
        <v>217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0">
        <v>2071155.0</v>
      </c>
      <c r="C169" s="11">
        <v>46100.925150462965</v>
      </c>
      <c r="D169" s="179" t="s">
        <v>50</v>
      </c>
      <c r="E169" s="180" t="s">
        <v>494</v>
      </c>
      <c r="F169" s="188"/>
      <c r="G169" s="179" t="s">
        <v>8092</v>
      </c>
      <c r="H169" s="190"/>
      <c r="I169" s="190"/>
      <c r="J169" s="187"/>
      <c r="K169" s="187"/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>
        <f>IFERROR(__xludf.DUMMYFUNCTION("ifna(VALUE(REGEXEXTRACT(E169,""[0-9.]+[,]+[0-9]+"")))"),0.01)</f>
        <v>0.01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0">
        <v>2071727.0</v>
      </c>
      <c r="C170" s="11">
        <v>46101.573171296295</v>
      </c>
      <c r="D170" s="179" t="s">
        <v>50</v>
      </c>
      <c r="E170" s="180" t="s">
        <v>6731</v>
      </c>
      <c r="F170" s="181"/>
      <c r="G170" s="179" t="s">
        <v>8094</v>
      </c>
      <c r="H170" s="190"/>
      <c r="I170" s="190"/>
      <c r="J170" s="187" t="s">
        <v>4159</v>
      </c>
      <c r="K170" s="187"/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>
        <f>IFERROR(__xludf.DUMMYFUNCTION("ifna(VALUE(REGEXEXTRACT(E170,""[0-9.]+[,]+[0-9]+"")))"),100.0)</f>
        <v>100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0">
        <v>2071730.0</v>
      </c>
      <c r="C171" s="11">
        <v>46101.57363425926</v>
      </c>
      <c r="D171" s="179" t="s">
        <v>227</v>
      </c>
      <c r="E171" s="180" t="s">
        <v>494</v>
      </c>
      <c r="F171" s="181"/>
      <c r="G171" s="179" t="s">
        <v>8095</v>
      </c>
      <c r="H171" s="190"/>
      <c r="I171" s="190"/>
      <c r="J171" s="187" t="s">
        <v>4159</v>
      </c>
      <c r="K171" s="187"/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IFERROR(__xludf.DUMMYFUNCTION("ifna(VALUE(REGEXEXTRACT(E171,""[0-9.]+[,]+[0-9]+"")))"),0.01)</f>
        <v>0.01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0">
        <v>2072054.0</v>
      </c>
      <c r="C172" s="11">
        <v>46101.6778587963</v>
      </c>
      <c r="D172" s="179" t="s">
        <v>50</v>
      </c>
      <c r="E172" s="180" t="s">
        <v>8096</v>
      </c>
      <c r="F172" s="181"/>
      <c r="G172" s="179" t="s">
        <v>8097</v>
      </c>
      <c r="H172" s="190"/>
      <c r="I172" s="190"/>
      <c r="J172" s="187" t="s">
        <v>3903</v>
      </c>
      <c r="K172" s="187"/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"""")"),"Encontrada")</f>
        <v>Encontrada</v>
      </c>
      <c r="N172" s="185">
        <f>IFERROR(__xludf.DUMMYFUNCTION("ifna(VALUE(REGEXEXTRACT(E172,""[0-9.]+[,]+[0-9]+"")))"),474.7)</f>
        <v>474.7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0">
        <v>2072061.0</v>
      </c>
      <c r="C173" s="11">
        <v>46101.67930555555</v>
      </c>
      <c r="D173" s="179" t="s">
        <v>50</v>
      </c>
      <c r="E173" s="180" t="s">
        <v>8098</v>
      </c>
      <c r="F173" s="181"/>
      <c r="G173" s="179" t="s">
        <v>8099</v>
      </c>
      <c r="H173" s="190"/>
      <c r="I173" s="190"/>
      <c r="J173" s="187" t="s">
        <v>3903</v>
      </c>
      <c r="K173" s="187"/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"""")"),"Encontrada")</f>
        <v>Encontrada</v>
      </c>
      <c r="N173" s="185">
        <f>IFERROR(__xludf.DUMMYFUNCTION("ifna(VALUE(REGEXEXTRACT(E173,""[0-9.]+[,]+[0-9]+"")))"),149.85)</f>
        <v>149.85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0">
        <v>2072504.0</v>
      </c>
      <c r="C174" s="11">
        <v>46101.76038194444</v>
      </c>
      <c r="D174" s="179" t="s">
        <v>50</v>
      </c>
      <c r="E174" s="180" t="s">
        <v>157</v>
      </c>
      <c r="F174" s="181"/>
      <c r="G174" s="179" t="s">
        <v>122</v>
      </c>
      <c r="H174" s="190"/>
      <c r="I174" s="190"/>
      <c r="J174" s="187" t="s">
        <v>3044</v>
      </c>
      <c r="K174" s="187" t="s">
        <v>6664</v>
      </c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IFERROR(__xludf.DUMMYFUNCTION("ifna(VALUE(REGEXEXTRACT(E174,""[0-9.]+[,]+[0-9]+"")))"),5.0)</f>
        <v>5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0">
        <v>2072633.0</v>
      </c>
      <c r="C175" s="11">
        <v>46101.79369212963</v>
      </c>
      <c r="D175" s="179" t="s">
        <v>50</v>
      </c>
      <c r="E175" s="180" t="s">
        <v>7544</v>
      </c>
      <c r="F175" s="181"/>
      <c r="G175" s="179" t="s">
        <v>8100</v>
      </c>
      <c r="H175" s="190"/>
      <c r="I175" s="190"/>
      <c r="J175" s="187" t="s">
        <v>3903</v>
      </c>
      <c r="K175" s="187"/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"""")"),"Encontrada")</f>
        <v>Encontrada</v>
      </c>
      <c r="N175" s="185">
        <f>IFERROR(__xludf.DUMMYFUNCTION("ifna(VALUE(REGEXEXTRACT(E175,""[0-9.]+[,]+[0-9]+"")))"),462.0)</f>
        <v>462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0">
        <v>2072692.0</v>
      </c>
      <c r="C176" s="11">
        <v>46101.81658564815</v>
      </c>
      <c r="D176" s="179" t="s">
        <v>50</v>
      </c>
      <c r="E176" s="180" t="s">
        <v>8101</v>
      </c>
      <c r="F176" s="181"/>
      <c r="G176" s="179" t="s">
        <v>8102</v>
      </c>
      <c r="H176" s="190"/>
      <c r="I176" s="190"/>
      <c r="J176" s="187" t="s">
        <v>3467</v>
      </c>
      <c r="K176" s="187"/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IFERROR(__xludf.DUMMYFUNCTION("ifna(VALUE(REGEXEXTRACT(E176,""[0-9.]+[,]+[0-9]+"")))"),47.67)</f>
        <v>47.67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0">
        <v>2073864.0</v>
      </c>
      <c r="C177" s="11">
        <v>46102.57177083333</v>
      </c>
      <c r="D177" s="179" t="s">
        <v>50</v>
      </c>
      <c r="E177" s="180" t="s">
        <v>246</v>
      </c>
      <c r="F177" s="181"/>
      <c r="G177" s="179" t="s">
        <v>122</v>
      </c>
      <c r="H177" s="190"/>
      <c r="I177" s="190"/>
      <c r="J177" s="187" t="s">
        <v>3044</v>
      </c>
      <c r="K177" s="187" t="s">
        <v>6664</v>
      </c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IFERROR(__xludf.DUMMYFUNCTION("ifna(VALUE(REGEXEXTRACT(E177,""[0-9.]+[,]+[0-9]+"")))"),4.0)</f>
        <v>4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0">
        <v>2074449.0</v>
      </c>
      <c r="C178" s="11">
        <v>46102.70768518518</v>
      </c>
      <c r="D178" s="179" t="s">
        <v>50</v>
      </c>
      <c r="E178" s="180" t="s">
        <v>8103</v>
      </c>
      <c r="F178" s="181"/>
      <c r="G178" s="179" t="s">
        <v>8104</v>
      </c>
      <c r="H178" s="190"/>
      <c r="I178" s="190"/>
      <c r="J178" s="187" t="s">
        <v>3903</v>
      </c>
      <c r="K178" s="187"/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"""")"),"Encontrada")</f>
        <v>Encontrada</v>
      </c>
      <c r="N178" s="185">
        <f>IFERROR(__xludf.DUMMYFUNCTION("ifna(VALUE(REGEXEXTRACT(E178,""[0-9.]+[,]+[0-9]+"")))"),421.64)</f>
        <v>421.64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0">
        <v>2074453.0</v>
      </c>
      <c r="C179" s="11">
        <v>46102.708761574075</v>
      </c>
      <c r="D179" s="179" t="s">
        <v>50</v>
      </c>
      <c r="E179" s="180" t="s">
        <v>8105</v>
      </c>
      <c r="F179" s="181"/>
      <c r="G179" s="179" t="s">
        <v>8106</v>
      </c>
      <c r="H179" s="190"/>
      <c r="I179" s="190"/>
      <c r="J179" s="187" t="s">
        <v>3903</v>
      </c>
      <c r="K179" s="187"/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"""")"),"Encontrada")</f>
        <v>Encontrada</v>
      </c>
      <c r="N179" s="185">
        <f>IFERROR(__xludf.DUMMYFUNCTION("ifna(VALUE(REGEXEXTRACT(E179,""[0-9.]+[,]+[0-9]+"")))"),14.69)</f>
        <v>14.69</v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0">
        <v>2075520.0</v>
      </c>
      <c r="C180" s="11">
        <v>46102.892430555556</v>
      </c>
      <c r="D180" s="179" t="s">
        <v>50</v>
      </c>
      <c r="E180" s="180" t="s">
        <v>6514</v>
      </c>
      <c r="F180" s="181"/>
      <c r="G180" s="179" t="s">
        <v>7964</v>
      </c>
      <c r="H180" s="190"/>
      <c r="I180" s="190"/>
      <c r="J180" s="187" t="s">
        <v>3825</v>
      </c>
      <c r="K180" s="187"/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>
        <f>IFERROR(__xludf.DUMMYFUNCTION("ifna(VALUE(REGEXEXTRACT(E180,""[0-9.]+[,]+[0-9]+"")))"),110.0)</f>
        <v>110</v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0">
        <v>2075547.0</v>
      </c>
      <c r="C181" s="11">
        <v>46102.89518518518</v>
      </c>
      <c r="D181" s="179" t="s">
        <v>50</v>
      </c>
      <c r="E181" s="180" t="s">
        <v>4300</v>
      </c>
      <c r="F181" s="181"/>
      <c r="G181" s="179" t="s">
        <v>8107</v>
      </c>
      <c r="H181" s="190"/>
      <c r="I181" s="190"/>
      <c r="J181" s="187" t="s">
        <v>3825</v>
      </c>
      <c r="K181" s="187"/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IFERROR(__xludf.DUMMYFUNCTION("ifna(VALUE(REGEXEXTRACT(E181,""[0-9.]+[,]+[0-9]+"")))"),104.0)</f>
        <v>104</v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0">
        <v>2075552.0</v>
      </c>
      <c r="C182" s="11">
        <v>46102.89673611111</v>
      </c>
      <c r="D182" s="179" t="s">
        <v>50</v>
      </c>
      <c r="E182" s="180" t="s">
        <v>1158</v>
      </c>
      <c r="F182" s="181"/>
      <c r="G182" s="179" t="s">
        <v>8108</v>
      </c>
      <c r="H182" s="190"/>
      <c r="I182" s="190"/>
      <c r="J182" s="187" t="s">
        <v>3746</v>
      </c>
      <c r="K182" s="187" t="s">
        <v>7058</v>
      </c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"),"Depositada")</f>
        <v>Depositada</v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IFERROR(__xludf.DUMMYFUNCTION("ifna(VALUE(REGEXEXTRACT(E182,""[0-9.]+[,]+[0-9]+"")))"),800.0)</f>
        <v>800</v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0">
        <v>2077556.0</v>
      </c>
      <c r="C183" s="11">
        <v>46103.76006944444</v>
      </c>
      <c r="D183" s="179" t="s">
        <v>50</v>
      </c>
      <c r="E183" s="180" t="s">
        <v>146</v>
      </c>
      <c r="F183" s="181"/>
      <c r="G183" s="179" t="s">
        <v>7793</v>
      </c>
      <c r="H183" s="190"/>
      <c r="I183" s="190"/>
      <c r="J183" s="187" t="s">
        <v>3044</v>
      </c>
      <c r="K183" s="187" t="s">
        <v>6340</v>
      </c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>
        <f>IFERROR(__xludf.DUMMYFUNCTION("ifna(VALUE(REGEXEXTRACT(E183,""[0-9.]+[,]+[0-9]+"")))"),3.0)</f>
        <v>3</v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0">
        <v>2078049.0</v>
      </c>
      <c r="C184" s="11">
        <v>46103.83657407408</v>
      </c>
      <c r="D184" s="179" t="s">
        <v>50</v>
      </c>
      <c r="E184" s="180" t="s">
        <v>4019</v>
      </c>
      <c r="F184" s="181"/>
      <c r="G184" s="179" t="s">
        <v>8109</v>
      </c>
      <c r="H184" s="190"/>
      <c r="I184" s="190"/>
      <c r="J184" s="187" t="s">
        <v>3825</v>
      </c>
      <c r="K184" s="187"/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IFERROR(__xludf.DUMMYFUNCTION("ifna(VALUE(REGEXEXTRACT(E184,""[0-9.]+[,]+[0-9]+"")))"),117.0)</f>
        <v>117</v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0">
        <v>2078059.0</v>
      </c>
      <c r="C185" s="11">
        <v>46103.83755787037</v>
      </c>
      <c r="D185" s="179" t="s">
        <v>50</v>
      </c>
      <c r="E185" s="180" t="s">
        <v>8017</v>
      </c>
      <c r="F185" s="181"/>
      <c r="G185" s="179" t="s">
        <v>8110</v>
      </c>
      <c r="H185" s="190"/>
      <c r="I185" s="190"/>
      <c r="J185" s="187" t="s">
        <v>3825</v>
      </c>
      <c r="K185" s="187"/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>
        <f>IFERROR(__xludf.DUMMYFUNCTION("ifna(VALUE(REGEXEXTRACT(E185,""[0-9.]+[,]+[0-9]+"")))"),97.5)</f>
        <v>97.5</v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0">
        <v>2078063.0</v>
      </c>
      <c r="C186" s="11">
        <v>46103.838321759256</v>
      </c>
      <c r="D186" s="179" t="s">
        <v>50</v>
      </c>
      <c r="E186" s="180" t="s">
        <v>4300</v>
      </c>
      <c r="F186" s="181"/>
      <c r="G186" s="179" t="s">
        <v>8067</v>
      </c>
      <c r="H186" s="190"/>
      <c r="I186" s="190"/>
      <c r="J186" s="187" t="s">
        <v>3825</v>
      </c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>
        <f>IFERROR(__xludf.DUMMYFUNCTION("ifna(VALUE(REGEXEXTRACT(E186,""[0-9.]+[,]+[0-9]+"")))"),104.0)</f>
        <v>104</v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0">
        <v>2078166.0</v>
      </c>
      <c r="C187" s="11">
        <v>46103.85555555556</v>
      </c>
      <c r="D187" s="179" t="s">
        <v>50</v>
      </c>
      <c r="E187" s="180" t="s">
        <v>7755</v>
      </c>
      <c r="F187" s="181"/>
      <c r="G187" s="179" t="s">
        <v>133</v>
      </c>
      <c r="H187" s="190"/>
      <c r="I187" s="190"/>
      <c r="J187" s="187" t="s">
        <v>3903</v>
      </c>
      <c r="K187" s="187"/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185">
        <f>IFERROR(__xludf.DUMMYFUNCTION("ifna(VALUE(REGEXEXTRACT(E187,""[0-9.]+[,]+[0-9]+"")))"),7.9)</f>
        <v>7.9</v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0">
        <v>2078565.0</v>
      </c>
      <c r="C188" s="11">
        <v>46103.903449074074</v>
      </c>
      <c r="D188" s="179" t="s">
        <v>50</v>
      </c>
      <c r="E188" s="180" t="s">
        <v>1151</v>
      </c>
      <c r="F188" s="181"/>
      <c r="G188" s="179" t="s">
        <v>8111</v>
      </c>
      <c r="H188" s="190"/>
      <c r="I188" s="190"/>
      <c r="J188" s="187" t="s">
        <v>3746</v>
      </c>
      <c r="K188" s="187" t="s">
        <v>2949</v>
      </c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"),"Caixa Sangria")</f>
        <v>Caixa Sangria</v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>
        <f>IFERROR(__xludf.DUMMYFUNCTION("ifna(VALUE(REGEXEXTRACT(E188,""[0-9.]+[,]+[0-9]+"")))"),900.0)</f>
        <v>900</v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0">
        <v>2080296.0</v>
      </c>
      <c r="C189" s="11">
        <v>46104.72243055556</v>
      </c>
      <c r="D189" s="179" t="s">
        <v>50</v>
      </c>
      <c r="E189" s="180" t="s">
        <v>4745</v>
      </c>
      <c r="F189" s="181"/>
      <c r="G189" s="179" t="s">
        <v>8112</v>
      </c>
      <c r="H189" s="190"/>
      <c r="I189" s="190"/>
      <c r="J189" s="187" t="s">
        <v>3903</v>
      </c>
      <c r="K189" s="187"/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"""")"),"Encontrada")</f>
        <v>Encontrada</v>
      </c>
      <c r="N189" s="185">
        <f>IFERROR(__xludf.DUMMYFUNCTION("ifna(VALUE(REGEXEXTRACT(E189,""[0-9.]+[,]+[0-9]+"")))"),2.0)</f>
        <v>2</v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0">
        <v>2080541.0</v>
      </c>
      <c r="C190" s="11">
        <v>46104.796585648146</v>
      </c>
      <c r="D190" s="179" t="s">
        <v>50</v>
      </c>
      <c r="E190" s="180" t="s">
        <v>3885</v>
      </c>
      <c r="F190" s="181"/>
      <c r="G190" s="179" t="s">
        <v>8113</v>
      </c>
      <c r="H190" s="190"/>
      <c r="I190" s="190"/>
      <c r="J190" s="187" t="s">
        <v>3825</v>
      </c>
      <c r="K190" s="187"/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>
        <f>IFERROR(__xludf.DUMMYFUNCTION("ifna(VALUE(REGEXEXTRACT(E190,""[0-9.]+[,]+[0-9]+"")))"),78.0)</f>
        <v>78</v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0">
        <v>2080904.0</v>
      </c>
      <c r="C191" s="11">
        <v>46104.908796296295</v>
      </c>
      <c r="D191" s="179" t="s">
        <v>50</v>
      </c>
      <c r="E191" s="180" t="s">
        <v>205</v>
      </c>
      <c r="F191" s="188"/>
      <c r="G191" s="179" t="s">
        <v>7793</v>
      </c>
      <c r="H191" s="190"/>
      <c r="I191" s="190"/>
      <c r="J191" s="187" t="s">
        <v>3044</v>
      </c>
      <c r="K191" s="187" t="s">
        <v>6340</v>
      </c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>
        <f>IFERROR(__xludf.DUMMYFUNCTION("ifna(VALUE(REGEXEXTRACT(E191,""[0-9.]+[,]+[0-9]+"")))"),10.0)</f>
        <v>10</v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0">
        <v>2082429.0</v>
      </c>
      <c r="C192" s="11">
        <v>46105.835173611114</v>
      </c>
      <c r="D192" s="179" t="s">
        <v>50</v>
      </c>
      <c r="E192" s="180" t="s">
        <v>7395</v>
      </c>
      <c r="F192" s="181"/>
      <c r="G192" s="179" t="s">
        <v>8114</v>
      </c>
      <c r="H192" s="190"/>
      <c r="I192" s="190"/>
      <c r="J192" s="187" t="s">
        <v>3467</v>
      </c>
      <c r="K192" s="187"/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>
        <f>IFERROR(__xludf.DUMMYFUNCTION("ifna(VALUE(REGEXEXTRACT(E192,""[0-9.]+[,]+[0-9]+"")))"),21.09)</f>
        <v>21.09</v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0">
        <v>2082797.0</v>
      </c>
      <c r="C193" s="11">
        <v>46105.9203587963</v>
      </c>
      <c r="D193" s="179" t="s">
        <v>50</v>
      </c>
      <c r="E193" s="180" t="s">
        <v>1158</v>
      </c>
      <c r="F193" s="188"/>
      <c r="G193" s="179" t="s">
        <v>8115</v>
      </c>
      <c r="H193" s="190"/>
      <c r="I193" s="190"/>
      <c r="J193" s="187" t="s">
        <v>3746</v>
      </c>
      <c r="K193" s="187" t="s">
        <v>7052</v>
      </c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"),"Depositada")</f>
        <v>Depositada</v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>
        <f>IFERROR(__xludf.DUMMYFUNCTION("ifna(VALUE(REGEXEXTRACT(E193,""[0-9.]+[,]+[0-9]+"")))"),800.0)</f>
        <v>800</v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0">
        <v>2083422.0</v>
      </c>
      <c r="C194" s="11">
        <v>46106.58292824074</v>
      </c>
      <c r="D194" s="179" t="s">
        <v>50</v>
      </c>
      <c r="E194" s="180" t="s">
        <v>8116</v>
      </c>
      <c r="F194" s="181"/>
      <c r="G194" s="179" t="s">
        <v>8117</v>
      </c>
      <c r="H194" s="190"/>
      <c r="I194" s="190"/>
      <c r="J194" s="187" t="s">
        <v>3903</v>
      </c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"""")"),"Não Encontrada")</f>
        <v>Não Encontrada</v>
      </c>
      <c r="N194" s="185">
        <f>IFERROR(__xludf.DUMMYFUNCTION("ifna(VALUE(REGEXEXTRACT(E194,""[0-9.]+[,]+[0-9]+"")))"),315.0)</f>
        <v>315</v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0">
        <v>2083596.0</v>
      </c>
      <c r="C195" s="11">
        <v>46106.65096064815</v>
      </c>
      <c r="D195" s="179" t="s">
        <v>50</v>
      </c>
      <c r="E195" s="180" t="s">
        <v>7789</v>
      </c>
      <c r="F195" s="181"/>
      <c r="G195" s="179" t="s">
        <v>8118</v>
      </c>
      <c r="H195" s="190"/>
      <c r="I195" s="190"/>
      <c r="J195" s="187" t="s">
        <v>3467</v>
      </c>
      <c r="K195" s="187"/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>
        <f>IFERROR(__xludf.DUMMYFUNCTION("ifna(VALUE(REGEXEXTRACT(E195,""[0-9.]+[,]+[0-9]+"")))"),16.49)</f>
        <v>16.49</v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0">
        <v>2084043.0</v>
      </c>
      <c r="C196" s="11">
        <v>46106.77622685185</v>
      </c>
      <c r="D196" s="179" t="s">
        <v>50</v>
      </c>
      <c r="E196" s="180" t="s">
        <v>7463</v>
      </c>
      <c r="F196" s="181"/>
      <c r="G196" s="179" t="s">
        <v>122</v>
      </c>
      <c r="H196" s="190"/>
      <c r="I196" s="190"/>
      <c r="J196" s="187" t="s">
        <v>3044</v>
      </c>
      <c r="K196" s="187" t="s">
        <v>6664</v>
      </c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>
        <f>IFERROR(__xludf.DUMMYFUNCTION("ifna(VALUE(REGEXEXTRACT(E196,""[0-9.]+[,]+[0-9]+"")))"),12.52)</f>
        <v>12.52</v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0">
        <v>2084104.0</v>
      </c>
      <c r="C197" s="11">
        <v>46106.80206018518</v>
      </c>
      <c r="D197" s="179" t="s">
        <v>50</v>
      </c>
      <c r="E197" s="180" t="s">
        <v>246</v>
      </c>
      <c r="F197" s="188"/>
      <c r="G197" s="179" t="s">
        <v>122</v>
      </c>
      <c r="H197" s="190"/>
      <c r="I197" s="190"/>
      <c r="J197" s="187" t="s">
        <v>3044</v>
      </c>
      <c r="K197" s="187" t="s">
        <v>6664</v>
      </c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>
        <f>IFERROR(__xludf.DUMMYFUNCTION("ifna(VALUE(REGEXEXTRACT(E197,""[0-9.]+[,]+[0-9]+"")))"),4.0)</f>
        <v>4</v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0"/>
      <c r="C198" s="11"/>
      <c r="D198" s="179"/>
      <c r="E198" s="180"/>
      <c r="F198" s="188"/>
      <c r="G198" s="179"/>
      <c r="H198" s="190"/>
      <c r="I198" s="190"/>
      <c r="J198" s="187"/>
      <c r="K198" s="187"/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0"/>
      <c r="C199" s="11"/>
      <c r="D199" s="179"/>
      <c r="E199" s="180"/>
      <c r="F199" s="181"/>
      <c r="G199" s="179"/>
      <c r="H199" s="190"/>
      <c r="I199" s="190"/>
      <c r="J199" s="187"/>
      <c r="K199" s="187"/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0"/>
      <c r="C200" s="11"/>
      <c r="D200" s="179"/>
      <c r="E200" s="180"/>
      <c r="F200" s="181"/>
      <c r="G200" s="179"/>
      <c r="H200" s="190"/>
      <c r="I200" s="190"/>
      <c r="J200" s="187"/>
      <c r="K200" s="187"/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0"/>
      <c r="C201" s="11"/>
      <c r="D201" s="179"/>
      <c r="E201" s="180"/>
      <c r="F201" s="181"/>
      <c r="G201" s="179"/>
      <c r="H201" s="190"/>
      <c r="I201" s="190"/>
      <c r="J201" s="187"/>
      <c r="K201" s="187"/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0"/>
      <c r="C202" s="11"/>
      <c r="D202" s="179"/>
      <c r="E202" s="180"/>
      <c r="F202" s="181"/>
      <c r="G202" s="179"/>
      <c r="H202" s="190"/>
      <c r="I202" s="190"/>
      <c r="J202" s="187"/>
      <c r="K202" s="187"/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0"/>
      <c r="C203" s="11"/>
      <c r="D203" s="179"/>
      <c r="E203" s="180"/>
      <c r="F203" s="181"/>
      <c r="G203" s="179"/>
      <c r="H203" s="190"/>
      <c r="I203" s="190"/>
      <c r="J203" s="187"/>
      <c r="K203" s="187"/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0"/>
      <c r="C204" s="11"/>
      <c r="D204" s="179"/>
      <c r="E204" s="180"/>
      <c r="F204" s="181"/>
      <c r="G204" s="179"/>
      <c r="H204" s="190"/>
      <c r="I204" s="190"/>
      <c r="J204" s="187"/>
      <c r="K204" s="187"/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0"/>
      <c r="C205" s="11"/>
      <c r="D205" s="179"/>
      <c r="E205" s="180"/>
      <c r="F205" s="181"/>
      <c r="G205" s="179"/>
      <c r="H205" s="190"/>
      <c r="I205" s="190"/>
      <c r="J205" s="187"/>
      <c r="K205" s="187"/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0"/>
      <c r="C206" s="11"/>
      <c r="D206" s="179"/>
      <c r="E206" s="180"/>
      <c r="F206" s="181"/>
      <c r="G206" s="179"/>
      <c r="H206" s="190"/>
      <c r="I206" s="190"/>
      <c r="J206" s="187"/>
      <c r="K206" s="187"/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0"/>
      <c r="C207" s="11"/>
      <c r="D207" s="179"/>
      <c r="E207" s="180"/>
      <c r="F207" s="181"/>
      <c r="G207" s="179"/>
      <c r="H207" s="190"/>
      <c r="I207" s="190"/>
      <c r="J207" s="187"/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0"/>
      <c r="C208" s="11"/>
      <c r="D208" s="179"/>
      <c r="E208" s="180"/>
      <c r="F208" s="181"/>
      <c r="G208" s="179"/>
      <c r="H208" s="190"/>
      <c r="I208" s="190"/>
      <c r="J208" s="187"/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0"/>
      <c r="C209" s="11"/>
      <c r="D209" s="179"/>
      <c r="E209" s="180"/>
      <c r="F209" s="181"/>
      <c r="G209" s="179"/>
      <c r="H209" s="190"/>
      <c r="I209" s="190"/>
      <c r="J209" s="187"/>
      <c r="K209" s="187"/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0"/>
      <c r="C210" s="11"/>
      <c r="D210" s="179"/>
      <c r="E210" s="180"/>
      <c r="F210" s="181"/>
      <c r="G210" s="179"/>
      <c r="H210" s="190"/>
      <c r="I210" s="190"/>
      <c r="J210" s="187"/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0"/>
      <c r="C211" s="11"/>
      <c r="D211" s="179"/>
      <c r="E211" s="180"/>
      <c r="F211" s="181"/>
      <c r="G211" s="179"/>
      <c r="H211" s="190"/>
      <c r="I211" s="190"/>
      <c r="J211" s="187"/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0"/>
      <c r="C212" s="11"/>
      <c r="D212" s="179"/>
      <c r="E212" s="180"/>
      <c r="F212" s="181"/>
      <c r="G212" s="179"/>
      <c r="H212" s="190"/>
      <c r="I212" s="190"/>
      <c r="J212" s="187"/>
      <c r="K212" s="187"/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0"/>
      <c r="C213" s="11"/>
      <c r="D213" s="179"/>
      <c r="E213" s="180"/>
      <c r="F213" s="188"/>
      <c r="G213" s="179"/>
      <c r="H213" s="190"/>
      <c r="I213" s="190"/>
      <c r="J213" s="187"/>
      <c r="K213" s="187"/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0"/>
      <c r="C214" s="11"/>
      <c r="D214" s="179"/>
      <c r="E214" s="180"/>
      <c r="F214" s="181"/>
      <c r="G214" s="179"/>
      <c r="H214" s="190"/>
      <c r="I214" s="190"/>
      <c r="J214" s="187"/>
      <c r="K214" s="187"/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0"/>
      <c r="C215" s="11"/>
      <c r="D215" s="179"/>
      <c r="E215" s="180"/>
      <c r="F215" s="181"/>
      <c r="G215" s="179"/>
      <c r="H215" s="190"/>
      <c r="I215" s="190"/>
      <c r="J215" s="187"/>
      <c r="K215" s="187"/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0"/>
      <c r="C216" s="11"/>
      <c r="D216" s="179"/>
      <c r="E216" s="180"/>
      <c r="F216" s="181"/>
      <c r="G216" s="179"/>
      <c r="H216" s="190"/>
      <c r="I216" s="190"/>
      <c r="J216" s="187"/>
      <c r="K216" s="187"/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0"/>
      <c r="C217" s="11"/>
      <c r="D217" s="179"/>
      <c r="E217" s="180"/>
      <c r="F217" s="181"/>
      <c r="G217" s="179"/>
      <c r="H217" s="190"/>
      <c r="I217" s="190"/>
      <c r="J217" s="187"/>
      <c r="K217" s="187"/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0"/>
      <c r="C218" s="11"/>
      <c r="D218" s="179"/>
      <c r="E218" s="180"/>
      <c r="F218" s="181"/>
      <c r="G218" s="179"/>
      <c r="H218" s="190"/>
      <c r="I218" s="190"/>
      <c r="J218" s="187"/>
      <c r="K218" s="187"/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0"/>
      <c r="C219" s="11"/>
      <c r="D219" s="179"/>
      <c r="E219" s="180"/>
      <c r="F219" s="181"/>
      <c r="G219" s="179"/>
      <c r="H219" s="190"/>
      <c r="I219" s="190"/>
      <c r="J219" s="187"/>
      <c r="K219" s="187"/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0"/>
      <c r="C220" s="11"/>
      <c r="D220" s="179"/>
      <c r="E220" s="180"/>
      <c r="F220" s="181"/>
      <c r="G220" s="179"/>
      <c r="H220" s="190"/>
      <c r="I220" s="190"/>
      <c r="J220" s="187"/>
      <c r="K220" s="187"/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0"/>
      <c r="C221" s="11"/>
      <c r="D221" s="179"/>
      <c r="E221" s="180"/>
      <c r="F221" s="181"/>
      <c r="G221" s="179"/>
      <c r="H221" s="190"/>
      <c r="I221" s="190"/>
      <c r="J221" s="187"/>
      <c r="K221" s="187"/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0"/>
      <c r="C222" s="11"/>
      <c r="D222" s="179"/>
      <c r="E222" s="180"/>
      <c r="F222" s="181"/>
      <c r="G222" s="179"/>
      <c r="H222" s="190"/>
      <c r="I222" s="190"/>
      <c r="J222" s="187"/>
      <c r="K222" s="187"/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0"/>
      <c r="C223" s="11"/>
      <c r="D223" s="179"/>
      <c r="E223" s="180"/>
      <c r="F223" s="181"/>
      <c r="G223" s="179"/>
      <c r="H223" s="190"/>
      <c r="I223" s="190"/>
      <c r="J223" s="187"/>
      <c r="K223" s="187"/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0"/>
      <c r="C224" s="11"/>
      <c r="D224" s="179"/>
      <c r="E224" s="180"/>
      <c r="F224" s="181"/>
      <c r="G224" s="179"/>
      <c r="H224" s="190"/>
      <c r="I224" s="190"/>
      <c r="J224" s="187"/>
      <c r="K224" s="187"/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0"/>
      <c r="C225" s="11"/>
      <c r="D225" s="179"/>
      <c r="E225" s="180"/>
      <c r="F225" s="181"/>
      <c r="G225" s="179"/>
      <c r="H225" s="190"/>
      <c r="I225" s="190"/>
      <c r="J225" s="187"/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0"/>
      <c r="C226" s="11"/>
      <c r="D226" s="179"/>
      <c r="E226" s="180"/>
      <c r="F226" s="188"/>
      <c r="G226" s="179"/>
      <c r="H226" s="190"/>
      <c r="I226" s="190"/>
      <c r="J226" s="187"/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0"/>
      <c r="C227" s="11"/>
      <c r="D227" s="179"/>
      <c r="E227" s="180"/>
      <c r="F227" s="181"/>
      <c r="G227" s="179"/>
      <c r="H227" s="190"/>
      <c r="I227" s="190"/>
      <c r="J227" s="187"/>
      <c r="K227" s="187"/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0"/>
      <c r="C228" s="11"/>
      <c r="D228" s="179"/>
      <c r="E228" s="180"/>
      <c r="F228" s="181"/>
      <c r="G228" s="179"/>
      <c r="H228" s="190"/>
      <c r="I228" s="190"/>
      <c r="J228" s="187"/>
      <c r="K228" s="187"/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0"/>
      <c r="C232" s="11"/>
      <c r="D232" s="179"/>
      <c r="E232" s="180"/>
      <c r="F232" s="188"/>
      <c r="G232" s="179"/>
      <c r="H232" s="190"/>
      <c r="I232" s="190"/>
      <c r="J232" s="187"/>
      <c r="K232" s="187"/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0"/>
      <c r="C234" s="11"/>
      <c r="D234" s="179"/>
      <c r="E234" s="180"/>
      <c r="F234" s="188"/>
      <c r="G234" s="179"/>
      <c r="H234" s="190"/>
      <c r="I234" s="190"/>
      <c r="J234" s="187"/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1"/>
      <c r="D235" s="179"/>
      <c r="E235" s="180"/>
      <c r="F235" s="181"/>
      <c r="G235" s="179"/>
      <c r="H235" s="190"/>
      <c r="I235" s="190"/>
      <c r="J235" s="187"/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0"/>
      <c r="C236" s="11"/>
      <c r="D236" s="179"/>
      <c r="E236" s="180"/>
      <c r="F236" s="188"/>
      <c r="G236" s="179"/>
      <c r="H236" s="190"/>
      <c r="I236" s="190"/>
      <c r="J236" s="187"/>
      <c r="K236" s="187"/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0"/>
      <c r="C237" s="237"/>
      <c r="D237" s="179"/>
      <c r="E237" s="180"/>
      <c r="F237" s="181"/>
      <c r="G237" s="179"/>
      <c r="H237" s="190"/>
      <c r="I237" s="190"/>
      <c r="J237" s="187"/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0"/>
      <c r="C238" s="11"/>
      <c r="D238" s="179"/>
      <c r="E238" s="180"/>
      <c r="F238" s="181"/>
      <c r="G238" s="179"/>
      <c r="H238" s="190"/>
      <c r="I238" s="190"/>
      <c r="J238" s="187"/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0"/>
      <c r="C242" s="11"/>
      <c r="D242" s="179"/>
      <c r="E242" s="180"/>
      <c r="F242" s="181"/>
      <c r="G242" s="179"/>
      <c r="H242" s="190"/>
      <c r="I242" s="190"/>
      <c r="J242" s="187"/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IFERROR(__xludf.DUMMYFUNCTION("IF(
  AND(D282=""Saída"", J282=""Sangria""),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IFERROR(__xludf.DUMMYFUNCTION("IF(
  AND(D283=""Saída"", J283=""Sangria""),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IFERROR(__xludf.DUMMYFUNCTION("IF(
  AND(D284=""Saída"", J284=""Sangria""),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IFERROR(__xludf.DUMMYFUNCTION("IF(
  AND(D285=""Saída"", J285=""Sangria""),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IFERROR(__xludf.DUMMYFUNCTION("IF(
  AND(D286=""Saída"", J286=""Sangria""),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IFERROR(__xludf.DUMMYFUNCTION("IF(
  AND(D287=""Saída"", J287=""Sangria""),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IFERROR(__xludf.DUMMYFUNCTION("IF(
  AND(D288=""Saída"", J288=""Sangria""),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IFERROR(__xludf.DUMMYFUNCTION("IF(
  AND(D289=""Saída"", J289=""Sangria""),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IFERROR(__xludf.DUMMYFUNCTION("IF(
  AND(D290=""Saída"", J290=""Sangria""),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IFERROR(__xludf.DUMMYFUNCTION("IF(
  AND(D291=""Saída"", J291=""Sangria""),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IFERROR(__xludf.DUMMYFUNCTION("IF(
  AND(D292=""Saída"", J292=""Sangria""),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IFERROR(__xludf.DUMMYFUNCTION("IF(
  AND(D293=""Saída"", J293=""Sangria""),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IFERROR(__xludf.DUMMYFUNCTION("IF(
  AND(D294=""Saída"", J294=""Sangria""),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IFERROR(__xludf.DUMMYFUNCTION("IF(
  AND(D295=""Saída"", J295=""Sangria""),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IFERROR(__xludf.DUMMYFUNCTION("IF(
  AND(D296=""Saída"", J296=""Sangria""),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IFERROR(__xludf.DUMMYFUNCTION("IF(
  AND(D297=""Saída"", J297=""Sangria""),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IFERROR(__xludf.DUMMYFUNCTION("IF(
  AND(D298=""Saída"", J298=""Sangria""),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IFERROR(__xludf.DUMMYFUNCTION("IF(
  AND(D299=""Saída"", J299=""Sangria""),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IFERROR(__xludf.DUMMYFUNCTION("IF(
  AND(D300=""Saída"", J300=""Sangria""),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IFERROR(__xludf.DUMMYFUNCTION("IF(
  AND(D301=""Saída"", J301=""Sangria""),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IFERROR(__xludf.DUMMYFUNCTION("IF(
  AND(D302=""Saída"", J302=""Sangria""),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IFERROR(__xludf.DUMMYFUNCTION("IF(
  AND(D303=""Saída"", J303=""Sangria""),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IFERROR(__xludf.DUMMYFUNCTION("IF(
  AND(D304=""Saída"", J304=""Sangria""),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IFERROR(__xludf.DUMMYFUNCTION("IF(
  AND(D305=""Saída"", J305=""Sangria""),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IFERROR(__xludf.DUMMYFUNCTION("IF(
  AND(D306=""Saída"", J306=""Sangria""),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IFERROR(__xludf.DUMMYFUNCTION("IF(
  AND(D307=""Saída"", J307=""Sangria""),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IFERROR(__xludf.DUMMYFUNCTION("IF(
  AND(D308=""Saída"", J308=""Sangria""),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IFERROR(__xludf.DUMMYFUNCTION("IF(
  AND(D309=""Saída"", J309=""Sangria""),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IFERROR(__xludf.DUMMYFUNCTION("IF(
  AND(D310=""Saída"", J310=""Sangria""),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IFERROR(__xludf.DUMMYFUNCTION("IF(
  AND(D311=""Saída"", J311=""Sangria""),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IFERROR(__xludf.DUMMYFUNCTION("IF(
  AND(D312=""Saída"", J312=""Sangria""),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IFERROR(__xludf.DUMMYFUNCTION("IF(
  AND(D313=""Saída"", J313=""Sangria""),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IFERROR(__xludf.DUMMYFUNCTION("IF(
  AND(D314=""Saída"", J314=""Sangria""),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IFERROR(__xludf.DUMMYFUNCTION("IF(
  AND(D315=""Saída"", J315=""Sangria""),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IFERROR(__xludf.DUMMYFUNCTION("IF(
  AND(D316=""Saída"", J316=""Sangria""),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IFERROR(__xludf.DUMMYFUNCTION("IF(
  AND(D317=""Saída"", J317=""Sangria""),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IFERROR(__xludf.DUMMYFUNCTION("IF(
  AND(D318=""Saída"", J318=""Sangria""),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IFERROR(__xludf.DUMMYFUNCTION("IF(
  AND(D319=""Saída"", J319=""Sangria""),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IFERROR(__xludf.DUMMYFUNCTION("IF(
  AND(D320=""Saída"", J320=""Sangria""),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IFERROR(__xludf.DUMMYFUNCTION("IF(
  AND(D321=""Saída"", J321=""Sangria""),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IFERROR(__xludf.DUMMYFUNCTION("IF(
  AND(D322=""Saída"", J322=""Sangria""),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IFERROR(__xludf.DUMMYFUNCTION("IF(
  AND(D323=""Saída"", J323=""Sangria""),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IFERROR(__xludf.DUMMYFUNCTION("IF(
  AND(D324=""Saída"", J324=""Sangria""),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IFERROR(__xludf.DUMMYFUNCTION("IF(
  AND(D325=""Saída"", J325=""Sangria""),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IFERROR(__xludf.DUMMYFUNCTION("IF(
  AND(D326=""Saída"", J326=""Sangria""),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IFERROR(__xludf.DUMMYFUNCTION("IF(
  AND(D327=""Saída"", J327=""Sangria""),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IFERROR(__xludf.DUMMYFUNCTION("IF(
  AND(D328=""Saída"", J328=""Sangria""),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IFERROR(__xludf.DUMMYFUNCTION("IF(
  AND(D329=""Saída"", J329=""Sangria""),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IFERROR(__xludf.DUMMYFUNCTION("IF(
  AND(D330=""Saída"", J330=""Sangria""),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IFERROR(__xludf.DUMMYFUNCTION("IF(
  AND(D331=""Saída"", J331=""Sangria""),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IFERROR(__xludf.DUMMYFUNCTION("IF(
  AND(D332=""Saída"", J332=""Sangria""),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IFERROR(__xludf.DUMMYFUNCTION("IF(
  AND(D333=""Saída"", J333=""Sangria""),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IFERROR(__xludf.DUMMYFUNCTION("IF(
  AND(D334=""Saída"", J334=""Sangria""),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IFERROR(__xludf.DUMMYFUNCTION("IF(
  AND(D335=""Saída"", J335=""Sangria""),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IFERROR(__xludf.DUMMYFUNCTION("IF(
  AND(D336=""Saída"", J336=""Sangria""),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IFERROR(__xludf.DUMMYFUNCTION("IF(
  AND(D337=""Saída"", J337=""Sangria""),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IFERROR(__xludf.DUMMYFUNCTION("IF(
  AND(D338=""Saída"", J338=""Sangria""),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IFERROR(__xludf.DUMMYFUNCTION("IF(
  AND(D339=""Saída"", J339=""Sangria""),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IFERROR(__xludf.DUMMYFUNCTION("IF(
  AND(D340=""Saída"", J340=""Sangria""),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IFERROR(__xludf.DUMMYFUNCTION("IF(
  AND(D341=""Saída"", J341=""Sangria""),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IFERROR(__xludf.DUMMYFUNCTION("IF(
  AND(D342=""Saída"", J342=""Sangria""),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IFERROR(__xludf.DUMMYFUNCTION("IF(
  AND(D343=""Saída"", J343=""Sangria""),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IFERROR(__xludf.DUMMYFUNCTION("IF(
  AND(D344=""Saída"", J344=""Sangria""),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IFERROR(__xludf.DUMMYFUNCTION("IF(
  AND(D345=""Saída"", J345=""Sangria""),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IFERROR(__xludf.DUMMYFUNCTION("IF(
  AND(D346=""Saída"", J346=""Sangria""),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IFERROR(__xludf.DUMMYFUNCTION("IF(
  AND(D347=""Saída"", J347=""Sangria""),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IFERROR(__xludf.DUMMYFUNCTION("IF(
  AND(D348=""Saída"", J348=""Sangria""),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IFERROR(__xludf.DUMMYFUNCTION("IF(
  AND(D349=""Saída"", J349=""Sangria""),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IFERROR(__xludf.DUMMYFUNCTION("IF(
  AND(D350=""Saída"", J350=""Sangria""),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IFERROR(__xludf.DUMMYFUNCTION("IF(
  AND(D351=""Saída"", J351=""Sangria""),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IFERROR(__xludf.DUMMYFUNCTION("IF(
  AND(D352=""Saída"", J352=""Sangria""),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IFERROR(__xludf.DUMMYFUNCTION("IF(
  AND(D353=""Saída"", J353=""Sangria""),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IFERROR(__xludf.DUMMYFUNCTION("IF(
  AND(D354=""Saída"", J354=""Sangria""),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IFERROR(__xludf.DUMMYFUNCTION("IF(
  AND(D355=""Saída"", J355=""Sangria""),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IFERROR(__xludf.DUMMYFUNCTION("IF(
  AND(D356=""Saída"", J356=""Sangria""),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IFERROR(__xludf.DUMMYFUNCTION("IF(
  AND(D357=""Saída"", J357=""Sangria""),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IFERROR(__xludf.DUMMYFUNCTION("IF(
  AND(D358=""Saída"", J358=""Sangria""),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IFERROR(__xludf.DUMMYFUNCTION("IF(
  AND(D359=""Saída"", J359=""Sangria""),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IFERROR(__xludf.DUMMYFUNCTION("IF(
  AND(D360=""Saída"", J360=""Sangria""),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IFERROR(__xludf.DUMMYFUNCTION("IF(
  AND(D361=""Saída"", J361=""Sangria""),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IFERROR(__xludf.DUMMYFUNCTION("IF(
  AND(D362=""Saída"", J362=""Sangria""),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IFERROR(__xludf.DUMMYFUNCTION("IF(
  AND(D363=""Saída"", J363=""Sangria""),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IFERROR(__xludf.DUMMYFUNCTION("IF(
  AND(D364=""Saída"", J364=""Sangria""),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IFERROR(__xludf.DUMMYFUNCTION("IF(
  AND(D365=""Saída"", J365=""Sangria""),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IFERROR(__xludf.DUMMYFUNCTION("IF(
  AND(D366=""Saída"", J366=""Sangria""),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IFERROR(__xludf.DUMMYFUNCTION("IF(
  AND(D367=""Saída"", J367=""Sangria""),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IFERROR(__xludf.DUMMYFUNCTION("IF(
  AND(D368=""Saída"", J368=""Sangria""),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IFERROR(__xludf.DUMMYFUNCTION("IF(
  AND(D369=""Saída"", J369=""Sangria""),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IFERROR(__xludf.DUMMYFUNCTION("IF(
  AND(D370=""Saída"", J370=""Sangria""),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IFERROR(__xludf.DUMMYFUNCTION("IF(
  AND(D371=""Saída"", J371=""Sangria""),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IFERROR(__xludf.DUMMYFUNCTION("IF(
  AND(D372=""Saída"", J372=""Sangria""),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IFERROR(__xludf.DUMMYFUNCTION("IF(
  AND(D373=""Saída"", J373=""Sangria""),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IFERROR(__xludf.DUMMYFUNCTION("IF(
  AND(D374=""Saída"", J374=""Sangria""),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IFERROR(__xludf.DUMMYFUNCTION("IF(
  AND(D375=""Saída"", J375=""Sangria""),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IFERROR(__xludf.DUMMYFUNCTION("IF(
  AND(D376=""Saída"", J376=""Sangria""),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IFERROR(__xludf.DUMMYFUNCTION("IF(
  AND(D377=""Saída"", J377=""Sangria""),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IFERROR(__xludf.DUMMYFUNCTION("IF(
  AND(D378=""Saída"", J378=""Sangria""),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IFERROR(__xludf.DUMMYFUNCTION("IF(
  AND(D379=""Saída"", J379=""Sangria""),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IFERROR(__xludf.DUMMYFUNCTION("IF(
  AND(D380=""Saída"", J380=""Sangria""),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IFERROR(__xludf.DUMMYFUNCTION("IF(
  AND(D381=""Saída"", J381=""Sangria""),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IFERROR(__xludf.DUMMYFUNCTION("IF(
  AND(D382=""Saída"", J382=""Sangria""),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IFERROR(__xludf.DUMMYFUNCTION("IF(
  AND(D383=""Saída"", J383=""Sangria""),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IFERROR(__xludf.DUMMYFUNCTION("IF(
  AND(D384=""Saída"", J384=""Sangria""),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IFERROR(__xludf.DUMMYFUNCTION("IF(
  AND(D385=""Saída"", J385=""Sangria""),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IFERROR(__xludf.DUMMYFUNCTION("IF(
  AND(D386=""Saída"", J386=""Sangria""),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IFERROR(__xludf.DUMMYFUNCTION("IF(
  AND(D387=""Saída"", J387=""Sangria""),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IFERROR(__xludf.DUMMYFUNCTION("IF(
  AND(D388=""Saída"", J388=""Sangria""),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IFERROR(__xludf.DUMMYFUNCTION("IF(
  AND(D389=""Saída"", J389=""Sangria""),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IFERROR(__xludf.DUMMYFUNCTION("IF(
  AND(D390=""Saída"", J390=""Sangria""),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IFERROR(__xludf.DUMMYFUNCTION("IF(
  AND(D391=""Saída"", J391=""Sangria""),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IFERROR(__xludf.DUMMYFUNCTION("IF(
  AND(D392=""Saída"", J392=""Sangria""),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IFERROR(__xludf.DUMMYFUNCTION("IF(
  AND(D393=""Saída"", J393=""Sangria""),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IFERROR(__xludf.DUMMYFUNCTION("IF(
  AND(D394=""Saída"", J394=""Sangria""),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IFERROR(__xludf.DUMMYFUNCTION("IF(
  AND(D395=""Saída"", J395=""Sangria""),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IFERROR(__xludf.DUMMYFUNCTION("IF(
  AND(D396=""Saída"", J396=""Sangria""),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IFERROR(__xludf.DUMMYFUNCTION("IF(
  AND(D397=""Saída"", J397=""Sangria""),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IFERROR(__xludf.DUMMYFUNCTION("IF(
  AND(D398=""Saída"", J398=""Sangria""),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IFERROR(__xludf.DUMMYFUNCTION("IF(
  AND(D399=""Saída"", J399=""Sangria""),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IFERROR(__xludf.DUMMYFUNCTION("IF(
  AND(D400=""Saída"", J400=""Sangria""),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IFERROR(__xludf.DUMMYFUNCTION("IF(
  AND(D401=""Saída"", J401=""Sangria""),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IFERROR(__xludf.DUMMYFUNCTION("IF(
  AND(D402=""Saída"", J402=""Sangria""),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IFERROR(__xludf.DUMMYFUNCTION("IF(
  AND(D403=""Saída"", J403=""Sangria""),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IFERROR(__xludf.DUMMYFUNCTION("IF(
  AND(D404=""Saída"", J404=""Sangria""),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IFERROR(__xludf.DUMMYFUNCTION("IF(
  AND(D405=""Saída"", J405=""Sangria""),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IFERROR(__xludf.DUMMYFUNCTION("IF(
  AND(D406=""Saída"", J406=""Sangria""),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IFERROR(__xludf.DUMMYFUNCTION("IF(
  AND(D407=""Saída"", J407=""Sangria""),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IFERROR(__xludf.DUMMYFUNCTION("IF(
  AND(D408=""Saída"", J408=""Sangria""),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IFERROR(__xludf.DUMMYFUNCTION("IF(
  AND(D409=""Saída"", J409=""Sangria""),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IFERROR(__xludf.DUMMYFUNCTION("IF(
  AND(D410=""Saída"", J410=""Sangria""),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IFERROR(__xludf.DUMMYFUNCTION("IF(
  AND(D411=""Saída"", J411=""Sangria""),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IFERROR(__xludf.DUMMYFUNCTION("IF(
  AND(D412=""Saída"", J412=""Sangria""),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IFERROR(__xludf.DUMMYFUNCTION("IF(
  AND(D413=""Saída"", J413=""Sangria""),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IFERROR(__xludf.DUMMYFUNCTION("IF(
  AND(D414=""Saída"", J414=""Sangria""),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IFERROR(__xludf.DUMMYFUNCTION("IF(
  AND(D415=""Saída"", J415=""Sangria""),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IFERROR(__xludf.DUMMYFUNCTION("IF(
  AND(D416=""Saída"", J416=""Sangria""),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IFERROR(__xludf.DUMMYFUNCTION("IF(
  AND(D417=""Saída"", J417=""Sangria""),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IFERROR(__xludf.DUMMYFUNCTION("IF(
  AND(D418=""Saída"", J418=""Sangria""),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IFERROR(__xludf.DUMMYFUNCTION("IF(
  AND(D419=""Saída"", J419=""Sangria""),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IFERROR(__xludf.DUMMYFUNCTION("IF(
  AND(D420=""Saída"", J420=""Sangria""),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IFERROR(__xludf.DUMMYFUNCTION("IF(
  AND(D421=""Saída"", J421=""Sangria""),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IFERROR(__xludf.DUMMYFUNCTION("IF(
  AND(D422=""Saída"", J422=""Sangria""),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IFERROR(__xludf.DUMMYFUNCTION("IF(
  AND(D423=""Saída"", J423=""Sangria""),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IFERROR(__xludf.DUMMYFUNCTION("IF(
  AND(D424=""Saída"", J424=""Sangria""),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IFERROR(__xludf.DUMMYFUNCTION("IF(
  AND(D425=""Saída"", J425=""Sangria""),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IFERROR(__xludf.DUMMYFUNCTION("IF(
  AND(D426=""Saída"", J426=""Sangria""),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IFERROR(__xludf.DUMMYFUNCTION("IF(
  AND(D427=""Saída"", J427=""Sangria""),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IFERROR(__xludf.DUMMYFUNCTION("IF(
  AND(D428=""Saída"", J428=""Sangria""),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IFERROR(__xludf.DUMMYFUNCTION("IF(
  AND(D429=""Saída"", J429=""Sangria""),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IFERROR(__xludf.DUMMYFUNCTION("IF(
  AND(D430=""Saída"", J430=""Sangria""),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IFERROR(__xludf.DUMMYFUNCTION("IF(
  AND(D431=""Saída"", J431=""Sangria""),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IFERROR(__xludf.DUMMYFUNCTION("IF(
  AND(D432=""Saída"", J432=""Sangria""),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IFERROR(__xludf.DUMMYFUNCTION("IF(
  AND(D433=""Saída"", J433=""Sangria""),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IFERROR(__xludf.DUMMYFUNCTION("IF(
  AND(D434=""Saída"", J434=""Sangria""),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IFERROR(__xludf.DUMMYFUNCTION("IF(
  AND(D435=""Saída"", J435=""Sangria""),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IFERROR(__xludf.DUMMYFUNCTION("IF(
  AND(D436=""Saída"", J436=""Sangria""),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IFERROR(__xludf.DUMMYFUNCTION("IF(
  AND(D437=""Saída"", J437=""Sangria""),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IFERROR(__xludf.DUMMYFUNCTION("IF(
  AND(D438=""Saída"", J438=""Sangria""),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IFERROR(__xludf.DUMMYFUNCTION("IF(
  AND(D439=""Saída"", J439=""Sangria""),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IFERROR(__xludf.DUMMYFUNCTION("IF(
  AND(D440=""Saída"", J440=""Sangria""),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IFERROR(__xludf.DUMMYFUNCTION("IF(
  AND(D441=""Saída"", J441=""Sangria""),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IFERROR(__xludf.DUMMYFUNCTION("IF(
  AND(D442=""Saída"", J442=""Sangria""),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IFERROR(__xludf.DUMMYFUNCTION("IF(
  AND(D443=""Saída"", J443=""Sangria""),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IFERROR(__xludf.DUMMYFUNCTION("IF(
  AND(D444=""Saída"", J444=""Sangria""),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IFERROR(__xludf.DUMMYFUNCTION("IF(
  AND(D445=""Saída"", J445=""Sangria""),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IFERROR(__xludf.DUMMYFUNCTION("IF(
  AND(D446=""Saída"", J446=""Sangria""),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IFERROR(__xludf.DUMMYFUNCTION("IF(
  AND(D447=""Saída"", J447=""Sangria""),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IFERROR(__xludf.DUMMYFUNCTION("IF(
  AND(D448=""Saída"", J448=""Sangria""),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IFERROR(__xludf.DUMMYFUNCTION("IF(
  AND(D449=""Saída"", J449=""Sangria""),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IFERROR(__xludf.DUMMYFUNCTION("IF(
  AND(D450=""Saída"", J450=""Sangria""),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IFERROR(__xludf.DUMMYFUNCTION("IF(
  AND(D451=""Saída"", J451=""Sangria""),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IFERROR(__xludf.DUMMYFUNCTION("IF(
  AND(D452=""Saída"", J452=""Sangria""),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IFERROR(__xludf.DUMMYFUNCTION("IF(
  AND(D453=""Saída"", J453=""Sangria""),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IFERROR(__xludf.DUMMYFUNCTION("IF(
  AND(D454=""Saída"", J454=""Sangria""),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IFERROR(__xludf.DUMMYFUNCTION("IF(
  AND(D455=""Saída"", J455=""Sangria""),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IFERROR(__xludf.DUMMYFUNCTION("IF(
  AND(D456=""Saída"", J456=""Sangria""),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IFERROR(__xludf.DUMMYFUNCTION("IF(
  AND(D457=""Saída"", J457=""Sangria""),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IFERROR(__xludf.DUMMYFUNCTION("IF(
  AND(D458=""Saída"", J458=""Sangria""),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IFERROR(__xludf.DUMMYFUNCTION("IF(
  AND(D459=""Saída"", J459=""Sangria""),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IFERROR(__xludf.DUMMYFUNCTION("IF(
  AND(D460=""Saída"", J460=""Sangria""),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IFERROR(__xludf.DUMMYFUNCTION("IF(
  AND(D461=""Saída"", J461=""Sangria""),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IFERROR(__xludf.DUMMYFUNCTION("IF(
  AND(D462=""Saída"", J462=""Sangria""),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IFERROR(__xludf.DUMMYFUNCTION("IF(
  AND(D463=""Saída"", J463=""Sangria""),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IFERROR(__xludf.DUMMYFUNCTION("IF(
  AND(D464=""Saída"", J464=""Sangria""),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IFERROR(__xludf.DUMMYFUNCTION("IF(
  AND(D465=""Saída"", J465=""Sangria""),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IFERROR(__xludf.DUMMYFUNCTION("IF(
  AND(D466=""Saída"", J466=""Sangria""),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IFERROR(__xludf.DUMMYFUNCTION("IF(
  AND(D467=""Saída"", J467=""Sangria""),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IFERROR(__xludf.DUMMYFUNCTION("IF(
  AND(D468=""Saída"", J468=""Sangria""),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IFERROR(__xludf.DUMMYFUNCTION("IF(
  AND(D469=""Saída"", J469=""Sangria""),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IFERROR(__xludf.DUMMYFUNCTION("IF(
  AND(D470=""Saída"", J470=""Sangria""),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IFERROR(__xludf.DUMMYFUNCTION("IF(
  AND(D471=""Saída"", J471=""Sangria""),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IFERROR(__xludf.DUMMYFUNCTION("IF(
  AND(D472=""Saída"", J472=""Sangria""),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IFERROR(__xludf.DUMMYFUNCTION("IF(
  AND(D473=""Saída"", J473=""Sangria""),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IFERROR(__xludf.DUMMYFUNCTION("IF(
  AND(D474=""Saída"", J474=""Sangria""),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IFERROR(__xludf.DUMMYFUNCTION("IF(
  AND(D475=""Saída"", J475=""Sangria""),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IFERROR(__xludf.DUMMYFUNCTION("IF(
  AND(D476=""Saída"", J476=""Sangria""),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IFERROR(__xludf.DUMMYFUNCTION("IF(
  AND(D477=""Saída"", J477=""Sangria""),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IFERROR(__xludf.DUMMYFUNCTION("IF(
  AND(D478=""Saída"", J478=""Sangria""),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IFERROR(__xludf.DUMMYFUNCTION("IF(
  AND(D479=""Saída"", J479=""Sangria""),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IFERROR(__xludf.DUMMYFUNCTION("IF(
  AND(D480=""Saída"", J480=""Sangria""),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IFERROR(__xludf.DUMMYFUNCTION("IF(
  AND(D481=""Saída"", J481=""Sangria""),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IFERROR(__xludf.DUMMYFUNCTION("IF(
  AND(D482=""Saída"", J482=""Sangria""),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IFERROR(__xludf.DUMMYFUNCTION("IF(
  AND(D483=""Saída"", J483=""Sangria""),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IFERROR(__xludf.DUMMYFUNCTION("IF(
  AND(D484=""Saída"", J484=""Sangria""),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IFERROR(__xludf.DUMMYFUNCTION("IF(
  AND(D485=""Saída"", J485=""Sangria""),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IFERROR(__xludf.DUMMYFUNCTION("IF(
  AND(D486=""Saída"", J486=""Sangria""),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IFERROR(__xludf.DUMMYFUNCTION("IF(
  AND(D487=""Saída"", J487=""Sangria""),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IFERROR(__xludf.DUMMYFUNCTION("IF(
  AND(D488=""Saída"", J488=""Sangria""),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IFERROR(__xludf.DUMMYFUNCTION("IF(
  AND(D489=""Saída"", J489=""Sangria""),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IFERROR(__xludf.DUMMYFUNCTION("IF(
  AND(D490=""Saída"", J490=""Sangria""),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IFERROR(__xludf.DUMMYFUNCTION("IF(
  AND(D491=""Saída"", J491=""Sangria""),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IFERROR(__xludf.DUMMYFUNCTION("IF(
  AND(D492=""Saída"", J492=""Sangria""),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IFERROR(__xludf.DUMMYFUNCTION("IF(
  AND(D493=""Saída"", J493=""Sangria""),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IFERROR(__xludf.DUMMYFUNCTION("IF(
  AND(D494=""Saída"", J494=""Sangria""),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IFERROR(__xludf.DUMMYFUNCTION("IF(
  AND(D495=""Saída"", J495=""Sangria""),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IFERROR(__xludf.DUMMYFUNCTION("IF(
  AND(D496=""Saída"", J496=""Sangria""),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IFERROR(__xludf.DUMMYFUNCTION("IF(
  AND(D497=""Saída"", J497=""Sangria""),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IFERROR(__xludf.DUMMYFUNCTION("IF(
  AND(D498=""Saída"", J498=""Sangria""),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IFERROR(__xludf.DUMMYFUNCTION("IF(
  AND(D499=""Saída"", J499=""Sangria""),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IFERROR(__xludf.DUMMYFUNCTION("IF(
  AND(D500=""Saída"", J500=""Sangria""),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IFERROR(__xludf.DUMMYFUNCTION("IF(
  AND(D501=""Saída"", J501=""Sangria""),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IFERROR(__xludf.DUMMYFUNCTION("IF(
  AND(D502=""Saída"", J502=""Sangria""),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IFERROR(__xludf.DUMMYFUNCTION("IF(
  AND(D503=""Saída"", J503=""Sangria""),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IFERROR(__xludf.DUMMYFUNCTION("IF(
  AND(D504=""Saída"", J504=""Sangria""),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252" t="str">
        <f>IFERROR(__xludf.DUMMYFUNCTION("IF(
  AND(D505=""Saída"", J505=""Sangria""),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252" t="str">
        <f>IFERROR(__xludf.DUMMYFUNCTION("IF(
  AND(D506=""Saída"", J506=""Sangria""),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7" t="str">
        <f>IFERROR(__xludf.DUMMYFUNCTION("IF(
  AND(D507=""Saída"", J507=""Sangria""),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9:R39"/>
    <mergeCell ref="O61:T62"/>
    <mergeCell ref="S63:T63"/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30:U130"/>
    <mergeCell ref="S131:U131"/>
    <mergeCell ref="S132:U132"/>
    <mergeCell ref="S133:U133"/>
    <mergeCell ref="S134:U134"/>
    <mergeCell ref="S135:U135"/>
    <mergeCell ref="S136:U136"/>
    <mergeCell ref="S123:U123"/>
    <mergeCell ref="S124:U124"/>
    <mergeCell ref="S125:U125"/>
    <mergeCell ref="S126:U126"/>
    <mergeCell ref="S127:U127"/>
    <mergeCell ref="S128:U128"/>
    <mergeCell ref="S129:U129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9:W39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507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L4:W4 L11 D20 O20:W20 O40:W40 O49:W49 U69:W69">
    <cfRule type="cellIs" dxfId="6" priority="19" operator="greaterThanOrEqual">
      <formula>500</formula>
    </cfRule>
  </conditionalFormatting>
  <conditionalFormatting sqref="L4:W4 L11 D20 O20:W20 O40:W40 O49:W49 U69:W69">
    <cfRule type="cellIs" dxfId="7" priority="20" operator="between">
      <formula>400</formula>
      <formula>500</formula>
    </cfRule>
  </conditionalFormatting>
  <conditionalFormatting sqref="E36:E507">
    <cfRule type="containsText" dxfId="9" priority="21" operator="containsText" text="R$">
      <formula>NOT(ISERROR(SEARCH(("R$"),(E36))))</formula>
    </cfRule>
  </conditionalFormatting>
  <conditionalFormatting sqref="K36:K507">
    <cfRule type="expression" dxfId="10" priority="22">
      <formula>or($J$29:$J$218="Compra Moedas",$J$29:$J$218="Cortesias",$J$29:$J$218="Troco")</formula>
    </cfRule>
  </conditionalFormatting>
  <conditionalFormatting sqref="K36:K507">
    <cfRule type="expression" dxfId="11" priority="23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4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5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6">
      <formula>LEN(TRIM(I43))&gt;0</formula>
    </cfRule>
  </conditionalFormatting>
  <conditionalFormatting sqref="I36:I507">
    <cfRule type="expression" dxfId="8" priority="27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8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29">
      <formula>and($C$29:$C$218="",or($D$29:$D$218="Entrada",$D$29:$D$218="Saída"))</formula>
    </cfRule>
  </conditionalFormatting>
  <conditionalFormatting sqref="I36:I507">
    <cfRule type="expression" dxfId="8" priority="30">
      <formula>and(K36 = "",or(J36="Consumo",J36="Adiantamento"))</formula>
    </cfRule>
  </conditionalFormatting>
  <conditionalFormatting sqref="M29:M507">
    <cfRule type="cellIs" dxfId="8" priority="31" operator="equal">
      <formula>"Não Encontrada"</formula>
    </cfRule>
  </conditionalFormatting>
  <conditionalFormatting sqref="L29:L507">
    <cfRule type="cellIs" dxfId="8" priority="32" operator="equal">
      <formula>"Caixa Sangria"</formula>
    </cfRule>
  </conditionalFormatting>
  <dataValidations>
    <dataValidation type="list" allowBlank="1" showErrorMessage="1" sqref="K29:K507">
      <formula1>'MARÇO 2026'!$B$4:$B$16</formula1>
    </dataValidation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6.13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15.25"/>
    <col customWidth="1" min="22" max="22" width="13.75"/>
    <col customWidth="1" min="23" max="31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  <c r="X2" s="358"/>
      <c r="Y2" s="359"/>
      <c r="Z2" s="359"/>
      <c r="AA2" s="360"/>
      <c r="AB2" s="361"/>
      <c r="AC2" s="362"/>
      <c r="AD2" s="362"/>
      <c r="AE2" s="363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B9</f>
        <v/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4" t="str">
        <f>B4</f>
        <v>Marcos</v>
      </c>
      <c r="P3" s="106"/>
      <c r="Q3" s="106"/>
      <c r="R3" s="107"/>
      <c r="S3" s="37"/>
      <c r="T3" s="38" t="str">
        <f>B5</f>
        <v>Rayanna</v>
      </c>
      <c r="U3" s="27"/>
      <c r="V3" s="27"/>
      <c r="W3" s="28"/>
      <c r="X3" s="365" t="str">
        <f>B8</f>
        <v>Sabrina</v>
      </c>
      <c r="AA3" s="150"/>
      <c r="AB3" s="364" t="str">
        <f>B7</f>
        <v>Ana Carolina</v>
      </c>
      <c r="AC3" s="106"/>
      <c r="AD3" s="106"/>
      <c r="AE3" s="107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400</v>
      </c>
      <c r="E4" s="43" t="s">
        <v>1112</v>
      </c>
      <c r="F4" s="42">
        <f>SUMIFS(N29:N504,J29:J504,E4,K29:K504,E3)+SUMIF(Q64:Q106,A5,R64:R106)+F9</f>
        <v>300</v>
      </c>
      <c r="G4" s="43" t="s">
        <v>1112</v>
      </c>
      <c r="H4" s="42">
        <f>SUMIFS(N29:N504,J29:J504,G4,K29:K504,G3)+SUMIF(Q64:Q106,A9,R64:R106)+H9</f>
        <v>0</v>
      </c>
      <c r="I4" s="43" t="s">
        <v>1112</v>
      </c>
      <c r="J4" s="42">
        <f>SUMIFS(N29:N504,J29:J504,C4,K29:K504,I3)+SUMIF(Q64:Q106,A7,R64:R106)+J9</f>
        <v>500</v>
      </c>
      <c r="K4" s="43" t="s">
        <v>1112</v>
      </c>
      <c r="L4" s="44">
        <f>SUMIFS(N29:N504,J29:J504,C4,K29:K504,K3)+SUMIF(Q64:Q106,A8,R64:R106)+L9</f>
        <v>500</v>
      </c>
      <c r="M4" s="25"/>
      <c r="N4" s="25"/>
      <c r="O4" s="366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36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'""&amp;B5&amp;""'"",1)"),"Data")</f>
        <v>Data</v>
      </c>
      <c r="U4" s="49" t="str">
        <f>IFERROR(__xludf.DUMMYFUNCTION("""COMPUTED_VALUE"""),"Valor ")</f>
        <v>Valor </v>
      </c>
      <c r="V4" s="49" t="str">
        <f>IFERROR(__xludf.DUMMYFUNCTION("""COMPUTED_VALUE"""),"Tipo")</f>
        <v>Tipo</v>
      </c>
      <c r="W4" s="49" t="str">
        <f>IFERROR(__xludf.DUMMYFUNCTION("""COMPUTED_VALUE"""),"Funcionário")</f>
        <v>Funcionário</v>
      </c>
      <c r="X4" s="368" t="str">
        <f>IFERROR(__xludf.DUMMYFUNCTION("query(C28:L507,""select Col1,Col3,Col8,Col9 where (Col8 = 'Adiantamento' or Col8 = 'Consumo') and Col9 = '""&amp;B8&amp;""'"",1)"),"Data")</f>
        <v>Data</v>
      </c>
      <c r="Y4" s="49" t="str">
        <f>IFERROR(__xludf.DUMMYFUNCTION("""COMPUTED_VALUE"""),"Valor ")</f>
        <v>Valor </v>
      </c>
      <c r="Z4" s="49" t="str">
        <f>IFERROR(__xludf.DUMMYFUNCTION("""COMPUTED_VALUE"""),"Tipo")</f>
        <v>Tipo</v>
      </c>
      <c r="AA4" s="369" t="str">
        <f>IFERROR(__xludf.DUMMYFUNCTION("""COMPUTED_VALUE"""),"Funcionário")</f>
        <v>Funcionário</v>
      </c>
      <c r="AB4" s="366" t="str">
        <f>IFERROR(__xludf.DUMMYFUNCTION("query(C28:L507,""select Col1,Col3,Col8,Col9 where (Col8 = 'Adiantamento' or Col8 = 'Consumo') and Col9 = '""&amp;B7&amp;""'"",1)"),"Data")</f>
        <v>Data</v>
      </c>
      <c r="AC4" s="46" t="str">
        <f>IFERROR(__xludf.DUMMYFUNCTION("""COMPUTED_VALUE"""),"Valor ")</f>
        <v>Valor </v>
      </c>
      <c r="AD4" s="46" t="str">
        <f>IFERROR(__xludf.DUMMYFUNCTION("""COMPUTED_VALUE"""),"Tipo")</f>
        <v>Tipo</v>
      </c>
      <c r="AE4" s="367" t="str">
        <f>IFERROR(__xludf.DUMMYFUNCTION("""COMPUTED_VALUE"""),"Funcionário")</f>
        <v>Funcionário</v>
      </c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263.57</v>
      </c>
      <c r="G5" s="43" t="s">
        <v>3044</v>
      </c>
      <c r="H5" s="42">
        <f>SUMIFS(N29:N504,J29:J504,C5,K29:K504,G3)</f>
        <v>0</v>
      </c>
      <c r="I5" s="43" t="s">
        <v>3044</v>
      </c>
      <c r="J5" s="42">
        <f>SUMIFS(N29:N504,J29:J504,C5,K29:K504,I3)</f>
        <v>268.76</v>
      </c>
      <c r="K5" s="43" t="s">
        <v>3044</v>
      </c>
      <c r="L5" s="44">
        <f>SUMIFS(N29:N504,J29:J504,C5,K29:K504,K3)</f>
        <v>262.11</v>
      </c>
      <c r="M5" s="25"/>
      <c r="N5" s="25"/>
      <c r="O5" s="370"/>
      <c r="P5" s="52"/>
      <c r="Q5" s="52"/>
      <c r="R5" s="371"/>
      <c r="S5" s="54"/>
      <c r="T5" s="55">
        <f>IFERROR(__xludf.DUMMYFUNCTION("""COMPUTED_VALUE"""),46107.740023148144)</f>
        <v>46107.74002</v>
      </c>
      <c r="U5" s="52" t="str">
        <f>IFERROR(__xludf.DUMMYFUNCTION("""COMPUTED_VALUE"""),"R$ 5,00")</f>
        <v>R$ 5,00</v>
      </c>
      <c r="V5" s="52" t="str">
        <f>IFERROR(__xludf.DUMMYFUNCTION("""COMPUTED_VALUE"""),"Consumo")</f>
        <v>Consumo</v>
      </c>
      <c r="W5" s="52" t="str">
        <f>IFERROR(__xludf.DUMMYFUNCTION("""COMPUTED_VALUE"""),"Rayanna")</f>
        <v>Rayanna</v>
      </c>
      <c r="X5" s="370">
        <f>IFERROR(__xludf.DUMMYFUNCTION("""COMPUTED_VALUE"""),46107.69311342592)</f>
        <v>46107.69311</v>
      </c>
      <c r="Y5" s="52" t="str">
        <f>IFERROR(__xludf.DUMMYFUNCTION("""COMPUTED_VALUE"""),"R$ 4,00")</f>
        <v>R$ 4,00</v>
      </c>
      <c r="Z5" s="52" t="str">
        <f>IFERROR(__xludf.DUMMYFUNCTION("""COMPUTED_VALUE"""),"Consumo")</f>
        <v>Consumo</v>
      </c>
      <c r="AA5" s="371" t="str">
        <f>IFERROR(__xludf.DUMMYFUNCTION("""COMPUTED_VALUE"""),"Sabrina")</f>
        <v>Sabrina</v>
      </c>
      <c r="AB5" s="370">
        <f>IFERROR(__xludf.DUMMYFUNCTION("""COMPUTED_VALUE"""),46107.749247685184)</f>
        <v>46107.74925</v>
      </c>
      <c r="AC5" s="52" t="str">
        <f>IFERROR(__xludf.DUMMYFUNCTION("""COMPUTED_VALUE"""),"R$ 13,00")</f>
        <v>R$ 13,00</v>
      </c>
      <c r="AD5" s="52" t="str">
        <f>IFERROR(__xludf.DUMMYFUNCTION("""COMPUTED_VALUE"""),"Consumo")</f>
        <v>Consumo</v>
      </c>
      <c r="AE5" s="371" t="str">
        <f>IFERROR(__xludf.DUMMYFUNCTION("""COMPUTED_VALUE"""),"Ana Carolina")</f>
        <v>Ana Carolina</v>
      </c>
    </row>
    <row r="6" ht="16.5" customHeight="1">
      <c r="A6" s="56" t="s">
        <v>152</v>
      </c>
      <c r="B6" s="40" t="s">
        <v>8093</v>
      </c>
      <c r="C6" s="41" t="s">
        <v>3082</v>
      </c>
      <c r="D6" s="42">
        <f>D5*0.8</f>
        <v>0</v>
      </c>
      <c r="E6" s="43" t="s">
        <v>3082</v>
      </c>
      <c r="F6" s="42">
        <f>F5*0.8</f>
        <v>210.856</v>
      </c>
      <c r="G6" s="43" t="s">
        <v>3082</v>
      </c>
      <c r="H6" s="42">
        <f>H5*0.8</f>
        <v>0</v>
      </c>
      <c r="I6" s="43" t="s">
        <v>3082</v>
      </c>
      <c r="J6" s="42">
        <f>J5*0.8</f>
        <v>215.008</v>
      </c>
      <c r="K6" s="57" t="s">
        <v>3082</v>
      </c>
      <c r="L6" s="44">
        <f>L5*0.8</f>
        <v>209.688</v>
      </c>
      <c r="M6" s="25"/>
      <c r="N6" s="25"/>
      <c r="O6" s="370"/>
      <c r="P6" s="52"/>
      <c r="Q6" s="52"/>
      <c r="R6" s="371"/>
      <c r="S6" s="54"/>
      <c r="T6" s="55">
        <f>IFERROR(__xludf.DUMMYFUNCTION("""COMPUTED_VALUE"""),46108.728842592594)</f>
        <v>46108.72884</v>
      </c>
      <c r="U6" s="52" t="str">
        <f>IFERROR(__xludf.DUMMYFUNCTION("""COMPUTED_VALUE"""),"R$ 12,00")</f>
        <v>R$ 12,00</v>
      </c>
      <c r="V6" s="52" t="str">
        <f>IFERROR(__xludf.DUMMYFUNCTION("""COMPUTED_VALUE"""),"Consumo")</f>
        <v>Consumo</v>
      </c>
      <c r="W6" s="52" t="str">
        <f>IFERROR(__xludf.DUMMYFUNCTION("""COMPUTED_VALUE"""),"Rayanna")</f>
        <v>Rayanna</v>
      </c>
      <c r="X6" s="370">
        <f>IFERROR(__xludf.DUMMYFUNCTION("""COMPUTED_VALUE"""),46107.82368055556)</f>
        <v>46107.82368</v>
      </c>
      <c r="Y6" s="52" t="str">
        <f>IFERROR(__xludf.DUMMYFUNCTION("""COMPUTED_VALUE"""),"R$ 18,66")</f>
        <v>R$ 18,66</v>
      </c>
      <c r="Z6" s="52" t="str">
        <f>IFERROR(__xludf.DUMMYFUNCTION("""COMPUTED_VALUE"""),"Consumo")</f>
        <v>Consumo</v>
      </c>
      <c r="AA6" s="371" t="str">
        <f>IFERROR(__xludf.DUMMYFUNCTION("""COMPUTED_VALUE"""),"Sabrina")</f>
        <v>Sabrina</v>
      </c>
      <c r="AB6" s="370">
        <f>IFERROR(__xludf.DUMMYFUNCTION("""COMPUTED_VALUE"""),46108.538564814815)</f>
        <v>46108.53856</v>
      </c>
      <c r="AC6" s="52" t="str">
        <f>IFERROR(__xludf.DUMMYFUNCTION("""COMPUTED_VALUE"""),"R$ 13,00")</f>
        <v>R$ 13,00</v>
      </c>
      <c r="AD6" s="52" t="str">
        <f>IFERROR(__xludf.DUMMYFUNCTION("""COMPUTED_VALUE"""),"Consumo")</f>
        <v>Consumo</v>
      </c>
      <c r="AE6" s="371" t="str">
        <f>IFERROR(__xludf.DUMMYFUNCTION("""COMPUTED_VALUE"""),"Ana Carolina")</f>
        <v>Ana Carolina</v>
      </c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370"/>
      <c r="P7" s="52"/>
      <c r="Q7" s="52"/>
      <c r="R7" s="371"/>
      <c r="S7" s="54"/>
      <c r="T7" s="55">
        <f>IFERROR(__xludf.DUMMYFUNCTION("""COMPUTED_VALUE"""),46109.55526620371)</f>
        <v>46109.55527</v>
      </c>
      <c r="U7" s="52" t="str">
        <f>IFERROR(__xludf.DUMMYFUNCTION("""COMPUTED_VALUE"""),"R$ 16,65")</f>
        <v>R$ 16,65</v>
      </c>
      <c r="V7" s="52" t="str">
        <f>IFERROR(__xludf.DUMMYFUNCTION("""COMPUTED_VALUE"""),"Consumo")</f>
        <v>Consumo</v>
      </c>
      <c r="W7" s="52" t="str">
        <f>IFERROR(__xludf.DUMMYFUNCTION("""COMPUTED_VALUE"""),"Rayanna")</f>
        <v>Rayanna</v>
      </c>
      <c r="X7" s="370">
        <f>IFERROR(__xludf.DUMMYFUNCTION("""COMPUTED_VALUE"""),46108.54472222222)</f>
        <v>46108.54472</v>
      </c>
      <c r="Y7" s="52" t="str">
        <f>IFERROR(__xludf.DUMMYFUNCTION("""COMPUTED_VALUE"""),"R$ 4,00")</f>
        <v>R$ 4,00</v>
      </c>
      <c r="Z7" s="52" t="str">
        <f>IFERROR(__xludf.DUMMYFUNCTION("""COMPUTED_VALUE"""),"Consumo")</f>
        <v>Consumo</v>
      </c>
      <c r="AA7" s="371" t="str">
        <f>IFERROR(__xludf.DUMMYFUNCTION("""COMPUTED_VALUE"""),"Sabrina")</f>
        <v>Sabrina</v>
      </c>
      <c r="AB7" s="370">
        <f>IFERROR(__xludf.DUMMYFUNCTION("""COMPUTED_VALUE"""),46109.54790509259)</f>
        <v>46109.54791</v>
      </c>
      <c r="AC7" s="52" t="str">
        <f>IFERROR(__xludf.DUMMYFUNCTION("""COMPUTED_VALUE"""),"R$ 41,75")</f>
        <v>R$ 41,75</v>
      </c>
      <c r="AD7" s="52" t="str">
        <f>IFERROR(__xludf.DUMMYFUNCTION("""COMPUTED_VALUE"""),"Consumo")</f>
        <v>Consumo</v>
      </c>
      <c r="AE7" s="371" t="str">
        <f>IFERROR(__xludf.DUMMYFUNCTION("""COMPUTED_VALUE"""),"Ana Carolina")</f>
        <v>Ana Carolina</v>
      </c>
    </row>
    <row r="8" ht="14.25" customHeight="1">
      <c r="A8" s="12" t="s">
        <v>78</v>
      </c>
      <c r="B8" s="40" t="s">
        <v>7058</v>
      </c>
      <c r="C8" s="63" t="s">
        <v>3170</v>
      </c>
      <c r="D8" s="67">
        <v>45782.0</v>
      </c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370"/>
      <c r="P8" s="52"/>
      <c r="Q8" s="52"/>
      <c r="R8" s="371"/>
      <c r="S8" s="54"/>
      <c r="T8" s="55">
        <f>IFERROR(__xludf.DUMMYFUNCTION("""COMPUTED_VALUE"""),46110.947384259256)</f>
        <v>46110.94738</v>
      </c>
      <c r="U8" s="52" t="str">
        <f>IFERROR(__xludf.DUMMYFUNCTION("""COMPUTED_VALUE"""),"R$ 16,00")</f>
        <v>R$ 16,00</v>
      </c>
      <c r="V8" s="52" t="str">
        <f>IFERROR(__xludf.DUMMYFUNCTION("""COMPUTED_VALUE"""),"Consumo")</f>
        <v>Consumo</v>
      </c>
      <c r="W8" s="52" t="str">
        <f>IFERROR(__xludf.DUMMYFUNCTION("""COMPUTED_VALUE"""),"Rayanna")</f>
        <v>Rayanna</v>
      </c>
      <c r="X8" s="370">
        <f>IFERROR(__xludf.DUMMYFUNCTION("""COMPUTED_VALUE"""),46108.77674768519)</f>
        <v>46108.77675</v>
      </c>
      <c r="Y8" s="52" t="str">
        <f>IFERROR(__xludf.DUMMYFUNCTION("""COMPUTED_VALUE"""),"R$ 41,92")</f>
        <v>R$ 41,92</v>
      </c>
      <c r="Z8" s="52" t="str">
        <f>IFERROR(__xludf.DUMMYFUNCTION("""COMPUTED_VALUE"""),"Consumo")</f>
        <v>Consumo</v>
      </c>
      <c r="AA8" s="371" t="str">
        <f>IFERROR(__xludf.DUMMYFUNCTION("""COMPUTED_VALUE"""),"Sabrina")</f>
        <v>Sabrina</v>
      </c>
      <c r="AB8" s="370">
        <f>IFERROR(__xludf.DUMMYFUNCTION("""COMPUTED_VALUE"""),46110.55605324074)</f>
        <v>46110.55605</v>
      </c>
      <c r="AC8" s="52" t="str">
        <f>IFERROR(__xludf.DUMMYFUNCTION("""COMPUTED_VALUE"""),"R$ 13,00")</f>
        <v>R$ 13,00</v>
      </c>
      <c r="AD8" s="52" t="str">
        <f>IFERROR(__xludf.DUMMYFUNCTION("""COMPUTED_VALUE"""),"Consumo")</f>
        <v>Consumo</v>
      </c>
      <c r="AE8" s="371" t="str">
        <f>IFERROR(__xludf.DUMMYFUNCTION("""COMPUTED_VALUE"""),"Ana Carolina")</f>
        <v>Ana Carolina</v>
      </c>
    </row>
    <row r="9">
      <c r="A9" s="39"/>
      <c r="B9" s="40"/>
      <c r="C9" s="70" t="s">
        <v>41</v>
      </c>
      <c r="D9" s="71">
        <v>400.0</v>
      </c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370"/>
      <c r="P9" s="52"/>
      <c r="Q9" s="52"/>
      <c r="R9" s="371"/>
      <c r="S9" s="54"/>
      <c r="T9" s="55">
        <f>IFERROR(__xludf.DUMMYFUNCTION("""COMPUTED_VALUE"""),46111.74285879629)</f>
        <v>46111.74286</v>
      </c>
      <c r="U9" s="52" t="str">
        <f>IFERROR(__xludf.DUMMYFUNCTION("""COMPUTED_VALUE"""),"R$ 5,00")</f>
        <v>R$ 5,00</v>
      </c>
      <c r="V9" s="52" t="str">
        <f>IFERROR(__xludf.DUMMYFUNCTION("""COMPUTED_VALUE"""),"Consumo")</f>
        <v>Consumo</v>
      </c>
      <c r="W9" s="52" t="str">
        <f>IFERROR(__xludf.DUMMYFUNCTION("""COMPUTED_VALUE"""),"Rayanna")</f>
        <v>Rayanna</v>
      </c>
      <c r="X9" s="370">
        <f>IFERROR(__xludf.DUMMYFUNCTION("""COMPUTED_VALUE"""),46111.74230324074)</f>
        <v>46111.7423</v>
      </c>
      <c r="Y9" s="52" t="str">
        <f>IFERROR(__xludf.DUMMYFUNCTION("""COMPUTED_VALUE"""),"R$ 8,00")</f>
        <v>R$ 8,00</v>
      </c>
      <c r="Z9" s="52" t="str">
        <f>IFERROR(__xludf.DUMMYFUNCTION("""COMPUTED_VALUE"""),"Consumo")</f>
        <v>Consumo</v>
      </c>
      <c r="AA9" s="371" t="str">
        <f>IFERROR(__xludf.DUMMYFUNCTION("""COMPUTED_VALUE"""),"Sabrina")</f>
        <v>Sabrina</v>
      </c>
      <c r="AB9" s="370">
        <f>IFERROR(__xludf.DUMMYFUNCTION("""COMPUTED_VALUE"""),46110.58724537037)</f>
        <v>46110.58725</v>
      </c>
      <c r="AC9" s="52" t="str">
        <f>IFERROR(__xludf.DUMMYFUNCTION("""COMPUTED_VALUE"""),"R$ 10,48")</f>
        <v>R$ 10,48</v>
      </c>
      <c r="AD9" s="52" t="str">
        <f>IFERROR(__xludf.DUMMYFUNCTION("""COMPUTED_VALUE"""),"Consumo")</f>
        <v>Consumo</v>
      </c>
      <c r="AE9" s="371" t="str">
        <f>IFERROR(__xludf.DUMMYFUNCTION("""COMPUTED_VALUE"""),"Ana Carolina")</f>
        <v>Ana Carolina</v>
      </c>
    </row>
    <row r="10" ht="21.75" customHeight="1">
      <c r="A10" s="39"/>
      <c r="B10" s="40"/>
      <c r="C10" s="75"/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370"/>
      <c r="P10" s="79"/>
      <c r="Q10" s="79"/>
      <c r="R10" s="372"/>
      <c r="S10" s="81"/>
      <c r="T10" s="55">
        <f>IFERROR(__xludf.DUMMYFUNCTION("""COMPUTED_VALUE"""),46111.74994212963)</f>
        <v>46111.74994</v>
      </c>
      <c r="U10" s="79" t="str">
        <f>IFERROR(__xludf.DUMMYFUNCTION("""COMPUTED_VALUE"""),"R$ 48,37")</f>
        <v>R$ 48,37</v>
      </c>
      <c r="V10" s="79" t="str">
        <f>IFERROR(__xludf.DUMMYFUNCTION("""COMPUTED_VALUE"""),"Consumo")</f>
        <v>Consumo</v>
      </c>
      <c r="W10" s="79" t="str">
        <f>IFERROR(__xludf.DUMMYFUNCTION("""COMPUTED_VALUE"""),"Rayanna")</f>
        <v>Rayanna</v>
      </c>
      <c r="X10" s="370">
        <f>IFERROR(__xludf.DUMMYFUNCTION("""COMPUTED_VALUE"""),46111.7724537037)</f>
        <v>46111.77245</v>
      </c>
      <c r="Y10" s="79" t="str">
        <f>IFERROR(__xludf.DUMMYFUNCTION("""COMPUTED_VALUE"""),"R$ 16,87")</f>
        <v>R$ 16,87</v>
      </c>
      <c r="Z10" s="79" t="str">
        <f>IFERROR(__xludf.DUMMYFUNCTION("""COMPUTED_VALUE"""),"Consumo")</f>
        <v>Consumo</v>
      </c>
      <c r="AA10" s="372" t="str">
        <f>IFERROR(__xludf.DUMMYFUNCTION("""COMPUTED_VALUE"""),"Sabrina")</f>
        <v>Sabrina</v>
      </c>
      <c r="AB10" s="370">
        <f>IFERROR(__xludf.DUMMYFUNCTION("""COMPUTED_VALUE"""),46110.63010416667)</f>
        <v>46110.6301</v>
      </c>
      <c r="AC10" s="79" t="str">
        <f>IFERROR(__xludf.DUMMYFUNCTION("""COMPUTED_VALUE"""),"R$ 10,10")</f>
        <v>R$ 10,10</v>
      </c>
      <c r="AD10" s="79" t="str">
        <f>IFERROR(__xludf.DUMMYFUNCTION("""COMPUTED_VALUE"""),"Consumo")</f>
        <v>Consumo</v>
      </c>
      <c r="AE10" s="372" t="str">
        <f>IFERROR(__xludf.DUMMYFUNCTION("""COMPUTED_VALUE"""),"Ana Carolina")</f>
        <v>Ana Carolina</v>
      </c>
    </row>
    <row r="11">
      <c r="A11" s="82"/>
      <c r="B11" s="83"/>
      <c r="C11" s="84" t="s">
        <v>1112</v>
      </c>
      <c r="D11" s="85">
        <f>SUMIFS(N29:N514,J29:J514,C11,K29:K514,C10)+SUMIF(Q64:Q106,A9,R64:R106)+D16</f>
        <v>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373"/>
      <c r="P11" s="89"/>
      <c r="Q11" s="89"/>
      <c r="R11" s="374"/>
      <c r="S11" s="91"/>
      <c r="T11" s="236">
        <f>IFERROR(__xludf.DUMMYFUNCTION("""COMPUTED_VALUE"""),46112.57927083333)</f>
        <v>46112.57927</v>
      </c>
      <c r="U11" s="89" t="str">
        <f>IFERROR(__xludf.DUMMYFUNCTION("""COMPUTED_VALUE"""),"R$ 7,80")</f>
        <v>R$ 7,80</v>
      </c>
      <c r="V11" s="89" t="str">
        <f>IFERROR(__xludf.DUMMYFUNCTION("""COMPUTED_VALUE"""),"Consumo")</f>
        <v>Consumo</v>
      </c>
      <c r="W11" s="89" t="str">
        <f>IFERROR(__xludf.DUMMYFUNCTION("""COMPUTED_VALUE"""),"Rayanna")</f>
        <v>Rayanna</v>
      </c>
      <c r="X11" s="375">
        <f>IFERROR(__xludf.DUMMYFUNCTION("""COMPUTED_VALUE"""),46112.78265046296)</f>
        <v>46112.78265</v>
      </c>
      <c r="Y11" s="89" t="str">
        <f>IFERROR(__xludf.DUMMYFUNCTION("""COMPUTED_VALUE"""),"R$ 4,00")</f>
        <v>R$ 4,00</v>
      </c>
      <c r="Z11" s="89" t="str">
        <f>IFERROR(__xludf.DUMMYFUNCTION("""COMPUTED_VALUE"""),"Consumo")</f>
        <v>Consumo</v>
      </c>
      <c r="AA11" s="374" t="str">
        <f>IFERROR(__xludf.DUMMYFUNCTION("""COMPUTED_VALUE"""),"Sabrina")</f>
        <v>Sabrina</v>
      </c>
      <c r="AB11" s="375">
        <f>IFERROR(__xludf.DUMMYFUNCTION("""COMPUTED_VALUE"""),46111.74322916666)</f>
        <v>46111.74323</v>
      </c>
      <c r="AC11" s="89" t="str">
        <f>IFERROR(__xludf.DUMMYFUNCTION("""COMPUTED_VALUE"""),"R$ 13,00")</f>
        <v>R$ 13,00</v>
      </c>
      <c r="AD11" s="89" t="str">
        <f>IFERROR(__xludf.DUMMYFUNCTION("""COMPUTED_VALUE"""),"Consumo")</f>
        <v>Consumo</v>
      </c>
      <c r="AE11" s="374" t="str">
        <f>IFERROR(__xludf.DUMMYFUNCTION("""COMPUTED_VALUE"""),"Ana Carolina")</f>
        <v>Ana Carolina</v>
      </c>
    </row>
    <row r="12">
      <c r="A12" s="82"/>
      <c r="B12" s="83"/>
      <c r="C12" s="84" t="s">
        <v>3044</v>
      </c>
      <c r="D12" s="85">
        <f>SUMIFS(N36:N514,J36:J514,C12,K36:K514,C10)</f>
        <v>0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373"/>
      <c r="P12" s="89"/>
      <c r="Q12" s="89"/>
      <c r="R12" s="374"/>
      <c r="S12" s="91"/>
      <c r="T12" s="236">
        <f>IFERROR(__xludf.DUMMYFUNCTION("""COMPUTED_VALUE"""),46112.751817129625)</f>
        <v>46112.75182</v>
      </c>
      <c r="U12" s="89" t="str">
        <f>IFERROR(__xludf.DUMMYFUNCTION("""COMPUTED_VALUE"""),"R$ 16,91")</f>
        <v>R$ 16,91</v>
      </c>
      <c r="V12" s="89" t="str">
        <f>IFERROR(__xludf.DUMMYFUNCTION("""COMPUTED_VALUE"""),"Consumo")</f>
        <v>Consumo</v>
      </c>
      <c r="W12" s="89" t="str">
        <f>IFERROR(__xludf.DUMMYFUNCTION("""COMPUTED_VALUE"""),"Rayanna")</f>
        <v>Rayanna</v>
      </c>
      <c r="X12" s="375">
        <f>IFERROR(__xludf.DUMMYFUNCTION("""COMPUTED_VALUE"""),46112.91517361111)</f>
        <v>46112.91517</v>
      </c>
      <c r="Y12" s="89" t="str">
        <f>IFERROR(__xludf.DUMMYFUNCTION("""COMPUTED_VALUE"""),"R$ 5,00")</f>
        <v>R$ 5,00</v>
      </c>
      <c r="Z12" s="89" t="str">
        <f>IFERROR(__xludf.DUMMYFUNCTION("""COMPUTED_VALUE"""),"Consumo")</f>
        <v>Consumo</v>
      </c>
      <c r="AA12" s="374" t="str">
        <f>IFERROR(__xludf.DUMMYFUNCTION("""COMPUTED_VALUE"""),"Sabrina")</f>
        <v>Sabrina</v>
      </c>
      <c r="AB12" s="375">
        <f>IFERROR(__xludf.DUMMYFUNCTION("""COMPUTED_VALUE"""),46112.75237268519)</f>
        <v>46112.75237</v>
      </c>
      <c r="AC12" s="89" t="str">
        <f>IFERROR(__xludf.DUMMYFUNCTION("""COMPUTED_VALUE"""),"R$ 4,00")</f>
        <v>R$ 4,00</v>
      </c>
      <c r="AD12" s="89" t="str">
        <f>IFERROR(__xludf.DUMMYFUNCTION("""COMPUTED_VALUE"""),"Consumo")</f>
        <v>Consumo</v>
      </c>
      <c r="AE12" s="374" t="str">
        <f>IFERROR(__xludf.DUMMYFUNCTION("""COMPUTED_VALUE"""),"Ana Carolina")</f>
        <v>Ana Carolina</v>
      </c>
    </row>
    <row r="13">
      <c r="A13" s="82"/>
      <c r="B13" s="93"/>
      <c r="C13" s="84" t="s">
        <v>3082</v>
      </c>
      <c r="D13" s="85">
        <f>D12*0.8</f>
        <v>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373"/>
      <c r="P13" s="89"/>
      <c r="Q13" s="89"/>
      <c r="R13" s="374"/>
      <c r="S13" s="91"/>
      <c r="T13" s="236">
        <f>IFERROR(__xludf.DUMMYFUNCTION("""COMPUTED_VALUE"""),46113.5321412037)</f>
        <v>46113.53214</v>
      </c>
      <c r="U13" s="89" t="str">
        <f>IFERROR(__xludf.DUMMYFUNCTION("""COMPUTED_VALUE"""),"R$ 15,35")</f>
        <v>R$ 15,35</v>
      </c>
      <c r="V13" s="89" t="str">
        <f>IFERROR(__xludf.DUMMYFUNCTION("""COMPUTED_VALUE"""),"Consumo")</f>
        <v>Consumo</v>
      </c>
      <c r="W13" s="89" t="str">
        <f>IFERROR(__xludf.DUMMYFUNCTION("""COMPUTED_VALUE"""),"Rayanna")</f>
        <v>Rayanna</v>
      </c>
      <c r="X13" s="375">
        <f>IFERROR(__xludf.DUMMYFUNCTION("""COMPUTED_VALUE"""),46114.65142361111)</f>
        <v>46114.65142</v>
      </c>
      <c r="Y13" s="89" t="str">
        <f>IFERROR(__xludf.DUMMYFUNCTION("""COMPUTED_VALUE"""),"R$ 8,00")</f>
        <v>R$ 8,00</v>
      </c>
      <c r="Z13" s="89" t="str">
        <f>IFERROR(__xludf.DUMMYFUNCTION("""COMPUTED_VALUE"""),"Consumo")</f>
        <v>Consumo</v>
      </c>
      <c r="AA13" s="374" t="str">
        <f>IFERROR(__xludf.DUMMYFUNCTION("""COMPUTED_VALUE"""),"Sabrina")</f>
        <v>Sabrina</v>
      </c>
      <c r="AB13" s="375">
        <f>IFERROR(__xludf.DUMMYFUNCTION("""COMPUTED_VALUE"""),46113.599120370374)</f>
        <v>46113.59912</v>
      </c>
      <c r="AC13" s="89" t="str">
        <f>IFERROR(__xludf.DUMMYFUNCTION("""COMPUTED_VALUE"""),"R$ 12,91")</f>
        <v>R$ 12,91</v>
      </c>
      <c r="AD13" s="89" t="str">
        <f>IFERROR(__xludf.DUMMYFUNCTION("""COMPUTED_VALUE"""),"Consumo")</f>
        <v>Consumo</v>
      </c>
      <c r="AE13" s="374" t="str">
        <f>IFERROR(__xludf.DUMMYFUNCTION("""COMPUTED_VALUE"""),"Ana Carolina")</f>
        <v>Ana Carolina</v>
      </c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373"/>
      <c r="P14" s="89"/>
      <c r="Q14" s="89"/>
      <c r="R14" s="374"/>
      <c r="S14" s="91"/>
      <c r="T14" s="236">
        <f>IFERROR(__xludf.DUMMYFUNCTION("""COMPUTED_VALUE"""),46114.52616898148)</f>
        <v>46114.52617</v>
      </c>
      <c r="U14" s="89" t="str">
        <f>IFERROR(__xludf.DUMMYFUNCTION("""COMPUTED_VALUE"""),"R$ 15,10")</f>
        <v>R$ 15,10</v>
      </c>
      <c r="V14" s="89" t="str">
        <f>IFERROR(__xludf.DUMMYFUNCTION("""COMPUTED_VALUE"""),"Consumo")</f>
        <v>Consumo</v>
      </c>
      <c r="W14" s="89" t="str">
        <f>IFERROR(__xludf.DUMMYFUNCTION("""COMPUTED_VALUE"""),"Rayanna")</f>
        <v>Rayanna</v>
      </c>
      <c r="X14" s="376">
        <f>IFERROR(__xludf.DUMMYFUNCTION("""COMPUTED_VALUE"""),46116.56649305555)</f>
        <v>46116.56649</v>
      </c>
      <c r="Y14" s="377" t="str">
        <f>IFERROR(__xludf.DUMMYFUNCTION("""COMPUTED_VALUE"""),"R$ 3,00")</f>
        <v>R$ 3,00</v>
      </c>
      <c r="Z14" s="377" t="str">
        <f>IFERROR(__xludf.DUMMYFUNCTION("""COMPUTED_VALUE"""),"Consumo")</f>
        <v>Consumo</v>
      </c>
      <c r="AA14" s="378" t="str">
        <f>IFERROR(__xludf.DUMMYFUNCTION("""COMPUTED_VALUE"""),"Sabrina")</f>
        <v>Sabrina</v>
      </c>
      <c r="AB14" s="375">
        <f>IFERROR(__xludf.DUMMYFUNCTION("""COMPUTED_VALUE"""),46113.759375)</f>
        <v>46113.75938</v>
      </c>
      <c r="AC14" s="89" t="str">
        <f>IFERROR(__xludf.DUMMYFUNCTION("""COMPUTED_VALUE"""),"R$ 17,13")</f>
        <v>R$ 17,13</v>
      </c>
      <c r="AD14" s="89" t="str">
        <f>IFERROR(__xludf.DUMMYFUNCTION("""COMPUTED_VALUE"""),"Consumo")</f>
        <v>Consumo</v>
      </c>
      <c r="AE14" s="374" t="str">
        <f>IFERROR(__xludf.DUMMYFUNCTION("""COMPUTED_VALUE"""),"Ana Carolina")</f>
        <v>Ana Carolina</v>
      </c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373"/>
      <c r="P15" s="89"/>
      <c r="Q15" s="89"/>
      <c r="R15" s="374"/>
      <c r="S15" s="91"/>
      <c r="T15" s="236">
        <f>IFERROR(__xludf.DUMMYFUNCTION("""COMPUTED_VALUE"""),46116.90703703703)</f>
        <v>46116.90704</v>
      </c>
      <c r="U15" s="89" t="str">
        <f>IFERROR(__xludf.DUMMYFUNCTION("""COMPUTED_VALUE"""),"R$ 8,69")</f>
        <v>R$ 8,69</v>
      </c>
      <c r="V15" s="89" t="str">
        <f>IFERROR(__xludf.DUMMYFUNCTION("""COMPUTED_VALUE"""),"Consumo")</f>
        <v>Consumo</v>
      </c>
      <c r="W15" s="89" t="str">
        <f>IFERROR(__xludf.DUMMYFUNCTION("""COMPUTED_VALUE"""),"Rayanna")</f>
        <v>Rayanna</v>
      </c>
      <c r="X15" s="376">
        <f>IFERROR(__xludf.DUMMYFUNCTION("""COMPUTED_VALUE"""),46116.80332175926)</f>
        <v>46116.80332</v>
      </c>
      <c r="Y15" s="377" t="str">
        <f>IFERROR(__xludf.DUMMYFUNCTION("""COMPUTED_VALUE"""),"R$ 4,00")</f>
        <v>R$ 4,00</v>
      </c>
      <c r="Z15" s="377" t="str">
        <f>IFERROR(__xludf.DUMMYFUNCTION("""COMPUTED_VALUE"""),"Consumo")</f>
        <v>Consumo</v>
      </c>
      <c r="AA15" s="378" t="str">
        <f>IFERROR(__xludf.DUMMYFUNCTION("""COMPUTED_VALUE"""),"Sabrina")</f>
        <v>Sabrina</v>
      </c>
      <c r="AB15" s="379">
        <f>IFERROR(__xludf.DUMMYFUNCTION("""COMPUTED_VALUE"""),46116.87892361111)</f>
        <v>46116.87892</v>
      </c>
      <c r="AC15" s="193" t="str">
        <f>IFERROR(__xludf.DUMMYFUNCTION("""COMPUTED_VALUE"""),"R$ 21,85")</f>
        <v>R$ 21,85</v>
      </c>
      <c r="AD15" s="194" t="str">
        <f>IFERROR(__xludf.DUMMYFUNCTION("""COMPUTED_VALUE"""),"Consumo")</f>
        <v>Consumo</v>
      </c>
      <c r="AE15" s="380" t="str">
        <f>IFERROR(__xludf.DUMMYFUNCTION("""COMPUTED_VALUE"""),"Ana Carolina")</f>
        <v>Ana Carolina</v>
      </c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373"/>
      <c r="P16" s="89"/>
      <c r="Q16" s="89"/>
      <c r="R16" s="374"/>
      <c r="S16" s="91"/>
      <c r="T16" s="236">
        <f>IFERROR(__xludf.DUMMYFUNCTION("""COMPUTED_VALUE"""),46119.53891203704)</f>
        <v>46119.53891</v>
      </c>
      <c r="U16" s="89" t="str">
        <f>IFERROR(__xludf.DUMMYFUNCTION("""COMPUTED_VALUE"""),"R$ 13,18")</f>
        <v>R$ 13,18</v>
      </c>
      <c r="V16" s="89" t="str">
        <f>IFERROR(__xludf.DUMMYFUNCTION("""COMPUTED_VALUE"""),"Consumo")</f>
        <v>Consumo</v>
      </c>
      <c r="W16" s="89" t="str">
        <f>IFERROR(__xludf.DUMMYFUNCTION("""COMPUTED_VALUE"""),"Rayanna")</f>
        <v>Rayanna</v>
      </c>
      <c r="X16" s="376">
        <f>IFERROR(__xludf.DUMMYFUNCTION("""COMPUTED_VALUE"""),46116.903090277774)</f>
        <v>46116.90309</v>
      </c>
      <c r="Y16" s="377" t="str">
        <f>IFERROR(__xludf.DUMMYFUNCTION("""COMPUTED_VALUE"""),"R$ 28,24")</f>
        <v>R$ 28,24</v>
      </c>
      <c r="Z16" s="377" t="str">
        <f>IFERROR(__xludf.DUMMYFUNCTION("""COMPUTED_VALUE"""),"Consumo")</f>
        <v>Consumo</v>
      </c>
      <c r="AA16" s="378" t="str">
        <f>IFERROR(__xludf.DUMMYFUNCTION("""COMPUTED_VALUE"""),"Sabrina")</f>
        <v>Sabrina</v>
      </c>
      <c r="AB16" s="375">
        <f>IFERROR(__xludf.DUMMYFUNCTION("""COMPUTED_VALUE"""),46116.907800925925)</f>
        <v>46116.9078</v>
      </c>
      <c r="AC16" s="89" t="str">
        <f>IFERROR(__xludf.DUMMYFUNCTION("""COMPUTED_VALUE"""),"R$ 54,51")</f>
        <v>R$ 54,51</v>
      </c>
      <c r="AD16" s="89" t="str">
        <f>IFERROR(__xludf.DUMMYFUNCTION("""COMPUTED_VALUE"""),"Consumo")</f>
        <v>Consumo</v>
      </c>
      <c r="AE16" s="374" t="str">
        <f>IFERROR(__xludf.DUMMYFUNCTION("""COMPUTED_VALUE"""),"Ana Carolina")</f>
        <v>Ana Carolina</v>
      </c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373"/>
      <c r="P17" s="89"/>
      <c r="Q17" s="89"/>
      <c r="R17" s="374"/>
      <c r="S17" s="91"/>
      <c r="T17" s="236">
        <f>IFERROR(__xludf.DUMMYFUNCTION("""COMPUTED_VALUE"""),46119.650983796295)</f>
        <v>46119.65098</v>
      </c>
      <c r="U17" s="89" t="str">
        <f>IFERROR(__xludf.DUMMYFUNCTION("""COMPUTED_VALUE"""),"R$ 4,00")</f>
        <v>R$ 4,00</v>
      </c>
      <c r="V17" s="89" t="str">
        <f>IFERROR(__xludf.DUMMYFUNCTION("""COMPUTED_VALUE"""),"Consumo")</f>
        <v>Consumo</v>
      </c>
      <c r="W17" s="89" t="str">
        <f>IFERROR(__xludf.DUMMYFUNCTION("""COMPUTED_VALUE"""),"Rayanna")</f>
        <v>Rayanna</v>
      </c>
      <c r="X17" s="376">
        <f>IFERROR(__xludf.DUMMYFUNCTION("""COMPUTED_VALUE"""),46119.87373842593)</f>
        <v>46119.87374</v>
      </c>
      <c r="Y17" s="377" t="str">
        <f>IFERROR(__xludf.DUMMYFUNCTION("""COMPUTED_VALUE"""),"R$ 28,75")</f>
        <v>R$ 28,75</v>
      </c>
      <c r="Z17" s="377" t="str">
        <f>IFERROR(__xludf.DUMMYFUNCTION("""COMPUTED_VALUE"""),"Consumo")</f>
        <v>Consumo</v>
      </c>
      <c r="AA17" s="378" t="str">
        <f>IFERROR(__xludf.DUMMYFUNCTION("""COMPUTED_VALUE"""),"Sabrina")</f>
        <v>Sabrina</v>
      </c>
      <c r="AB17" s="375">
        <f>IFERROR(__xludf.DUMMYFUNCTION("""COMPUTED_VALUE"""),46119.651226851856)</f>
        <v>46119.65123</v>
      </c>
      <c r="AC17" s="89" t="str">
        <f>IFERROR(__xludf.DUMMYFUNCTION("""COMPUTED_VALUE"""),"R$ 11,00")</f>
        <v>R$ 11,00</v>
      </c>
      <c r="AD17" s="89" t="str">
        <f>IFERROR(__xludf.DUMMYFUNCTION("""COMPUTED_VALUE"""),"Consumo")</f>
        <v>Consumo</v>
      </c>
      <c r="AE17" s="374" t="str">
        <f>IFERROR(__xludf.DUMMYFUNCTION("""COMPUTED_VALUE"""),"Ana Carolina")</f>
        <v>Ana Carolina</v>
      </c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381"/>
      <c r="P18" s="109"/>
      <c r="Q18" s="109"/>
      <c r="R18" s="382"/>
      <c r="S18" s="110"/>
      <c r="T18" s="236">
        <f>IFERROR(__xludf.DUMMYFUNCTION("""COMPUTED_VALUE"""),46122.54626157407)</f>
        <v>46122.54626</v>
      </c>
      <c r="U18" s="109" t="str">
        <f>IFERROR(__xludf.DUMMYFUNCTION("""COMPUTED_VALUE"""),"R$ 27,00")</f>
        <v>R$ 27,00</v>
      </c>
      <c r="V18" s="109" t="str">
        <f>IFERROR(__xludf.DUMMYFUNCTION("""COMPUTED_VALUE"""),"Consumo")</f>
        <v>Consumo</v>
      </c>
      <c r="W18" s="109" t="str">
        <f>IFERROR(__xludf.DUMMYFUNCTION("""COMPUTED_VALUE"""),"Rayanna")</f>
        <v>Rayanna</v>
      </c>
      <c r="X18" s="376">
        <f>IFERROR(__xludf.DUMMYFUNCTION("""COMPUTED_VALUE"""),46120.755578703705)</f>
        <v>46120.75558</v>
      </c>
      <c r="Y18" s="383" t="str">
        <f>IFERROR(__xludf.DUMMYFUNCTION("""COMPUTED_VALUE"""),"R$ 4,00")</f>
        <v>R$ 4,00</v>
      </c>
      <c r="Z18" s="383" t="str">
        <f>IFERROR(__xludf.DUMMYFUNCTION("""COMPUTED_VALUE"""),"Consumo")</f>
        <v>Consumo</v>
      </c>
      <c r="AA18" s="384" t="str">
        <f>IFERROR(__xludf.DUMMYFUNCTION("""COMPUTED_VALUE"""),"Sabrina")</f>
        <v>Sabrina</v>
      </c>
      <c r="AB18" s="375">
        <f>IFERROR(__xludf.DUMMYFUNCTION("""COMPUTED_VALUE"""),46119.65972222222)</f>
        <v>46119.65972</v>
      </c>
      <c r="AC18" s="109" t="str">
        <f>IFERROR(__xludf.DUMMYFUNCTION("""COMPUTED_VALUE"""),"R$ 4,00")</f>
        <v>R$ 4,00</v>
      </c>
      <c r="AD18" s="109" t="str">
        <f>IFERROR(__xludf.DUMMYFUNCTION("""COMPUTED_VALUE"""),"Consumo")</f>
        <v>Consumo</v>
      </c>
      <c r="AE18" s="382" t="str">
        <f>IFERROR(__xludf.DUMMYFUNCTION("""COMPUTED_VALUE"""),"Ana Carolina")</f>
        <v>Ana Carolina</v>
      </c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1250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385"/>
      <c r="P19" s="386"/>
      <c r="Q19" s="386"/>
      <c r="R19" s="387"/>
      <c r="S19" s="110"/>
      <c r="T19" s="238">
        <f>IFERROR(__xludf.DUMMYFUNCTION("""COMPUTED_VALUE"""),46122.863645833335)</f>
        <v>46122.86365</v>
      </c>
      <c r="U19" s="239" t="str">
        <f>IFERROR(__xludf.DUMMYFUNCTION("""COMPUTED_VALUE"""),"R$ 8,00")</f>
        <v>R$ 8,00</v>
      </c>
      <c r="V19" s="239" t="str">
        <f>IFERROR(__xludf.DUMMYFUNCTION("""COMPUTED_VALUE"""),"Consumo")</f>
        <v>Consumo</v>
      </c>
      <c r="W19" s="239" t="str">
        <f>IFERROR(__xludf.DUMMYFUNCTION("""COMPUTED_VALUE"""),"Rayanna")</f>
        <v>Rayanna</v>
      </c>
      <c r="X19" s="388">
        <f>IFERROR(__xludf.DUMMYFUNCTION("""COMPUTED_VALUE"""),46121.69908564815)</f>
        <v>46121.69909</v>
      </c>
      <c r="Y19" s="389" t="str">
        <f>IFERROR(__xludf.DUMMYFUNCTION("""COMPUTED_VALUE"""),"R$ 4,00")</f>
        <v>R$ 4,00</v>
      </c>
      <c r="Z19" s="389" t="str">
        <f>IFERROR(__xludf.DUMMYFUNCTION("""COMPUTED_VALUE"""),"Consumo")</f>
        <v>Consumo</v>
      </c>
      <c r="AA19" s="390" t="str">
        <f>IFERROR(__xludf.DUMMYFUNCTION("""COMPUTED_VALUE"""),"Sabrina")</f>
        <v>Sabrina</v>
      </c>
      <c r="AB19" s="391">
        <f>IFERROR(__xludf.DUMMYFUNCTION("""COMPUTED_VALUE"""),46121.70769675926)</f>
        <v>46121.7077</v>
      </c>
      <c r="AC19" s="239" t="str">
        <f>IFERROR(__xludf.DUMMYFUNCTION("""COMPUTED_VALUE"""),"R$ 8,00")</f>
        <v>R$ 8,00</v>
      </c>
      <c r="AD19" s="239" t="str">
        <f>IFERROR(__xludf.DUMMYFUNCTION("""COMPUTED_VALUE"""),"Consumo")</f>
        <v>Consumo</v>
      </c>
      <c r="AE19" s="392" t="str">
        <f>IFERROR(__xludf.DUMMYFUNCTION("""COMPUTED_VALUE"""),"Ana Carolina")</f>
        <v>Ana Carolina</v>
      </c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258.87</v>
      </c>
      <c r="J20" s="132">
        <f>SUMIF(J29:J504,J19,N29:N504)</f>
        <v>166.52</v>
      </c>
      <c r="K20" s="133" t="s">
        <v>3520</v>
      </c>
      <c r="L20" s="134"/>
      <c r="M20" s="24"/>
      <c r="N20" s="24"/>
      <c r="O20" s="393"/>
      <c r="P20" s="394"/>
      <c r="Q20" s="394"/>
      <c r="R20" s="395"/>
      <c r="S20" s="48"/>
      <c r="T20" s="396">
        <f>IFERROR(__xludf.DUMMYFUNCTION("""COMPUTED_VALUE"""),46123.554768518516)</f>
        <v>46123.55477</v>
      </c>
      <c r="U20" s="397" t="str">
        <f>IFERROR(__xludf.DUMMYFUNCTION("""COMPUTED_VALUE"""),"R$ 4,00")</f>
        <v>R$ 4,00</v>
      </c>
      <c r="V20" s="397" t="str">
        <f>IFERROR(__xludf.DUMMYFUNCTION("""COMPUTED_VALUE"""),"Consumo")</f>
        <v>Consumo</v>
      </c>
      <c r="W20" s="397" t="str">
        <f>IFERROR(__xludf.DUMMYFUNCTION("""COMPUTED_VALUE"""),"Rayanna")</f>
        <v>Rayanna</v>
      </c>
      <c r="X20" s="398">
        <f>IFERROR(__xludf.DUMMYFUNCTION("""COMPUTED_VALUE"""),46121.81197916667)</f>
        <v>46121.81198</v>
      </c>
      <c r="Y20" s="399" t="str">
        <f>IFERROR(__xludf.DUMMYFUNCTION("""COMPUTED_VALUE"""),"R$ 11,63")</f>
        <v>R$ 11,63</v>
      </c>
      <c r="Z20" s="399" t="str">
        <f>IFERROR(__xludf.DUMMYFUNCTION("""COMPUTED_VALUE"""),"Consumo")</f>
        <v>Consumo</v>
      </c>
      <c r="AA20" s="400" t="str">
        <f>IFERROR(__xludf.DUMMYFUNCTION("""COMPUTED_VALUE"""),"Sabrina")</f>
        <v>Sabrina</v>
      </c>
      <c r="AB20" s="401">
        <f>IFERROR(__xludf.DUMMYFUNCTION("""COMPUTED_VALUE"""),46122.54649305556)</f>
        <v>46122.54649</v>
      </c>
      <c r="AC20" s="402" t="str">
        <f>IFERROR(__xludf.DUMMYFUNCTION("""COMPUTED_VALUE"""),"R$ 4,00")</f>
        <v>R$ 4,00</v>
      </c>
      <c r="AD20" s="402" t="str">
        <f>IFERROR(__xludf.DUMMYFUNCTION("""COMPUTED_VALUE"""),"Consumo")</f>
        <v>Consumo</v>
      </c>
      <c r="AE20" s="403" t="str">
        <f>IFERROR(__xludf.DUMMYFUNCTION("""COMPUTED_VALUE"""),"Ana Carolina")</f>
        <v>Ana Carolina</v>
      </c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10700</v>
      </c>
      <c r="I21" s="138"/>
      <c r="J21" s="139"/>
      <c r="K21" s="133" t="s">
        <v>3570</v>
      </c>
      <c r="L21" s="134"/>
      <c r="M21" s="24"/>
      <c r="N21" s="24"/>
      <c r="O21" s="370"/>
      <c r="P21" s="52"/>
      <c r="Q21" s="52"/>
      <c r="R21" s="371"/>
      <c r="S21" s="54"/>
      <c r="T21" s="55">
        <f>IFERROR(__xludf.DUMMYFUNCTION("""COMPUTED_VALUE"""),46123.88775462963)</f>
        <v>46123.88775</v>
      </c>
      <c r="U21" s="52" t="str">
        <f>IFERROR(__xludf.DUMMYFUNCTION("""COMPUTED_VALUE"""),"R$ 6,52")</f>
        <v>R$ 6,52</v>
      </c>
      <c r="V21" s="52" t="str">
        <f>IFERROR(__xludf.DUMMYFUNCTION("""COMPUTED_VALUE"""),"Consumo")</f>
        <v>Consumo</v>
      </c>
      <c r="W21" s="52" t="str">
        <f>IFERROR(__xludf.DUMMYFUNCTION("""COMPUTED_VALUE"""),"Rayanna")</f>
        <v>Rayanna</v>
      </c>
      <c r="X21" s="404">
        <f>IFERROR(__xludf.DUMMYFUNCTION("""COMPUTED_VALUE"""),46124.57098379629)</f>
        <v>46124.57098</v>
      </c>
      <c r="Y21" s="405" t="str">
        <f>IFERROR(__xludf.DUMMYFUNCTION("""COMPUTED_VALUE"""),"R$ 4,00")</f>
        <v>R$ 4,00</v>
      </c>
      <c r="Z21" s="405" t="str">
        <f>IFERROR(__xludf.DUMMYFUNCTION("""COMPUTED_VALUE"""),"Consumo")</f>
        <v>Consumo</v>
      </c>
      <c r="AA21" s="406" t="str">
        <f>IFERROR(__xludf.DUMMYFUNCTION("""COMPUTED_VALUE"""),"Sabrina")</f>
        <v>Sabrina</v>
      </c>
      <c r="AB21" s="391">
        <f>IFERROR(__xludf.DUMMYFUNCTION("""COMPUTED_VALUE"""),46122.56626157407)</f>
        <v>46122.56626</v>
      </c>
      <c r="AC21" s="239" t="str">
        <f>IFERROR(__xludf.DUMMYFUNCTION("""COMPUTED_VALUE"""),"R$ 7,03")</f>
        <v>R$ 7,03</v>
      </c>
      <c r="AD21" s="239" t="str">
        <f>IFERROR(__xludf.DUMMYFUNCTION("""COMPUTED_VALUE"""),"Consumo")</f>
        <v>Consumo</v>
      </c>
      <c r="AE21" s="392" t="str">
        <f>IFERROR(__xludf.DUMMYFUNCTION("""COMPUTED_VALUE"""),"Ana Carolina")</f>
        <v>Ana Carolina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370"/>
      <c r="P22" s="52"/>
      <c r="Q22" s="52"/>
      <c r="R22" s="371"/>
      <c r="S22" s="54"/>
      <c r="T22" s="55">
        <f>IFERROR(__xludf.DUMMYFUNCTION("""COMPUTED_VALUE"""),46126.59890046297)</f>
        <v>46126.5989</v>
      </c>
      <c r="U22" s="52" t="str">
        <f>IFERROR(__xludf.DUMMYFUNCTION("""COMPUTED_VALUE"""),"R$ 30,00")</f>
        <v>R$ 30,00</v>
      </c>
      <c r="V22" s="52" t="str">
        <f>IFERROR(__xludf.DUMMYFUNCTION("""COMPUTED_VALUE"""),"Consumo")</f>
        <v>Consumo</v>
      </c>
      <c r="W22" s="52" t="str">
        <f>IFERROR(__xludf.DUMMYFUNCTION("""COMPUTED_VALUE"""),"Rayanna")</f>
        <v>Rayanna</v>
      </c>
      <c r="X22" s="404">
        <f>IFERROR(__xludf.DUMMYFUNCTION("""COMPUTED_VALUE"""),46124.58230324074)</f>
        <v>46124.5823</v>
      </c>
      <c r="Y22" s="405" t="str">
        <f>IFERROR(__xludf.DUMMYFUNCTION("""COMPUTED_VALUE"""),"R$ 4,00")</f>
        <v>R$ 4,00</v>
      </c>
      <c r="Z22" s="405" t="str">
        <f>IFERROR(__xludf.DUMMYFUNCTION("""COMPUTED_VALUE"""),"Consumo")</f>
        <v>Consumo</v>
      </c>
      <c r="AA22" s="406" t="str">
        <f>IFERROR(__xludf.DUMMYFUNCTION("""COMPUTED_VALUE"""),"Sabrina")</f>
        <v>Sabrina</v>
      </c>
      <c r="AB22" s="391">
        <f>IFERROR(__xludf.DUMMYFUNCTION("""COMPUTED_VALUE"""),46122.62677083333)</f>
        <v>46122.62677</v>
      </c>
      <c r="AC22" s="239" t="str">
        <f>IFERROR(__xludf.DUMMYFUNCTION("""COMPUTED_VALUE"""),"R$ 10,00")</f>
        <v>R$ 10,00</v>
      </c>
      <c r="AD22" s="239" t="str">
        <f>IFERROR(__xludf.DUMMYFUNCTION("""COMPUTED_VALUE"""),"Consumo")</f>
        <v>Consumo</v>
      </c>
      <c r="AE22" s="392" t="str">
        <f>IFERROR(__xludf.DUMMYFUNCTION("""COMPUTED_VALUE"""),"Ana Carolina")</f>
        <v>Ana Carolina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370"/>
      <c r="P23" s="52"/>
      <c r="Q23" s="52"/>
      <c r="R23" s="371"/>
      <c r="S23" s="54"/>
      <c r="T23" s="55">
        <f>IFERROR(__xludf.DUMMYFUNCTION("""COMPUTED_VALUE"""),46126.70612268518)</f>
        <v>46126.70612</v>
      </c>
      <c r="U23" s="52" t="str">
        <f>IFERROR(__xludf.DUMMYFUNCTION("""COMPUTED_VALUE"""),"R$ 4,00")</f>
        <v>R$ 4,00</v>
      </c>
      <c r="V23" s="52" t="str">
        <f>IFERROR(__xludf.DUMMYFUNCTION("""COMPUTED_VALUE"""),"Consumo")</f>
        <v>Consumo</v>
      </c>
      <c r="W23" s="52" t="str">
        <f>IFERROR(__xludf.DUMMYFUNCTION("""COMPUTED_VALUE"""),"Rayanna")</f>
        <v>Rayanna</v>
      </c>
      <c r="X23" s="370">
        <f>IFERROR(__xludf.DUMMYFUNCTION("""COMPUTED_VALUE"""),46124.811331018514)</f>
        <v>46124.81133</v>
      </c>
      <c r="Y23" s="52" t="str">
        <f>IFERROR(__xludf.DUMMYFUNCTION("""COMPUTED_VALUE"""),"R$ 5,50")</f>
        <v>R$ 5,50</v>
      </c>
      <c r="Z23" s="52" t="str">
        <f>IFERROR(__xludf.DUMMYFUNCTION("""COMPUTED_VALUE"""),"Consumo")</f>
        <v>Consumo</v>
      </c>
      <c r="AA23" s="371" t="str">
        <f>IFERROR(__xludf.DUMMYFUNCTION("""COMPUTED_VALUE"""),"Sabrina")</f>
        <v>Sabrina</v>
      </c>
      <c r="AB23" s="407"/>
      <c r="AC23" s="52"/>
      <c r="AD23" s="52"/>
      <c r="AE23" s="371"/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0</v>
      </c>
      <c r="I24" s="157" t="s">
        <v>3653</v>
      </c>
      <c r="J24" s="150"/>
      <c r="K24" s="133" t="s">
        <v>3656</v>
      </c>
      <c r="L24" s="134"/>
      <c r="M24" s="24"/>
      <c r="N24" s="24"/>
      <c r="O24" s="370"/>
      <c r="P24" s="52"/>
      <c r="Q24" s="52"/>
      <c r="R24" s="371"/>
      <c r="S24" s="54"/>
      <c r="T24" s="52"/>
      <c r="U24" s="52"/>
      <c r="V24" s="52"/>
      <c r="W24" s="52"/>
      <c r="X24" s="370">
        <f>IFERROR(__xludf.DUMMYFUNCTION("""COMPUTED_VALUE"""),46125.55113425926)</f>
        <v>46125.55113</v>
      </c>
      <c r="Y24" s="52" t="str">
        <f>IFERROR(__xludf.DUMMYFUNCTION("""COMPUTED_VALUE"""),"R$ 5,00")</f>
        <v>R$ 5,00</v>
      </c>
      <c r="Z24" s="52" t="str">
        <f>IFERROR(__xludf.DUMMYFUNCTION("""COMPUTED_VALUE"""),"Consumo")</f>
        <v>Consumo</v>
      </c>
      <c r="AA24" s="371" t="str">
        <f>IFERROR(__xludf.DUMMYFUNCTION("""COMPUTED_VALUE"""),"Sabrina")</f>
        <v>Sabrina</v>
      </c>
      <c r="AB24" s="407"/>
      <c r="AC24" s="52"/>
      <c r="AD24" s="52"/>
      <c r="AE24" s="371"/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9450</v>
      </c>
      <c r="I25" s="151">
        <f>SUMIF(J29:J504,I24,N29:N504)</f>
        <v>0</v>
      </c>
      <c r="J25" s="152"/>
      <c r="K25" s="162"/>
      <c r="L25" s="163"/>
      <c r="M25" s="25"/>
      <c r="N25" s="25"/>
      <c r="O25" s="370"/>
      <c r="P25" s="52"/>
      <c r="Q25" s="52"/>
      <c r="R25" s="371"/>
      <c r="S25" s="54"/>
      <c r="T25" s="52"/>
      <c r="U25" s="52"/>
      <c r="V25" s="52"/>
      <c r="W25" s="52"/>
      <c r="X25" s="370">
        <f>IFERROR(__xludf.DUMMYFUNCTION("""COMPUTED_VALUE"""),46125.690682870365)</f>
        <v>46125.69068</v>
      </c>
      <c r="Y25" s="52" t="str">
        <f>IFERROR(__xludf.DUMMYFUNCTION("""COMPUTED_VALUE"""),"R$ 16,61")</f>
        <v>R$ 16,61</v>
      </c>
      <c r="Z25" s="52" t="str">
        <f>IFERROR(__xludf.DUMMYFUNCTION("""COMPUTED_VALUE"""),"Consumo")</f>
        <v>Consumo</v>
      </c>
      <c r="AA25" s="371" t="str">
        <f>IFERROR(__xludf.DUMMYFUNCTION("""COMPUTED_VALUE"""),"Sabrina")</f>
        <v>Sabrina</v>
      </c>
      <c r="AB25" s="407"/>
      <c r="AC25" s="52"/>
      <c r="AD25" s="52"/>
      <c r="AE25" s="371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370"/>
      <c r="P26" s="79"/>
      <c r="Q26" s="79"/>
      <c r="R26" s="372"/>
      <c r="S26" s="81"/>
      <c r="T26" s="79"/>
      <c r="U26" s="79"/>
      <c r="V26" s="79"/>
      <c r="W26" s="79"/>
      <c r="X26" s="370">
        <f>IFERROR(__xludf.DUMMYFUNCTION("""COMPUTED_VALUE"""),46125.71947916667)</f>
        <v>46125.71948</v>
      </c>
      <c r="Y26" s="79" t="str">
        <f>IFERROR(__xludf.DUMMYFUNCTION("""COMPUTED_VALUE"""),"R$ 5,00")</f>
        <v>R$ 5,00</v>
      </c>
      <c r="Z26" s="79" t="str">
        <f>IFERROR(__xludf.DUMMYFUNCTION("""COMPUTED_VALUE"""),"Consumo")</f>
        <v>Consumo</v>
      </c>
      <c r="AA26" s="372" t="str">
        <f>IFERROR(__xludf.DUMMYFUNCTION("""COMPUTED_VALUE"""),"Sabrina")</f>
        <v>Sabrina</v>
      </c>
      <c r="AB26" s="408"/>
      <c r="AC26" s="79"/>
      <c r="AD26" s="79"/>
      <c r="AE26" s="372"/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373"/>
      <c r="P27" s="89"/>
      <c r="Q27" s="89"/>
      <c r="R27" s="374"/>
      <c r="S27" s="91"/>
      <c r="T27" s="89"/>
      <c r="U27" s="89"/>
      <c r="V27" s="89"/>
      <c r="W27" s="89"/>
      <c r="X27" s="375">
        <f>IFERROR(__xludf.DUMMYFUNCTION("""COMPUTED_VALUE"""),46125.7725462963)</f>
        <v>46125.77255</v>
      </c>
      <c r="Y27" s="89" t="str">
        <f>IFERROR(__xludf.DUMMYFUNCTION("""COMPUTED_VALUE"""),"R$ 10,00")</f>
        <v>R$ 10,00</v>
      </c>
      <c r="Z27" s="89" t="str">
        <f>IFERROR(__xludf.DUMMYFUNCTION("""COMPUTED_VALUE"""),"Consumo")</f>
        <v>Consumo</v>
      </c>
      <c r="AA27" s="374" t="str">
        <f>IFERROR(__xludf.DUMMYFUNCTION("""COMPUTED_VALUE"""),"Sabrina")</f>
        <v>Sabrina</v>
      </c>
      <c r="AB27" s="373"/>
      <c r="AC27" s="89"/>
      <c r="AD27" s="89"/>
      <c r="AE27" s="374"/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340" t="s">
        <v>3724</v>
      </c>
      <c r="M28" s="274" t="s">
        <v>12</v>
      </c>
      <c r="N28" s="167"/>
      <c r="O28" s="373"/>
      <c r="P28" s="89"/>
      <c r="Q28" s="89"/>
      <c r="R28" s="374"/>
      <c r="S28" s="91"/>
      <c r="T28" s="89"/>
      <c r="U28" s="89"/>
      <c r="V28" s="89"/>
      <c r="W28" s="89"/>
      <c r="X28" s="375">
        <f>IFERROR(__xludf.DUMMYFUNCTION("""COMPUTED_VALUE"""),46126.69820601852)</f>
        <v>46126.69821</v>
      </c>
      <c r="Y28" s="89" t="str">
        <f>IFERROR(__xludf.DUMMYFUNCTION("""COMPUTED_VALUE"""),"R$ 4,00")</f>
        <v>R$ 4,00</v>
      </c>
      <c r="Z28" s="89" t="str">
        <f>IFERROR(__xludf.DUMMYFUNCTION("""COMPUTED_VALUE"""),"Consumo")</f>
        <v>Consumo</v>
      </c>
      <c r="AA28" s="374" t="str">
        <f>IFERROR(__xludf.DUMMYFUNCTION("""COMPUTED_VALUE"""),"Sabrina")</f>
        <v>Sabrina</v>
      </c>
      <c r="AB28" s="373"/>
      <c r="AC28" s="89"/>
      <c r="AD28" s="89"/>
      <c r="AE28" s="374"/>
    </row>
    <row r="29" ht="14.25" customHeight="1">
      <c r="A29" s="178"/>
      <c r="B29" s="10">
        <v>2085463.0</v>
      </c>
      <c r="C29" s="11">
        <v>46107.69311342593</v>
      </c>
      <c r="D29" s="179" t="s">
        <v>50</v>
      </c>
      <c r="E29" s="180" t="s">
        <v>246</v>
      </c>
      <c r="F29" s="181"/>
      <c r="G29" s="179" t="s">
        <v>1657</v>
      </c>
      <c r="H29" s="190"/>
      <c r="I29" s="190"/>
      <c r="J29" s="187" t="s">
        <v>3044</v>
      </c>
      <c r="K29" s="187" t="s">
        <v>7058</v>
      </c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IFERROR(__xludf.DUMMYFUNCTION("ifna(VALUE(REGEXEXTRACT(E29,""[0-9.]+[,]+[0-9]+"")))"),4.0)</f>
        <v>4</v>
      </c>
      <c r="O29" s="373"/>
      <c r="P29" s="89"/>
      <c r="Q29" s="89"/>
      <c r="R29" s="374"/>
      <c r="S29" s="91"/>
      <c r="T29" s="89"/>
      <c r="U29" s="89"/>
      <c r="V29" s="89"/>
      <c r="W29" s="89"/>
      <c r="X29" s="375">
        <f>IFERROR(__xludf.DUMMYFUNCTION("""COMPUTED_VALUE"""),46126.760254629626)</f>
        <v>46126.76025</v>
      </c>
      <c r="Y29" s="89" t="str">
        <f>IFERROR(__xludf.DUMMYFUNCTION("""COMPUTED_VALUE"""),"R$ 13,93")</f>
        <v>R$ 13,93</v>
      </c>
      <c r="Z29" s="89" t="str">
        <f>IFERROR(__xludf.DUMMYFUNCTION("""COMPUTED_VALUE"""),"Consumo")</f>
        <v>Consumo</v>
      </c>
      <c r="AA29" s="374" t="str">
        <f>IFERROR(__xludf.DUMMYFUNCTION("""COMPUTED_VALUE"""),"Sabrina")</f>
        <v>Sabrina</v>
      </c>
      <c r="AB29" s="373"/>
      <c r="AC29" s="89"/>
      <c r="AD29" s="89"/>
      <c r="AE29" s="374"/>
    </row>
    <row r="30">
      <c r="A30" s="178"/>
      <c r="B30" s="10">
        <v>2085554.0</v>
      </c>
      <c r="C30" s="11">
        <v>46107.7125</v>
      </c>
      <c r="D30" s="179" t="s">
        <v>50</v>
      </c>
      <c r="E30" s="180" t="s">
        <v>7919</v>
      </c>
      <c r="F30" s="181"/>
      <c r="G30" s="179" t="s">
        <v>8119</v>
      </c>
      <c r="H30" s="190"/>
      <c r="I30" s="190"/>
      <c r="J30" s="187" t="s">
        <v>3467</v>
      </c>
      <c r="K30" s="187"/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IFERROR(__xludf.DUMMYFUNCTION("ifna(VALUE(REGEXEXTRACT(E30,""[0-9.]+[,]+[0-9]+"")))"),19.3)</f>
        <v>19.3</v>
      </c>
      <c r="O30" s="373"/>
      <c r="P30" s="89"/>
      <c r="Q30" s="89"/>
      <c r="R30" s="374"/>
      <c r="S30" s="91"/>
      <c r="T30" s="89"/>
      <c r="U30" s="89"/>
      <c r="V30" s="89"/>
      <c r="W30" s="89"/>
      <c r="X30" s="373"/>
      <c r="Y30" s="89"/>
      <c r="Z30" s="89"/>
      <c r="AA30" s="374"/>
      <c r="AB30" s="373"/>
      <c r="AC30" s="89"/>
      <c r="AD30" s="89"/>
      <c r="AE30" s="374"/>
    </row>
    <row r="31" ht="14.25" customHeight="1">
      <c r="A31" s="178"/>
      <c r="B31" s="10">
        <v>2085682.0</v>
      </c>
      <c r="C31" s="11">
        <v>46107.74002314815</v>
      </c>
      <c r="D31" s="179" t="s">
        <v>50</v>
      </c>
      <c r="E31" s="180" t="s">
        <v>157</v>
      </c>
      <c r="F31" s="181"/>
      <c r="G31" s="10" t="s">
        <v>7799</v>
      </c>
      <c r="H31" s="190"/>
      <c r="I31" s="190"/>
      <c r="J31" s="187" t="s">
        <v>3044</v>
      </c>
      <c r="K31" s="187" t="s">
        <v>7052</v>
      </c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IFERROR(__xludf.DUMMYFUNCTION("ifna(VALUE(REGEXEXTRACT(E31,""[0-9.]+[,]+[0-9]+"")))"),5.0)</f>
        <v>5</v>
      </c>
      <c r="O31" s="409"/>
      <c r="P31" s="193"/>
      <c r="Q31" s="194"/>
      <c r="R31" s="380"/>
      <c r="S31" s="91"/>
      <c r="T31" s="89"/>
      <c r="U31" s="89"/>
      <c r="V31" s="89"/>
      <c r="W31" s="89"/>
      <c r="X31" s="373"/>
      <c r="Y31" s="89"/>
      <c r="Z31" s="89"/>
      <c r="AA31" s="374"/>
      <c r="AB31" s="373"/>
      <c r="AC31" s="89"/>
      <c r="AD31" s="89"/>
      <c r="AE31" s="374"/>
    </row>
    <row r="32" ht="14.25" customHeight="1">
      <c r="A32" s="178"/>
      <c r="B32" s="10">
        <v>2085724.0</v>
      </c>
      <c r="C32" s="11">
        <v>46107.749247685184</v>
      </c>
      <c r="D32" s="179" t="s">
        <v>50</v>
      </c>
      <c r="E32" s="180" t="s">
        <v>6846</v>
      </c>
      <c r="F32" s="181"/>
      <c r="G32" s="179" t="s">
        <v>577</v>
      </c>
      <c r="H32" s="190"/>
      <c r="I32" s="190"/>
      <c r="J32" s="187" t="s">
        <v>3044</v>
      </c>
      <c r="K32" s="187" t="s">
        <v>6664</v>
      </c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IFERROR(__xludf.DUMMYFUNCTION("ifna(VALUE(REGEXEXTRACT(E32,""[0-9.]+[,]+[0-9]+"")))"),13.0)</f>
        <v>13</v>
      </c>
      <c r="O32" s="373"/>
      <c r="P32" s="89"/>
      <c r="Q32" s="89"/>
      <c r="R32" s="374"/>
      <c r="S32" s="91"/>
      <c r="T32" s="89"/>
      <c r="U32" s="89"/>
      <c r="V32" s="89"/>
      <c r="W32" s="89"/>
      <c r="X32" s="373"/>
      <c r="Y32" s="89"/>
      <c r="Z32" s="89"/>
      <c r="AA32" s="374"/>
      <c r="AB32" s="373"/>
      <c r="AC32" s="89"/>
      <c r="AD32" s="89"/>
      <c r="AE32" s="374"/>
    </row>
    <row r="33" ht="14.25" customHeight="1">
      <c r="A33" s="178"/>
      <c r="B33" s="10">
        <v>2085897.0</v>
      </c>
      <c r="C33" s="11">
        <v>46107.82368055556</v>
      </c>
      <c r="D33" s="179" t="s">
        <v>50</v>
      </c>
      <c r="E33" s="180" t="s">
        <v>7847</v>
      </c>
      <c r="F33" s="181"/>
      <c r="G33" s="179" t="s">
        <v>1657</v>
      </c>
      <c r="H33" s="190"/>
      <c r="I33" s="190"/>
      <c r="J33" s="187" t="s">
        <v>3044</v>
      </c>
      <c r="K33" s="187" t="s">
        <v>7058</v>
      </c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IFERROR(__xludf.DUMMYFUNCTION("ifna(VALUE(REGEXEXTRACT(E33,""[0-9.]+[,]+[0-9]+"")))"),18.66)</f>
        <v>18.66</v>
      </c>
      <c r="O33" s="373"/>
      <c r="P33" s="89"/>
      <c r="Q33" s="89"/>
      <c r="R33" s="374"/>
      <c r="S33" s="91"/>
      <c r="T33" s="89"/>
      <c r="U33" s="89"/>
      <c r="V33" s="89"/>
      <c r="W33" s="89"/>
      <c r="X33" s="373"/>
      <c r="Y33" s="89"/>
      <c r="Z33" s="89"/>
      <c r="AA33" s="374"/>
      <c r="AB33" s="373"/>
      <c r="AC33" s="89"/>
      <c r="AD33" s="89"/>
      <c r="AE33" s="374"/>
    </row>
    <row r="34" ht="14.25" customHeight="1">
      <c r="A34" s="178"/>
      <c r="B34" s="10">
        <v>2086217.0</v>
      </c>
      <c r="C34" s="11">
        <v>46107.90759259259</v>
      </c>
      <c r="D34" s="179" t="s">
        <v>50</v>
      </c>
      <c r="E34" s="180" t="s">
        <v>8120</v>
      </c>
      <c r="F34" s="181"/>
      <c r="G34" s="179" t="s">
        <v>8121</v>
      </c>
      <c r="H34" s="190"/>
      <c r="I34" s="190"/>
      <c r="J34" s="187" t="s">
        <v>3903</v>
      </c>
      <c r="K34" s="187"/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85">
        <f>IFERROR(__xludf.DUMMYFUNCTION("ifna(VALUE(REGEXEXTRACT(E34,""[0-9.]+[,]+[0-9]+"")))"),460.36)</f>
        <v>460.36</v>
      </c>
      <c r="O34" s="381"/>
      <c r="P34" s="109"/>
      <c r="Q34" s="109"/>
      <c r="R34" s="382"/>
      <c r="S34" s="110"/>
      <c r="T34" s="109"/>
      <c r="U34" s="109"/>
      <c r="V34" s="109"/>
      <c r="W34" s="109"/>
      <c r="X34" s="381"/>
      <c r="Y34" s="109"/>
      <c r="Z34" s="109"/>
      <c r="AA34" s="382"/>
      <c r="AB34" s="381"/>
      <c r="AC34" s="109"/>
      <c r="AD34" s="109"/>
      <c r="AE34" s="382"/>
    </row>
    <row r="35" ht="18.75" customHeight="1">
      <c r="A35" s="178"/>
      <c r="B35" s="10">
        <v>2086224.0</v>
      </c>
      <c r="C35" s="11">
        <v>46107.908229166664</v>
      </c>
      <c r="D35" s="179" t="s">
        <v>50</v>
      </c>
      <c r="E35" s="180" t="s">
        <v>8122</v>
      </c>
      <c r="F35" s="181"/>
      <c r="G35" s="179" t="s">
        <v>8121</v>
      </c>
      <c r="H35" s="190"/>
      <c r="I35" s="190"/>
      <c r="J35" s="187" t="s">
        <v>3903</v>
      </c>
      <c r="K35" s="187"/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85">
        <f>IFERROR(__xludf.DUMMYFUNCTION("ifna(VALUE(REGEXEXTRACT(E35,""[0-9.]+[,]+[0-9]+"")))"),27.13)</f>
        <v>27.13</v>
      </c>
      <c r="O35" s="410"/>
      <c r="R35" s="392"/>
      <c r="S35" s="24"/>
      <c r="X35" s="410"/>
      <c r="AA35" s="392"/>
      <c r="AB35" s="410"/>
      <c r="AE35" s="392"/>
    </row>
    <row r="36" ht="14.25" customHeight="1">
      <c r="A36" s="178"/>
      <c r="B36" s="10">
        <v>2086939.0</v>
      </c>
      <c r="C36" s="11">
        <v>46108.538564814815</v>
      </c>
      <c r="D36" s="179" t="s">
        <v>50</v>
      </c>
      <c r="E36" s="180" t="s">
        <v>6846</v>
      </c>
      <c r="F36" s="181"/>
      <c r="G36" s="179" t="s">
        <v>122</v>
      </c>
      <c r="H36" s="186"/>
      <c r="I36" s="186"/>
      <c r="J36" s="187" t="s">
        <v>3044</v>
      </c>
      <c r="K36" s="187" t="s">
        <v>6664</v>
      </c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IFERROR(__xludf.DUMMYFUNCTION("ifna(VALUE(REGEXEXTRACT(E36,""[0-9.]+[,]+[0-9]+"")))"),13.0)</f>
        <v>13</v>
      </c>
      <c r="O36" s="410"/>
      <c r="R36" s="392"/>
      <c r="S36" s="24"/>
      <c r="X36" s="410"/>
      <c r="AA36" s="392"/>
      <c r="AB36" s="410"/>
      <c r="AE36" s="392"/>
    </row>
    <row r="37" ht="14.25" customHeight="1">
      <c r="A37" s="178"/>
      <c r="B37" s="10">
        <v>2086942.0</v>
      </c>
      <c r="C37" s="11">
        <v>46108.540555555555</v>
      </c>
      <c r="D37" s="179" t="s">
        <v>50</v>
      </c>
      <c r="E37" s="180" t="s">
        <v>6906</v>
      </c>
      <c r="F37" s="188"/>
      <c r="G37" s="179" t="s">
        <v>8123</v>
      </c>
      <c r="H37" s="186"/>
      <c r="I37" s="186"/>
      <c r="J37" s="187" t="s">
        <v>3825</v>
      </c>
      <c r="K37" s="187"/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IFERROR(__xludf.DUMMYFUNCTION("ifna(VALUE(REGEXEXTRACT(E37,""[0-9.]+[,]+[0-9]+"")))"),45.0)</f>
        <v>45</v>
      </c>
      <c r="O37" s="410"/>
      <c r="R37" s="392"/>
      <c r="S37" s="24"/>
      <c r="X37" s="410"/>
      <c r="AA37" s="392"/>
      <c r="AB37" s="410"/>
      <c r="AE37" s="392"/>
    </row>
    <row r="38" ht="14.25" customHeight="1">
      <c r="A38" s="178"/>
      <c r="B38" s="10">
        <v>2086948.0</v>
      </c>
      <c r="C38" s="11">
        <v>46108.54472222222</v>
      </c>
      <c r="D38" s="179" t="s">
        <v>50</v>
      </c>
      <c r="E38" s="180" t="s">
        <v>246</v>
      </c>
      <c r="F38" s="181"/>
      <c r="G38" s="179" t="s">
        <v>94</v>
      </c>
      <c r="H38" s="186"/>
      <c r="I38" s="186"/>
      <c r="J38" s="187" t="s">
        <v>3044</v>
      </c>
      <c r="K38" s="187" t="s">
        <v>7058</v>
      </c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IFERROR(__xludf.DUMMYFUNCTION("ifna(VALUE(REGEXEXTRACT(E38,""[0-9.]+[,]+[0-9]+"")))"),4.0)</f>
        <v>4</v>
      </c>
      <c r="O38" s="411"/>
      <c r="P38" s="412"/>
      <c r="Q38" s="412"/>
      <c r="R38" s="413"/>
      <c r="S38" s="24"/>
      <c r="X38" s="411"/>
      <c r="Y38" s="412"/>
      <c r="Z38" s="412"/>
      <c r="AA38" s="413"/>
      <c r="AB38" s="411"/>
      <c r="AC38" s="412"/>
      <c r="AD38" s="412"/>
      <c r="AE38" s="413"/>
    </row>
    <row r="39" ht="21.75" customHeight="1">
      <c r="A39" s="178"/>
      <c r="B39" s="10">
        <v>2087101.0</v>
      </c>
      <c r="C39" s="11">
        <v>46108.60491898148</v>
      </c>
      <c r="D39" s="179" t="s">
        <v>50</v>
      </c>
      <c r="E39" s="180" t="s">
        <v>8124</v>
      </c>
      <c r="F39" s="181"/>
      <c r="G39" s="179" t="s">
        <v>8125</v>
      </c>
      <c r="H39" s="186"/>
      <c r="I39" s="186"/>
      <c r="J39" s="187" t="s">
        <v>3467</v>
      </c>
      <c r="K39" s="187"/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IFERROR(__xludf.DUMMYFUNCTION("ifna(VALUE(REGEXEXTRACT(E39,""[0-9.]+[,]+[0-9]+"")))"),26.58)</f>
        <v>26.58</v>
      </c>
      <c r="O39" s="191" t="str">
        <f>B9</f>
        <v/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  <c r="X39" s="414"/>
      <c r="Y39" s="414"/>
      <c r="Z39" s="414"/>
      <c r="AA39" s="414"/>
      <c r="AB39" s="414"/>
      <c r="AC39" s="414"/>
      <c r="AD39" s="414"/>
      <c r="AE39" s="414"/>
    </row>
    <row r="40" ht="14.25" customHeight="1">
      <c r="A40" s="178"/>
      <c r="B40" s="10">
        <v>2087257.0</v>
      </c>
      <c r="C40" s="11">
        <v>46108.658900462964</v>
      </c>
      <c r="D40" s="179" t="s">
        <v>50</v>
      </c>
      <c r="E40" s="180" t="s">
        <v>8126</v>
      </c>
      <c r="F40" s="181"/>
      <c r="G40" s="179" t="s">
        <v>8127</v>
      </c>
      <c r="H40" s="186"/>
      <c r="I40" s="186"/>
      <c r="J40" s="187" t="s">
        <v>3903</v>
      </c>
      <c r="K40" s="187"/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"""")"),"Encontrada")</f>
        <v>Encontrada</v>
      </c>
      <c r="N40" s="185">
        <f>IFERROR(__xludf.DUMMYFUNCTION("ifna(VALUE(REGEXEXTRACT(E40,""[0-9.]+[,]+[0-9]+"")))"),307.4)</f>
        <v>307.4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'""&amp;AB10&amp;""'"",1)"),"Data")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  <c r="X40" s="49"/>
      <c r="Y40" s="49"/>
      <c r="Z40" s="49"/>
      <c r="AA40" s="49"/>
      <c r="AB40" s="49"/>
      <c r="AC40" s="49"/>
      <c r="AD40" s="49"/>
      <c r="AE40" s="49"/>
    </row>
    <row r="41" ht="27.0" customHeight="1">
      <c r="A41" s="178"/>
      <c r="B41" s="10">
        <v>2087611.0</v>
      </c>
      <c r="C41" s="11">
        <v>46108.728842592594</v>
      </c>
      <c r="D41" s="179" t="s">
        <v>50</v>
      </c>
      <c r="E41" s="180" t="s">
        <v>943</v>
      </c>
      <c r="F41" s="181"/>
      <c r="G41" s="179" t="s">
        <v>7666</v>
      </c>
      <c r="H41" s="186"/>
      <c r="I41" s="186"/>
      <c r="J41" s="187" t="s">
        <v>3044</v>
      </c>
      <c r="K41" s="187" t="s">
        <v>7052</v>
      </c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IFERROR(__xludf.DUMMYFUNCTION("ifna(VALUE(REGEXEXTRACT(E41,""[0-9.]+[,]+[0-9]+"")))"),12.0)</f>
        <v>12</v>
      </c>
      <c r="O41" s="51">
        <f>IFERROR(__xludf.DUMMYFUNCTION("""COMPUTED_VALUE"""),46123.555185185185)</f>
        <v>46123.55519</v>
      </c>
      <c r="P41" s="52" t="str">
        <f>IFERROR(__xludf.DUMMYFUNCTION("""COMPUTED_VALUE"""),"R$ 5,00")</f>
        <v>R$ 5,00</v>
      </c>
      <c r="Q41" s="52" t="str">
        <f>IFERROR(__xludf.DUMMYFUNCTION("""COMPUTED_VALUE"""),"Consumo")</f>
        <v>Consumo</v>
      </c>
      <c r="R41" s="52"/>
      <c r="S41" s="54"/>
      <c r="T41" s="52"/>
      <c r="U41" s="52"/>
      <c r="V41" s="52"/>
      <c r="W41" s="53"/>
      <c r="X41" s="52"/>
      <c r="Y41" s="52"/>
      <c r="Z41" s="52"/>
      <c r="AA41" s="52"/>
      <c r="AB41" s="52"/>
      <c r="AC41" s="52"/>
      <c r="AD41" s="52"/>
      <c r="AE41" s="52"/>
    </row>
    <row r="42" ht="14.25" customHeight="1">
      <c r="A42" s="178"/>
      <c r="B42" s="10">
        <v>2087854.0</v>
      </c>
      <c r="C42" s="11">
        <v>46108.77643518519</v>
      </c>
      <c r="D42" s="179" t="s">
        <v>50</v>
      </c>
      <c r="E42" s="180" t="s">
        <v>6779</v>
      </c>
      <c r="F42" s="181"/>
      <c r="G42" s="179" t="s">
        <v>3746</v>
      </c>
      <c r="H42" s="186"/>
      <c r="I42" s="186"/>
      <c r="J42" s="187"/>
      <c r="K42" s="187"/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IFERROR(__xludf.DUMMYFUNCTION("ifna(VALUE(REGEXEXTRACT(E42,""[0-9.]+[,]+[0-9]+"")))"),41.92)</f>
        <v>41.92</v>
      </c>
      <c r="O42" s="51"/>
      <c r="P42" s="52"/>
      <c r="Q42" s="52"/>
      <c r="R42" s="52"/>
      <c r="S42" s="54"/>
      <c r="T42" s="52"/>
      <c r="U42" s="52"/>
      <c r="V42" s="52"/>
      <c r="W42" s="53"/>
      <c r="X42" s="52"/>
      <c r="Y42" s="52"/>
      <c r="Z42" s="52"/>
      <c r="AA42" s="52"/>
      <c r="AB42" s="52"/>
      <c r="AC42" s="52"/>
      <c r="AD42" s="52"/>
      <c r="AE42" s="52"/>
    </row>
    <row r="43" ht="14.25" customHeight="1">
      <c r="A43" s="178"/>
      <c r="B43" s="10">
        <v>2087856.0</v>
      </c>
      <c r="C43" s="11">
        <v>46108.77674768519</v>
      </c>
      <c r="D43" s="179" t="s">
        <v>50</v>
      </c>
      <c r="E43" s="180" t="s">
        <v>6779</v>
      </c>
      <c r="F43" s="181"/>
      <c r="G43" s="179" t="s">
        <v>94</v>
      </c>
      <c r="H43" s="189"/>
      <c r="I43" s="189"/>
      <c r="J43" s="187" t="s">
        <v>3044</v>
      </c>
      <c r="K43" s="187" t="s">
        <v>7058</v>
      </c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IFERROR(__xludf.DUMMYFUNCTION("ifna(VALUE(REGEXEXTRACT(E43,""[0-9.]+[,]+[0-9]+"")))"),41.92)</f>
        <v>41.92</v>
      </c>
      <c r="O43" s="51"/>
      <c r="P43" s="52"/>
      <c r="Q43" s="52"/>
      <c r="R43" s="52"/>
      <c r="S43" s="54"/>
      <c r="T43" s="52"/>
      <c r="U43" s="52"/>
      <c r="V43" s="52"/>
      <c r="W43" s="53"/>
      <c r="X43" s="52"/>
      <c r="Y43" s="52"/>
      <c r="Z43" s="52"/>
      <c r="AA43" s="52"/>
      <c r="AB43" s="52"/>
      <c r="AC43" s="52"/>
      <c r="AD43" s="52"/>
      <c r="AE43" s="52"/>
    </row>
    <row r="44" ht="14.25" customHeight="1">
      <c r="A44" s="178"/>
      <c r="B44" s="10">
        <v>2087924.0</v>
      </c>
      <c r="C44" s="11">
        <v>46108.796944444446</v>
      </c>
      <c r="D44" s="179" t="s">
        <v>50</v>
      </c>
      <c r="E44" s="180" t="s">
        <v>6719</v>
      </c>
      <c r="F44" s="181"/>
      <c r="G44" s="179" t="s">
        <v>8128</v>
      </c>
      <c r="H44" s="189"/>
      <c r="I44" s="189"/>
      <c r="J44" s="187" t="s">
        <v>3903</v>
      </c>
      <c r="K44" s="187"/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"""")"),"Encontrada")</f>
        <v>Encontrada</v>
      </c>
      <c r="N44" s="185">
        <f>IFERROR(__xludf.DUMMYFUNCTION("ifna(VALUE(REGEXEXTRACT(E44,""[0-9.]+[,]+[0-9]+"")))"),330.0)</f>
        <v>330</v>
      </c>
      <c r="O44" s="51"/>
      <c r="P44" s="52"/>
      <c r="Q44" s="52"/>
      <c r="R44" s="52"/>
      <c r="S44" s="54"/>
      <c r="T44" s="52"/>
      <c r="U44" s="52"/>
      <c r="V44" s="52"/>
      <c r="W44" s="53"/>
      <c r="X44" s="52"/>
      <c r="Y44" s="52"/>
      <c r="Z44" s="52"/>
      <c r="AA44" s="52"/>
      <c r="AB44" s="52"/>
      <c r="AC44" s="52"/>
      <c r="AD44" s="52"/>
      <c r="AE44" s="52"/>
    </row>
    <row r="45" ht="14.25" customHeight="1">
      <c r="A45" s="178"/>
      <c r="B45" s="10">
        <v>2087928.0</v>
      </c>
      <c r="C45" s="11">
        <v>46108.797581018516</v>
      </c>
      <c r="D45" s="179" t="s">
        <v>50</v>
      </c>
      <c r="E45" s="180" t="s">
        <v>3983</v>
      </c>
      <c r="F45" s="181"/>
      <c r="G45" s="179" t="s">
        <v>8129</v>
      </c>
      <c r="H45" s="190"/>
      <c r="I45" s="190"/>
      <c r="J45" s="187" t="s">
        <v>4159</v>
      </c>
      <c r="K45" s="187"/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IFERROR(__xludf.DUMMYFUNCTION("ifna(VALUE(REGEXEXTRACT(E45,""[0-9.]+[,]+[0-9]+"")))"),150.0)</f>
        <v>150</v>
      </c>
      <c r="O45" s="51"/>
      <c r="P45" s="52"/>
      <c r="Q45" s="52"/>
      <c r="R45" s="52"/>
      <c r="S45" s="54"/>
      <c r="T45" s="52"/>
      <c r="U45" s="52"/>
      <c r="V45" s="52"/>
      <c r="W45" s="53"/>
      <c r="X45" s="52"/>
      <c r="Y45" s="52"/>
      <c r="Z45" s="52"/>
      <c r="AA45" s="52"/>
      <c r="AB45" s="52"/>
      <c r="AC45" s="52"/>
      <c r="AD45" s="52"/>
      <c r="AE45" s="52"/>
    </row>
    <row r="46" ht="18.75" customHeight="1">
      <c r="A46" s="178"/>
      <c r="B46" s="10">
        <v>2087932.0</v>
      </c>
      <c r="C46" s="11">
        <v>46108.798101851855</v>
      </c>
      <c r="D46" s="179" t="s">
        <v>50</v>
      </c>
      <c r="E46" s="180" t="s">
        <v>8131</v>
      </c>
      <c r="F46" s="181"/>
      <c r="G46" s="179" t="s">
        <v>8132</v>
      </c>
      <c r="H46" s="190"/>
      <c r="I46" s="190"/>
      <c r="J46" s="187" t="s">
        <v>3903</v>
      </c>
      <c r="K46" s="187"/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85">
        <f>IFERROR(__xludf.DUMMYFUNCTION("ifna(VALUE(REGEXEXTRACT(E46,""[0-9.]+[,]+[0-9]+"")))"),41.88)</f>
        <v>41.88</v>
      </c>
      <c r="O46" s="51"/>
      <c r="P46" s="79"/>
      <c r="Q46" s="79"/>
      <c r="R46" s="79"/>
      <c r="S46" s="81"/>
      <c r="T46" s="79"/>
      <c r="U46" s="79"/>
      <c r="V46" s="79"/>
      <c r="W46" s="80"/>
      <c r="X46" s="79"/>
      <c r="Y46" s="79"/>
      <c r="Z46" s="79"/>
      <c r="AA46" s="79"/>
      <c r="AB46" s="79"/>
      <c r="AC46" s="79"/>
      <c r="AD46" s="79"/>
      <c r="AE46" s="79"/>
    </row>
    <row r="47" ht="14.25" customHeight="1">
      <c r="A47" s="178"/>
      <c r="B47" s="10">
        <v>2087952.0</v>
      </c>
      <c r="C47" s="11">
        <v>46108.80584490741</v>
      </c>
      <c r="D47" s="179" t="s">
        <v>50</v>
      </c>
      <c r="E47" s="180" t="s">
        <v>6719</v>
      </c>
      <c r="F47" s="181"/>
      <c r="G47" s="179" t="s">
        <v>8133</v>
      </c>
      <c r="H47" s="354"/>
      <c r="I47" s="190"/>
      <c r="J47" s="187"/>
      <c r="K47" s="187"/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IFERROR(__xludf.DUMMYFUNCTION("ifna(VALUE(REGEXEXTRACT(E47,""[0-9.]+[,]+[0-9]+"")))"),330.0)</f>
        <v>330</v>
      </c>
      <c r="O47" s="88"/>
      <c r="P47" s="89"/>
      <c r="Q47" s="89"/>
      <c r="R47" s="89"/>
      <c r="S47" s="91"/>
      <c r="T47" s="89"/>
      <c r="U47" s="89"/>
      <c r="V47" s="89"/>
      <c r="W47" s="90"/>
      <c r="X47" s="89"/>
      <c r="Y47" s="89"/>
      <c r="Z47" s="89"/>
      <c r="AA47" s="89"/>
      <c r="AB47" s="89"/>
      <c r="AC47" s="89"/>
      <c r="AD47" s="89"/>
      <c r="AE47" s="89"/>
    </row>
    <row r="48">
      <c r="A48" s="178"/>
      <c r="B48" s="10">
        <v>2087998.0</v>
      </c>
      <c r="C48" s="11">
        <v>46108.81290509259</v>
      </c>
      <c r="D48" s="179" t="s">
        <v>50</v>
      </c>
      <c r="E48" s="180" t="s">
        <v>494</v>
      </c>
      <c r="F48" s="188"/>
      <c r="G48" s="179" t="s">
        <v>8136</v>
      </c>
      <c r="H48" s="355"/>
      <c r="I48" s="190"/>
      <c r="J48" s="187"/>
      <c r="K48" s="187"/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IFERROR(__xludf.DUMMYFUNCTION("ifna(VALUE(REGEXEXTRACT(E48,""[0-9.]+[,]+[0-9]+"")))"),0.01)</f>
        <v>0.01</v>
      </c>
      <c r="O48" s="192"/>
      <c r="P48" s="193"/>
      <c r="Q48" s="194"/>
      <c r="R48" s="195"/>
      <c r="S48" s="91"/>
      <c r="T48" s="89"/>
      <c r="U48" s="89"/>
      <c r="V48" s="89"/>
      <c r="W48" s="90"/>
      <c r="X48" s="89"/>
      <c r="Y48" s="89"/>
      <c r="Z48" s="89"/>
      <c r="AA48" s="89"/>
      <c r="AB48" s="89"/>
      <c r="AC48" s="89"/>
      <c r="AD48" s="89"/>
      <c r="AE48" s="89"/>
    </row>
    <row r="49" ht="21.0" customHeight="1">
      <c r="A49" s="178"/>
      <c r="B49" s="10">
        <v>2088054.0</v>
      </c>
      <c r="C49" s="11">
        <v>46108.82890046296</v>
      </c>
      <c r="D49" s="179" t="s">
        <v>50</v>
      </c>
      <c r="E49" s="180" t="s">
        <v>3885</v>
      </c>
      <c r="F49" s="181"/>
      <c r="G49" s="179" t="s">
        <v>8139</v>
      </c>
      <c r="H49" s="190"/>
      <c r="I49" s="190"/>
      <c r="J49" s="187" t="s">
        <v>3825</v>
      </c>
      <c r="K49" s="187"/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IFERROR(__xludf.DUMMYFUNCTION("ifna(VALUE(REGEXEXTRACT(E49,""[0-9.]+[,]+[0-9]+"")))"),78.0)</f>
        <v>78</v>
      </c>
      <c r="O49" s="192"/>
      <c r="P49" s="193"/>
      <c r="Q49" s="194"/>
      <c r="R49" s="195"/>
      <c r="S49" s="91"/>
      <c r="T49" s="89"/>
      <c r="U49" s="89"/>
      <c r="V49" s="89"/>
      <c r="W49" s="90"/>
      <c r="X49" s="89"/>
      <c r="Y49" s="89"/>
      <c r="Z49" s="89"/>
      <c r="AA49" s="89"/>
      <c r="AB49" s="89"/>
      <c r="AC49" s="89"/>
      <c r="AD49" s="89"/>
      <c r="AE49" s="89"/>
    </row>
    <row r="50" ht="14.25" customHeight="1">
      <c r="A50" s="178"/>
      <c r="B50" s="10">
        <v>2088504.0</v>
      </c>
      <c r="C50" s="11">
        <v>46108.917280092595</v>
      </c>
      <c r="D50" s="179" t="s">
        <v>227</v>
      </c>
      <c r="E50" s="180" t="s">
        <v>548</v>
      </c>
      <c r="F50" s="188"/>
      <c r="G50" s="179" t="s">
        <v>8142</v>
      </c>
      <c r="H50" s="190"/>
      <c r="I50" s="190"/>
      <c r="J50" s="187" t="s">
        <v>4159</v>
      </c>
      <c r="K50" s="187"/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IFERROR(__xludf.DUMMYFUNCTION("ifna(VALUE(REGEXEXTRACT(E50,""[0-9.]+[,]+[0-9]+"")))"),70.0)</f>
        <v>70</v>
      </c>
      <c r="O50" s="192"/>
      <c r="P50" s="193"/>
      <c r="Q50" s="194"/>
      <c r="R50" s="195"/>
      <c r="S50" s="91"/>
      <c r="T50" s="89"/>
      <c r="U50" s="89"/>
      <c r="V50" s="89"/>
      <c r="W50" s="90"/>
      <c r="X50" s="89"/>
      <c r="Y50" s="89"/>
      <c r="Z50" s="89"/>
      <c r="AA50" s="89"/>
      <c r="AB50" s="89"/>
      <c r="AC50" s="89"/>
      <c r="AD50" s="89"/>
      <c r="AE50" s="89"/>
    </row>
    <row r="51" ht="24.75" customHeight="1">
      <c r="A51" s="178"/>
      <c r="B51" s="10">
        <v>2089261.0</v>
      </c>
      <c r="C51" s="11">
        <v>46109.54790509259</v>
      </c>
      <c r="D51" s="179" t="s">
        <v>50</v>
      </c>
      <c r="E51" s="180" t="s">
        <v>8144</v>
      </c>
      <c r="F51" s="181"/>
      <c r="G51" s="179" t="s">
        <v>8145</v>
      </c>
      <c r="H51" s="190"/>
      <c r="I51" s="190"/>
      <c r="J51" s="187" t="s">
        <v>3044</v>
      </c>
      <c r="K51" s="187" t="s">
        <v>6664</v>
      </c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IFERROR(__xludf.DUMMYFUNCTION("ifna(VALUE(REGEXEXTRACT(E51,""[0-9.]+[,]+[0-9]+"")))"),41.75)</f>
        <v>41.75</v>
      </c>
      <c r="O51" s="192"/>
      <c r="P51" s="193"/>
      <c r="Q51" s="194"/>
      <c r="R51" s="195"/>
      <c r="S51" s="91"/>
      <c r="T51" s="89"/>
      <c r="U51" s="89"/>
      <c r="V51" s="89"/>
      <c r="W51" s="90"/>
      <c r="X51" s="89"/>
      <c r="Y51" s="89"/>
      <c r="Z51" s="89"/>
      <c r="AA51" s="89"/>
      <c r="AB51" s="89"/>
      <c r="AC51" s="89"/>
      <c r="AD51" s="89"/>
      <c r="AE51" s="89"/>
    </row>
    <row r="52" ht="14.25" customHeight="1">
      <c r="A52" s="178"/>
      <c r="B52" s="10">
        <v>2089281.0</v>
      </c>
      <c r="C52" s="11">
        <v>46109.5552662037</v>
      </c>
      <c r="D52" s="179" t="s">
        <v>50</v>
      </c>
      <c r="E52" s="180" t="s">
        <v>8148</v>
      </c>
      <c r="F52" s="181"/>
      <c r="G52" s="179" t="s">
        <v>7666</v>
      </c>
      <c r="H52" s="190"/>
      <c r="I52" s="190"/>
      <c r="J52" s="187" t="s">
        <v>3044</v>
      </c>
      <c r="K52" s="187" t="s">
        <v>7052</v>
      </c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IFERROR(__xludf.DUMMYFUNCTION("ifna(VALUE(REGEXEXTRACT(E52,""[0-9.]+[,]+[0-9]+"")))"),16.65)</f>
        <v>16.65</v>
      </c>
      <c r="O52" s="88"/>
      <c r="P52" s="89"/>
      <c r="Q52" s="89"/>
      <c r="R52" s="89"/>
      <c r="S52" s="91"/>
      <c r="T52" s="89"/>
      <c r="U52" s="89"/>
      <c r="V52" s="89"/>
      <c r="W52" s="90"/>
      <c r="X52" s="89"/>
      <c r="Y52" s="89"/>
      <c r="Z52" s="89"/>
      <c r="AA52" s="89"/>
      <c r="AB52" s="89"/>
      <c r="AC52" s="89"/>
      <c r="AD52" s="89"/>
      <c r="AE52" s="89"/>
    </row>
    <row r="53" ht="14.25" customHeight="1">
      <c r="A53" s="178"/>
      <c r="B53" s="10">
        <v>2089401.0</v>
      </c>
      <c r="C53" s="11">
        <v>46109.59821759259</v>
      </c>
      <c r="D53" s="179" t="s">
        <v>50</v>
      </c>
      <c r="E53" s="180" t="s">
        <v>8149</v>
      </c>
      <c r="F53" s="181"/>
      <c r="G53" s="179" t="s">
        <v>8150</v>
      </c>
      <c r="H53" s="190"/>
      <c r="I53" s="190"/>
      <c r="J53" s="187" t="s">
        <v>3903</v>
      </c>
      <c r="K53" s="187"/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185">
        <f>IFERROR(__xludf.DUMMYFUNCTION("ifna(VALUE(REGEXEXTRACT(E53,""[0-9.]+[,]+[0-9]+"")))"),80.51)</f>
        <v>80.51</v>
      </c>
      <c r="O53" s="88"/>
      <c r="P53" s="89"/>
      <c r="Q53" s="89"/>
      <c r="R53" s="89"/>
      <c r="S53" s="91"/>
      <c r="T53" s="89"/>
      <c r="U53" s="89"/>
      <c r="V53" s="89"/>
      <c r="W53" s="90"/>
      <c r="X53" s="89"/>
      <c r="Y53" s="89"/>
      <c r="Z53" s="89"/>
      <c r="AA53" s="89"/>
      <c r="AB53" s="89"/>
      <c r="AC53" s="89"/>
      <c r="AD53" s="89"/>
      <c r="AE53" s="89"/>
    </row>
    <row r="54" ht="14.25" customHeight="1">
      <c r="A54" s="178"/>
      <c r="B54" s="10">
        <v>2090521.0</v>
      </c>
      <c r="C54" s="11">
        <v>46109.83498842592</v>
      </c>
      <c r="D54" s="179" t="s">
        <v>50</v>
      </c>
      <c r="E54" s="180" t="s">
        <v>3885</v>
      </c>
      <c r="F54" s="181"/>
      <c r="G54" s="179" t="s">
        <v>8152</v>
      </c>
      <c r="H54" s="190"/>
      <c r="I54" s="190"/>
      <c r="J54" s="187" t="s">
        <v>3825</v>
      </c>
      <c r="K54" s="187"/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IFERROR(__xludf.DUMMYFUNCTION("ifna(VALUE(REGEXEXTRACT(E54,""[0-9.]+[,]+[0-9]+"")))"),78.0)</f>
        <v>78</v>
      </c>
      <c r="O54" s="108"/>
      <c r="P54" s="109"/>
      <c r="Q54" s="109"/>
      <c r="R54" s="109"/>
      <c r="S54" s="91"/>
      <c r="T54" s="109"/>
      <c r="U54" s="109"/>
      <c r="V54" s="109"/>
      <c r="W54" s="111"/>
      <c r="X54" s="109"/>
      <c r="Y54" s="109"/>
      <c r="Z54" s="109"/>
      <c r="AA54" s="109"/>
      <c r="AB54" s="109"/>
      <c r="AC54" s="109"/>
      <c r="AD54" s="109"/>
      <c r="AE54" s="109"/>
    </row>
    <row r="55" ht="14.25" customHeight="1">
      <c r="A55" s="178"/>
      <c r="B55" s="10">
        <v>2090879.0</v>
      </c>
      <c r="C55" s="11">
        <v>46109.89659722222</v>
      </c>
      <c r="D55" s="179" t="s">
        <v>50</v>
      </c>
      <c r="E55" s="180" t="s">
        <v>4794</v>
      </c>
      <c r="F55" s="181"/>
      <c r="G55" s="179" t="s">
        <v>8154</v>
      </c>
      <c r="H55" s="190"/>
      <c r="I55" s="190"/>
      <c r="J55" s="187" t="s">
        <v>3746</v>
      </c>
      <c r="K55" s="187" t="s">
        <v>7052</v>
      </c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"),"Depositada")</f>
        <v>Depositada</v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IFERROR(__xludf.DUMMYFUNCTION("ifna(VALUE(REGEXEXTRACT(E55,""[0-9.]+[,]+[0-9]+"")))"),750.0)</f>
        <v>750</v>
      </c>
      <c r="O55" s="197"/>
      <c r="P55" s="198"/>
      <c r="Q55" s="198"/>
      <c r="R55" s="198"/>
      <c r="S55" s="91"/>
      <c r="T55" s="198"/>
      <c r="U55" s="198"/>
      <c r="V55" s="198"/>
      <c r="W55" s="199"/>
      <c r="X55" s="198"/>
      <c r="Y55" s="198"/>
      <c r="Z55" s="198"/>
      <c r="AA55" s="198"/>
      <c r="AB55" s="198"/>
      <c r="AC55" s="198"/>
      <c r="AD55" s="198"/>
      <c r="AE55" s="198"/>
    </row>
    <row r="56" ht="14.25" customHeight="1">
      <c r="A56" s="178"/>
      <c r="B56" s="10">
        <v>2090885.0</v>
      </c>
      <c r="C56" s="11">
        <v>46109.89740740741</v>
      </c>
      <c r="D56" s="179" t="s">
        <v>50</v>
      </c>
      <c r="E56" s="180" t="s">
        <v>3819</v>
      </c>
      <c r="F56" s="181"/>
      <c r="G56" s="179" t="s">
        <v>8155</v>
      </c>
      <c r="H56" s="190"/>
      <c r="I56" s="190"/>
      <c r="J56" s="187" t="s">
        <v>3825</v>
      </c>
      <c r="K56" s="187"/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IFERROR(__xludf.DUMMYFUNCTION("ifna(VALUE(REGEXEXTRACT(E56,""[0-9.]+[,]+[0-9]+"")))"),110.5)</f>
        <v>110.5</v>
      </c>
      <c r="O56" s="197"/>
      <c r="P56" s="198"/>
      <c r="Q56" s="198"/>
      <c r="R56" s="198"/>
      <c r="S56" s="91"/>
      <c r="T56" s="198"/>
      <c r="U56" s="198"/>
      <c r="V56" s="198"/>
      <c r="W56" s="199"/>
      <c r="X56" s="198"/>
      <c r="Y56" s="198"/>
      <c r="Z56" s="198"/>
      <c r="AA56" s="198"/>
      <c r="AB56" s="198"/>
      <c r="AC56" s="198"/>
      <c r="AD56" s="198"/>
      <c r="AE56" s="198"/>
    </row>
    <row r="57" ht="17.25" customHeight="1">
      <c r="A57" s="178"/>
      <c r="B57" s="10">
        <v>2090887.0</v>
      </c>
      <c r="C57" s="11">
        <v>46109.89797453704</v>
      </c>
      <c r="D57" s="179" t="s">
        <v>50</v>
      </c>
      <c r="E57" s="180" t="s">
        <v>6844</v>
      </c>
      <c r="F57" s="181"/>
      <c r="G57" s="179" t="s">
        <v>8156</v>
      </c>
      <c r="H57" s="190"/>
      <c r="I57" s="190"/>
      <c r="J57" s="187" t="s">
        <v>3825</v>
      </c>
      <c r="K57" s="187"/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IFERROR(__xludf.DUMMYFUNCTION("ifna(VALUE(REGEXEXTRACT(E57,""[0-9.]+[,]+[0-9]+"")))"),123.5)</f>
        <v>123.5</v>
      </c>
      <c r="O57" s="197"/>
      <c r="P57" s="198"/>
      <c r="Q57" s="198"/>
      <c r="R57" s="198"/>
      <c r="S57" s="91"/>
      <c r="T57" s="198"/>
      <c r="U57" s="198"/>
      <c r="V57" s="198"/>
      <c r="W57" s="199"/>
      <c r="X57" s="198"/>
      <c r="Y57" s="198"/>
      <c r="Z57" s="198"/>
      <c r="AA57" s="198"/>
      <c r="AB57" s="198"/>
      <c r="AC57" s="198"/>
      <c r="AD57" s="198"/>
      <c r="AE57" s="198"/>
    </row>
    <row r="58" ht="14.25" customHeight="1">
      <c r="A58" s="178"/>
      <c r="B58" s="10">
        <v>2091459.0</v>
      </c>
      <c r="C58" s="11">
        <v>46109.94797453703</v>
      </c>
      <c r="D58" s="179" t="s">
        <v>227</v>
      </c>
      <c r="E58" s="180" t="s">
        <v>3983</v>
      </c>
      <c r="F58" s="181"/>
      <c r="G58" s="179" t="s">
        <v>8157</v>
      </c>
      <c r="H58" s="190"/>
      <c r="I58" s="190"/>
      <c r="J58" s="187" t="s">
        <v>4159</v>
      </c>
      <c r="K58" s="187"/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IFERROR(__xludf.DUMMYFUNCTION("ifna(VALUE(REGEXEXTRACT(E58,""[0-9.]+[,]+[0-9]+"")))"),150.0)</f>
        <v>150</v>
      </c>
      <c r="O58" s="197"/>
      <c r="P58" s="198"/>
      <c r="Q58" s="198"/>
      <c r="R58" s="198"/>
      <c r="S58" s="91"/>
      <c r="T58" s="198"/>
      <c r="U58" s="198"/>
      <c r="V58" s="198"/>
      <c r="W58" s="199"/>
      <c r="X58" s="198"/>
      <c r="Y58" s="198"/>
      <c r="Z58" s="198"/>
      <c r="AA58" s="198"/>
      <c r="AB58" s="198"/>
      <c r="AC58" s="198"/>
      <c r="AD58" s="198"/>
      <c r="AE58" s="198"/>
    </row>
    <row r="59" ht="14.25" customHeight="1">
      <c r="A59" s="178"/>
      <c r="B59" s="10">
        <v>2092085.0</v>
      </c>
      <c r="C59" s="11">
        <v>46110.55605324074</v>
      </c>
      <c r="D59" s="10" t="s">
        <v>50</v>
      </c>
      <c r="E59" s="10" t="s">
        <v>6846</v>
      </c>
      <c r="F59" s="13"/>
      <c r="G59" s="10" t="s">
        <v>122</v>
      </c>
      <c r="H59" s="190"/>
      <c r="I59" s="190"/>
      <c r="J59" s="187" t="s">
        <v>3044</v>
      </c>
      <c r="K59" s="187" t="s">
        <v>6664</v>
      </c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IFERROR(__xludf.DUMMYFUNCTION("ifna(VALUE(REGEXEXTRACT(E59,""[0-9.]+[,]+[0-9]+"")))"),13.0)</f>
        <v>13</v>
      </c>
      <c r="O59" s="200"/>
      <c r="P59" s="201"/>
      <c r="Q59" s="201"/>
      <c r="R59" s="201"/>
      <c r="S59" s="202"/>
      <c r="T59" s="201"/>
      <c r="U59" s="201"/>
      <c r="V59" s="201"/>
      <c r="W59" s="203"/>
      <c r="X59" s="198"/>
      <c r="Y59" s="198"/>
      <c r="Z59" s="198"/>
      <c r="AA59" s="198"/>
      <c r="AB59" s="198"/>
      <c r="AC59" s="198"/>
      <c r="AD59" s="198"/>
      <c r="AE59" s="198"/>
    </row>
    <row r="60" ht="14.25" customHeight="1">
      <c r="A60" s="178"/>
      <c r="B60" s="10">
        <v>2092168.0</v>
      </c>
      <c r="C60" s="11">
        <v>46110.58724537037</v>
      </c>
      <c r="D60" s="179" t="s">
        <v>50</v>
      </c>
      <c r="E60" s="180" t="s">
        <v>8159</v>
      </c>
      <c r="F60" s="188"/>
      <c r="G60" s="179" t="s">
        <v>122</v>
      </c>
      <c r="H60" s="190"/>
      <c r="I60" s="190"/>
      <c r="J60" s="187" t="s">
        <v>3044</v>
      </c>
      <c r="K60" s="187" t="s">
        <v>6664</v>
      </c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IFERROR(__xludf.DUMMYFUNCTION("ifna(VALUE(REGEXEXTRACT(E60,""[0-9.]+[,]+[0-9]+"")))"),10.48)</f>
        <v>10.48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178"/>
      <c r="B61" s="10">
        <v>2092320.0</v>
      </c>
      <c r="C61" s="11">
        <v>46110.63010416667</v>
      </c>
      <c r="D61" s="179" t="s">
        <v>50</v>
      </c>
      <c r="E61" s="180" t="s">
        <v>7885</v>
      </c>
      <c r="F61" s="181"/>
      <c r="G61" s="179" t="s">
        <v>122</v>
      </c>
      <c r="H61" s="190"/>
      <c r="I61" s="190"/>
      <c r="J61" s="187" t="s">
        <v>3044</v>
      </c>
      <c r="K61" s="187" t="s">
        <v>6664</v>
      </c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IFERROR(__xludf.DUMMYFUNCTION("ifna(VALUE(REGEXEXTRACT(E61,""[0-9.]+[,]+[0-9]+"")))"),10.1)</f>
        <v>10.1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 ht="14.25" customHeight="1">
      <c r="A62" s="178"/>
      <c r="B62" s="10">
        <v>2092859.0</v>
      </c>
      <c r="C62" s="11">
        <v>46110.7391087963</v>
      </c>
      <c r="D62" s="179" t="s">
        <v>50</v>
      </c>
      <c r="E62" s="180" t="s">
        <v>6731</v>
      </c>
      <c r="F62" s="181"/>
      <c r="G62" s="179" t="s">
        <v>1312</v>
      </c>
      <c r="H62" s="190"/>
      <c r="I62" s="190"/>
      <c r="J62" s="187" t="s">
        <v>3874</v>
      </c>
      <c r="K62" s="187"/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IFERROR(__xludf.DUMMYFUNCTION("ifna(VALUE(REGEXEXTRACT(E62,""[0-9.]+[,]+[0-9]+"")))"),100.0)</f>
        <v>100</v>
      </c>
      <c r="O62" s="206"/>
      <c r="T62" s="207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ht="14.25" customHeight="1">
      <c r="A63" s="178"/>
      <c r="B63" s="10">
        <v>2092862.0</v>
      </c>
      <c r="C63" s="11">
        <v>46110.73930555556</v>
      </c>
      <c r="D63" s="179" t="s">
        <v>50</v>
      </c>
      <c r="E63" s="180" t="s">
        <v>6731</v>
      </c>
      <c r="F63" s="181"/>
      <c r="G63" s="179" t="s">
        <v>1312</v>
      </c>
      <c r="H63" s="190"/>
      <c r="I63" s="190"/>
      <c r="J63" s="187" t="s">
        <v>3874</v>
      </c>
      <c r="K63" s="187"/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IFERROR(__xludf.DUMMYFUNCTION("ifna(VALUE(REGEXEXTRACT(E63,""[0-9.]+[,]+[0-9]+"")))"),100.0)</f>
        <v>100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 ht="14.25" customHeight="1">
      <c r="A64" s="178"/>
      <c r="B64" s="10">
        <v>2092868.0</v>
      </c>
      <c r="C64" s="11">
        <v>46110.73982638889</v>
      </c>
      <c r="D64" s="179" t="s">
        <v>227</v>
      </c>
      <c r="E64" s="180" t="s">
        <v>494</v>
      </c>
      <c r="F64" s="181"/>
      <c r="G64" s="179" t="s">
        <v>8163</v>
      </c>
      <c r="H64" s="190"/>
      <c r="I64" s="190"/>
      <c r="J64" s="187"/>
      <c r="K64" s="187"/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IFERROR(__xludf.DUMMYFUNCTION("ifna(VALUE(REGEXEXTRACT(E64,""[0-9.]+[,]+[0-9]+"")))"),0.01)</f>
        <v>0.01</v>
      </c>
      <c r="O64" s="283" t="s">
        <v>2653</v>
      </c>
      <c r="P64" s="284">
        <v>46126.0</v>
      </c>
      <c r="Q64" s="415" t="s">
        <v>1183</v>
      </c>
      <c r="R64" s="286">
        <v>300.0</v>
      </c>
      <c r="S64" s="287"/>
      <c r="T64" s="288" t="str">
        <f t="shared" ref="T64:T82" si="1">IFERROR(VLOOKUP(Q64, $A$4:$B$11, 2, FALSE), "")</f>
        <v>Rayanna</v>
      </c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 ht="14.25" customHeight="1">
      <c r="A65" s="178"/>
      <c r="B65" s="10">
        <v>2092880.0</v>
      </c>
      <c r="C65" s="11">
        <v>46110.7419212963</v>
      </c>
      <c r="D65" s="179" t="s">
        <v>50</v>
      </c>
      <c r="E65" s="180" t="s">
        <v>8164</v>
      </c>
      <c r="F65" s="181"/>
      <c r="G65" s="179" t="s">
        <v>8165</v>
      </c>
      <c r="H65" s="190"/>
      <c r="I65" s="190"/>
      <c r="J65" s="187" t="s">
        <v>3467</v>
      </c>
      <c r="K65" s="187"/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IFERROR(__xludf.DUMMYFUNCTION("ifna(VALUE(REGEXEXTRACT(E65,""[0-9.]+[,]+[0-9]+"")))"),18.53)</f>
        <v>18.53</v>
      </c>
      <c r="O65" s="289" t="s">
        <v>2658</v>
      </c>
      <c r="P65" s="290">
        <v>46126.0</v>
      </c>
      <c r="Q65" s="291" t="s">
        <v>62</v>
      </c>
      <c r="R65" s="292">
        <v>500.0</v>
      </c>
      <c r="S65" s="293"/>
      <c r="T65" s="294" t="str">
        <f t="shared" si="1"/>
        <v>Ana Carolina</v>
      </c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ht="14.25" customHeight="1">
      <c r="A66" s="178"/>
      <c r="B66" s="10">
        <v>2093743.0</v>
      </c>
      <c r="C66" s="11">
        <v>46110.858877314815</v>
      </c>
      <c r="D66" s="179" t="s">
        <v>50</v>
      </c>
      <c r="E66" s="180" t="s">
        <v>4300</v>
      </c>
      <c r="F66" s="181"/>
      <c r="G66" s="179" t="s">
        <v>8167</v>
      </c>
      <c r="H66" s="190"/>
      <c r="I66" s="190"/>
      <c r="J66" s="187" t="s">
        <v>3825</v>
      </c>
      <c r="K66" s="187"/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IFERROR(__xludf.DUMMYFUNCTION("ifna(VALUE(REGEXEXTRACT(E66,""[0-9.]+[,]+[0-9]+"")))"),104.0)</f>
        <v>104</v>
      </c>
      <c r="O66" s="283" t="s">
        <v>2661</v>
      </c>
      <c r="P66" s="284">
        <v>46126.0</v>
      </c>
      <c r="Q66" s="295" t="s">
        <v>78</v>
      </c>
      <c r="R66" s="286">
        <v>500.0</v>
      </c>
      <c r="S66" s="296"/>
      <c r="T66" s="288" t="str">
        <f t="shared" si="1"/>
        <v>Sabrina</v>
      </c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ht="14.25" customHeight="1">
      <c r="A67" s="178"/>
      <c r="B67" s="10">
        <v>2093778.0</v>
      </c>
      <c r="C67" s="11">
        <v>46110.863125</v>
      </c>
      <c r="D67" s="179" t="s">
        <v>50</v>
      </c>
      <c r="E67" s="180" t="s">
        <v>1702</v>
      </c>
      <c r="F67" s="181"/>
      <c r="G67" s="179" t="s">
        <v>8168</v>
      </c>
      <c r="H67" s="190"/>
      <c r="I67" s="190"/>
      <c r="J67" s="187" t="s">
        <v>3825</v>
      </c>
      <c r="K67" s="187"/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IFERROR(__xludf.DUMMYFUNCTION("ifna(VALUE(REGEXEXTRACT(E67,""[0-9.]+[,]+[0-9]+"")))"),90.0)</f>
        <v>90</v>
      </c>
      <c r="O67" s="289"/>
      <c r="P67" s="290"/>
      <c r="Q67" s="291"/>
      <c r="R67" s="292"/>
      <c r="S67" s="297"/>
      <c r="T67" s="294" t="str">
        <f t="shared" si="1"/>
        <v/>
      </c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178"/>
      <c r="B68" s="10">
        <v>2093836.0</v>
      </c>
      <c r="C68" s="11">
        <v>46110.869039351855</v>
      </c>
      <c r="D68" s="179" t="s">
        <v>50</v>
      </c>
      <c r="E68" s="180" t="s">
        <v>1238</v>
      </c>
      <c r="F68" s="181"/>
      <c r="G68" s="179" t="s">
        <v>8170</v>
      </c>
      <c r="H68" s="190"/>
      <c r="I68" s="190"/>
      <c r="J68" s="187" t="s">
        <v>3825</v>
      </c>
      <c r="K68" s="187"/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IFERROR(__xludf.DUMMYFUNCTION("ifna(VALUE(REGEXEXTRACT(E68,""[0-9.]+[,]+[0-9]+"")))"),105.0)</f>
        <v>105</v>
      </c>
      <c r="O68" s="283"/>
      <c r="P68" s="284"/>
      <c r="Q68" s="295"/>
      <c r="R68" s="286"/>
      <c r="S68" s="296"/>
      <c r="T68" s="288" t="str">
        <f t="shared" si="1"/>
        <v/>
      </c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 ht="14.25" customHeight="1">
      <c r="A69" s="178"/>
      <c r="B69" s="10">
        <v>2093848.0</v>
      </c>
      <c r="C69" s="11">
        <v>46110.87023148148</v>
      </c>
      <c r="D69" s="179" t="s">
        <v>50</v>
      </c>
      <c r="E69" s="180" t="s">
        <v>624</v>
      </c>
      <c r="F69" s="188"/>
      <c r="G69" s="179" t="s">
        <v>8171</v>
      </c>
      <c r="H69" s="190"/>
      <c r="I69" s="190"/>
      <c r="J69" s="187" t="s">
        <v>3825</v>
      </c>
      <c r="K69" s="187"/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IFERROR(__xludf.DUMMYFUNCTION("ifna(VALUE(REGEXEXTRACT(E69,""[0-9.]+[,]+[0-9]+"")))"),130.0)</f>
        <v>130</v>
      </c>
      <c r="O69" s="289"/>
      <c r="P69" s="290"/>
      <c r="Q69" s="291"/>
      <c r="R69" s="292"/>
      <c r="S69" s="297"/>
      <c r="T69" s="294" t="str">
        <f t="shared" si="1"/>
        <v/>
      </c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178"/>
      <c r="B70" s="10">
        <v>2094717.0</v>
      </c>
      <c r="C70" s="11">
        <v>46110.93517361111</v>
      </c>
      <c r="D70" s="179" t="s">
        <v>50</v>
      </c>
      <c r="E70" s="180" t="s">
        <v>8173</v>
      </c>
      <c r="F70" s="181"/>
      <c r="G70" s="179" t="s">
        <v>8174</v>
      </c>
      <c r="H70" s="190"/>
      <c r="I70" s="190"/>
      <c r="J70" s="187" t="s">
        <v>3746</v>
      </c>
      <c r="K70" s="187" t="s">
        <v>7058</v>
      </c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"),"Depositada")</f>
        <v>Depositada</v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IFERROR(__xludf.DUMMYFUNCTION("ifna(VALUE(REGEXEXTRACT(E70,""[0-9.]+[,]+[0-9]+"")))"),1900.0)</f>
        <v>1900</v>
      </c>
      <c r="O70" s="283"/>
      <c r="P70" s="284"/>
      <c r="Q70" s="295"/>
      <c r="R70" s="286"/>
      <c r="S70" s="296" t="str">
        <f t="shared" ref="S70:S82" si="2">IFERROR(VLOOKUP(Q70, $A$4:$B$18, 2, FALSE), "")</f>
        <v/>
      </c>
      <c r="T70" s="288" t="str">
        <f t="shared" si="1"/>
        <v/>
      </c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 ht="14.25" customHeight="1">
      <c r="A71" s="178"/>
      <c r="B71" s="10">
        <v>2094780.0</v>
      </c>
      <c r="C71" s="11">
        <v>46110.93965277778</v>
      </c>
      <c r="D71" s="179" t="s">
        <v>227</v>
      </c>
      <c r="E71" s="180" t="s">
        <v>3983</v>
      </c>
      <c r="F71" s="181"/>
      <c r="G71" s="345" t="s">
        <v>8176</v>
      </c>
      <c r="H71" s="190"/>
      <c r="I71" s="190"/>
      <c r="J71" s="187"/>
      <c r="K71" s="187"/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IFERROR(__xludf.DUMMYFUNCTION("ifna(VALUE(REGEXEXTRACT(E71,""[0-9.]+[,]+[0-9]+"")))"),150.0)</f>
        <v>150</v>
      </c>
      <c r="O71" s="289"/>
      <c r="P71" s="290"/>
      <c r="Q71" s="291"/>
      <c r="R71" s="292"/>
      <c r="S71" s="297" t="str">
        <f t="shared" si="2"/>
        <v/>
      </c>
      <c r="T71" s="294" t="str">
        <f t="shared" si="1"/>
        <v/>
      </c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 ht="14.25" customHeight="1">
      <c r="A72" s="178"/>
      <c r="B72" s="10">
        <v>2094863.0</v>
      </c>
      <c r="C72" s="11">
        <v>46110.947384259256</v>
      </c>
      <c r="D72" s="179" t="s">
        <v>50</v>
      </c>
      <c r="E72" s="180" t="s">
        <v>7706</v>
      </c>
      <c r="F72" s="181"/>
      <c r="G72" s="179" t="s">
        <v>7666</v>
      </c>
      <c r="H72" s="190"/>
      <c r="I72" s="190"/>
      <c r="J72" s="187" t="s">
        <v>3044</v>
      </c>
      <c r="K72" s="187" t="s">
        <v>7052</v>
      </c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IFERROR(__xludf.DUMMYFUNCTION("ifna(VALUE(REGEXEXTRACT(E72,""[0-9.]+[,]+[0-9]+"")))"),16.0)</f>
        <v>16</v>
      </c>
      <c r="O72" s="283"/>
      <c r="P72" s="284"/>
      <c r="Q72" s="295"/>
      <c r="R72" s="286"/>
      <c r="S72" s="296" t="str">
        <f t="shared" si="2"/>
        <v/>
      </c>
      <c r="T72" s="288" t="str">
        <f t="shared" si="1"/>
        <v/>
      </c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178"/>
      <c r="B73" s="10">
        <v>2095531.0</v>
      </c>
      <c r="C73" s="11">
        <v>46111.57134259259</v>
      </c>
      <c r="D73" s="179" t="s">
        <v>50</v>
      </c>
      <c r="E73" s="180" t="s">
        <v>8179</v>
      </c>
      <c r="F73" s="181"/>
      <c r="G73" s="179" t="s">
        <v>8180</v>
      </c>
      <c r="H73" s="190"/>
      <c r="I73" s="190"/>
      <c r="J73" s="187" t="s">
        <v>3467</v>
      </c>
      <c r="K73" s="187"/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IFERROR(__xludf.DUMMYFUNCTION("ifna(VALUE(REGEXEXTRACT(E73,""[0-9.]+[,]+[0-9]+"")))"),13.93)</f>
        <v>13.93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 ht="14.25" customHeight="1">
      <c r="A74" s="178"/>
      <c r="B74" s="10">
        <v>2096201.0</v>
      </c>
      <c r="C74" s="11">
        <v>46111.74230324074</v>
      </c>
      <c r="D74" s="179" t="s">
        <v>50</v>
      </c>
      <c r="E74" s="180" t="s">
        <v>708</v>
      </c>
      <c r="F74" s="181"/>
      <c r="G74" s="179" t="s">
        <v>94</v>
      </c>
      <c r="H74" s="190"/>
      <c r="I74" s="190"/>
      <c r="J74" s="187" t="s">
        <v>3044</v>
      </c>
      <c r="K74" s="187" t="s">
        <v>7058</v>
      </c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IFERROR(__xludf.DUMMYFUNCTION("ifna(VALUE(REGEXEXTRACT(E74,""[0-9.]+[,]+[0-9]+"")))"),8.0)</f>
        <v>8</v>
      </c>
      <c r="O74" s="299"/>
      <c r="P74" s="300"/>
      <c r="Q74" s="301"/>
      <c r="R74" s="302" t="str">
        <f t="shared" ref="R74:R82" si="3">IFERROR(VLOOKUP(Q74, $B$4:$C$18, 2, FALSE), "")</f>
        <v/>
      </c>
      <c r="S74" s="296" t="str">
        <f t="shared" si="2"/>
        <v/>
      </c>
      <c r="T74" s="288" t="str">
        <f t="shared" si="1"/>
        <v/>
      </c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 ht="14.25" customHeight="1">
      <c r="A75" s="178"/>
      <c r="B75" s="10">
        <v>2096203.0</v>
      </c>
      <c r="C75" s="11">
        <v>46111.74285879629</v>
      </c>
      <c r="D75" s="179" t="s">
        <v>50</v>
      </c>
      <c r="E75" s="180" t="s">
        <v>157</v>
      </c>
      <c r="F75" s="181"/>
      <c r="G75" s="179" t="s">
        <v>7666</v>
      </c>
      <c r="H75" s="190"/>
      <c r="I75" s="190"/>
      <c r="J75" s="187" t="s">
        <v>3044</v>
      </c>
      <c r="K75" s="187" t="s">
        <v>7052</v>
      </c>
      <c r="L75" s="343" t="s">
        <v>8181</v>
      </c>
      <c r="M75" s="344" t="s">
        <v>7462</v>
      </c>
      <c r="N75" s="185">
        <f>IFERROR(__xludf.DUMMYFUNCTION("ifna(VALUE(REGEXEXTRACT(E75,""[0-9.]+[,]+[0-9]+"")))"),5.0)</f>
        <v>5</v>
      </c>
      <c r="O75" s="303"/>
      <c r="P75" s="121"/>
      <c r="Q75" s="121"/>
      <c r="R75" s="304" t="str">
        <f t="shared" si="3"/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 ht="14.25" customHeight="1">
      <c r="A76" s="178"/>
      <c r="B76" s="10">
        <v>2096204.0</v>
      </c>
      <c r="C76" s="11">
        <v>46111.74322916667</v>
      </c>
      <c r="D76" s="179" t="s">
        <v>50</v>
      </c>
      <c r="E76" s="180" t="s">
        <v>6846</v>
      </c>
      <c r="F76" s="181"/>
      <c r="G76" s="179" t="s">
        <v>122</v>
      </c>
      <c r="H76" s="190"/>
      <c r="I76" s="190"/>
      <c r="J76" s="187" t="s">
        <v>3044</v>
      </c>
      <c r="K76" s="187" t="s">
        <v>6664</v>
      </c>
      <c r="L76" s="252" t="str">
        <f>IFERROR(__xludf.DUMMYFUNCTION("IF(
  AND(D76=""Saída"",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IFERROR(__xludf.DUMMYFUNCTION("IF(J75=""Compra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IFERROR(__xludf.DUMMYFUNCTION("ifna(VALUE(REGEXEXTRACT(E76,""[0-9.]+[,]+[0-9]+"")))"),13.0)</f>
        <v>13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 ht="14.25" customHeight="1">
      <c r="A77" s="178"/>
      <c r="B77" s="10">
        <v>2096238.0</v>
      </c>
      <c r="C77" s="11">
        <v>46111.74994212963</v>
      </c>
      <c r="D77" s="179" t="s">
        <v>50</v>
      </c>
      <c r="E77" s="180" t="s">
        <v>8182</v>
      </c>
      <c r="F77" s="181"/>
      <c r="G77" s="179" t="s">
        <v>7666</v>
      </c>
      <c r="H77" s="190"/>
      <c r="I77" s="190"/>
      <c r="J77" s="187" t="s">
        <v>3044</v>
      </c>
      <c r="K77" s="187" t="s">
        <v>7052</v>
      </c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IFERROR(__xludf.DUMMYFUNCTION("ifna(VALUE(REGEXEXTRACT(E77,""[0-9.]+[,]+[0-9]+"")))"),48.37)</f>
        <v>48.37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178"/>
      <c r="B78" s="10">
        <v>2096266.0</v>
      </c>
      <c r="C78" s="11">
        <v>46111.75525462963</v>
      </c>
      <c r="D78" s="179" t="s">
        <v>50</v>
      </c>
      <c r="E78" s="180" t="s">
        <v>7951</v>
      </c>
      <c r="F78" s="181"/>
      <c r="G78" s="179" t="s">
        <v>8184</v>
      </c>
      <c r="H78" s="190"/>
      <c r="I78" s="190"/>
      <c r="J78" s="187" t="s">
        <v>3467</v>
      </c>
      <c r="K78" s="187"/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IFERROR(__xludf.DUMMYFUNCTION("ifna(VALUE(REGEXEXTRACT(E78,""[0-9.]+[,]+[0-9]+"")))"),16.74)</f>
        <v>16.74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 ht="14.25" customHeight="1">
      <c r="A79" s="178"/>
      <c r="B79" s="10">
        <v>2096341.0</v>
      </c>
      <c r="C79" s="11">
        <v>46111.77245370371</v>
      </c>
      <c r="D79" s="179" t="s">
        <v>50</v>
      </c>
      <c r="E79" s="180" t="s">
        <v>7235</v>
      </c>
      <c r="F79" s="181"/>
      <c r="G79" s="179" t="s">
        <v>94</v>
      </c>
      <c r="H79" s="190"/>
      <c r="I79" s="190"/>
      <c r="J79" s="187" t="s">
        <v>3044</v>
      </c>
      <c r="K79" s="187" t="s">
        <v>7058</v>
      </c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IFERROR(__xludf.DUMMYFUNCTION("ifna(VALUE(REGEXEXTRACT(E79,""[0-9.]+[,]+[0-9]+"")))"),16.87)</f>
        <v>16.87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 ht="14.25" customHeight="1">
      <c r="A80" s="178"/>
      <c r="B80" s="10">
        <v>2097509.0</v>
      </c>
      <c r="C80" s="11">
        <v>46112.57927083333</v>
      </c>
      <c r="D80" s="179" t="s">
        <v>50</v>
      </c>
      <c r="E80" s="180" t="s">
        <v>8072</v>
      </c>
      <c r="F80" s="181"/>
      <c r="G80" s="179" t="s">
        <v>7666</v>
      </c>
      <c r="H80" s="190"/>
      <c r="I80" s="190"/>
      <c r="J80" s="187" t="s">
        <v>3044</v>
      </c>
      <c r="K80" s="187" t="s">
        <v>7052</v>
      </c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IFERROR(__xludf.DUMMYFUNCTION("ifna(VALUE(REGEXEXTRACT(E80,""[0-9.]+[,]+[0-9]+"")))"),7.8)</f>
        <v>7.8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 ht="14.25" customHeight="1">
      <c r="A81" s="178"/>
      <c r="B81" s="10">
        <v>2098104.0</v>
      </c>
      <c r="C81" s="11">
        <v>46112.74748842593</v>
      </c>
      <c r="D81" s="179" t="s">
        <v>50</v>
      </c>
      <c r="E81" s="180" t="s">
        <v>194</v>
      </c>
      <c r="F81" s="181"/>
      <c r="G81" s="179" t="s">
        <v>8188</v>
      </c>
      <c r="H81" s="190"/>
      <c r="I81" s="190"/>
      <c r="J81" s="187" t="s">
        <v>3903</v>
      </c>
      <c r="K81" s="187"/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185">
        <f>IFERROR(__xludf.DUMMYFUNCTION("ifna(VALUE(REGEXEXTRACT(E81,""[0-9.]+[,]+[0-9]+"")))"),250.0)</f>
        <v>250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 ht="14.25" customHeight="1">
      <c r="A82" s="178"/>
      <c r="B82" s="10">
        <v>2098116.0</v>
      </c>
      <c r="C82" s="11">
        <v>46112.75181712963</v>
      </c>
      <c r="D82" s="179" t="s">
        <v>50</v>
      </c>
      <c r="E82" s="180" t="s">
        <v>8190</v>
      </c>
      <c r="F82" s="181"/>
      <c r="G82" s="179" t="s">
        <v>7666</v>
      </c>
      <c r="H82" s="190"/>
      <c r="I82" s="190"/>
      <c r="J82" s="187" t="s">
        <v>3044</v>
      </c>
      <c r="K82" s="187" t="s">
        <v>7052</v>
      </c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IFERROR(__xludf.DUMMYFUNCTION("ifna(VALUE(REGEXEXTRACT(E82,""[0-9.]+[,]+[0-9]+"")))"),16.91)</f>
        <v>16.91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 ht="14.25" customHeight="1">
      <c r="A83" s="178"/>
      <c r="B83" s="10">
        <v>2098120.0</v>
      </c>
      <c r="C83" s="11">
        <v>46112.75237268519</v>
      </c>
      <c r="D83" s="179" t="s">
        <v>50</v>
      </c>
      <c r="E83" s="180" t="s">
        <v>246</v>
      </c>
      <c r="F83" s="181"/>
      <c r="G83" s="179" t="s">
        <v>122</v>
      </c>
      <c r="H83" s="190"/>
      <c r="I83" s="190"/>
      <c r="J83" s="187" t="s">
        <v>3044</v>
      </c>
      <c r="K83" s="187" t="s">
        <v>6664</v>
      </c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IFERROR(__xludf.DUMMYFUNCTION("ifna(VALUE(REGEXEXTRACT(E83,""[0-9.]+[,]+[0-9]+"")))"),4.0)</f>
        <v>4</v>
      </c>
      <c r="O83" s="305"/>
      <c r="P83" s="305"/>
      <c r="Q83" s="305"/>
      <c r="R83" s="306"/>
      <c r="S83" s="305"/>
      <c r="T83" s="91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 ht="14.25" customHeight="1">
      <c r="A84" s="178"/>
      <c r="B84" s="10">
        <v>2098214.0</v>
      </c>
      <c r="C84" s="11">
        <v>46112.78265046296</v>
      </c>
      <c r="D84" s="179" t="s">
        <v>50</v>
      </c>
      <c r="E84" s="180" t="s">
        <v>246</v>
      </c>
      <c r="F84" s="181"/>
      <c r="G84" s="179" t="s">
        <v>94</v>
      </c>
      <c r="H84" s="190"/>
      <c r="I84" s="190"/>
      <c r="J84" s="187" t="s">
        <v>3044</v>
      </c>
      <c r="K84" s="187" t="s">
        <v>7058</v>
      </c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IFERROR(__xludf.DUMMYFUNCTION("ifna(VALUE(REGEXEXTRACT(E84,""[0-9.]+[,]+[0-9]+"")))"),4.0)</f>
        <v>4</v>
      </c>
      <c r="O84" s="307" t="s">
        <v>7170</v>
      </c>
      <c r="W84" s="24"/>
      <c r="X84" s="24"/>
      <c r="Y84" s="24"/>
      <c r="Z84" s="24"/>
      <c r="AA84" s="24"/>
      <c r="AB84" s="24"/>
      <c r="AC84" s="24"/>
      <c r="AD84" s="24"/>
      <c r="AE84" s="24"/>
    </row>
    <row r="85" ht="14.25" customHeight="1">
      <c r="A85" s="178"/>
      <c r="B85" s="10">
        <v>2098607.0</v>
      </c>
      <c r="C85" s="11">
        <v>46112.897569444445</v>
      </c>
      <c r="D85" s="179" t="s">
        <v>50</v>
      </c>
      <c r="E85" s="180" t="s">
        <v>719</v>
      </c>
      <c r="F85" s="181"/>
      <c r="G85" s="179" t="s">
        <v>8191</v>
      </c>
      <c r="H85" s="190"/>
      <c r="I85" s="190"/>
      <c r="J85" s="187" t="s">
        <v>3746</v>
      </c>
      <c r="K85" s="187" t="s">
        <v>7058</v>
      </c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"),"Depositada")</f>
        <v>Depositada</v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IFERROR(__xludf.DUMMYFUNCTION("ifna(VALUE(REGEXEXTRACT(E85,""[0-9.]+[,]+[0-9]+"")))"),500.0)</f>
        <v>500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  <c r="X85" s="24"/>
      <c r="Y85" s="24"/>
      <c r="Z85" s="24"/>
      <c r="AA85" s="24"/>
      <c r="AB85" s="24"/>
      <c r="AC85" s="24"/>
      <c r="AD85" s="24"/>
      <c r="AE85" s="24"/>
    </row>
    <row r="86" ht="14.25" customHeight="1">
      <c r="A86" s="178"/>
      <c r="B86" s="10">
        <v>2098705.0</v>
      </c>
      <c r="C86" s="11">
        <v>46112.91517361111</v>
      </c>
      <c r="D86" s="179" t="s">
        <v>50</v>
      </c>
      <c r="E86" s="180" t="s">
        <v>157</v>
      </c>
      <c r="F86" s="181"/>
      <c r="G86" s="179" t="s">
        <v>94</v>
      </c>
      <c r="H86" s="190"/>
      <c r="I86" s="190"/>
      <c r="J86" s="187" t="s">
        <v>3044</v>
      </c>
      <c r="K86" s="187" t="s">
        <v>7058</v>
      </c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IFERROR(__xludf.DUMMYFUNCTION("ifna(VALUE(REGEXEXTRACT(E86,""[0-9.]+[,]+[0-9]+"")))"),5.0)</f>
        <v>5</v>
      </c>
      <c r="O86" s="356">
        <f>IFERROR(__xludf.DUMMYFUNCTION("""COMPUTED_VALUE"""),2128419.0)</f>
        <v>2128419</v>
      </c>
      <c r="P86" s="312">
        <f>IFERROR(__xludf.DUMMYFUNCTION("""COMPUTED_VALUE"""),46128.646157407406)</f>
        <v>46128.64616</v>
      </c>
      <c r="Q86" s="311" t="str">
        <f>IFERROR(__xludf.DUMMYFUNCTION("""COMPUTED_VALUE"""),"Saída")</f>
        <v>Saída</v>
      </c>
      <c r="R86" s="313" t="str">
        <f>IFERROR(__xludf.DUMMYFUNCTION("""COMPUTED_VALUE"""),"R$ 75,00")</f>
        <v>R$ 75,00</v>
      </c>
      <c r="S86" s="311" t="str">
        <f>IFERROR(__xludf.DUMMYFUNCTION("""COMPUTED_VALUE"""),"Saida Outros: compra de centro de salgados para reunião 16/04 (não tem nota fiscal)")</f>
        <v>Saida Outros: compra de centro de salgados para reunião 16/04 (não tem nota fiscal)</v>
      </c>
      <c r="V86" s="314" t="str">
        <f>IFERROR(__xludf.DUMMYFUNCTION("""COMPUTED_VALUE"""),"Não Encontrada")</f>
        <v>Não Encontrada</v>
      </c>
      <c r="W86" s="24"/>
      <c r="X86" s="24"/>
      <c r="Y86" s="24"/>
      <c r="Z86" s="24"/>
      <c r="AA86" s="24"/>
      <c r="AB86" s="24"/>
      <c r="AC86" s="24"/>
      <c r="AD86" s="24"/>
      <c r="AE86" s="24"/>
    </row>
    <row r="87" ht="14.25" customHeight="1">
      <c r="A87" s="178"/>
      <c r="B87" s="10">
        <v>2099273.0</v>
      </c>
      <c r="C87" s="11">
        <v>46113.5321412037</v>
      </c>
      <c r="D87" s="179" t="s">
        <v>50</v>
      </c>
      <c r="E87" s="180" t="s">
        <v>8193</v>
      </c>
      <c r="F87" s="181"/>
      <c r="G87" s="179" t="s">
        <v>7666</v>
      </c>
      <c r="H87" s="190"/>
      <c r="I87" s="190"/>
      <c r="J87" s="187" t="s">
        <v>3044</v>
      </c>
      <c r="K87" s="187" t="s">
        <v>7052</v>
      </c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IFERROR(__xludf.DUMMYFUNCTION("ifna(VALUE(REGEXEXTRACT(E87,""[0-9.]+[,]+[0-9]+"")))"),15.35)</f>
        <v>15.35</v>
      </c>
      <c r="O87" s="315">
        <f>IFERROR(__xludf.DUMMYFUNCTION("""COMPUTED_VALUE"""),2142671.0)</f>
        <v>2142671</v>
      </c>
      <c r="P87" s="316">
        <f>IFERROR(__xludf.DUMMYFUNCTION("""COMPUTED_VALUE"""),46134.785046296296)</f>
        <v>46134.78505</v>
      </c>
      <c r="Q87" s="315" t="str">
        <f>IFERROR(__xludf.DUMMYFUNCTION("""COMPUTED_VALUE"""),"Saída")</f>
        <v>Saída</v>
      </c>
      <c r="R87" s="317" t="str">
        <f>IFERROR(__xludf.DUMMYFUNCTION("""COMPUTED_VALUE"""),"R$ 120,00")</f>
        <v>R$ 120,00</v>
      </c>
      <c r="S87" s="315" t="str">
        <f>IFERROR(__xludf.DUMMYFUNCTION("""COMPUTED_VALUE"""),"Saida Outros: pagamento de 4,8kg de morango (não tem nota, foi comprado no centro e não tinha nota)")</f>
        <v>Saida Outros: pagamento de 4,8kg de morango (não tem nota, foi comprado no centro e não tinha nota)</v>
      </c>
      <c r="V87" s="318" t="str">
        <f>IFERROR(__xludf.DUMMYFUNCTION("""COMPUTED_VALUE"""),"Não Encontrada")</f>
        <v>Não Encontrada</v>
      </c>
      <c r="W87" s="24"/>
      <c r="X87" s="24"/>
      <c r="Y87" s="24"/>
      <c r="Z87" s="24"/>
      <c r="AA87" s="24"/>
      <c r="AB87" s="24"/>
      <c r="AC87" s="24"/>
      <c r="AD87" s="24"/>
      <c r="AE87" s="24"/>
    </row>
    <row r="88" ht="14.25" customHeight="1">
      <c r="A88" s="178"/>
      <c r="B88" s="10">
        <v>2099409.0</v>
      </c>
      <c r="C88" s="11">
        <v>46113.59912037037</v>
      </c>
      <c r="D88" s="179" t="s">
        <v>50</v>
      </c>
      <c r="E88" s="180" t="s">
        <v>221</v>
      </c>
      <c r="F88" s="181"/>
      <c r="G88" s="179" t="s">
        <v>8195</v>
      </c>
      <c r="H88" s="190"/>
      <c r="I88" s="190"/>
      <c r="J88" s="187" t="s">
        <v>3044</v>
      </c>
      <c r="K88" s="187" t="s">
        <v>6664</v>
      </c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IFERROR(__xludf.DUMMYFUNCTION("ifna(VALUE(REGEXEXTRACT(E88,""[0-9.]+[,]+[0-9]+"")))"),12.91)</f>
        <v>12.91</v>
      </c>
      <c r="O88" s="319"/>
      <c r="P88" s="320"/>
      <c r="Q88" s="319"/>
      <c r="R88" s="321"/>
      <c r="S88" s="319"/>
      <c r="V88" s="322"/>
      <c r="W88" s="24"/>
      <c r="X88" s="24"/>
      <c r="Y88" s="24"/>
      <c r="Z88" s="24"/>
      <c r="AA88" s="24"/>
      <c r="AB88" s="24"/>
      <c r="AC88" s="24"/>
      <c r="AD88" s="24"/>
      <c r="AE88" s="24"/>
    </row>
    <row r="89" ht="14.25" customHeight="1">
      <c r="A89" s="178"/>
      <c r="B89" s="10">
        <v>2099751.0</v>
      </c>
      <c r="C89" s="11">
        <v>46113.710277777776</v>
      </c>
      <c r="D89" s="179" t="s">
        <v>227</v>
      </c>
      <c r="E89" s="180" t="s">
        <v>194</v>
      </c>
      <c r="F89" s="181"/>
      <c r="G89" s="179" t="s">
        <v>8198</v>
      </c>
      <c r="H89" s="323"/>
      <c r="I89" s="190"/>
      <c r="J89" s="187" t="s">
        <v>4159</v>
      </c>
      <c r="K89" s="187"/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IFERROR(__xludf.DUMMYFUNCTION("ifna(VALUE(REGEXEXTRACT(E89,""[0-9.]+[,]+[0-9]+"")))"),250.0)</f>
        <v>250</v>
      </c>
      <c r="O89" s="315"/>
      <c r="P89" s="316"/>
      <c r="Q89" s="315"/>
      <c r="R89" s="317"/>
      <c r="S89" s="315"/>
      <c r="V89" s="318"/>
      <c r="W89" s="24"/>
      <c r="X89" s="24"/>
      <c r="Y89" s="24"/>
      <c r="Z89" s="24"/>
      <c r="AA89" s="24"/>
      <c r="AB89" s="24"/>
      <c r="AC89" s="24"/>
      <c r="AD89" s="24"/>
      <c r="AE89" s="24"/>
    </row>
    <row r="90" ht="14.25" customHeight="1">
      <c r="A90" s="178"/>
      <c r="B90" s="10">
        <v>2099993.0</v>
      </c>
      <c r="C90" s="11">
        <v>46113.759375</v>
      </c>
      <c r="D90" s="179" t="s">
        <v>50</v>
      </c>
      <c r="E90" s="180" t="s">
        <v>6651</v>
      </c>
      <c r="F90" s="181"/>
      <c r="G90" s="179" t="s">
        <v>122</v>
      </c>
      <c r="H90" s="190"/>
      <c r="I90" s="190"/>
      <c r="J90" s="187" t="s">
        <v>3044</v>
      </c>
      <c r="K90" s="187" t="s">
        <v>6664</v>
      </c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IFERROR(__xludf.DUMMYFUNCTION("ifna(VALUE(REGEXEXTRACT(E90,""[0-9.]+[,]+[0-9]+"")))"),17.13)</f>
        <v>17.13</v>
      </c>
      <c r="O90" s="319"/>
      <c r="P90" s="320"/>
      <c r="Q90" s="319"/>
      <c r="R90" s="321"/>
      <c r="S90" s="319"/>
      <c r="V90" s="322"/>
      <c r="W90" s="24"/>
      <c r="X90" s="24"/>
      <c r="Y90" s="24"/>
      <c r="Z90" s="24"/>
      <c r="AA90" s="24"/>
      <c r="AB90" s="24"/>
      <c r="AC90" s="24"/>
      <c r="AD90" s="24"/>
      <c r="AE90" s="24"/>
    </row>
    <row r="91" ht="14.25" customHeight="1">
      <c r="A91" s="178"/>
      <c r="B91" s="10">
        <v>2100468.0</v>
      </c>
      <c r="C91" s="11">
        <v>46113.90773148148</v>
      </c>
      <c r="D91" s="179" t="s">
        <v>50</v>
      </c>
      <c r="E91" s="180" t="s">
        <v>8201</v>
      </c>
      <c r="F91" s="181"/>
      <c r="G91" s="179" t="s">
        <v>8202</v>
      </c>
      <c r="H91" s="190"/>
      <c r="I91" s="190"/>
      <c r="J91" s="187" t="s">
        <v>3903</v>
      </c>
      <c r="K91" s="187"/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"""")"),"Encontrada")</f>
        <v>Encontrada</v>
      </c>
      <c r="N91" s="185">
        <f>IFERROR(__xludf.DUMMYFUNCTION("ifna(VALUE(REGEXEXTRACT(E91,""[0-9.]+[,]+[0-9]+"")))"),518.4)</f>
        <v>518.4</v>
      </c>
      <c r="O91" s="315"/>
      <c r="P91" s="316"/>
      <c r="Q91" s="315"/>
      <c r="R91" s="317"/>
      <c r="S91" s="315"/>
      <c r="V91" s="318"/>
      <c r="W91" s="24"/>
      <c r="X91" s="24"/>
      <c r="Y91" s="24"/>
      <c r="Z91" s="24"/>
      <c r="AA91" s="24"/>
      <c r="AB91" s="24"/>
      <c r="AC91" s="24"/>
      <c r="AD91" s="24"/>
      <c r="AE91" s="24"/>
    </row>
    <row r="92" ht="14.25" customHeight="1">
      <c r="A92" s="178"/>
      <c r="B92" s="10">
        <v>2100477.0</v>
      </c>
      <c r="C92" s="11">
        <v>46113.90876157407</v>
      </c>
      <c r="D92" s="179" t="s">
        <v>50</v>
      </c>
      <c r="E92" s="180" t="s">
        <v>8131</v>
      </c>
      <c r="F92" s="181"/>
      <c r="G92" s="179" t="s">
        <v>8204</v>
      </c>
      <c r="H92" s="190"/>
      <c r="I92" s="190"/>
      <c r="J92" s="187" t="s">
        <v>3903</v>
      </c>
      <c r="K92" s="187"/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85">
        <f>IFERROR(__xludf.DUMMYFUNCTION("ifna(VALUE(REGEXEXTRACT(E92,""[0-9.]+[,]+[0-9]+"")))"),41.88)</f>
        <v>41.88</v>
      </c>
      <c r="O92" s="319"/>
      <c r="P92" s="320"/>
      <c r="Q92" s="319"/>
      <c r="R92" s="321"/>
      <c r="S92" s="319"/>
      <c r="V92" s="281"/>
      <c r="W92" s="185"/>
      <c r="X92" s="185"/>
      <c r="Y92" s="185"/>
      <c r="Z92" s="185"/>
      <c r="AA92" s="185"/>
      <c r="AB92" s="185"/>
      <c r="AC92" s="185"/>
      <c r="AD92" s="185"/>
      <c r="AE92" s="185"/>
    </row>
    <row r="93" ht="14.25" customHeight="1">
      <c r="A93" s="178"/>
      <c r="B93" s="10">
        <v>2100501.0</v>
      </c>
      <c r="C93" s="11">
        <v>46113.91261574074</v>
      </c>
      <c r="D93" s="179" t="s">
        <v>50</v>
      </c>
      <c r="E93" s="180" t="s">
        <v>8206</v>
      </c>
      <c r="F93" s="181"/>
      <c r="G93" s="179" t="s">
        <v>8207</v>
      </c>
      <c r="H93" s="190"/>
      <c r="I93" s="190"/>
      <c r="J93" s="187" t="s">
        <v>3903</v>
      </c>
      <c r="K93" s="187"/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"""")"),"Encontrada")</f>
        <v>Encontrada</v>
      </c>
      <c r="N93" s="185">
        <f>IFERROR(__xludf.DUMMYFUNCTION("ifna(VALUE(REGEXEXTRACT(E93,""[0-9.]+[,]+[0-9]+"")))"),174.96)</f>
        <v>174.96</v>
      </c>
      <c r="O93" s="315"/>
      <c r="P93" s="316"/>
      <c r="Q93" s="315"/>
      <c r="R93" s="317"/>
      <c r="S93" s="315"/>
      <c r="V93" s="279"/>
      <c r="W93" s="185"/>
      <c r="X93" s="185"/>
      <c r="Y93" s="185"/>
      <c r="Z93" s="185"/>
      <c r="AA93" s="185"/>
      <c r="AB93" s="185"/>
      <c r="AC93" s="185"/>
      <c r="AD93" s="185"/>
      <c r="AE93" s="185"/>
    </row>
    <row r="94" ht="14.25" customHeight="1">
      <c r="A94" s="178"/>
      <c r="B94" s="10">
        <v>2100505.0</v>
      </c>
      <c r="C94" s="11">
        <v>46113.91328703704</v>
      </c>
      <c r="D94" s="179" t="s">
        <v>50</v>
      </c>
      <c r="E94" s="180" t="s">
        <v>8140</v>
      </c>
      <c r="F94" s="181"/>
      <c r="G94" s="179" t="s">
        <v>8209</v>
      </c>
      <c r="H94" s="190"/>
      <c r="I94" s="190"/>
      <c r="J94" s="187" t="s">
        <v>3903</v>
      </c>
      <c r="K94" s="187"/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185">
        <f>IFERROR(__xludf.DUMMYFUNCTION("ifna(VALUE(REGEXEXTRACT(E94,""[0-9.]+[,]+[0-9]+"")))"),15.38)</f>
        <v>15.38</v>
      </c>
      <c r="O94" s="319"/>
      <c r="P94" s="320"/>
      <c r="Q94" s="319"/>
      <c r="R94" s="321"/>
      <c r="S94" s="319"/>
      <c r="V94" s="281"/>
      <c r="W94" s="185"/>
      <c r="X94" s="185"/>
      <c r="Y94" s="185"/>
      <c r="Z94" s="185"/>
      <c r="AA94" s="185"/>
      <c r="AB94" s="185"/>
      <c r="AC94" s="185"/>
      <c r="AD94" s="185"/>
      <c r="AE94" s="185"/>
    </row>
    <row r="95" ht="14.25" customHeight="1">
      <c r="A95" s="178"/>
      <c r="B95" s="10">
        <v>2100536.0</v>
      </c>
      <c r="C95" s="11">
        <v>46113.9165625</v>
      </c>
      <c r="D95" s="179" t="s">
        <v>50</v>
      </c>
      <c r="E95" s="180" t="s">
        <v>8212</v>
      </c>
      <c r="F95" s="181"/>
      <c r="G95" s="179" t="s">
        <v>8213</v>
      </c>
      <c r="H95" s="190"/>
      <c r="I95" s="190"/>
      <c r="J95" s="187" t="s">
        <v>3825</v>
      </c>
      <c r="K95" s="187"/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IFERROR(__xludf.DUMMYFUNCTION("ifna(VALUE(REGEXEXTRACT(E95,""[0-9.]+[,]+[0-9]+"")))"),107.5)</f>
        <v>107.5</v>
      </c>
      <c r="O95" s="315"/>
      <c r="P95" s="316"/>
      <c r="Q95" s="315"/>
      <c r="R95" s="317"/>
      <c r="S95" s="315"/>
      <c r="V95" s="279"/>
      <c r="W95" s="185"/>
      <c r="X95" s="185"/>
      <c r="Y95" s="185"/>
      <c r="Z95" s="185"/>
      <c r="AA95" s="185"/>
      <c r="AB95" s="185"/>
      <c r="AC95" s="185"/>
      <c r="AD95" s="185"/>
      <c r="AE95" s="185"/>
    </row>
    <row r="96" ht="14.25" customHeight="1">
      <c r="A96" s="178"/>
      <c r="B96" s="10">
        <v>2100757.0</v>
      </c>
      <c r="C96" s="11">
        <v>46113.947175925925</v>
      </c>
      <c r="D96" s="179" t="s">
        <v>227</v>
      </c>
      <c r="E96" s="180" t="s">
        <v>6731</v>
      </c>
      <c r="F96" s="181"/>
      <c r="G96" s="179" t="s">
        <v>8215</v>
      </c>
      <c r="H96" s="190"/>
      <c r="I96" s="190"/>
      <c r="J96" s="187" t="s">
        <v>4159</v>
      </c>
      <c r="K96" s="187"/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IFERROR(__xludf.DUMMYFUNCTION("ifna(VALUE(REGEXEXTRACT(E96,""[0-9.]+[,]+[0-9]+"")))"),100.0)</f>
        <v>100</v>
      </c>
      <c r="O96" s="325"/>
      <c r="P96" s="326"/>
      <c r="Q96" s="326"/>
      <c r="R96" s="321"/>
      <c r="S96" s="319"/>
      <c r="V96" s="281"/>
      <c r="W96" s="185"/>
      <c r="X96" s="185"/>
      <c r="Y96" s="185"/>
      <c r="Z96" s="185"/>
      <c r="AA96" s="185"/>
      <c r="AB96" s="185"/>
      <c r="AC96" s="185"/>
      <c r="AD96" s="185"/>
      <c r="AE96" s="185"/>
    </row>
    <row r="97" ht="14.25" customHeight="1">
      <c r="A97" s="178"/>
      <c r="B97" s="10">
        <v>2101062.0</v>
      </c>
      <c r="C97" s="11">
        <v>46114.521782407406</v>
      </c>
      <c r="D97" s="179" t="s">
        <v>50</v>
      </c>
      <c r="E97" s="180" t="s">
        <v>7706</v>
      </c>
      <c r="F97" s="181"/>
      <c r="G97" s="179" t="s">
        <v>8218</v>
      </c>
      <c r="H97" s="190"/>
      <c r="I97" s="190"/>
      <c r="J97" s="187" t="s">
        <v>3903</v>
      </c>
      <c r="K97" s="187"/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"""")"),"Encontrada")</f>
        <v>Encontrada</v>
      </c>
      <c r="N97" s="185">
        <f>IFERROR(__xludf.DUMMYFUNCTION("ifna(VALUE(REGEXEXTRACT(E97,""[0-9.]+[,]+[0-9]+"")))"),16.0)</f>
        <v>16</v>
      </c>
      <c r="O97" s="315"/>
      <c r="P97" s="316"/>
      <c r="Q97" s="315"/>
      <c r="R97" s="317"/>
      <c r="S97" s="315"/>
      <c r="V97" s="279"/>
      <c r="W97" s="185"/>
      <c r="X97" s="185"/>
      <c r="Y97" s="185"/>
      <c r="Z97" s="185"/>
      <c r="AA97" s="185"/>
      <c r="AB97" s="185"/>
      <c r="AC97" s="185"/>
      <c r="AD97" s="185"/>
      <c r="AE97" s="185"/>
    </row>
    <row r="98" ht="14.25" customHeight="1">
      <c r="A98" s="178"/>
      <c r="B98" s="10">
        <v>2101068.0</v>
      </c>
      <c r="C98" s="11">
        <v>46114.52616898148</v>
      </c>
      <c r="D98" s="179" t="s">
        <v>50</v>
      </c>
      <c r="E98" s="180" t="s">
        <v>8221</v>
      </c>
      <c r="F98" s="181"/>
      <c r="G98" s="179" t="s">
        <v>7666</v>
      </c>
      <c r="H98" s="190"/>
      <c r="I98" s="190"/>
      <c r="J98" s="187" t="s">
        <v>3044</v>
      </c>
      <c r="K98" s="187" t="s">
        <v>7052</v>
      </c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IFERROR(__xludf.DUMMYFUNCTION("ifna(VALUE(REGEXEXTRACT(E98,""[0-9.]+[,]+[0-9]+"")))"),15.1)</f>
        <v>15.1</v>
      </c>
      <c r="O98" s="319"/>
      <c r="P98" s="320"/>
      <c r="Q98" s="319"/>
      <c r="R98" s="321"/>
      <c r="S98" s="319"/>
      <c r="V98" s="281"/>
      <c r="W98" s="185"/>
      <c r="X98" s="185"/>
      <c r="Y98" s="185"/>
      <c r="Z98" s="185"/>
      <c r="AA98" s="185"/>
      <c r="AB98" s="185"/>
      <c r="AC98" s="185"/>
      <c r="AD98" s="185"/>
      <c r="AE98" s="185"/>
    </row>
    <row r="99" ht="14.25" customHeight="1">
      <c r="A99" s="178"/>
      <c r="B99" s="10">
        <v>2101248.0</v>
      </c>
      <c r="C99" s="11">
        <v>46114.604780092595</v>
      </c>
      <c r="D99" s="179" t="s">
        <v>227</v>
      </c>
      <c r="E99" s="180" t="s">
        <v>6479</v>
      </c>
      <c r="F99" s="181"/>
      <c r="G99" s="179" t="s">
        <v>8223</v>
      </c>
      <c r="H99" s="190"/>
      <c r="I99" s="190"/>
      <c r="J99" s="187" t="s">
        <v>4159</v>
      </c>
      <c r="K99" s="187"/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IFERROR(__xludf.DUMMYFUNCTION("ifna(VALUE(REGEXEXTRACT(E99,""[0-9.]+[,]+[0-9]+"")))"),300.0)</f>
        <v>300</v>
      </c>
      <c r="O99" s="315"/>
      <c r="P99" s="316"/>
      <c r="Q99" s="315"/>
      <c r="R99" s="317"/>
      <c r="S99" s="315"/>
      <c r="V99" s="279"/>
      <c r="W99" s="185"/>
      <c r="X99" s="185"/>
      <c r="Y99" s="185"/>
      <c r="Z99" s="185"/>
      <c r="AA99" s="185"/>
      <c r="AB99" s="185"/>
      <c r="AC99" s="185"/>
      <c r="AD99" s="185"/>
      <c r="AE99" s="185"/>
    </row>
    <row r="100" ht="14.25" customHeight="1">
      <c r="A100" s="178"/>
      <c r="B100" s="10">
        <v>2101305.0</v>
      </c>
      <c r="C100" s="11">
        <v>46114.623020833336</v>
      </c>
      <c r="D100" s="179" t="s">
        <v>50</v>
      </c>
      <c r="E100" s="180" t="s">
        <v>8225</v>
      </c>
      <c r="F100" s="181"/>
      <c r="G100" s="179" t="s">
        <v>8226</v>
      </c>
      <c r="H100" s="190"/>
      <c r="I100" s="190"/>
      <c r="J100" s="187" t="s">
        <v>3903</v>
      </c>
      <c r="K100" s="187"/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185">
        <f>IFERROR(__xludf.DUMMYFUNCTION("ifna(VALUE(REGEXEXTRACT(E100,""[0-9.]+[,]+[0-9]+"")))"),256.9)</f>
        <v>256.9</v>
      </c>
      <c r="O100" s="319"/>
      <c r="P100" s="320"/>
      <c r="Q100" s="319"/>
      <c r="R100" s="321"/>
      <c r="S100" s="319"/>
      <c r="V100" s="281"/>
      <c r="W100" s="185"/>
      <c r="X100" s="185"/>
      <c r="Y100" s="185"/>
      <c r="Z100" s="185"/>
      <c r="AA100" s="185"/>
      <c r="AB100" s="185"/>
      <c r="AC100" s="185"/>
      <c r="AD100" s="185"/>
      <c r="AE100" s="185"/>
    </row>
    <row r="101" ht="14.25" customHeight="1">
      <c r="A101" s="178"/>
      <c r="B101" s="10">
        <v>2101400.0</v>
      </c>
      <c r="C101" s="11">
        <v>46114.65142361111</v>
      </c>
      <c r="D101" s="179" t="s">
        <v>50</v>
      </c>
      <c r="E101" s="180" t="s">
        <v>708</v>
      </c>
      <c r="F101" s="181"/>
      <c r="G101" s="179" t="s">
        <v>94</v>
      </c>
      <c r="H101" s="190"/>
      <c r="I101" s="190"/>
      <c r="J101" s="187" t="s">
        <v>3044</v>
      </c>
      <c r="K101" s="187" t="s">
        <v>7058</v>
      </c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IFERROR(__xludf.DUMMYFUNCTION("ifna(VALUE(REGEXEXTRACT(E101,""[0-9.]+[,]+[0-9]+"")))"),8.0)</f>
        <v>8</v>
      </c>
      <c r="O101" s="315"/>
      <c r="P101" s="316"/>
      <c r="Q101" s="315"/>
      <c r="R101" s="317"/>
      <c r="S101" s="315"/>
      <c r="V101" s="279"/>
      <c r="W101" s="185"/>
      <c r="X101" s="185"/>
      <c r="Y101" s="185"/>
      <c r="Z101" s="185"/>
      <c r="AA101" s="185"/>
      <c r="AB101" s="185"/>
      <c r="AC101" s="185"/>
      <c r="AD101" s="185"/>
      <c r="AE101" s="185"/>
    </row>
    <row r="102" ht="17.25" customHeight="1">
      <c r="A102" s="178"/>
      <c r="B102" s="10">
        <v>2102454.0</v>
      </c>
      <c r="C102" s="11">
        <v>46114.9090162037</v>
      </c>
      <c r="D102" s="179" t="s">
        <v>50</v>
      </c>
      <c r="E102" s="180" t="s">
        <v>8231</v>
      </c>
      <c r="F102" s="181"/>
      <c r="G102" s="179" t="s">
        <v>8232</v>
      </c>
      <c r="H102" s="190"/>
      <c r="I102" s="190"/>
      <c r="J102" s="187" t="s">
        <v>3825</v>
      </c>
      <c r="K102" s="187"/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IFERROR(__xludf.DUMMYFUNCTION("ifna(VALUE(REGEXEXTRACT(E102,""[0-9.]+[,]+[0-9]+"")))"),67.0)</f>
        <v>67</v>
      </c>
      <c r="O102" s="319"/>
      <c r="P102" s="320"/>
      <c r="Q102" s="319"/>
      <c r="R102" s="321"/>
      <c r="S102" s="319"/>
      <c r="V102" s="281"/>
      <c r="W102" s="185"/>
      <c r="X102" s="185"/>
      <c r="Y102" s="185"/>
      <c r="Z102" s="185"/>
      <c r="AA102" s="185"/>
      <c r="AB102" s="185"/>
      <c r="AC102" s="185"/>
      <c r="AD102" s="185"/>
      <c r="AE102" s="185"/>
    </row>
    <row r="103" ht="14.25" customHeight="1">
      <c r="A103" s="178"/>
      <c r="B103" s="10">
        <v>2104743.0</v>
      </c>
      <c r="C103" s="11">
        <v>46115.907546296294</v>
      </c>
      <c r="D103" s="179" t="s">
        <v>50</v>
      </c>
      <c r="E103" s="180" t="s">
        <v>8229</v>
      </c>
      <c r="F103" s="181"/>
      <c r="G103" s="179" t="s">
        <v>8234</v>
      </c>
      <c r="H103" s="190"/>
      <c r="I103" s="190"/>
      <c r="J103" s="187" t="s">
        <v>3825</v>
      </c>
      <c r="K103" s="187"/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TRIM(CLEAN(TO_TEXT(#REF!)))) &gt; 0,
      ""Encontrada"",
      ""Não Encontrada""
   ),
"""")"),"")</f>
        <v/>
      </c>
      <c r="N103" s="185">
        <f>IFERROR(__xludf.DUMMYFUNCTION("ifna(VALUE(REGEXEXTRACT(E103,""[0-9.]+[,]+[0-9]+"")))"),127.5)</f>
        <v>127.5</v>
      </c>
      <c r="O103" s="315"/>
      <c r="P103" s="316"/>
      <c r="Q103" s="315"/>
      <c r="R103" s="317"/>
      <c r="S103" s="315"/>
      <c r="V103" s="279"/>
      <c r="W103" s="185"/>
      <c r="X103" s="185"/>
      <c r="Y103" s="185"/>
      <c r="Z103" s="185"/>
      <c r="AA103" s="185"/>
      <c r="AB103" s="185"/>
      <c r="AC103" s="185"/>
      <c r="AD103" s="185"/>
      <c r="AE103" s="185"/>
    </row>
    <row r="104" ht="14.25" customHeight="1">
      <c r="A104" s="178"/>
      <c r="B104" s="10">
        <v>2104751.0</v>
      </c>
      <c r="C104" s="11">
        <v>46115.90828703704</v>
      </c>
      <c r="D104" s="10" t="s">
        <v>50</v>
      </c>
      <c r="E104" s="10" t="s">
        <v>8237</v>
      </c>
      <c r="F104" s="13"/>
      <c r="G104" s="10" t="s">
        <v>8238</v>
      </c>
      <c r="H104" s="190"/>
      <c r="I104" s="190"/>
      <c r="J104" s="187" t="s">
        <v>3825</v>
      </c>
      <c r="K104" s="187"/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TRIM(CLEAN(TO_TEXT(B103)))) &gt; 0,
      ""Encontrada"",
      ""Não Encontrada""
   ),
"""")"),"")</f>
        <v/>
      </c>
      <c r="N104" s="185">
        <f>IFERROR(__xludf.DUMMYFUNCTION("ifna(VALUE(REGEXEXTRACT(E104,""[0-9.]+[,]+[0-9]+"")))"),142.5)</f>
        <v>142.5</v>
      </c>
      <c r="O104" s="319"/>
      <c r="P104" s="320"/>
      <c r="Q104" s="319"/>
      <c r="R104" s="321"/>
      <c r="S104" s="319"/>
      <c r="V104" s="281"/>
      <c r="W104" s="185"/>
      <c r="X104" s="185"/>
      <c r="Y104" s="185"/>
      <c r="Z104" s="185"/>
      <c r="AA104" s="185"/>
      <c r="AB104" s="185"/>
      <c r="AC104" s="185"/>
      <c r="AD104" s="185"/>
      <c r="AE104" s="185"/>
    </row>
    <row r="105" ht="14.25" customHeight="1">
      <c r="A105" s="178"/>
      <c r="B105" s="10">
        <v>2104759.0</v>
      </c>
      <c r="C105" s="11">
        <v>46115.90875</v>
      </c>
      <c r="D105" s="179" t="s">
        <v>50</v>
      </c>
      <c r="E105" s="180" t="s">
        <v>7125</v>
      </c>
      <c r="F105" s="181"/>
      <c r="G105" s="179" t="s">
        <v>8239</v>
      </c>
      <c r="H105" s="190"/>
      <c r="I105" s="190"/>
      <c r="J105" s="187" t="s">
        <v>3746</v>
      </c>
      <c r="K105" s="187" t="s">
        <v>7052</v>
      </c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"),"Depositada")</f>
        <v>Depositada</v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IFERROR(__xludf.DUMMYFUNCTION("ifna(VALUE(REGEXEXTRACT(E105,""[0-9.]+[,]+[0-9]+"")))"),1800.0)</f>
        <v>1800</v>
      </c>
      <c r="O105" s="315"/>
      <c r="P105" s="315"/>
      <c r="Q105" s="315"/>
      <c r="R105" s="317"/>
      <c r="S105" s="315"/>
      <c r="V105" s="279"/>
      <c r="W105" s="185"/>
      <c r="X105" s="185"/>
      <c r="Y105" s="185"/>
      <c r="Z105" s="185"/>
      <c r="AA105" s="185"/>
      <c r="AB105" s="185"/>
      <c r="AC105" s="185"/>
      <c r="AD105" s="185"/>
      <c r="AE105" s="185"/>
    </row>
    <row r="106" ht="14.25" customHeight="1">
      <c r="A106" s="178"/>
      <c r="B106" s="10">
        <v>2105802.0</v>
      </c>
      <c r="C106" s="11">
        <v>46116.56649305556</v>
      </c>
      <c r="D106" s="179" t="s">
        <v>50</v>
      </c>
      <c r="E106" s="180" t="s">
        <v>146</v>
      </c>
      <c r="F106" s="181"/>
      <c r="G106" s="179" t="s">
        <v>94</v>
      </c>
      <c r="H106" s="190"/>
      <c r="I106" s="190"/>
      <c r="J106" s="187" t="s">
        <v>3044</v>
      </c>
      <c r="K106" s="187" t="s">
        <v>7058</v>
      </c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IFERROR(__xludf.DUMMYFUNCTION("ifna(VALUE(REGEXEXTRACT(E106,""[0-9.]+[,]+[0-9]+"")))"),3.0)</f>
        <v>3</v>
      </c>
      <c r="O106" s="319"/>
      <c r="P106" s="319"/>
      <c r="Q106" s="319"/>
      <c r="R106" s="321"/>
      <c r="S106" s="319"/>
      <c r="V106" s="281"/>
      <c r="W106" s="185"/>
      <c r="X106" s="185"/>
      <c r="Y106" s="185"/>
      <c r="Z106" s="185"/>
      <c r="AA106" s="185"/>
      <c r="AB106" s="185"/>
      <c r="AC106" s="185"/>
      <c r="AD106" s="185"/>
      <c r="AE106" s="185"/>
    </row>
    <row r="107" ht="18.75" customHeight="1">
      <c r="A107" s="178"/>
      <c r="B107" s="10">
        <v>2106610.0</v>
      </c>
      <c r="C107" s="11">
        <v>46116.747025462966</v>
      </c>
      <c r="D107" s="179" t="s">
        <v>50</v>
      </c>
      <c r="E107" s="180" t="s">
        <v>8244</v>
      </c>
      <c r="F107" s="181"/>
      <c r="G107" s="179" t="s">
        <v>8245</v>
      </c>
      <c r="H107" s="190"/>
      <c r="I107" s="190"/>
      <c r="J107" s="187" t="s">
        <v>3903</v>
      </c>
      <c r="K107" s="187"/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"""")"),"Encontrada")</f>
        <v>Encontrada</v>
      </c>
      <c r="N107" s="185">
        <f>IFERROR(__xludf.DUMMYFUNCTION("ifna(VALUE(REGEXEXTRACT(E107,""[0-9.]+[,]+[0-9]+"")))"),10.65)</f>
        <v>10.65</v>
      </c>
      <c r="O107" s="331"/>
      <c r="P107" s="331"/>
      <c r="Q107" s="331"/>
      <c r="R107" s="317"/>
      <c r="S107" s="331"/>
      <c r="V107" s="279"/>
      <c r="W107" s="185"/>
      <c r="X107" s="185"/>
      <c r="Y107" s="185"/>
      <c r="Z107" s="185"/>
      <c r="AA107" s="185"/>
      <c r="AB107" s="185"/>
      <c r="AC107" s="185"/>
      <c r="AD107" s="185"/>
      <c r="AE107" s="185"/>
    </row>
    <row r="108" ht="14.25" customHeight="1">
      <c r="A108" s="178"/>
      <c r="B108" s="10">
        <v>2106614.0</v>
      </c>
      <c r="C108" s="11">
        <v>46116.74738425926</v>
      </c>
      <c r="D108" s="179" t="s">
        <v>50</v>
      </c>
      <c r="E108" s="180" t="s">
        <v>8246</v>
      </c>
      <c r="F108" s="181"/>
      <c r="G108" s="179" t="s">
        <v>8247</v>
      </c>
      <c r="H108" s="190"/>
      <c r="I108" s="190"/>
      <c r="J108" s="187" t="s">
        <v>3903</v>
      </c>
      <c r="K108" s="187"/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85">
        <f>IFERROR(__xludf.DUMMYFUNCTION("ifna(VALUE(REGEXEXTRACT(E108,""[0-9.]+[,]+[0-9]+"")))"),30.29)</f>
        <v>30.29</v>
      </c>
      <c r="O108" s="332"/>
      <c r="P108" s="332"/>
      <c r="Q108" s="332"/>
      <c r="R108" s="321"/>
      <c r="S108" s="332"/>
      <c r="V108" s="281"/>
      <c r="W108" s="185"/>
      <c r="X108" s="185"/>
      <c r="Y108" s="185"/>
      <c r="Z108" s="185"/>
      <c r="AA108" s="185"/>
      <c r="AB108" s="185"/>
      <c r="AC108" s="185"/>
      <c r="AD108" s="185"/>
      <c r="AE108" s="185"/>
    </row>
    <row r="109" ht="15.75" customHeight="1">
      <c r="A109" s="178"/>
      <c r="B109" s="10">
        <v>2106617.0</v>
      </c>
      <c r="C109" s="11">
        <v>46116.74775462963</v>
      </c>
      <c r="D109" s="179" t="s">
        <v>50</v>
      </c>
      <c r="E109" s="180" t="s">
        <v>8249</v>
      </c>
      <c r="F109" s="181"/>
      <c r="G109" s="179" t="s">
        <v>8250</v>
      </c>
      <c r="H109" s="190"/>
      <c r="I109" s="190"/>
      <c r="J109" s="187" t="s">
        <v>3903</v>
      </c>
      <c r="K109" s="187"/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85">
        <f>IFERROR(__xludf.DUMMYFUNCTION("ifna(VALUE(REGEXEXTRACT(E109,""[0-9.]+[,]+[0-9]+"")))"),591.36)</f>
        <v>591.36</v>
      </c>
      <c r="O109" s="333"/>
      <c r="P109" s="331"/>
      <c r="Q109" s="331"/>
      <c r="R109" s="317"/>
      <c r="S109" s="331"/>
      <c r="V109" s="279"/>
      <c r="W109" s="185"/>
      <c r="X109" s="185"/>
      <c r="Y109" s="185"/>
      <c r="Z109" s="185"/>
      <c r="AA109" s="185"/>
      <c r="AB109" s="185"/>
      <c r="AC109" s="185"/>
      <c r="AD109" s="185"/>
      <c r="AE109" s="185"/>
    </row>
    <row r="110" ht="14.25" customHeight="1">
      <c r="A110" s="178"/>
      <c r="B110" s="10">
        <v>2106635.0</v>
      </c>
      <c r="C110" s="11">
        <v>46116.75038194445</v>
      </c>
      <c r="D110" s="179" t="s">
        <v>50</v>
      </c>
      <c r="E110" s="180" t="s">
        <v>6909</v>
      </c>
      <c r="F110" s="181"/>
      <c r="G110" s="179" t="s">
        <v>7816</v>
      </c>
      <c r="H110" s="190"/>
      <c r="I110" s="190"/>
      <c r="J110" s="187" t="s">
        <v>3825</v>
      </c>
      <c r="K110" s="187"/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IFERROR(__xludf.DUMMYFUNCTION("ifna(VALUE(REGEXEXTRACT(E110,""[0-9.]+[,]+[0-9]+"")))"),75.0)</f>
        <v>75</v>
      </c>
      <c r="O110" s="332"/>
      <c r="P110" s="332"/>
      <c r="Q110" s="332"/>
      <c r="R110" s="321"/>
      <c r="S110" s="332"/>
      <c r="V110" s="281"/>
      <c r="W110" s="185"/>
      <c r="X110" s="185"/>
      <c r="Y110" s="185"/>
      <c r="Z110" s="185"/>
      <c r="AA110" s="185"/>
      <c r="AB110" s="185"/>
      <c r="AC110" s="185"/>
      <c r="AD110" s="185"/>
      <c r="AE110" s="185"/>
    </row>
    <row r="111" ht="17.25" customHeight="1">
      <c r="A111" s="178"/>
      <c r="B111" s="10">
        <v>2106658.0</v>
      </c>
      <c r="C111" s="11">
        <v>46116.75472222222</v>
      </c>
      <c r="D111" s="179" t="s">
        <v>50</v>
      </c>
      <c r="E111" s="180" t="s">
        <v>8253</v>
      </c>
      <c r="F111" s="181"/>
      <c r="G111" s="179" t="s">
        <v>8254</v>
      </c>
      <c r="H111" s="190"/>
      <c r="I111" s="190"/>
      <c r="J111" s="187" t="s">
        <v>3903</v>
      </c>
      <c r="K111" s="187"/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85">
        <f>IFERROR(__xludf.DUMMYFUNCTION("ifna(VALUE(REGEXEXTRACT(E111,""[0-9.]+[,]+[0-9]+"")))"),224.07)</f>
        <v>224.07</v>
      </c>
      <c r="O111" s="331"/>
      <c r="P111" s="331"/>
      <c r="Q111" s="331"/>
      <c r="R111" s="317"/>
      <c r="S111" s="331"/>
      <c r="V111" s="279"/>
      <c r="W111" s="185"/>
      <c r="X111" s="185"/>
      <c r="Y111" s="185"/>
      <c r="Z111" s="185"/>
      <c r="AA111" s="185"/>
      <c r="AB111" s="185"/>
      <c r="AC111" s="185"/>
      <c r="AD111" s="185"/>
      <c r="AE111" s="185"/>
    </row>
    <row r="112" ht="14.25" customHeight="1">
      <c r="A112" s="178"/>
      <c r="B112" s="10">
        <v>2106663.0</v>
      </c>
      <c r="C112" s="11">
        <v>46116.755740740744</v>
      </c>
      <c r="D112" s="179" t="s">
        <v>50</v>
      </c>
      <c r="E112" s="180" t="s">
        <v>8257</v>
      </c>
      <c r="F112" s="181"/>
      <c r="G112" s="179" t="s">
        <v>8258</v>
      </c>
      <c r="H112" s="190"/>
      <c r="I112" s="190"/>
      <c r="J112" s="187" t="s">
        <v>3903</v>
      </c>
      <c r="K112" s="187"/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"""")"),"Encontrada")</f>
        <v>Encontrada</v>
      </c>
      <c r="N112" s="185">
        <f>IFERROR(__xludf.DUMMYFUNCTION("ifna(VALUE(REGEXEXTRACT(E112,""[0-9.]+[,]+[0-9]+"")))"),30.5)</f>
        <v>30.5</v>
      </c>
      <c r="O112" s="332"/>
      <c r="P112" s="332"/>
      <c r="Q112" s="332"/>
      <c r="R112" s="321"/>
      <c r="S112" s="332"/>
      <c r="V112" s="281"/>
      <c r="W112" s="185"/>
      <c r="X112" s="185"/>
      <c r="Y112" s="185"/>
      <c r="Z112" s="185"/>
      <c r="AA112" s="185"/>
      <c r="AB112" s="185"/>
      <c r="AC112" s="185"/>
      <c r="AD112" s="185"/>
      <c r="AE112" s="185"/>
    </row>
    <row r="113" ht="14.25" customHeight="1">
      <c r="A113" s="178"/>
      <c r="B113" s="10">
        <v>2106669.0</v>
      </c>
      <c r="C113" s="11">
        <v>46116.756631944445</v>
      </c>
      <c r="D113" s="179" t="s">
        <v>50</v>
      </c>
      <c r="E113" s="180" t="s">
        <v>8261</v>
      </c>
      <c r="F113" s="181"/>
      <c r="G113" s="179" t="s">
        <v>8262</v>
      </c>
      <c r="H113" s="190"/>
      <c r="I113" s="190"/>
      <c r="J113" s="187" t="s">
        <v>3903</v>
      </c>
      <c r="K113" s="187"/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85">
        <f>IFERROR(__xludf.DUMMYFUNCTION("ifna(VALUE(REGEXEXTRACT(E113,""[0-9.]+[,]+[0-9]+"")))"),61.07)</f>
        <v>61.07</v>
      </c>
      <c r="O113" s="331"/>
      <c r="P113" s="331"/>
      <c r="Q113" s="331"/>
      <c r="R113" s="331"/>
      <c r="S113" s="331"/>
      <c r="V113" s="279"/>
      <c r="W113" s="185"/>
      <c r="X113" s="185"/>
      <c r="Y113" s="185"/>
      <c r="Z113" s="185"/>
      <c r="AA113" s="185"/>
      <c r="AB113" s="185"/>
      <c r="AC113" s="185"/>
      <c r="AD113" s="185"/>
      <c r="AE113" s="185"/>
    </row>
    <row r="114" ht="14.25" customHeight="1">
      <c r="A114" s="178"/>
      <c r="B114" s="10">
        <v>2106709.0</v>
      </c>
      <c r="C114" s="11">
        <v>46116.76577546296</v>
      </c>
      <c r="D114" s="179" t="s">
        <v>50</v>
      </c>
      <c r="E114" s="180" t="s">
        <v>6827</v>
      </c>
      <c r="F114" s="181"/>
      <c r="G114" s="179" t="s">
        <v>8265</v>
      </c>
      <c r="H114" s="190"/>
      <c r="I114" s="190"/>
      <c r="J114" s="187" t="s">
        <v>3467</v>
      </c>
      <c r="K114" s="187"/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IFERROR(__xludf.DUMMYFUNCTION("ifna(VALUE(REGEXEXTRACT(E114,""[0-9.]+[,]+[0-9]+"")))"),15.46)</f>
        <v>15.46</v>
      </c>
      <c r="O114" s="332"/>
      <c r="P114" s="332"/>
      <c r="Q114" s="332"/>
      <c r="R114" s="332"/>
      <c r="S114" s="332"/>
      <c r="V114" s="281"/>
      <c r="W114" s="185"/>
      <c r="X114" s="185"/>
      <c r="Y114" s="185"/>
      <c r="Z114" s="185"/>
      <c r="AA114" s="185"/>
      <c r="AB114" s="185"/>
      <c r="AC114" s="185"/>
      <c r="AD114" s="185"/>
      <c r="AE114" s="185"/>
    </row>
    <row r="115" ht="14.25" customHeight="1">
      <c r="A115" s="178"/>
      <c r="B115" s="10">
        <v>2106879.0</v>
      </c>
      <c r="C115" s="11">
        <v>46116.797326388885</v>
      </c>
      <c r="D115" s="179" t="s">
        <v>50</v>
      </c>
      <c r="E115" s="180" t="s">
        <v>8261</v>
      </c>
      <c r="F115" s="181"/>
      <c r="G115" s="179" t="s">
        <v>8262</v>
      </c>
      <c r="H115" s="190"/>
      <c r="I115" s="190"/>
      <c r="J115" s="187"/>
      <c r="K115" s="187"/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IFERROR(__xludf.DUMMYFUNCTION("ifna(VALUE(REGEXEXTRACT(E115,""[0-9.]+[,]+[0-9]+"")))"),61.07)</f>
        <v>61.07</v>
      </c>
      <c r="O115" s="331"/>
      <c r="P115" s="331"/>
      <c r="Q115" s="331"/>
      <c r="R115" s="331"/>
      <c r="S115" s="331"/>
      <c r="V115" s="279"/>
      <c r="W115" s="185"/>
      <c r="X115" s="185"/>
      <c r="Y115" s="185"/>
      <c r="Z115" s="185"/>
      <c r="AA115" s="185"/>
      <c r="AB115" s="185"/>
      <c r="AC115" s="185"/>
      <c r="AD115" s="185"/>
      <c r="AE115" s="185"/>
    </row>
    <row r="116" ht="14.25" customHeight="1">
      <c r="A116" s="178"/>
      <c r="B116" s="10">
        <v>2106896.0</v>
      </c>
      <c r="C116" s="11">
        <v>46116.80019675926</v>
      </c>
      <c r="D116" s="179" t="s">
        <v>50</v>
      </c>
      <c r="E116" s="180" t="s">
        <v>494</v>
      </c>
      <c r="F116" s="181"/>
      <c r="G116" s="179" t="s">
        <v>8267</v>
      </c>
      <c r="H116" s="190"/>
      <c r="I116" s="190"/>
      <c r="J116" s="187"/>
      <c r="K116" s="187"/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IFERROR(__xludf.DUMMYFUNCTION("ifna(VALUE(REGEXEXTRACT(E116,""[0-9.]+[,]+[0-9]+"")))"),0.01)</f>
        <v>0.01</v>
      </c>
      <c r="O116" s="332"/>
      <c r="P116" s="332"/>
      <c r="Q116" s="332"/>
      <c r="R116" s="332"/>
      <c r="S116" s="332"/>
      <c r="V116" s="281"/>
      <c r="W116" s="185"/>
      <c r="X116" s="185"/>
      <c r="Y116" s="185"/>
      <c r="Z116" s="185"/>
      <c r="AA116" s="185"/>
      <c r="AB116" s="185"/>
      <c r="AC116" s="185"/>
      <c r="AD116" s="185"/>
      <c r="AE116" s="185"/>
    </row>
    <row r="117" ht="14.25" customHeight="1">
      <c r="A117" s="178"/>
      <c r="B117" s="10">
        <v>2106909.0</v>
      </c>
      <c r="C117" s="11">
        <v>46116.80332175926</v>
      </c>
      <c r="D117" s="179" t="s">
        <v>50</v>
      </c>
      <c r="E117" s="180" t="s">
        <v>246</v>
      </c>
      <c r="F117" s="181"/>
      <c r="G117" s="179" t="s">
        <v>8270</v>
      </c>
      <c r="H117" s="190"/>
      <c r="I117" s="190"/>
      <c r="J117" s="187" t="s">
        <v>3044</v>
      </c>
      <c r="K117" s="187" t="s">
        <v>7058</v>
      </c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IFERROR(__xludf.DUMMYFUNCTION("ifna(VALUE(REGEXEXTRACT(E117,""[0-9.]+[,]+[0-9]+"")))"),4.0)</f>
        <v>4</v>
      </c>
      <c r="O117" s="334"/>
      <c r="P117" s="335"/>
      <c r="Q117" s="336"/>
      <c r="R117" s="331"/>
      <c r="S117" s="331"/>
      <c r="V117" s="279"/>
      <c r="W117" s="185"/>
      <c r="X117" s="185"/>
      <c r="Y117" s="185"/>
      <c r="Z117" s="185"/>
      <c r="AA117" s="185"/>
      <c r="AB117" s="185"/>
      <c r="AC117" s="185"/>
      <c r="AD117" s="185"/>
      <c r="AE117" s="185"/>
    </row>
    <row r="118" ht="14.25" customHeight="1">
      <c r="A118" s="178"/>
      <c r="B118" s="10">
        <v>2107261.0</v>
      </c>
      <c r="C118" s="11">
        <v>46116.87892361111</v>
      </c>
      <c r="D118" s="179" t="s">
        <v>50</v>
      </c>
      <c r="E118" s="180" t="s">
        <v>8272</v>
      </c>
      <c r="F118" s="181"/>
      <c r="G118" s="179" t="s">
        <v>122</v>
      </c>
      <c r="H118" s="190"/>
      <c r="I118" s="190"/>
      <c r="J118" s="187" t="s">
        <v>3044</v>
      </c>
      <c r="K118" s="187" t="s">
        <v>6664</v>
      </c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IFERROR(__xludf.DUMMYFUNCTION("ifna(VALUE(REGEXEXTRACT(E118,""[0-9.]+[,]+[0-9]+"")))"),21.85)</f>
        <v>21.85</v>
      </c>
      <c r="O118" s="325"/>
      <c r="P118" s="326"/>
      <c r="Q118" s="337"/>
      <c r="R118" s="332"/>
      <c r="S118" s="332"/>
      <c r="V118" s="281"/>
      <c r="W118" s="185"/>
      <c r="X118" s="185"/>
      <c r="Y118" s="185"/>
      <c r="Z118" s="185"/>
      <c r="AA118" s="185"/>
      <c r="AB118" s="185"/>
      <c r="AC118" s="185"/>
      <c r="AD118" s="185"/>
      <c r="AE118" s="185"/>
    </row>
    <row r="119" ht="14.25" customHeight="1">
      <c r="A119" s="178"/>
      <c r="B119" s="10">
        <v>2107451.0</v>
      </c>
      <c r="C119" s="11">
        <v>46116.90309027778</v>
      </c>
      <c r="D119" s="179" t="s">
        <v>50</v>
      </c>
      <c r="E119" s="180" t="s">
        <v>6807</v>
      </c>
      <c r="F119" s="181"/>
      <c r="G119" s="179" t="s">
        <v>94</v>
      </c>
      <c r="H119" s="190"/>
      <c r="I119" s="190"/>
      <c r="J119" s="187" t="s">
        <v>3044</v>
      </c>
      <c r="K119" s="187" t="s">
        <v>7058</v>
      </c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IFERROR(__xludf.DUMMYFUNCTION("ifna(VALUE(REGEXEXTRACT(E119,""[0-9.]+[,]+[0-9]+"")))"),28.24)</f>
        <v>28.24</v>
      </c>
      <c r="O119" s="331"/>
      <c r="P119" s="331"/>
      <c r="Q119" s="331"/>
      <c r="R119" s="331"/>
      <c r="S119" s="331"/>
      <c r="V119" s="279"/>
      <c r="W119" s="185"/>
      <c r="X119" s="185"/>
      <c r="Y119" s="185"/>
      <c r="Z119" s="185"/>
      <c r="AA119" s="185"/>
      <c r="AB119" s="185"/>
      <c r="AC119" s="185"/>
      <c r="AD119" s="185"/>
      <c r="AE119" s="185"/>
    </row>
    <row r="120" ht="14.25" customHeight="1">
      <c r="A120" s="178"/>
      <c r="B120" s="10">
        <v>2107480.0</v>
      </c>
      <c r="C120" s="11">
        <v>46116.90703703704</v>
      </c>
      <c r="D120" s="179" t="s">
        <v>50</v>
      </c>
      <c r="E120" s="180" t="s">
        <v>7003</v>
      </c>
      <c r="F120" s="181"/>
      <c r="G120" s="179" t="s">
        <v>7666</v>
      </c>
      <c r="H120" s="190"/>
      <c r="I120" s="190"/>
      <c r="J120" s="187" t="s">
        <v>3044</v>
      </c>
      <c r="K120" s="187" t="s">
        <v>7052</v>
      </c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IFERROR(__xludf.DUMMYFUNCTION("ifna(VALUE(REGEXEXTRACT(E120,""[0-9.]+[,]+[0-9]+"")))"),8.69)</f>
        <v>8.69</v>
      </c>
      <c r="O120" s="332"/>
      <c r="P120" s="332"/>
      <c r="Q120" s="332"/>
      <c r="R120" s="332"/>
      <c r="S120" s="332"/>
      <c r="V120" s="281"/>
      <c r="W120" s="185"/>
      <c r="X120" s="185"/>
      <c r="Y120" s="185"/>
      <c r="Z120" s="185"/>
      <c r="AA120" s="185"/>
      <c r="AB120" s="185"/>
      <c r="AC120" s="185"/>
      <c r="AD120" s="185"/>
      <c r="AE120" s="185"/>
    </row>
    <row r="121" ht="14.25" customHeight="1">
      <c r="A121" s="178"/>
      <c r="B121" s="10">
        <v>2107488.0</v>
      </c>
      <c r="C121" s="11">
        <v>46116.907800925925</v>
      </c>
      <c r="D121" s="179" t="s">
        <v>50</v>
      </c>
      <c r="E121" s="180" t="s">
        <v>8274</v>
      </c>
      <c r="F121" s="181"/>
      <c r="G121" s="179" t="s">
        <v>7666</v>
      </c>
      <c r="H121" s="190"/>
      <c r="I121" s="190"/>
      <c r="J121" s="187" t="s">
        <v>3044</v>
      </c>
      <c r="K121" s="187" t="s">
        <v>6664</v>
      </c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IFERROR(__xludf.DUMMYFUNCTION("ifna(VALUE(REGEXEXTRACT(E121,""[0-9.]+[,]+[0-9]+"")))"),54.51)</f>
        <v>54.51</v>
      </c>
      <c r="O121" s="331"/>
      <c r="P121" s="331"/>
      <c r="Q121" s="331"/>
      <c r="R121" s="331"/>
      <c r="S121" s="331"/>
      <c r="V121" s="279"/>
      <c r="W121" s="185"/>
      <c r="X121" s="185"/>
      <c r="Y121" s="185"/>
      <c r="Z121" s="185"/>
      <c r="AA121" s="185"/>
      <c r="AB121" s="185"/>
      <c r="AC121" s="185"/>
      <c r="AD121" s="185"/>
      <c r="AE121" s="185"/>
    </row>
    <row r="122" ht="14.25" customHeight="1">
      <c r="A122" s="178"/>
      <c r="B122" s="10">
        <v>2107502.0</v>
      </c>
      <c r="C122" s="11">
        <v>46116.908738425926</v>
      </c>
      <c r="D122" s="179" t="s">
        <v>50</v>
      </c>
      <c r="E122" s="180" t="s">
        <v>494</v>
      </c>
      <c r="F122" s="181"/>
      <c r="G122" s="179" t="s">
        <v>8276</v>
      </c>
      <c r="H122" s="190"/>
      <c r="I122" s="190"/>
      <c r="J122" s="187"/>
      <c r="K122" s="187"/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IFERROR(__xludf.DUMMYFUNCTION("ifna(VALUE(REGEXEXTRACT(E122,""[0-9.]+[,]+[0-9]+"")))"),0.01)</f>
        <v>0.01</v>
      </c>
      <c r="O122" s="332"/>
      <c r="P122" s="332"/>
      <c r="Q122" s="332"/>
      <c r="R122" s="332"/>
      <c r="S122" s="332"/>
      <c r="V122" s="281"/>
      <c r="W122" s="185"/>
      <c r="X122" s="185"/>
      <c r="Y122" s="185"/>
      <c r="Z122" s="185"/>
      <c r="AA122" s="185"/>
      <c r="AB122" s="185"/>
      <c r="AC122" s="185"/>
      <c r="AD122" s="185"/>
      <c r="AE122" s="185"/>
    </row>
    <row r="123" ht="14.25" customHeight="1">
      <c r="A123" s="178"/>
      <c r="B123" s="10">
        <v>2108904.0</v>
      </c>
      <c r="C123" s="11">
        <v>46117.72773148148</v>
      </c>
      <c r="D123" s="179" t="s">
        <v>50</v>
      </c>
      <c r="E123" s="180" t="s">
        <v>6909</v>
      </c>
      <c r="F123" s="181"/>
      <c r="G123" s="179" t="s">
        <v>8279</v>
      </c>
      <c r="H123" s="190"/>
      <c r="I123" s="190"/>
      <c r="J123" s="187" t="s">
        <v>3825</v>
      </c>
      <c r="K123" s="187"/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IFERROR(__xludf.DUMMYFUNCTION("ifna(VALUE(REGEXEXTRACT(E123,""[0-9.]+[,]+[0-9]+"")))"),75.0)</f>
        <v>75</v>
      </c>
      <c r="O123" s="331"/>
      <c r="P123" s="331"/>
      <c r="Q123" s="331"/>
      <c r="R123" s="331"/>
      <c r="S123" s="331"/>
      <c r="V123" s="279"/>
      <c r="W123" s="185"/>
      <c r="X123" s="185"/>
      <c r="Y123" s="185"/>
      <c r="Z123" s="185"/>
      <c r="AA123" s="185"/>
      <c r="AB123" s="185"/>
      <c r="AC123" s="185"/>
      <c r="AD123" s="185"/>
      <c r="AE123" s="185"/>
    </row>
    <row r="124" ht="14.25" customHeight="1">
      <c r="A124" s="178"/>
      <c r="B124" s="10">
        <v>2108906.0</v>
      </c>
      <c r="C124" s="11">
        <v>46117.7280787037</v>
      </c>
      <c r="D124" s="179" t="s">
        <v>50</v>
      </c>
      <c r="E124" s="180" t="s">
        <v>548</v>
      </c>
      <c r="F124" s="181"/>
      <c r="G124" s="179" t="s">
        <v>8280</v>
      </c>
      <c r="H124" s="190"/>
      <c r="I124" s="190"/>
      <c r="J124" s="187" t="s">
        <v>3825</v>
      </c>
      <c r="K124" s="187"/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IFERROR(__xludf.DUMMYFUNCTION("ifna(VALUE(REGEXEXTRACT(E124,""[0-9.]+[,]+[0-9]+"")))"),70.0)</f>
        <v>70</v>
      </c>
      <c r="O124" s="332"/>
      <c r="P124" s="332"/>
      <c r="Q124" s="332"/>
      <c r="R124" s="332"/>
      <c r="S124" s="332"/>
      <c r="V124" s="281"/>
      <c r="W124" s="185"/>
      <c r="X124" s="185"/>
      <c r="Y124" s="185"/>
      <c r="Z124" s="185"/>
      <c r="AA124" s="185"/>
      <c r="AB124" s="185"/>
      <c r="AC124" s="185"/>
      <c r="AD124" s="185"/>
      <c r="AE124" s="185"/>
    </row>
    <row r="125" ht="14.25" customHeight="1">
      <c r="A125" s="178"/>
      <c r="B125" s="10">
        <v>2109754.0</v>
      </c>
      <c r="C125" s="11">
        <v>46117.89732638889</v>
      </c>
      <c r="D125" s="179" t="s">
        <v>50</v>
      </c>
      <c r="E125" s="180" t="s">
        <v>6909</v>
      </c>
      <c r="F125" s="181"/>
      <c r="G125" s="179" t="s">
        <v>8281</v>
      </c>
      <c r="H125" s="190"/>
      <c r="I125" s="190"/>
      <c r="J125" s="187" t="s">
        <v>3825</v>
      </c>
      <c r="K125" s="187"/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IFERROR(__xludf.DUMMYFUNCTION("ifna(VALUE(REGEXEXTRACT(E125,""[0-9.]+[,]+[0-9]+"")))"),75.0)</f>
        <v>75</v>
      </c>
      <c r="O125" s="331"/>
      <c r="P125" s="331"/>
      <c r="Q125" s="331"/>
      <c r="R125" s="331"/>
      <c r="S125" s="331"/>
      <c r="V125" s="279"/>
      <c r="W125" s="185"/>
      <c r="X125" s="185"/>
      <c r="Y125" s="185"/>
      <c r="Z125" s="185"/>
      <c r="AA125" s="185"/>
      <c r="AB125" s="185"/>
      <c r="AC125" s="185"/>
      <c r="AD125" s="185"/>
      <c r="AE125" s="185"/>
    </row>
    <row r="126" ht="16.5" customHeight="1">
      <c r="A126" s="178"/>
      <c r="B126" s="10">
        <v>2109760.0</v>
      </c>
      <c r="C126" s="11">
        <v>46117.89803240741</v>
      </c>
      <c r="D126" s="179" t="s">
        <v>50</v>
      </c>
      <c r="E126" s="180" t="s">
        <v>6744</v>
      </c>
      <c r="F126" s="181"/>
      <c r="G126" s="179" t="s">
        <v>8283</v>
      </c>
      <c r="H126" s="190"/>
      <c r="I126" s="190"/>
      <c r="J126" s="187" t="s">
        <v>3825</v>
      </c>
      <c r="K126" s="187"/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IFERROR(__xludf.DUMMYFUNCTION("ifna(VALUE(REGEXEXTRACT(E126,""[0-9.]+[,]+[0-9]+"")))"),135.0)</f>
        <v>135</v>
      </c>
      <c r="O126" s="332"/>
      <c r="P126" s="332"/>
      <c r="Q126" s="332"/>
      <c r="R126" s="332"/>
      <c r="S126" s="332"/>
      <c r="V126" s="281"/>
      <c r="W126" s="185"/>
      <c r="X126" s="185"/>
      <c r="Y126" s="185"/>
      <c r="Z126" s="185"/>
      <c r="AA126" s="185"/>
      <c r="AB126" s="185"/>
      <c r="AC126" s="185"/>
      <c r="AD126" s="185"/>
      <c r="AE126" s="185"/>
    </row>
    <row r="127" ht="18.75" customHeight="1">
      <c r="A127" s="178"/>
      <c r="B127" s="10">
        <v>2109762.0</v>
      </c>
      <c r="C127" s="11">
        <v>46117.898368055554</v>
      </c>
      <c r="D127" s="179" t="s">
        <v>50</v>
      </c>
      <c r="E127" s="180" t="s">
        <v>8229</v>
      </c>
      <c r="F127" s="181"/>
      <c r="G127" s="179" t="s">
        <v>8285</v>
      </c>
      <c r="H127" s="190"/>
      <c r="I127" s="190"/>
      <c r="J127" s="187" t="s">
        <v>3825</v>
      </c>
      <c r="K127" s="187"/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IFERROR(__xludf.DUMMYFUNCTION("ifna(VALUE(REGEXEXTRACT(E127,""[0-9.]+[,]+[0-9]+"")))"),127.5)</f>
        <v>127.5</v>
      </c>
      <c r="O127" s="331"/>
      <c r="P127" s="331"/>
      <c r="Q127" s="331"/>
      <c r="R127" s="331"/>
      <c r="S127" s="331"/>
      <c r="V127" s="279"/>
      <c r="W127" s="185"/>
      <c r="X127" s="185"/>
      <c r="Y127" s="185"/>
      <c r="Z127" s="185"/>
      <c r="AA127" s="185"/>
      <c r="AB127" s="185"/>
      <c r="AC127" s="185"/>
      <c r="AD127" s="185"/>
      <c r="AE127" s="185"/>
    </row>
    <row r="128" ht="17.25" customHeight="1">
      <c r="A128" s="178"/>
      <c r="B128" s="10">
        <v>2109773.0</v>
      </c>
      <c r="C128" s="11">
        <v>46117.899560185186</v>
      </c>
      <c r="D128" s="179" t="s">
        <v>50</v>
      </c>
      <c r="E128" s="180" t="s">
        <v>1136</v>
      </c>
      <c r="F128" s="181"/>
      <c r="G128" s="179" t="s">
        <v>8286</v>
      </c>
      <c r="H128" s="190"/>
      <c r="I128" s="190"/>
      <c r="J128" s="187" t="s">
        <v>3825</v>
      </c>
      <c r="K128" s="187"/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IFERROR(__xludf.DUMMYFUNCTION("ifna(VALUE(REGEXEXTRACT(E128,""[0-9.]+[,]+[0-9]+"")))"),112.5)</f>
        <v>112.5</v>
      </c>
      <c r="O128" s="332"/>
      <c r="P128" s="332"/>
      <c r="Q128" s="332"/>
      <c r="R128" s="332"/>
      <c r="S128" s="332"/>
      <c r="V128" s="281"/>
      <c r="W128" s="185"/>
      <c r="X128" s="185"/>
      <c r="Y128" s="185"/>
      <c r="Z128" s="185"/>
      <c r="AA128" s="185"/>
      <c r="AB128" s="185"/>
      <c r="AC128" s="185"/>
      <c r="AD128" s="185"/>
      <c r="AE128" s="185"/>
    </row>
    <row r="129" ht="17.25" customHeight="1">
      <c r="A129" s="178"/>
      <c r="B129" s="10">
        <v>2109780.0</v>
      </c>
      <c r="C129" s="11">
        <v>46117.90012731482</v>
      </c>
      <c r="D129" s="179" t="s">
        <v>50</v>
      </c>
      <c r="E129" s="180" t="s">
        <v>719</v>
      </c>
      <c r="F129" s="181"/>
      <c r="G129" s="179" t="s">
        <v>8288</v>
      </c>
      <c r="H129" s="190"/>
      <c r="I129" s="190"/>
      <c r="J129" s="187" t="s">
        <v>3746</v>
      </c>
      <c r="K129" s="187" t="s">
        <v>7052</v>
      </c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"),"Caixa Sangria")</f>
        <v>Caixa Sangria</v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IFERROR(__xludf.DUMMYFUNCTION("ifna(VALUE(REGEXEXTRACT(E129,""[0-9.]+[,]+[0-9]+"")))"),500.0)</f>
        <v>500</v>
      </c>
      <c r="O129" s="331"/>
      <c r="P129" s="331"/>
      <c r="Q129" s="331"/>
      <c r="R129" s="331"/>
      <c r="S129" s="331"/>
      <c r="V129" s="279"/>
      <c r="W129" s="185"/>
      <c r="X129" s="185"/>
      <c r="Y129" s="185"/>
      <c r="Z129" s="185"/>
      <c r="AA129" s="185"/>
      <c r="AB129" s="185"/>
      <c r="AC129" s="185"/>
      <c r="AD129" s="185"/>
      <c r="AE129" s="185"/>
    </row>
    <row r="130" ht="14.25" customHeight="1">
      <c r="A130" s="178"/>
      <c r="B130" s="10">
        <v>2112268.0</v>
      </c>
      <c r="C130" s="11">
        <v>46119.53891203704</v>
      </c>
      <c r="D130" s="179" t="s">
        <v>50</v>
      </c>
      <c r="E130" s="180" t="s">
        <v>8290</v>
      </c>
      <c r="F130" s="181"/>
      <c r="G130" s="179" t="s">
        <v>7666</v>
      </c>
      <c r="H130" s="190"/>
      <c r="I130" s="190"/>
      <c r="J130" s="187" t="s">
        <v>3044</v>
      </c>
      <c r="K130" s="187" t="s">
        <v>7052</v>
      </c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IFERROR(__xludf.DUMMYFUNCTION("ifna(VALUE(REGEXEXTRACT(E130,""[0-9.]+[,]+[0-9]+"")))"),13.18)</f>
        <v>13.18</v>
      </c>
      <c r="O130" s="332"/>
      <c r="P130" s="332"/>
      <c r="Q130" s="332"/>
      <c r="R130" s="332"/>
      <c r="S130" s="332"/>
      <c r="V130" s="281"/>
      <c r="W130" s="185"/>
      <c r="X130" s="185"/>
      <c r="Y130" s="185"/>
      <c r="Z130" s="185"/>
      <c r="AA130" s="185"/>
      <c r="AB130" s="185"/>
      <c r="AC130" s="185"/>
      <c r="AD130" s="185"/>
      <c r="AE130" s="185"/>
    </row>
    <row r="131" ht="14.25" customHeight="1">
      <c r="A131" s="178"/>
      <c r="B131" s="10">
        <v>2112317.0</v>
      </c>
      <c r="C131" s="11">
        <v>46119.568877314814</v>
      </c>
      <c r="D131" s="179" t="s">
        <v>227</v>
      </c>
      <c r="E131" s="180" t="s">
        <v>329</v>
      </c>
      <c r="F131" s="181"/>
      <c r="G131" s="179" t="s">
        <v>8292</v>
      </c>
      <c r="H131" s="190"/>
      <c r="I131" s="190"/>
      <c r="J131" s="187" t="s">
        <v>4159</v>
      </c>
      <c r="K131" s="187"/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IFERROR(__xludf.DUMMYFUNCTION("ifna(VALUE(REGEXEXTRACT(E131,""[0-9.]+[,]+[0-9]+"")))"),200.0)</f>
        <v>200</v>
      </c>
      <c r="O131" s="331"/>
      <c r="P131" s="331"/>
      <c r="Q131" s="331"/>
      <c r="R131" s="331"/>
      <c r="S131" s="331"/>
      <c r="V131" s="279"/>
      <c r="W131" s="185"/>
      <c r="X131" s="185"/>
      <c r="Y131" s="185"/>
      <c r="Z131" s="185"/>
      <c r="AA131" s="185"/>
      <c r="AB131" s="185"/>
      <c r="AC131" s="185"/>
      <c r="AD131" s="185"/>
      <c r="AE131" s="185"/>
    </row>
    <row r="132" ht="14.25" customHeight="1">
      <c r="A132" s="178"/>
      <c r="B132" s="10">
        <v>2112319.0</v>
      </c>
      <c r="C132" s="11">
        <v>46119.56946759259</v>
      </c>
      <c r="D132" s="179" t="s">
        <v>50</v>
      </c>
      <c r="E132" s="180" t="s">
        <v>329</v>
      </c>
      <c r="F132" s="181"/>
      <c r="G132" s="179" t="s">
        <v>8294</v>
      </c>
      <c r="H132" s="190"/>
      <c r="I132" s="190"/>
      <c r="J132" s="187" t="s">
        <v>4159</v>
      </c>
      <c r="K132" s="187"/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>
        <f>IFERROR(__xludf.DUMMYFUNCTION("ifna(VALUE(REGEXEXTRACT(E132,""[0-9.]+[,]+[0-9]+"")))"),200.0)</f>
        <v>200</v>
      </c>
      <c r="O132" s="332"/>
      <c r="P132" s="332"/>
      <c r="Q132" s="332"/>
      <c r="R132" s="332"/>
      <c r="S132" s="332"/>
      <c r="V132" s="281"/>
      <c r="W132" s="185"/>
      <c r="X132" s="185"/>
      <c r="Y132" s="185"/>
      <c r="Z132" s="185"/>
      <c r="AA132" s="185"/>
      <c r="AB132" s="185"/>
      <c r="AC132" s="185"/>
      <c r="AD132" s="185"/>
      <c r="AE132" s="185"/>
    </row>
    <row r="133" ht="14.25" customHeight="1">
      <c r="A133" s="178"/>
      <c r="B133" s="10">
        <v>2112322.0</v>
      </c>
      <c r="C133" s="11">
        <v>46119.57087962963</v>
      </c>
      <c r="D133" s="179" t="s">
        <v>50</v>
      </c>
      <c r="E133" s="180" t="s">
        <v>6739</v>
      </c>
      <c r="F133" s="181"/>
      <c r="G133" s="179" t="s">
        <v>8295</v>
      </c>
      <c r="H133" s="190"/>
      <c r="I133" s="190"/>
      <c r="J133" s="187" t="s">
        <v>4159</v>
      </c>
      <c r="K133" s="187"/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IFERROR(__xludf.DUMMYFUNCTION("ifna(VALUE(REGEXEXTRACT(E133,""[0-9.]+[,]+[0-9]+"")))"),350.0)</f>
        <v>350</v>
      </c>
      <c r="O133" s="331"/>
      <c r="P133" s="331"/>
      <c r="Q133" s="331"/>
      <c r="R133" s="331"/>
      <c r="S133" s="331"/>
      <c r="V133" s="279"/>
      <c r="W133" s="185"/>
      <c r="X133" s="185"/>
      <c r="Y133" s="185"/>
      <c r="Z133" s="185"/>
      <c r="AA133" s="185"/>
      <c r="AB133" s="185"/>
      <c r="AC133" s="185"/>
      <c r="AD133" s="185"/>
      <c r="AE133" s="185"/>
    </row>
    <row r="134" ht="14.25" customHeight="1">
      <c r="A134" s="178"/>
      <c r="B134" s="10">
        <v>2112327.0</v>
      </c>
      <c r="C134" s="11">
        <v>46119.57144675926</v>
      </c>
      <c r="D134" s="179" t="s">
        <v>50</v>
      </c>
      <c r="E134" s="180" t="s">
        <v>7297</v>
      </c>
      <c r="F134" s="181"/>
      <c r="G134" s="179" t="s">
        <v>8296</v>
      </c>
      <c r="H134" s="190"/>
      <c r="I134" s="190"/>
      <c r="J134" s="187" t="s">
        <v>3903</v>
      </c>
      <c r="K134" s="187"/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"""")"),"Encontrada")</f>
        <v>Encontrada</v>
      </c>
      <c r="N134" s="185">
        <f>IFERROR(__xludf.DUMMYFUNCTION("ifna(VALUE(REGEXEXTRACT(E134,""[0-9.]+[,]+[0-9]+"")))"),375.0)</f>
        <v>375</v>
      </c>
      <c r="O134" s="332"/>
      <c r="P134" s="332"/>
      <c r="Q134" s="332"/>
      <c r="R134" s="332"/>
      <c r="S134" s="332"/>
      <c r="V134" s="281"/>
      <c r="W134" s="185"/>
      <c r="X134" s="185"/>
      <c r="Y134" s="185"/>
      <c r="Z134" s="185"/>
      <c r="AA134" s="185"/>
      <c r="AB134" s="185"/>
      <c r="AC134" s="185"/>
      <c r="AD134" s="185"/>
      <c r="AE134" s="185"/>
    </row>
    <row r="135" ht="14.25" customHeight="1">
      <c r="A135" s="178"/>
      <c r="B135" s="10">
        <v>2112349.0</v>
      </c>
      <c r="C135" s="11">
        <v>46119.58516203704</v>
      </c>
      <c r="D135" s="179" t="s">
        <v>50</v>
      </c>
      <c r="E135" s="180" t="s">
        <v>8164</v>
      </c>
      <c r="F135" s="181"/>
      <c r="G135" s="179" t="s">
        <v>8298</v>
      </c>
      <c r="H135" s="190"/>
      <c r="I135" s="190"/>
      <c r="J135" s="187" t="s">
        <v>3466</v>
      </c>
      <c r="K135" s="187"/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IFERROR(__xludf.DUMMYFUNCTION("ifna(VALUE(REGEXEXTRACT(E135,""[0-9.]+[,]+[0-9]+"")))"),18.53)</f>
        <v>18.53</v>
      </c>
      <c r="O135" s="331"/>
      <c r="P135" s="331"/>
      <c r="Q135" s="331"/>
      <c r="R135" s="331"/>
      <c r="S135" s="331"/>
      <c r="V135" s="279"/>
      <c r="W135" s="185"/>
      <c r="X135" s="185"/>
      <c r="Y135" s="185"/>
      <c r="Z135" s="185"/>
      <c r="AA135" s="185"/>
      <c r="AB135" s="185"/>
      <c r="AC135" s="185"/>
      <c r="AD135" s="185"/>
      <c r="AE135" s="185"/>
    </row>
    <row r="136" ht="14.25" customHeight="1">
      <c r="A136" s="178"/>
      <c r="B136" s="10">
        <v>2112498.0</v>
      </c>
      <c r="C136" s="11">
        <v>46119.650034722225</v>
      </c>
      <c r="D136" s="179" t="s">
        <v>227</v>
      </c>
      <c r="E136" s="180" t="s">
        <v>719</v>
      </c>
      <c r="F136" s="181"/>
      <c r="G136" s="179" t="s">
        <v>8300</v>
      </c>
      <c r="H136" s="190"/>
      <c r="I136" s="190"/>
      <c r="J136" s="187" t="s">
        <v>4159</v>
      </c>
      <c r="K136" s="187"/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IFERROR(__xludf.DUMMYFUNCTION("ifna(VALUE(REGEXEXTRACT(E136,""[0-9.]+[,]+[0-9]+"")))"),500.0)</f>
        <v>500</v>
      </c>
      <c r="O136" s="332"/>
      <c r="P136" s="332"/>
      <c r="Q136" s="332"/>
      <c r="R136" s="332"/>
      <c r="S136" s="332"/>
      <c r="V136" s="281"/>
      <c r="W136" s="185"/>
      <c r="X136" s="185"/>
      <c r="Y136" s="185"/>
      <c r="Z136" s="185"/>
      <c r="AA136" s="185"/>
      <c r="AB136" s="185"/>
      <c r="AC136" s="185"/>
      <c r="AD136" s="185"/>
      <c r="AE136" s="185"/>
    </row>
    <row r="137" ht="14.25" customHeight="1">
      <c r="A137" s="178"/>
      <c r="B137" s="10">
        <v>2112500.0</v>
      </c>
      <c r="C137" s="11">
        <v>46119.650983796295</v>
      </c>
      <c r="D137" s="179" t="s">
        <v>50</v>
      </c>
      <c r="E137" s="180" t="s">
        <v>246</v>
      </c>
      <c r="F137" s="181"/>
      <c r="G137" s="179" t="s">
        <v>7666</v>
      </c>
      <c r="H137" s="190"/>
      <c r="I137" s="190"/>
      <c r="J137" s="187" t="s">
        <v>3044</v>
      </c>
      <c r="K137" s="187" t="s">
        <v>7052</v>
      </c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IFERROR(__xludf.DUMMYFUNCTION("ifna(VALUE(REGEXEXTRACT(E137,""[0-9.]+[,]+[0-9]+"")))"),4.0)</f>
        <v>4</v>
      </c>
      <c r="O137" s="24"/>
      <c r="P137" s="24"/>
      <c r="Q137" s="24"/>
      <c r="R137" s="24"/>
      <c r="S137" s="24"/>
      <c r="T137" s="24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</row>
    <row r="138" ht="14.25" customHeight="1">
      <c r="A138" s="178"/>
      <c r="B138" s="10">
        <v>2112502.0</v>
      </c>
      <c r="C138" s="11">
        <v>46119.65122685185</v>
      </c>
      <c r="D138" s="179" t="s">
        <v>50</v>
      </c>
      <c r="E138" s="180" t="s">
        <v>6461</v>
      </c>
      <c r="F138" s="181"/>
      <c r="G138" s="179" t="s">
        <v>122</v>
      </c>
      <c r="H138" s="190"/>
      <c r="I138" s="190"/>
      <c r="J138" s="187" t="s">
        <v>3044</v>
      </c>
      <c r="K138" s="187" t="s">
        <v>6664</v>
      </c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IFERROR(__xludf.DUMMYFUNCTION("ifna(VALUE(REGEXEXTRACT(E138,""[0-9.]+[,]+[0-9]+"")))"),11.0)</f>
        <v>11</v>
      </c>
      <c r="O138" s="24"/>
      <c r="P138" s="24"/>
      <c r="Q138" s="24"/>
      <c r="R138" s="24"/>
      <c r="S138" s="24"/>
      <c r="T138" s="24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</row>
    <row r="139" ht="14.25" customHeight="1">
      <c r="A139" s="178"/>
      <c r="B139" s="10">
        <v>2112504.0</v>
      </c>
      <c r="C139" s="11">
        <v>46119.651608796295</v>
      </c>
      <c r="D139" s="179" t="s">
        <v>50</v>
      </c>
      <c r="E139" s="180" t="s">
        <v>6479</v>
      </c>
      <c r="F139" s="181"/>
      <c r="G139" s="179" t="s">
        <v>8304</v>
      </c>
      <c r="H139" s="190"/>
      <c r="I139" s="190"/>
      <c r="J139" s="187" t="s">
        <v>4159</v>
      </c>
      <c r="K139" s="187"/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IFERROR(__xludf.DUMMYFUNCTION("ifna(VALUE(REGEXEXTRACT(E139,""[0-9.]+[,]+[0-9]+"")))"),300.0)</f>
        <v>300</v>
      </c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</row>
    <row r="140" ht="14.25" customHeight="1">
      <c r="A140" s="178"/>
      <c r="B140" s="10">
        <v>2112517.0</v>
      </c>
      <c r="C140" s="11">
        <v>46119.65972222222</v>
      </c>
      <c r="D140" s="179" t="s">
        <v>50</v>
      </c>
      <c r="E140" s="180" t="s">
        <v>246</v>
      </c>
      <c r="F140" s="181"/>
      <c r="G140" s="179" t="s">
        <v>122</v>
      </c>
      <c r="H140" s="190"/>
      <c r="I140" s="190"/>
      <c r="J140" s="187" t="s">
        <v>3044</v>
      </c>
      <c r="K140" s="187" t="s">
        <v>6664</v>
      </c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IFERROR(__xludf.DUMMYFUNCTION("ifna(VALUE(REGEXEXTRACT(E140,""[0-9.]+[,]+[0-9]+"")))"),4.0)</f>
        <v>4</v>
      </c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</row>
    <row r="141" ht="14.25" customHeight="1">
      <c r="A141" s="178"/>
      <c r="B141" s="10">
        <v>2112625.0</v>
      </c>
      <c r="C141" s="11">
        <v>46119.69361111111</v>
      </c>
      <c r="D141" s="179" t="s">
        <v>50</v>
      </c>
      <c r="E141" s="180" t="s">
        <v>4745</v>
      </c>
      <c r="F141" s="181"/>
      <c r="G141" s="179" t="s">
        <v>8305</v>
      </c>
      <c r="H141" s="190"/>
      <c r="I141" s="190"/>
      <c r="J141" s="187" t="s">
        <v>3903</v>
      </c>
      <c r="K141" s="187"/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185">
        <f>IFERROR(__xludf.DUMMYFUNCTION("ifna(VALUE(REGEXEXTRACT(E141,""[0-9.]+[,]+[0-9]+"")))"),2.0)</f>
        <v>2</v>
      </c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</row>
    <row r="142" ht="14.25" customHeight="1">
      <c r="A142" s="178"/>
      <c r="B142" s="10">
        <v>2112660.0</v>
      </c>
      <c r="C142" s="11">
        <v>46119.70652777778</v>
      </c>
      <c r="D142" s="179" t="s">
        <v>50</v>
      </c>
      <c r="E142" s="180" t="s">
        <v>6900</v>
      </c>
      <c r="F142" s="181"/>
      <c r="G142" s="179" t="s">
        <v>8308</v>
      </c>
      <c r="H142" s="190"/>
      <c r="I142" s="190"/>
      <c r="J142" s="187" t="s">
        <v>3903</v>
      </c>
      <c r="K142" s="187"/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"""")"),"Encontrada")</f>
        <v>Encontrada</v>
      </c>
      <c r="N142" s="185">
        <f>IFERROR(__xludf.DUMMYFUNCTION("ifna(VALUE(REGEXEXTRACT(E142,""[0-9.]+[,]+[0-9]+"")))"),121.2)</f>
        <v>121.2</v>
      </c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</row>
    <row r="143" ht="14.25" customHeight="1">
      <c r="A143" s="178"/>
      <c r="B143" s="10">
        <v>2113024.0</v>
      </c>
      <c r="C143" s="11">
        <v>46119.84829861111</v>
      </c>
      <c r="D143" s="179" t="s">
        <v>50</v>
      </c>
      <c r="E143" s="180" t="s">
        <v>236</v>
      </c>
      <c r="F143" s="181"/>
      <c r="G143" s="179" t="s">
        <v>8310</v>
      </c>
      <c r="H143" s="190"/>
      <c r="I143" s="190"/>
      <c r="J143" s="187" t="s">
        <v>3903</v>
      </c>
      <c r="K143" s="187"/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"""")"),"Encontrada")</f>
        <v>Encontrada</v>
      </c>
      <c r="N143" s="185">
        <f>IFERROR(__xludf.DUMMYFUNCTION("ifna(VALUE(REGEXEXTRACT(E143,""[0-9.]+[,]+[0-9]+"")))"),30.0)</f>
        <v>30</v>
      </c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</row>
    <row r="144" ht="14.25" customHeight="1">
      <c r="A144" s="178"/>
      <c r="B144" s="10">
        <v>2113025.0</v>
      </c>
      <c r="C144" s="11">
        <v>46119.849328703705</v>
      </c>
      <c r="D144" s="179" t="s">
        <v>50</v>
      </c>
      <c r="E144" s="180" t="s">
        <v>1702</v>
      </c>
      <c r="F144" s="181"/>
      <c r="G144" s="179" t="s">
        <v>8315</v>
      </c>
      <c r="H144" s="190"/>
      <c r="I144" s="190"/>
      <c r="J144" s="187" t="s">
        <v>3825</v>
      </c>
      <c r="K144" s="187"/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IFERROR(__xludf.DUMMYFUNCTION("ifna(VALUE(REGEXEXTRACT(E144,""[0-9.]+[,]+[0-9]+"")))"),90.0)</f>
        <v>90</v>
      </c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</row>
    <row r="145" ht="14.25" customHeight="1">
      <c r="A145" s="178"/>
      <c r="B145" s="10">
        <v>2113038.0</v>
      </c>
      <c r="C145" s="11">
        <v>46119.85789351852</v>
      </c>
      <c r="D145" s="179" t="s">
        <v>50</v>
      </c>
      <c r="E145" s="180" t="s">
        <v>8317</v>
      </c>
      <c r="F145" s="181"/>
      <c r="G145" s="179" t="s">
        <v>8318</v>
      </c>
      <c r="H145" s="190"/>
      <c r="I145" s="190"/>
      <c r="J145" s="187" t="s">
        <v>3903</v>
      </c>
      <c r="K145" s="187"/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"""")"),"Encontrada")</f>
        <v>Encontrada</v>
      </c>
      <c r="N145" s="185">
        <f>IFERROR(__xludf.DUMMYFUNCTION("ifna(VALUE(REGEXEXTRACT(E145,""[0-9.]+[,]+[0-9]+"")))"),22.69)</f>
        <v>22.69</v>
      </c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</row>
    <row r="146" ht="16.5" customHeight="1">
      <c r="A146" s="178"/>
      <c r="B146" s="10">
        <v>2113039.0</v>
      </c>
      <c r="C146" s="11">
        <v>46119.858298611114</v>
      </c>
      <c r="D146" s="179" t="s">
        <v>50</v>
      </c>
      <c r="E146" s="180" t="s">
        <v>8322</v>
      </c>
      <c r="F146" s="181"/>
      <c r="G146" s="179" t="s">
        <v>8323</v>
      </c>
      <c r="H146" s="190"/>
      <c r="I146" s="190"/>
      <c r="J146" s="187" t="s">
        <v>3903</v>
      </c>
      <c r="K146" s="187"/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"""")"),"Encontrada")</f>
        <v>Encontrada</v>
      </c>
      <c r="N146" s="185">
        <f>IFERROR(__xludf.DUMMYFUNCTION("ifna(VALUE(REGEXEXTRACT(E146,""[0-9.]+[,]+[0-9]+"")))"),306.72)</f>
        <v>306.72</v>
      </c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</row>
    <row r="147" ht="15.0" customHeight="1">
      <c r="A147" s="178"/>
      <c r="B147" s="10">
        <v>2113040.0</v>
      </c>
      <c r="C147" s="11">
        <v>46119.85854166667</v>
      </c>
      <c r="D147" s="179" t="s">
        <v>50</v>
      </c>
      <c r="E147" s="180" t="s">
        <v>8325</v>
      </c>
      <c r="F147" s="181"/>
      <c r="G147" s="179" t="s">
        <v>8326</v>
      </c>
      <c r="H147" s="190"/>
      <c r="I147" s="190"/>
      <c r="J147" s="187" t="s">
        <v>3903</v>
      </c>
      <c r="K147" s="187"/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85">
        <f>IFERROR(__xludf.DUMMYFUNCTION("ifna(VALUE(REGEXEXTRACT(E147,""[0-9.]+[,]+[0-9]+"")))"),8.57)</f>
        <v>8.57</v>
      </c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</row>
    <row r="148" ht="14.25" customHeight="1">
      <c r="A148" s="178"/>
      <c r="B148" s="10">
        <v>2113086.0</v>
      </c>
      <c r="C148" s="11">
        <v>46119.87373842593</v>
      </c>
      <c r="D148" s="179" t="s">
        <v>50</v>
      </c>
      <c r="E148" s="180" t="s">
        <v>6663</v>
      </c>
      <c r="F148" s="181"/>
      <c r="G148" s="179" t="s">
        <v>8327</v>
      </c>
      <c r="H148" s="190"/>
      <c r="I148" s="190"/>
      <c r="J148" s="187" t="s">
        <v>3044</v>
      </c>
      <c r="K148" s="187" t="s">
        <v>7058</v>
      </c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IFERROR(__xludf.DUMMYFUNCTION("ifna(VALUE(REGEXEXTRACT(E148,""[0-9.]+[,]+[0-9]+"")))"),28.75)</f>
        <v>28.75</v>
      </c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</row>
    <row r="149" ht="14.25" customHeight="1">
      <c r="A149" s="178"/>
      <c r="B149" s="10">
        <v>2114238.0</v>
      </c>
      <c r="C149" s="11">
        <v>46120.755578703705</v>
      </c>
      <c r="D149" s="179" t="s">
        <v>50</v>
      </c>
      <c r="E149" s="180" t="s">
        <v>246</v>
      </c>
      <c r="F149" s="181"/>
      <c r="G149" s="179" t="s">
        <v>94</v>
      </c>
      <c r="H149" s="190"/>
      <c r="I149" s="190"/>
      <c r="J149" s="187" t="s">
        <v>3044</v>
      </c>
      <c r="K149" s="187" t="s">
        <v>7058</v>
      </c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IFERROR(__xludf.DUMMYFUNCTION("ifna(VALUE(REGEXEXTRACT(E149,""[0-9.]+[,]+[0-9]+"")))"),4.0)</f>
        <v>4</v>
      </c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</row>
    <row r="150" ht="14.25" customHeight="1">
      <c r="A150" s="178"/>
      <c r="B150" s="10">
        <v>2114515.0</v>
      </c>
      <c r="C150" s="11">
        <v>46120.87087962963</v>
      </c>
      <c r="D150" s="179" t="s">
        <v>50</v>
      </c>
      <c r="E150" s="180" t="s">
        <v>3794</v>
      </c>
      <c r="F150" s="188"/>
      <c r="G150" s="179" t="s">
        <v>8332</v>
      </c>
      <c r="H150" s="190"/>
      <c r="I150" s="190"/>
      <c r="J150" s="187" t="s">
        <v>3825</v>
      </c>
      <c r="K150" s="187"/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IFERROR(__xludf.DUMMYFUNCTION("ifna(VALUE(REGEXEXTRACT(E150,""[0-9.]+[,]+[0-9]+"")))"),82.0)</f>
        <v>82</v>
      </c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</row>
    <row r="151" ht="14.25" customHeight="1">
      <c r="A151" s="178"/>
      <c r="B151" s="10">
        <v>2115458.0</v>
      </c>
      <c r="C151" s="11">
        <v>46121.65252314815</v>
      </c>
      <c r="D151" s="179" t="s">
        <v>50</v>
      </c>
      <c r="E151" s="180" t="s">
        <v>8333</v>
      </c>
      <c r="F151" s="181"/>
      <c r="G151" s="179" t="s">
        <v>8334</v>
      </c>
      <c r="H151" s="190"/>
      <c r="I151" s="190"/>
      <c r="J151" s="187" t="s">
        <v>3903</v>
      </c>
      <c r="K151" s="187"/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"""")"),"Encontrada")</f>
        <v>Encontrada</v>
      </c>
      <c r="N151" s="185">
        <f>IFERROR(__xludf.DUMMYFUNCTION("ifna(VALUE(REGEXEXTRACT(E151,""[0-9.]+[,]+[0-9]+"")))"),17.5)</f>
        <v>17.5</v>
      </c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</row>
    <row r="152" ht="14.25" customHeight="1">
      <c r="A152" s="178"/>
      <c r="B152" s="10">
        <v>2115636.0</v>
      </c>
      <c r="C152" s="11">
        <v>46121.69908564815</v>
      </c>
      <c r="D152" s="179" t="s">
        <v>50</v>
      </c>
      <c r="E152" s="180" t="s">
        <v>246</v>
      </c>
      <c r="F152" s="181"/>
      <c r="G152" s="179" t="s">
        <v>94</v>
      </c>
      <c r="H152" s="190"/>
      <c r="I152" s="190"/>
      <c r="J152" s="187" t="s">
        <v>3044</v>
      </c>
      <c r="K152" s="187" t="s">
        <v>7058</v>
      </c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IFERROR(__xludf.DUMMYFUNCTION("ifna(VALUE(REGEXEXTRACT(E152,""[0-9.]+[,]+[0-9]+"")))"),4.0)</f>
        <v>4</v>
      </c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</row>
    <row r="153" ht="14.25" customHeight="1">
      <c r="A153" s="178"/>
      <c r="B153" s="10">
        <v>2115666.0</v>
      </c>
      <c r="C153" s="11">
        <v>46121.70769675926</v>
      </c>
      <c r="D153" s="179" t="s">
        <v>50</v>
      </c>
      <c r="E153" s="180" t="s">
        <v>708</v>
      </c>
      <c r="F153" s="181"/>
      <c r="G153" s="179" t="s">
        <v>577</v>
      </c>
      <c r="H153" s="190"/>
      <c r="I153" s="190"/>
      <c r="J153" s="187" t="s">
        <v>3044</v>
      </c>
      <c r="K153" s="187" t="s">
        <v>6664</v>
      </c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IFERROR(__xludf.DUMMYFUNCTION("ifna(VALUE(REGEXEXTRACT(E153,""[0-9.]+[,]+[0-9]+"")))"),8.0)</f>
        <v>8</v>
      </c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</row>
    <row r="154" ht="14.25" customHeight="1">
      <c r="A154" s="178"/>
      <c r="B154" s="10">
        <v>2115691.0</v>
      </c>
      <c r="C154" s="11">
        <v>46121.71635416667</v>
      </c>
      <c r="D154" s="179" t="s">
        <v>50</v>
      </c>
      <c r="E154" s="180" t="s">
        <v>7706</v>
      </c>
      <c r="F154" s="188"/>
      <c r="G154" s="179" t="s">
        <v>8342</v>
      </c>
      <c r="H154" s="190"/>
      <c r="I154" s="190"/>
      <c r="J154" s="187" t="s">
        <v>3903</v>
      </c>
      <c r="K154" s="187"/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85">
        <f>IFERROR(__xludf.DUMMYFUNCTION("ifna(VALUE(REGEXEXTRACT(E154,""[0-9.]+[,]+[0-9]+"")))"),16.0)</f>
        <v>16</v>
      </c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</row>
    <row r="155" ht="14.25" customHeight="1">
      <c r="A155" s="178"/>
      <c r="B155" s="10">
        <v>2115987.0</v>
      </c>
      <c r="C155" s="11">
        <v>46121.81197916667</v>
      </c>
      <c r="D155" s="179" t="s">
        <v>50</v>
      </c>
      <c r="E155" s="180" t="s">
        <v>8344</v>
      </c>
      <c r="F155" s="181"/>
      <c r="G155" s="179" t="s">
        <v>74</v>
      </c>
      <c r="H155" s="190"/>
      <c r="I155" s="190"/>
      <c r="J155" s="187" t="s">
        <v>3044</v>
      </c>
      <c r="K155" s="187" t="s">
        <v>7058</v>
      </c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IFERROR(__xludf.DUMMYFUNCTION("ifna(VALUE(REGEXEXTRACT(E155,""[0-9.]+[,]+[0-9]+"")))"),11.63)</f>
        <v>11.63</v>
      </c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</row>
    <row r="156" ht="14.25" customHeight="1">
      <c r="A156" s="178"/>
      <c r="B156" s="10">
        <v>2116185.0</v>
      </c>
      <c r="C156" s="11">
        <v>46121.888715277775</v>
      </c>
      <c r="D156" s="179" t="s">
        <v>50</v>
      </c>
      <c r="E156" s="180" t="s">
        <v>7240</v>
      </c>
      <c r="F156" s="181"/>
      <c r="G156" s="179" t="s">
        <v>8315</v>
      </c>
      <c r="H156" s="190"/>
      <c r="I156" s="190"/>
      <c r="J156" s="187" t="s">
        <v>3825</v>
      </c>
      <c r="K156" s="187"/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IFERROR(__xludf.DUMMYFUNCTION("ifna(VALUE(REGEXEXTRACT(E156,""[0-9.]+[,]+[0-9]+"")))"),98.0)</f>
        <v>98</v>
      </c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</row>
    <row r="157" ht="14.25" customHeight="1">
      <c r="A157" s="178"/>
      <c r="B157" s="10">
        <v>2116893.0</v>
      </c>
      <c r="C157" s="11">
        <v>46122.546261574076</v>
      </c>
      <c r="D157" s="179" t="s">
        <v>50</v>
      </c>
      <c r="E157" s="180" t="s">
        <v>7728</v>
      </c>
      <c r="F157" s="181"/>
      <c r="G157" s="179" t="s">
        <v>7666</v>
      </c>
      <c r="H157" s="190"/>
      <c r="I157" s="190"/>
      <c r="J157" s="187" t="s">
        <v>3044</v>
      </c>
      <c r="K157" s="187" t="s">
        <v>7052</v>
      </c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IFERROR(__xludf.DUMMYFUNCTION("ifna(VALUE(REGEXEXTRACT(E157,""[0-9.]+[,]+[0-9]+"")))"),27.0)</f>
        <v>27</v>
      </c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</row>
    <row r="158" ht="19.5" customHeight="1">
      <c r="A158" s="178"/>
      <c r="B158" s="10">
        <v>2116894.0</v>
      </c>
      <c r="C158" s="11">
        <v>46122.54649305555</v>
      </c>
      <c r="D158" s="179" t="s">
        <v>50</v>
      </c>
      <c r="E158" s="180" t="s">
        <v>246</v>
      </c>
      <c r="F158" s="181"/>
      <c r="G158" s="179" t="s">
        <v>122</v>
      </c>
      <c r="H158" s="190"/>
      <c r="I158" s="190"/>
      <c r="J158" s="187" t="s">
        <v>3044</v>
      </c>
      <c r="K158" s="187" t="s">
        <v>6664</v>
      </c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IFERROR(__xludf.DUMMYFUNCTION("ifna(VALUE(REGEXEXTRACT(E158,""[0-9.]+[,]+[0-9]+"")))"),4.0)</f>
        <v>4</v>
      </c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</row>
    <row r="159" ht="18.75" customHeight="1">
      <c r="A159" s="178"/>
      <c r="B159" s="10">
        <v>2116909.0</v>
      </c>
      <c r="C159" s="11">
        <v>46122.55768518519</v>
      </c>
      <c r="D159" s="179" t="s">
        <v>50</v>
      </c>
      <c r="E159" s="180" t="s">
        <v>329</v>
      </c>
      <c r="F159" s="181"/>
      <c r="G159" s="179" t="s">
        <v>8355</v>
      </c>
      <c r="H159" s="190"/>
      <c r="I159" s="190"/>
      <c r="J159" s="187" t="s">
        <v>3874</v>
      </c>
      <c r="K159" s="187"/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IFERROR(__xludf.DUMMYFUNCTION("ifna(VALUE(REGEXEXTRACT(E159,""[0-9.]+[,]+[0-9]+"")))"),200.0)</f>
        <v>200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</row>
    <row r="160" ht="16.5" customHeight="1">
      <c r="A160" s="178"/>
      <c r="B160" s="10">
        <v>2116911.0</v>
      </c>
      <c r="C160" s="11">
        <v>46122.558587962965</v>
      </c>
      <c r="D160" s="179" t="s">
        <v>227</v>
      </c>
      <c r="E160" s="180" t="s">
        <v>494</v>
      </c>
      <c r="F160" s="181"/>
      <c r="G160" s="179" t="s">
        <v>8360</v>
      </c>
      <c r="H160" s="190"/>
      <c r="I160" s="190"/>
      <c r="J160" s="187"/>
      <c r="K160" s="187"/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IFERROR(__xludf.DUMMYFUNCTION("ifna(VALUE(REGEXEXTRACT(E160,""[0-9.]+[,]+[0-9]+"")))"),0.01)</f>
        <v>0.01</v>
      </c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</row>
    <row r="161" ht="16.5" customHeight="1">
      <c r="A161" s="178"/>
      <c r="B161" s="10">
        <v>2116918.0</v>
      </c>
      <c r="C161" s="11">
        <v>46122.56626157407</v>
      </c>
      <c r="D161" s="179" t="s">
        <v>50</v>
      </c>
      <c r="E161" s="180" t="s">
        <v>8363</v>
      </c>
      <c r="F161" s="181"/>
      <c r="G161" s="179" t="s">
        <v>122</v>
      </c>
      <c r="H161" s="190"/>
      <c r="I161" s="190"/>
      <c r="J161" s="187" t="s">
        <v>3044</v>
      </c>
      <c r="K161" s="187" t="s">
        <v>6664</v>
      </c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IFERROR(__xludf.DUMMYFUNCTION("ifna(VALUE(REGEXEXTRACT(E161,""[0-9.]+[,]+[0-9]+"")))"),7.03)</f>
        <v>7.03</v>
      </c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</row>
    <row r="162" ht="14.25" customHeight="1">
      <c r="A162" s="178"/>
      <c r="B162" s="10">
        <v>2117048.0</v>
      </c>
      <c r="C162" s="11">
        <v>46122.62677083333</v>
      </c>
      <c r="D162" s="179" t="s">
        <v>50</v>
      </c>
      <c r="E162" s="180" t="s">
        <v>205</v>
      </c>
      <c r="F162" s="181"/>
      <c r="G162" s="179" t="s">
        <v>122</v>
      </c>
      <c r="H162" s="190"/>
      <c r="I162" s="190"/>
      <c r="J162" s="187" t="s">
        <v>3044</v>
      </c>
      <c r="K162" s="187" t="s">
        <v>6664</v>
      </c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>
        <f>IFERROR(__xludf.DUMMYFUNCTION("ifna(VALUE(REGEXEXTRACT(E162,""[0-9.]+[,]+[0-9]+"")))"),10.0)</f>
        <v>10</v>
      </c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</row>
    <row r="163" ht="14.25" customHeight="1">
      <c r="A163" s="178"/>
      <c r="B163" s="10">
        <v>2117373.0</v>
      </c>
      <c r="C163" s="11">
        <v>46122.7109375</v>
      </c>
      <c r="D163" s="179" t="s">
        <v>50</v>
      </c>
      <c r="E163" s="180" t="s">
        <v>1635</v>
      </c>
      <c r="F163" s="181"/>
      <c r="G163" s="179" t="s">
        <v>8368</v>
      </c>
      <c r="H163" s="190"/>
      <c r="I163" s="190"/>
      <c r="J163" s="187" t="s">
        <v>3467</v>
      </c>
      <c r="K163" s="187"/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>
        <f>IFERROR(__xludf.DUMMYFUNCTION("ifna(VALUE(REGEXEXTRACT(E163,""[0-9.]+[,]+[0-9]+"")))"),18.28)</f>
        <v>18.28</v>
      </c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</row>
    <row r="164" ht="14.25" customHeight="1">
      <c r="A164" s="178"/>
      <c r="B164" s="10">
        <v>2117386.0</v>
      </c>
      <c r="C164" s="11">
        <v>46122.71537037037</v>
      </c>
      <c r="D164" s="179" t="s">
        <v>50</v>
      </c>
      <c r="E164" s="180" t="s">
        <v>8371</v>
      </c>
      <c r="F164" s="181"/>
      <c r="G164" s="179" t="s">
        <v>8372</v>
      </c>
      <c r="H164" s="190"/>
      <c r="I164" s="190"/>
      <c r="J164" s="187" t="s">
        <v>3903</v>
      </c>
      <c r="K164" s="187"/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185">
        <f>IFERROR(__xludf.DUMMYFUNCTION("ifna(VALUE(REGEXEXTRACT(E164,""[0-9.]+[,]+[0-9]+"")))"),315.53)</f>
        <v>315.53</v>
      </c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</row>
    <row r="165" ht="14.25" customHeight="1">
      <c r="A165" s="178"/>
      <c r="B165" s="10">
        <v>2117872.0</v>
      </c>
      <c r="C165" s="11">
        <v>46122.863645833335</v>
      </c>
      <c r="D165" s="179" t="s">
        <v>50</v>
      </c>
      <c r="E165" s="180" t="s">
        <v>708</v>
      </c>
      <c r="F165" s="181"/>
      <c r="G165" s="179" t="s">
        <v>8377</v>
      </c>
      <c r="H165" s="190"/>
      <c r="I165" s="190"/>
      <c r="J165" s="187" t="s">
        <v>3044</v>
      </c>
      <c r="K165" s="187" t="s">
        <v>7052</v>
      </c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>
        <f>IFERROR(__xludf.DUMMYFUNCTION("ifna(VALUE(REGEXEXTRACT(E165,""[0-9.]+[,]+[0-9]+"")))"),8.0)</f>
        <v>8</v>
      </c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</row>
    <row r="166" ht="14.25" customHeight="1">
      <c r="A166" s="178"/>
      <c r="B166" s="10">
        <v>2118011.0</v>
      </c>
      <c r="C166" s="11">
        <v>46122.901284722226</v>
      </c>
      <c r="D166" s="179" t="s">
        <v>50</v>
      </c>
      <c r="E166" s="180" t="s">
        <v>7297</v>
      </c>
      <c r="F166" s="181"/>
      <c r="G166" s="179" t="s">
        <v>8380</v>
      </c>
      <c r="H166" s="190"/>
      <c r="I166" s="190"/>
      <c r="J166" s="187" t="s">
        <v>3903</v>
      </c>
      <c r="K166" s="187"/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"""")"),"Encontrada")</f>
        <v>Encontrada</v>
      </c>
      <c r="N166" s="185">
        <f>IFERROR(__xludf.DUMMYFUNCTION("ifna(VALUE(REGEXEXTRACT(E166,""[0-9.]+[,]+[0-9]+"")))"),375.0)</f>
        <v>375</v>
      </c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</row>
    <row r="167" ht="14.25" customHeight="1">
      <c r="A167" s="178"/>
      <c r="B167" s="10">
        <v>2118728.0</v>
      </c>
      <c r="C167" s="11">
        <v>46123.554768518516</v>
      </c>
      <c r="D167" s="179" t="s">
        <v>50</v>
      </c>
      <c r="E167" s="180" t="s">
        <v>246</v>
      </c>
      <c r="F167" s="181"/>
      <c r="G167" s="179" t="s">
        <v>7666</v>
      </c>
      <c r="H167" s="190"/>
      <c r="I167" s="190"/>
      <c r="J167" s="187" t="s">
        <v>3044</v>
      </c>
      <c r="K167" s="187" t="s">
        <v>7052</v>
      </c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>
        <f>IFERROR(__xludf.DUMMYFUNCTION("ifna(VALUE(REGEXEXTRACT(E167,""[0-9.]+[,]+[0-9]+"")))"),4.0)</f>
        <v>4</v>
      </c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</row>
    <row r="168" ht="14.25" customHeight="1">
      <c r="A168" s="178"/>
      <c r="B168" s="10">
        <v>2118731.0</v>
      </c>
      <c r="C168" s="11">
        <v>46123.555185185185</v>
      </c>
      <c r="D168" s="179" t="s">
        <v>50</v>
      </c>
      <c r="E168" s="180" t="s">
        <v>157</v>
      </c>
      <c r="F168" s="181"/>
      <c r="G168" s="179" t="s">
        <v>149</v>
      </c>
      <c r="H168" s="190"/>
      <c r="I168" s="190"/>
      <c r="J168" s="187" t="s">
        <v>3044</v>
      </c>
      <c r="K168" s="187"/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>
        <f>IFERROR(__xludf.DUMMYFUNCTION("ifna(VALUE(REGEXEXTRACT(E168,""[0-9.]+[,]+[0-9]+"")))"),5.0)</f>
        <v>5</v>
      </c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</row>
    <row r="169" ht="14.25" customHeight="1">
      <c r="A169" s="178"/>
      <c r="B169" s="10">
        <v>2118854.0</v>
      </c>
      <c r="C169" s="11">
        <v>46123.61072916666</v>
      </c>
      <c r="D169" s="179" t="s">
        <v>50</v>
      </c>
      <c r="E169" s="180" t="s">
        <v>8366</v>
      </c>
      <c r="F169" s="181"/>
      <c r="G169" s="179" t="s">
        <v>8388</v>
      </c>
      <c r="H169" s="190"/>
      <c r="I169" s="190"/>
      <c r="J169" s="187" t="s">
        <v>3903</v>
      </c>
      <c r="K169" s="187"/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185">
        <f>IFERROR(__xludf.DUMMYFUNCTION("ifna(VALUE(REGEXEXTRACT(E169,""[0-9.]+[,]+[0-9]+"")))"),28.97)</f>
        <v>28.97</v>
      </c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</row>
    <row r="170" ht="14.25" customHeight="1">
      <c r="A170" s="178"/>
      <c r="B170" s="10">
        <v>2119452.0</v>
      </c>
      <c r="C170" s="11">
        <v>46123.75976851852</v>
      </c>
      <c r="D170" s="179" t="s">
        <v>50</v>
      </c>
      <c r="E170" s="180" t="s">
        <v>6879</v>
      </c>
      <c r="F170" s="181"/>
      <c r="G170" s="179" t="s">
        <v>8391</v>
      </c>
      <c r="H170" s="190"/>
      <c r="I170" s="190"/>
      <c r="J170" s="187" t="s">
        <v>3825</v>
      </c>
      <c r="K170" s="187"/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>
        <f>IFERROR(__xludf.DUMMYFUNCTION("ifna(VALUE(REGEXEXTRACT(E170,""[0-9.]+[,]+[0-9]+"")))"),80.0)</f>
        <v>80</v>
      </c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</row>
    <row r="171" ht="14.25" customHeight="1">
      <c r="A171" s="178"/>
      <c r="B171" s="10">
        <v>2119752.0</v>
      </c>
      <c r="C171" s="11">
        <v>46123.83079861111</v>
      </c>
      <c r="D171" s="179" t="s">
        <v>50</v>
      </c>
      <c r="E171" s="180" t="s">
        <v>1702</v>
      </c>
      <c r="F171" s="181"/>
      <c r="G171" s="179" t="s">
        <v>8394</v>
      </c>
      <c r="H171" s="190"/>
      <c r="I171" s="190"/>
      <c r="J171" s="187" t="s">
        <v>3825</v>
      </c>
      <c r="K171" s="187"/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IFERROR(__xludf.DUMMYFUNCTION("ifna(VALUE(REGEXEXTRACT(E171,""[0-9.]+[,]+[0-9]+"")))"),90.0)</f>
        <v>90</v>
      </c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</row>
    <row r="172" ht="14.25" customHeight="1">
      <c r="A172" s="178"/>
      <c r="B172" s="10">
        <v>2119756.0</v>
      </c>
      <c r="C172" s="11">
        <v>46123.831412037034</v>
      </c>
      <c r="D172" s="179" t="s">
        <v>50</v>
      </c>
      <c r="E172" s="180" t="s">
        <v>8237</v>
      </c>
      <c r="F172" s="181"/>
      <c r="G172" s="179" t="s">
        <v>8398</v>
      </c>
      <c r="H172" s="190"/>
      <c r="I172" s="190"/>
      <c r="J172" s="187" t="s">
        <v>3825</v>
      </c>
      <c r="K172" s="187"/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IFERROR(__xludf.DUMMYFUNCTION("ifna(VALUE(REGEXEXTRACT(E172,""[0-9.]+[,]+[0-9]+"")))"),142.5)</f>
        <v>142.5</v>
      </c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</row>
    <row r="173" ht="14.25" customHeight="1">
      <c r="A173" s="178"/>
      <c r="B173" s="10">
        <v>2119761.0</v>
      </c>
      <c r="C173" s="11">
        <v>46123.831921296296</v>
      </c>
      <c r="D173" s="179" t="s">
        <v>50</v>
      </c>
      <c r="E173" s="180" t="s">
        <v>1136</v>
      </c>
      <c r="F173" s="181"/>
      <c r="G173" s="179" t="s">
        <v>8404</v>
      </c>
      <c r="H173" s="190"/>
      <c r="I173" s="190"/>
      <c r="J173" s="187" t="s">
        <v>3825</v>
      </c>
      <c r="K173" s="187"/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IFERROR(__xludf.DUMMYFUNCTION("ifna(VALUE(REGEXEXTRACT(E173,""[0-9.]+[,]+[0-9]+"")))"),112.5)</f>
        <v>112.5</v>
      </c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</row>
    <row r="174" ht="14.25" customHeight="1">
      <c r="A174" s="178"/>
      <c r="B174" s="10">
        <v>2119766.0</v>
      </c>
      <c r="C174" s="11">
        <v>46123.83241898148</v>
      </c>
      <c r="D174" s="179" t="s">
        <v>50</v>
      </c>
      <c r="E174" s="180" t="s">
        <v>4794</v>
      </c>
      <c r="F174" s="181"/>
      <c r="G174" s="179" t="s">
        <v>8407</v>
      </c>
      <c r="H174" s="190"/>
      <c r="I174" s="190"/>
      <c r="J174" s="187" t="s">
        <v>3746</v>
      </c>
      <c r="K174" s="187" t="s">
        <v>7052</v>
      </c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"),"Caixa Sangria")</f>
        <v>Caixa Sangria</v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IFERROR(__xludf.DUMMYFUNCTION("ifna(VALUE(REGEXEXTRACT(E174,""[0-9.]+[,]+[0-9]+"")))"),750.0)</f>
        <v>750</v>
      </c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</row>
    <row r="175" ht="14.25" customHeight="1">
      <c r="A175" s="178"/>
      <c r="B175" s="10">
        <v>2119997.0</v>
      </c>
      <c r="C175" s="11">
        <v>46123.88775462963</v>
      </c>
      <c r="D175" s="179" t="s">
        <v>50</v>
      </c>
      <c r="E175" s="180" t="s">
        <v>8409</v>
      </c>
      <c r="F175" s="181"/>
      <c r="G175" s="179" t="s">
        <v>8377</v>
      </c>
      <c r="H175" s="190"/>
      <c r="I175" s="190"/>
      <c r="J175" s="187" t="s">
        <v>3044</v>
      </c>
      <c r="K175" s="187" t="s">
        <v>7052</v>
      </c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>
        <f>IFERROR(__xludf.DUMMYFUNCTION("ifna(VALUE(REGEXEXTRACT(E175,""[0-9.]+[,]+[0-9]+"")))"),6.52)</f>
        <v>6.52</v>
      </c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</row>
    <row r="176" ht="14.25" customHeight="1">
      <c r="A176" s="178"/>
      <c r="B176" s="10">
        <v>2121017.0</v>
      </c>
      <c r="C176" s="11">
        <v>46124.57098379629</v>
      </c>
      <c r="D176" s="179" t="s">
        <v>50</v>
      </c>
      <c r="E176" s="180" t="s">
        <v>246</v>
      </c>
      <c r="F176" s="181"/>
      <c r="G176" s="179" t="s">
        <v>94</v>
      </c>
      <c r="H176" s="190"/>
      <c r="I176" s="190"/>
      <c r="J176" s="187" t="s">
        <v>3044</v>
      </c>
      <c r="K176" s="187" t="s">
        <v>7058</v>
      </c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IFERROR(__xludf.DUMMYFUNCTION("ifna(VALUE(REGEXEXTRACT(E176,""[0-9.]+[,]+[0-9]+"")))"),4.0)</f>
        <v>4</v>
      </c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</row>
    <row r="177" ht="14.25" customHeight="1">
      <c r="A177" s="178"/>
      <c r="B177" s="10">
        <v>2121040.0</v>
      </c>
      <c r="C177" s="11">
        <v>46124.58230324074</v>
      </c>
      <c r="D177" s="179" t="s">
        <v>50</v>
      </c>
      <c r="E177" s="180" t="s">
        <v>246</v>
      </c>
      <c r="F177" s="181"/>
      <c r="G177" s="179" t="s">
        <v>94</v>
      </c>
      <c r="H177" s="190"/>
      <c r="I177" s="190"/>
      <c r="J177" s="187" t="s">
        <v>3044</v>
      </c>
      <c r="K177" s="187" t="s">
        <v>7058</v>
      </c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IFERROR(__xludf.DUMMYFUNCTION("ifna(VALUE(REGEXEXTRACT(E177,""[0-9.]+[,]+[0-9]+"")))"),4.0)</f>
        <v>4</v>
      </c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</row>
    <row r="178" ht="14.25" customHeight="1">
      <c r="A178" s="178"/>
      <c r="B178" s="10">
        <v>2121754.0</v>
      </c>
      <c r="C178" s="11">
        <v>46124.768958333334</v>
      </c>
      <c r="D178" s="179" t="s">
        <v>50</v>
      </c>
      <c r="E178" s="180" t="s">
        <v>8083</v>
      </c>
      <c r="F178" s="181"/>
      <c r="G178" s="179" t="s">
        <v>8415</v>
      </c>
      <c r="H178" s="190"/>
      <c r="I178" s="190"/>
      <c r="J178" s="187" t="s">
        <v>3825</v>
      </c>
      <c r="K178" s="187"/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IFERROR(__xludf.DUMMYFUNCTION("ifna(VALUE(REGEXEXTRACT(E178,""[0-9.]+[,]+[0-9]+"")))"),68.0)</f>
        <v>68</v>
      </c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</row>
    <row r="179" ht="14.25" customHeight="1">
      <c r="A179" s="178"/>
      <c r="B179" s="10">
        <v>2121972.0</v>
      </c>
      <c r="C179" s="11">
        <v>46124.81133101852</v>
      </c>
      <c r="D179" s="179" t="s">
        <v>50</v>
      </c>
      <c r="E179" s="180" t="s">
        <v>7457</v>
      </c>
      <c r="F179" s="181"/>
      <c r="G179" s="179" t="s">
        <v>94</v>
      </c>
      <c r="H179" s="190"/>
      <c r="I179" s="190"/>
      <c r="J179" s="187" t="s">
        <v>3044</v>
      </c>
      <c r="K179" s="187" t="s">
        <v>7058</v>
      </c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>
        <f>IFERROR(__xludf.DUMMYFUNCTION("ifna(VALUE(REGEXEXTRACT(E179,""[0-9.]+[,]+[0-9]+"")))"),5.5)</f>
        <v>5.5</v>
      </c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</row>
    <row r="180" ht="14.25" customHeight="1">
      <c r="A180" s="178"/>
      <c r="B180" s="10">
        <v>2123466.0</v>
      </c>
      <c r="C180" s="11">
        <v>46125.55113425926</v>
      </c>
      <c r="D180" s="179" t="s">
        <v>50</v>
      </c>
      <c r="E180" s="180" t="s">
        <v>157</v>
      </c>
      <c r="F180" s="181"/>
      <c r="G180" s="179" t="s">
        <v>94</v>
      </c>
      <c r="H180" s="190"/>
      <c r="I180" s="190"/>
      <c r="J180" s="187" t="s">
        <v>3044</v>
      </c>
      <c r="K180" s="187" t="s">
        <v>7058</v>
      </c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>
        <f>IFERROR(__xludf.DUMMYFUNCTION("ifna(VALUE(REGEXEXTRACT(E180,""[0-9.]+[,]+[0-9]+"")))"),5.0)</f>
        <v>5</v>
      </c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</row>
    <row r="181" ht="14.25" customHeight="1">
      <c r="A181" s="178"/>
      <c r="B181" s="10">
        <v>2123600.0</v>
      </c>
      <c r="C181" s="11">
        <v>46125.62810185185</v>
      </c>
      <c r="D181" s="179" t="s">
        <v>227</v>
      </c>
      <c r="E181" s="180" t="s">
        <v>3983</v>
      </c>
      <c r="F181" s="181"/>
      <c r="G181" s="179" t="s">
        <v>8427</v>
      </c>
      <c r="H181" s="190"/>
      <c r="I181" s="190"/>
      <c r="J181" s="187" t="s">
        <v>3874</v>
      </c>
      <c r="K181" s="187"/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IFERROR(__xludf.DUMMYFUNCTION("ifna(VALUE(REGEXEXTRACT(E181,""[0-9.]+[,]+[0-9]+"")))"),150.0)</f>
        <v>150</v>
      </c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</row>
    <row r="182" ht="14.25" customHeight="1">
      <c r="A182" s="178"/>
      <c r="B182" s="10">
        <v>2123603.0</v>
      </c>
      <c r="C182" s="11">
        <v>46125.628900462965</v>
      </c>
      <c r="D182" s="179" t="s">
        <v>227</v>
      </c>
      <c r="E182" s="180" t="s">
        <v>4794</v>
      </c>
      <c r="F182" s="181"/>
      <c r="G182" s="179" t="s">
        <v>8431</v>
      </c>
      <c r="H182" s="190"/>
      <c r="I182" s="190"/>
      <c r="J182" s="187" t="s">
        <v>4159</v>
      </c>
      <c r="K182" s="187"/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IFERROR(__xludf.DUMMYFUNCTION("ifna(VALUE(REGEXEXTRACT(E182,""[0-9.]+[,]+[0-9]+"")))"),750.0)</f>
        <v>750</v>
      </c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</row>
    <row r="183" ht="14.25" customHeight="1">
      <c r="A183" s="178"/>
      <c r="B183" s="10">
        <v>2123765.0</v>
      </c>
      <c r="C183" s="11">
        <v>46125.69068287037</v>
      </c>
      <c r="D183" s="179" t="s">
        <v>50</v>
      </c>
      <c r="E183" s="180" t="s">
        <v>1294</v>
      </c>
      <c r="F183" s="181"/>
      <c r="G183" s="179" t="s">
        <v>94</v>
      </c>
      <c r="H183" s="190"/>
      <c r="I183" s="190"/>
      <c r="J183" s="187" t="s">
        <v>3044</v>
      </c>
      <c r="K183" s="187" t="s">
        <v>7058</v>
      </c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>
        <f>IFERROR(__xludf.DUMMYFUNCTION("ifna(VALUE(REGEXEXTRACT(E183,""[0-9.]+[,]+[0-9]+"")))"),16.61)</f>
        <v>16.61</v>
      </c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</row>
    <row r="184" ht="14.25" customHeight="1">
      <c r="A184" s="178"/>
      <c r="B184" s="10">
        <v>2123858.0</v>
      </c>
      <c r="C184" s="11">
        <v>46125.71947916667</v>
      </c>
      <c r="D184" s="179" t="s">
        <v>50</v>
      </c>
      <c r="E184" s="180" t="s">
        <v>157</v>
      </c>
      <c r="F184" s="181"/>
      <c r="G184" s="179" t="s">
        <v>7666</v>
      </c>
      <c r="H184" s="190"/>
      <c r="I184" s="190"/>
      <c r="J184" s="187" t="s">
        <v>3044</v>
      </c>
      <c r="K184" s="187" t="s">
        <v>7058</v>
      </c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IFERROR(__xludf.DUMMYFUNCTION("ifna(VALUE(REGEXEXTRACT(E184,""[0-9.]+[,]+[0-9]+"")))"),5.0)</f>
        <v>5</v>
      </c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</row>
    <row r="185" ht="14.25" customHeight="1">
      <c r="A185" s="178"/>
      <c r="B185" s="10">
        <v>2124042.0</v>
      </c>
      <c r="C185" s="11">
        <v>46125.76388888889</v>
      </c>
      <c r="D185" s="179" t="s">
        <v>50</v>
      </c>
      <c r="E185" s="180" t="s">
        <v>1151</v>
      </c>
      <c r="F185" s="181"/>
      <c r="G185" s="179" t="s">
        <v>8440</v>
      </c>
      <c r="H185" s="190"/>
      <c r="I185" s="190"/>
      <c r="J185" s="187" t="s">
        <v>3874</v>
      </c>
      <c r="K185" s="187"/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>
        <f>IFERROR(__xludf.DUMMYFUNCTION("ifna(VALUE(REGEXEXTRACT(E185,""[0-9.]+[,]+[0-9]+"")))"),900.0)</f>
        <v>900</v>
      </c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</row>
    <row r="186" ht="14.25" customHeight="1">
      <c r="A186" s="178"/>
      <c r="B186" s="10">
        <v>2124051.0</v>
      </c>
      <c r="C186" s="11">
        <v>46125.76576388889</v>
      </c>
      <c r="D186" s="179" t="s">
        <v>50</v>
      </c>
      <c r="E186" s="180" t="s">
        <v>6731</v>
      </c>
      <c r="F186" s="181"/>
      <c r="G186" s="179" t="s">
        <v>8444</v>
      </c>
      <c r="H186" s="190"/>
      <c r="I186" s="190"/>
      <c r="J186" s="187" t="s">
        <v>3874</v>
      </c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>
        <f>IFERROR(__xludf.DUMMYFUNCTION("ifna(VALUE(REGEXEXTRACT(E186,""[0-9.]+[,]+[0-9]+"")))"),100.0)</f>
        <v>100</v>
      </c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</row>
    <row r="187" ht="14.25" customHeight="1">
      <c r="A187" s="178"/>
      <c r="B187" s="10">
        <v>2124065.0</v>
      </c>
      <c r="C187" s="11">
        <v>46125.7725462963</v>
      </c>
      <c r="D187" s="179" t="s">
        <v>50</v>
      </c>
      <c r="E187" s="180" t="s">
        <v>205</v>
      </c>
      <c r="F187" s="181"/>
      <c r="G187" s="179" t="s">
        <v>8341</v>
      </c>
      <c r="H187" s="190"/>
      <c r="I187" s="190"/>
      <c r="J187" s="187" t="s">
        <v>3044</v>
      </c>
      <c r="K187" s="187" t="s">
        <v>7058</v>
      </c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IFERROR(__xludf.DUMMYFUNCTION("ifna(VALUE(REGEXEXTRACT(E187,""[0-9.]+[,]+[0-9]+"")))"),10.0)</f>
        <v>10</v>
      </c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</row>
    <row r="188" ht="14.25" customHeight="1">
      <c r="A188" s="178"/>
      <c r="B188" s="10">
        <v>2124616.0</v>
      </c>
      <c r="C188" s="11">
        <v>46125.926840277774</v>
      </c>
      <c r="D188" s="179" t="s">
        <v>50</v>
      </c>
      <c r="E188" s="180" t="s">
        <v>1702</v>
      </c>
      <c r="F188" s="181"/>
      <c r="G188" s="179" t="s">
        <v>8449</v>
      </c>
      <c r="H188" s="190"/>
      <c r="I188" s="190"/>
      <c r="J188" s="187" t="s">
        <v>3825</v>
      </c>
      <c r="K188" s="187"/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>
        <f>IFERROR(__xludf.DUMMYFUNCTION("ifna(VALUE(REGEXEXTRACT(E188,""[0-9.]+[,]+[0-9]+"")))"),90.0)</f>
        <v>90</v>
      </c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</row>
    <row r="189" ht="14.25" customHeight="1">
      <c r="A189" s="178"/>
      <c r="B189" s="10">
        <v>2124620.0</v>
      </c>
      <c r="C189" s="11">
        <v>46125.927152777775</v>
      </c>
      <c r="D189" s="179" t="s">
        <v>50</v>
      </c>
      <c r="E189" s="180" t="s">
        <v>1702</v>
      </c>
      <c r="F189" s="181"/>
      <c r="G189" s="179" t="s">
        <v>8453</v>
      </c>
      <c r="H189" s="190"/>
      <c r="I189" s="190"/>
      <c r="J189" s="187" t="s">
        <v>3825</v>
      </c>
      <c r="K189" s="187"/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>
        <f>IFERROR(__xludf.DUMMYFUNCTION("ifna(VALUE(REGEXEXTRACT(E189,""[0-9.]+[,]+[0-9]+"")))"),90.0)</f>
        <v>90</v>
      </c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</row>
    <row r="190" ht="14.25" customHeight="1">
      <c r="A190" s="178"/>
      <c r="B190" s="10">
        <v>2125152.0</v>
      </c>
      <c r="C190" s="11">
        <v>46126.59890046297</v>
      </c>
      <c r="D190" s="179" t="s">
        <v>50</v>
      </c>
      <c r="E190" s="180" t="s">
        <v>236</v>
      </c>
      <c r="F190" s="181"/>
      <c r="G190" s="179" t="s">
        <v>7666</v>
      </c>
      <c r="H190" s="190"/>
      <c r="I190" s="190"/>
      <c r="J190" s="187" t="s">
        <v>3044</v>
      </c>
      <c r="K190" s="187" t="s">
        <v>7052</v>
      </c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>
        <f>IFERROR(__xludf.DUMMYFUNCTION("ifna(VALUE(REGEXEXTRACT(E190,""[0-9.]+[,]+[0-9]+"")))"),30.0)</f>
        <v>30</v>
      </c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</row>
    <row r="191" ht="14.25" customHeight="1">
      <c r="A191" s="178"/>
      <c r="B191" s="10">
        <v>2125445.0</v>
      </c>
      <c r="C191" s="11">
        <v>46126.69820601852</v>
      </c>
      <c r="D191" s="179" t="s">
        <v>50</v>
      </c>
      <c r="E191" s="180" t="s">
        <v>246</v>
      </c>
      <c r="F191" s="181"/>
      <c r="G191" s="179" t="s">
        <v>94</v>
      </c>
      <c r="H191" s="190"/>
      <c r="I191" s="190"/>
      <c r="J191" s="187" t="s">
        <v>3044</v>
      </c>
      <c r="K191" s="187" t="s">
        <v>7058</v>
      </c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>
        <f>IFERROR(__xludf.DUMMYFUNCTION("ifna(VALUE(REGEXEXTRACT(E191,""[0-9.]+[,]+[0-9]+"")))"),4.0)</f>
        <v>4</v>
      </c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</row>
    <row r="192" ht="14.25" customHeight="1">
      <c r="A192" s="178"/>
      <c r="B192" s="10">
        <v>2125472.0</v>
      </c>
      <c r="C192" s="11">
        <v>46126.70612268519</v>
      </c>
      <c r="D192" s="179" t="s">
        <v>50</v>
      </c>
      <c r="E192" s="180" t="s">
        <v>246</v>
      </c>
      <c r="F192" s="181"/>
      <c r="G192" s="179" t="s">
        <v>7666</v>
      </c>
      <c r="H192" s="190"/>
      <c r="I192" s="190"/>
      <c r="J192" s="187" t="s">
        <v>3044</v>
      </c>
      <c r="K192" s="187" t="s">
        <v>7052</v>
      </c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>
        <f>IFERROR(__xludf.DUMMYFUNCTION("ifna(VALUE(REGEXEXTRACT(E192,""[0-9.]+[,]+[0-9]+"")))"),4.0)</f>
        <v>4</v>
      </c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</row>
    <row r="193" ht="14.25" customHeight="1">
      <c r="A193" s="178"/>
      <c r="B193" s="10">
        <v>2125691.0</v>
      </c>
      <c r="C193" s="11">
        <v>46126.76025462963</v>
      </c>
      <c r="D193" s="179" t="s">
        <v>50</v>
      </c>
      <c r="E193" s="180" t="s">
        <v>8179</v>
      </c>
      <c r="F193" s="181"/>
      <c r="G193" s="179" t="s">
        <v>74</v>
      </c>
      <c r="H193" s="190"/>
      <c r="I193" s="190"/>
      <c r="J193" s="187" t="s">
        <v>3044</v>
      </c>
      <c r="K193" s="187" t="s">
        <v>7058</v>
      </c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>
        <f>IFERROR(__xludf.DUMMYFUNCTION("ifna(VALUE(REGEXEXTRACT(E193,""[0-9.]+[,]+[0-9]+"")))"),13.93)</f>
        <v>13.93</v>
      </c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</row>
    <row r="194" ht="14.25" customHeight="1">
      <c r="A194" s="178"/>
      <c r="B194" s="10">
        <v>2125744.0</v>
      </c>
      <c r="C194" s="11">
        <v>46126.776504629626</v>
      </c>
      <c r="D194" s="179" t="s">
        <v>50</v>
      </c>
      <c r="E194" s="180" t="s">
        <v>8461</v>
      </c>
      <c r="F194" s="181"/>
      <c r="G194" s="179" t="s">
        <v>8463</v>
      </c>
      <c r="H194" s="190"/>
      <c r="I194" s="190"/>
      <c r="J194" s="187" t="s">
        <v>3903</v>
      </c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185">
        <f>IFERROR(__xludf.DUMMYFUNCTION("ifna(VALUE(REGEXEXTRACT(E194,""[0-9.]+[,]+[0-9]+"")))"),24.71)</f>
        <v>24.71</v>
      </c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</row>
    <row r="195" ht="14.25" customHeight="1">
      <c r="A195" s="178"/>
      <c r="B195" s="10">
        <v>2125745.0</v>
      </c>
      <c r="C195" s="11">
        <v>46126.77681712963</v>
      </c>
      <c r="D195" s="179" t="s">
        <v>50</v>
      </c>
      <c r="E195" s="180" t="s">
        <v>8465</v>
      </c>
      <c r="F195" s="181"/>
      <c r="G195" s="179" t="s">
        <v>8466</v>
      </c>
      <c r="H195" s="190"/>
      <c r="I195" s="190"/>
      <c r="J195" s="187" t="s">
        <v>3903</v>
      </c>
      <c r="K195" s="187"/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"""")"),"Encontrada")</f>
        <v>Encontrada</v>
      </c>
      <c r="N195" s="185">
        <f>IFERROR(__xludf.DUMMYFUNCTION("ifna(VALUE(REGEXEXTRACT(E195,""[0-9.]+[,]+[0-9]+"")))"),39.45)</f>
        <v>39.45</v>
      </c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</row>
    <row r="196" ht="14.25" customHeight="1">
      <c r="A196" s="178"/>
      <c r="B196" s="10">
        <v>2125747.0</v>
      </c>
      <c r="C196" s="11">
        <v>46126.777337962965</v>
      </c>
      <c r="D196" s="179" t="s">
        <v>50</v>
      </c>
      <c r="E196" s="180" t="s">
        <v>8468</v>
      </c>
      <c r="F196" s="181"/>
      <c r="G196" s="179" t="s">
        <v>8469</v>
      </c>
      <c r="H196" s="190"/>
      <c r="I196" s="190"/>
      <c r="J196" s="187" t="s">
        <v>3903</v>
      </c>
      <c r="K196" s="187"/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"""")"),"Encontrada")</f>
        <v>Encontrada</v>
      </c>
      <c r="N196" s="185">
        <f>IFERROR(__xludf.DUMMYFUNCTION("ifna(VALUE(REGEXEXTRACT(E196,""[0-9.]+[,]+[0-9]+"")))"),164.93)</f>
        <v>164.93</v>
      </c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</row>
    <row r="197" ht="14.25" customHeight="1">
      <c r="A197" s="178"/>
      <c r="B197" s="10">
        <v>2125748.0</v>
      </c>
      <c r="C197" s="11">
        <v>46126.77780092593</v>
      </c>
      <c r="D197" s="179" t="s">
        <v>50</v>
      </c>
      <c r="E197" s="180" t="s">
        <v>8471</v>
      </c>
      <c r="F197" s="181"/>
      <c r="G197" s="179" t="s">
        <v>8472</v>
      </c>
      <c r="H197" s="190"/>
      <c r="I197" s="190"/>
      <c r="J197" s="187" t="s">
        <v>3903</v>
      </c>
      <c r="K197" s="187"/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"""")"),"Encontrada")</f>
        <v>Encontrada</v>
      </c>
      <c r="N197" s="185">
        <f>IFERROR(__xludf.DUMMYFUNCTION("ifna(VALUE(REGEXEXTRACT(E197,""[0-9.]+[,]+[0-9]+"")))"),179.25)</f>
        <v>179.25</v>
      </c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</row>
    <row r="198" ht="14.25" customHeight="1">
      <c r="A198" s="178"/>
      <c r="B198" s="10">
        <v>2126097.0</v>
      </c>
      <c r="C198" s="11">
        <v>46126.90707175926</v>
      </c>
      <c r="D198" s="179" t="s">
        <v>50</v>
      </c>
      <c r="E198" s="180" t="s">
        <v>991</v>
      </c>
      <c r="F198" s="181"/>
      <c r="G198" s="179" t="s">
        <v>8475</v>
      </c>
      <c r="H198" s="190"/>
      <c r="I198" s="190"/>
      <c r="J198" s="187" t="s">
        <v>3746</v>
      </c>
      <c r="K198" s="187" t="s">
        <v>7058</v>
      </c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"),"Depositada")</f>
        <v>Depositada</v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>
        <f>IFERROR(__xludf.DUMMYFUNCTION("ifna(VALUE(REGEXEXTRACT(E198,""[0-9.]+[,]+[0-9]+"")))"),700.0)</f>
        <v>700</v>
      </c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</row>
    <row r="199" ht="14.25" customHeight="1">
      <c r="A199" s="178"/>
      <c r="B199" s="10">
        <v>2128405.0</v>
      </c>
      <c r="C199" s="11">
        <v>46128.64346064815</v>
      </c>
      <c r="D199" s="179" t="s">
        <v>50</v>
      </c>
      <c r="E199" s="180" t="s">
        <v>6731</v>
      </c>
      <c r="F199" s="181"/>
      <c r="G199" s="179" t="s">
        <v>8477</v>
      </c>
      <c r="H199" s="190"/>
      <c r="I199" s="190"/>
      <c r="J199" s="187" t="s">
        <v>3466</v>
      </c>
      <c r="K199" s="187"/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>
        <f>IFERROR(__xludf.DUMMYFUNCTION("ifna(VALUE(REGEXEXTRACT(E199,""[0-9.]+[,]+[0-9]+"")))"),100.0)</f>
        <v>100</v>
      </c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</row>
    <row r="200" ht="14.25" customHeight="1">
      <c r="A200" s="178"/>
      <c r="B200" s="10">
        <v>2128409.0</v>
      </c>
      <c r="C200" s="11">
        <v>46128.64420138889</v>
      </c>
      <c r="D200" s="179" t="s">
        <v>227</v>
      </c>
      <c r="E200" s="180" t="s">
        <v>494</v>
      </c>
      <c r="F200" s="181"/>
      <c r="G200" s="179" t="s">
        <v>8479</v>
      </c>
      <c r="H200" s="190"/>
      <c r="I200" s="190"/>
      <c r="J200" s="187"/>
      <c r="K200" s="187"/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>
        <f>IFERROR(__xludf.DUMMYFUNCTION("ifna(VALUE(REGEXEXTRACT(E200,""[0-9.]+[,]+[0-9]+"")))"),0.01)</f>
        <v>0.01</v>
      </c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</row>
    <row r="201" ht="14.25" customHeight="1">
      <c r="A201" s="178"/>
      <c r="B201" s="10">
        <v>2128412.0</v>
      </c>
      <c r="C201" s="11">
        <v>46128.645104166666</v>
      </c>
      <c r="D201" s="179" t="s">
        <v>50</v>
      </c>
      <c r="E201" s="180" t="s">
        <v>6682</v>
      </c>
      <c r="F201" s="181"/>
      <c r="G201" s="179" t="s">
        <v>8480</v>
      </c>
      <c r="H201" s="190"/>
      <c r="I201" s="190"/>
      <c r="J201" s="187" t="s">
        <v>3903</v>
      </c>
      <c r="K201" s="187"/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"""")"),"Encontrada")</f>
        <v>Encontrada</v>
      </c>
      <c r="N201" s="185">
        <f>IFERROR(__xludf.DUMMYFUNCTION("ifna(VALUE(REGEXEXTRACT(E201,""[0-9.]+[,]+[0-9]+"")))"),280.0)</f>
        <v>280</v>
      </c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</row>
    <row r="202" ht="14.25" customHeight="1">
      <c r="A202" s="178"/>
      <c r="B202" s="10">
        <v>2128419.0</v>
      </c>
      <c r="C202" s="11">
        <v>46128.646157407406</v>
      </c>
      <c r="D202" s="179" t="s">
        <v>50</v>
      </c>
      <c r="E202" s="180" t="s">
        <v>6909</v>
      </c>
      <c r="F202" s="181"/>
      <c r="G202" s="179" t="s">
        <v>8483</v>
      </c>
      <c r="H202" s="190"/>
      <c r="I202" s="190"/>
      <c r="J202" s="187" t="s">
        <v>3903</v>
      </c>
      <c r="K202" s="187"/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"""")"),"Não Encontrada")</f>
        <v>Não Encontrada</v>
      </c>
      <c r="N202" s="185">
        <f>IFERROR(__xludf.DUMMYFUNCTION("ifna(VALUE(REGEXEXTRACT(E202,""[0-9.]+[,]+[0-9]+"")))"),75.0)</f>
        <v>75</v>
      </c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</row>
    <row r="203" ht="14.25" customHeight="1">
      <c r="A203" s="178"/>
      <c r="B203" s="10">
        <v>2128596.0</v>
      </c>
      <c r="C203" s="11">
        <v>46128.70402777778</v>
      </c>
      <c r="D203" s="179" t="s">
        <v>50</v>
      </c>
      <c r="E203" s="180" t="s">
        <v>7364</v>
      </c>
      <c r="F203" s="181"/>
      <c r="G203" s="179" t="s">
        <v>7886</v>
      </c>
      <c r="H203" s="190"/>
      <c r="I203" s="190"/>
      <c r="J203" s="187" t="s">
        <v>3467</v>
      </c>
      <c r="K203" s="187"/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>
        <f>IFERROR(__xludf.DUMMYFUNCTION("ifna(VALUE(REGEXEXTRACT(E203,""[0-9.]+[,]+[0-9]+"")))"),23.0)</f>
        <v>23</v>
      </c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</row>
    <row r="204" ht="14.25" customHeight="1">
      <c r="A204" s="178"/>
      <c r="B204" s="10">
        <v>2128894.0</v>
      </c>
      <c r="C204" s="11">
        <v>46128.79516203704</v>
      </c>
      <c r="D204" s="179" t="s">
        <v>50</v>
      </c>
      <c r="E204" s="180" t="s">
        <v>6601</v>
      </c>
      <c r="F204" s="181"/>
      <c r="G204" s="179" t="s">
        <v>8488</v>
      </c>
      <c r="H204" s="190"/>
      <c r="I204" s="190"/>
      <c r="J204" s="187" t="s">
        <v>3903</v>
      </c>
      <c r="K204" s="187"/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"""")"),"Encontrada")</f>
        <v>Encontrada</v>
      </c>
      <c r="N204" s="185">
        <f>IFERROR(__xludf.DUMMYFUNCTION("ifna(VALUE(REGEXEXTRACT(E204,""[0-9.]+[,]+[0-9]+"")))"),8.99)</f>
        <v>8.99</v>
      </c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</row>
    <row r="205" ht="14.25" customHeight="1">
      <c r="A205" s="178"/>
      <c r="B205" s="10">
        <v>2129317.0</v>
      </c>
      <c r="C205" s="11">
        <v>46128.914976851855</v>
      </c>
      <c r="D205" s="179" t="s">
        <v>50</v>
      </c>
      <c r="E205" s="180" t="s">
        <v>6700</v>
      </c>
      <c r="F205" s="181"/>
      <c r="G205" s="179" t="s">
        <v>8491</v>
      </c>
      <c r="H205" s="190"/>
      <c r="I205" s="190"/>
      <c r="J205" s="187" t="s">
        <v>3746</v>
      </c>
      <c r="K205" s="187" t="s">
        <v>7058</v>
      </c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"),"Depositada")</f>
        <v>Depositada</v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>
        <f>IFERROR(__xludf.DUMMYFUNCTION("ifna(VALUE(REGEXEXTRACT(E205,""[0-9.]+[,]+[0-9]+"")))"),400.0)</f>
        <v>400</v>
      </c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</row>
    <row r="206" ht="14.25" customHeight="1">
      <c r="A206" s="178"/>
      <c r="B206" s="10">
        <v>2130132.0</v>
      </c>
      <c r="C206" s="11">
        <v>46129.64619212963</v>
      </c>
      <c r="D206" s="179" t="s">
        <v>227</v>
      </c>
      <c r="E206" s="180" t="s">
        <v>494</v>
      </c>
      <c r="F206" s="181"/>
      <c r="G206" s="179" t="s">
        <v>8494</v>
      </c>
      <c r="H206" s="190"/>
      <c r="I206" s="190"/>
      <c r="J206" s="187"/>
      <c r="K206" s="187"/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>
        <f>IFERROR(__xludf.DUMMYFUNCTION("ifna(VALUE(REGEXEXTRACT(E206,""[0-9.]+[,]+[0-9]+"")))"),0.01)</f>
        <v>0.01</v>
      </c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</row>
    <row r="207" ht="14.25" customHeight="1">
      <c r="A207" s="178"/>
      <c r="B207" s="10">
        <v>2130137.0</v>
      </c>
      <c r="C207" s="11">
        <v>46129.646875</v>
      </c>
      <c r="D207" s="179" t="s">
        <v>50</v>
      </c>
      <c r="E207" s="180" t="s">
        <v>494</v>
      </c>
      <c r="F207" s="181"/>
      <c r="G207" s="179" t="s">
        <v>8497</v>
      </c>
      <c r="H207" s="190"/>
      <c r="I207" s="190"/>
      <c r="J207" s="187"/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>
        <f>IFERROR(__xludf.DUMMYFUNCTION("ifna(VALUE(REGEXEXTRACT(E207,""[0-9.]+[,]+[0-9]+"")))"),0.01)</f>
        <v>0.01</v>
      </c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</row>
    <row r="208" ht="14.25" customHeight="1">
      <c r="A208" s="178"/>
      <c r="B208" s="10">
        <v>2130181.0</v>
      </c>
      <c r="C208" s="11">
        <v>46129.65833333333</v>
      </c>
      <c r="D208" s="179" t="s">
        <v>227</v>
      </c>
      <c r="E208" s="180" t="s">
        <v>329</v>
      </c>
      <c r="F208" s="181"/>
      <c r="G208" s="179" t="s">
        <v>8502</v>
      </c>
      <c r="H208" s="190"/>
      <c r="I208" s="190"/>
      <c r="J208" s="187" t="s">
        <v>3874</v>
      </c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>
        <f>IFERROR(__xludf.DUMMYFUNCTION("ifna(VALUE(REGEXEXTRACT(E208,""[0-9.]+[,]+[0-9]+"")))"),200.0)</f>
        <v>200</v>
      </c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</row>
    <row r="209" ht="14.25" customHeight="1">
      <c r="A209" s="178"/>
      <c r="B209" s="10">
        <v>2130183.0</v>
      </c>
      <c r="C209" s="11">
        <v>46129.65862268519</v>
      </c>
      <c r="D209" s="179" t="s">
        <v>50</v>
      </c>
      <c r="E209" s="180" t="s">
        <v>7297</v>
      </c>
      <c r="F209" s="181"/>
      <c r="G209" s="179" t="s">
        <v>8504</v>
      </c>
      <c r="H209" s="190"/>
      <c r="I209" s="190"/>
      <c r="J209" s="187" t="s">
        <v>3903</v>
      </c>
      <c r="K209" s="187"/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"""")"),"Encontrada")</f>
        <v>Encontrada</v>
      </c>
      <c r="N209" s="185">
        <f>IFERROR(__xludf.DUMMYFUNCTION("ifna(VALUE(REGEXEXTRACT(E209,""[0-9.]+[,]+[0-9]+"")))"),375.0)</f>
        <v>375</v>
      </c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</row>
    <row r="210" ht="14.25" customHeight="1">
      <c r="A210" s="178"/>
      <c r="B210" s="10">
        <v>2130811.0</v>
      </c>
      <c r="C210" s="11">
        <v>46129.81172453704</v>
      </c>
      <c r="D210" s="179" t="s">
        <v>50</v>
      </c>
      <c r="E210" s="180" t="s">
        <v>8507</v>
      </c>
      <c r="F210" s="181"/>
      <c r="G210" s="179" t="s">
        <v>8508</v>
      </c>
      <c r="H210" s="190"/>
      <c r="I210" s="190"/>
      <c r="J210" s="187" t="s">
        <v>3903</v>
      </c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"""")"),"Encontrada")</f>
        <v>Encontrada</v>
      </c>
      <c r="N210" s="185">
        <f>IFERROR(__xludf.DUMMYFUNCTION("ifna(VALUE(REGEXEXTRACT(E210,""[0-9.]+[,]+[0-9]+"")))"),201.95)</f>
        <v>201.95</v>
      </c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</row>
    <row r="211" ht="14.25" customHeight="1">
      <c r="A211" s="178"/>
      <c r="B211" s="10">
        <v>2133285.0</v>
      </c>
      <c r="C211" s="11">
        <v>46130.90133101852</v>
      </c>
      <c r="D211" s="179" t="s">
        <v>50</v>
      </c>
      <c r="E211" s="180" t="s">
        <v>7237</v>
      </c>
      <c r="F211" s="181"/>
      <c r="G211" s="179" t="s">
        <v>8511</v>
      </c>
      <c r="H211" s="190"/>
      <c r="I211" s="190"/>
      <c r="J211" s="187" t="s">
        <v>3825</v>
      </c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>
        <f>IFERROR(__xludf.DUMMYFUNCTION("ifna(VALUE(REGEXEXTRACT(E211,""[0-9.]+[,]+[0-9]+"")))"),113.0)</f>
        <v>113</v>
      </c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</row>
    <row r="212" ht="14.25" customHeight="1">
      <c r="A212" s="178"/>
      <c r="B212" s="10">
        <v>2133306.0</v>
      </c>
      <c r="C212" s="11">
        <v>46130.9034837963</v>
      </c>
      <c r="D212" s="179" t="s">
        <v>50</v>
      </c>
      <c r="E212" s="180" t="s">
        <v>8514</v>
      </c>
      <c r="F212" s="181"/>
      <c r="G212" s="179" t="s">
        <v>8515</v>
      </c>
      <c r="H212" s="190"/>
      <c r="I212" s="190"/>
      <c r="J212" s="187" t="s">
        <v>3903</v>
      </c>
      <c r="K212" s="187"/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"""")"),"Encontrada")</f>
        <v>Encontrada</v>
      </c>
      <c r="N212" s="185">
        <f>IFERROR(__xludf.DUMMYFUNCTION("ifna(VALUE(REGEXEXTRACT(E212,""[0-9.]+[,]+[0-9]+"")))"),428.39)</f>
        <v>428.39</v>
      </c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</row>
    <row r="213" ht="14.25" customHeight="1">
      <c r="A213" s="178"/>
      <c r="B213" s="10">
        <v>2133315.0</v>
      </c>
      <c r="C213" s="11">
        <v>46130.90478009259</v>
      </c>
      <c r="D213" s="179" t="s">
        <v>50</v>
      </c>
      <c r="E213" s="180" t="s">
        <v>8517</v>
      </c>
      <c r="F213" s="181"/>
      <c r="G213" s="179" t="s">
        <v>8518</v>
      </c>
      <c r="H213" s="190"/>
      <c r="I213" s="190"/>
      <c r="J213" s="187" t="s">
        <v>3903</v>
      </c>
      <c r="K213" s="187"/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"""")"),"Encontrada")</f>
        <v>Encontrada</v>
      </c>
      <c r="N213" s="185">
        <f>IFERROR(__xludf.DUMMYFUNCTION("ifna(VALUE(REGEXEXTRACT(E213,""[0-9.]+[,]+[0-9]+"")))"),36.76)</f>
        <v>36.76</v>
      </c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</row>
    <row r="214" ht="14.25" customHeight="1">
      <c r="A214" s="178"/>
      <c r="B214" s="10">
        <v>2133324.0</v>
      </c>
      <c r="C214" s="11">
        <v>46130.90605324074</v>
      </c>
      <c r="D214" s="179" t="s">
        <v>50</v>
      </c>
      <c r="E214" s="180" t="s">
        <v>991</v>
      </c>
      <c r="F214" s="181"/>
      <c r="G214" s="179" t="s">
        <v>8519</v>
      </c>
      <c r="H214" s="190"/>
      <c r="I214" s="190"/>
      <c r="J214" s="187" t="s">
        <v>3746</v>
      </c>
      <c r="K214" s="187" t="s">
        <v>7058</v>
      </c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"),"Depositada")</f>
        <v>Depositada</v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>
        <f>IFERROR(__xludf.DUMMYFUNCTION("ifna(VALUE(REGEXEXTRACT(E214,""[0-9.]+[,]+[0-9]+"")))"),700.0)</f>
        <v>700</v>
      </c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</row>
    <row r="215" ht="14.25" customHeight="1">
      <c r="A215" s="178"/>
      <c r="B215" s="10">
        <v>2135974.0</v>
      </c>
      <c r="C215" s="11">
        <v>46131.89554398148</v>
      </c>
      <c r="D215" s="179" t="s">
        <v>50</v>
      </c>
      <c r="E215" s="180" t="s">
        <v>1488</v>
      </c>
      <c r="F215" s="181"/>
      <c r="G215" s="179" t="s">
        <v>1637</v>
      </c>
      <c r="H215" s="190"/>
      <c r="I215" s="190"/>
      <c r="J215" s="187" t="s">
        <v>3467</v>
      </c>
      <c r="K215" s="187"/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>
        <f>IFERROR(__xludf.DUMMYFUNCTION("ifna(VALUE(REGEXEXTRACT(E215,""[0-9.]+[,]+[0-9]+"")))"),14.7)</f>
        <v>14.7</v>
      </c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</row>
    <row r="216" ht="14.25" customHeight="1">
      <c r="A216" s="178"/>
      <c r="B216" s="10">
        <v>2136559.0</v>
      </c>
      <c r="C216" s="11">
        <v>46131.93655092592</v>
      </c>
      <c r="D216" s="179" t="s">
        <v>50</v>
      </c>
      <c r="E216" s="180" t="s">
        <v>7265</v>
      </c>
      <c r="F216" s="181"/>
      <c r="G216" s="179" t="s">
        <v>8522</v>
      </c>
      <c r="H216" s="190"/>
      <c r="I216" s="190"/>
      <c r="J216" s="187" t="s">
        <v>3746</v>
      </c>
      <c r="K216" s="187" t="s">
        <v>7052</v>
      </c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"),"Depositada")</f>
        <v>Depositada</v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>
        <f>IFERROR(__xludf.DUMMYFUNCTION("ifna(VALUE(REGEXEXTRACT(E216,""[0-9.]+[,]+[0-9]+"")))"),1400.0)</f>
        <v>1400</v>
      </c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</row>
    <row r="217" ht="14.25" customHeight="1">
      <c r="A217" s="178"/>
      <c r="B217" s="10">
        <v>2136568.0</v>
      </c>
      <c r="C217" s="11">
        <v>46131.93734953704</v>
      </c>
      <c r="D217" s="179" t="s">
        <v>50</v>
      </c>
      <c r="E217" s="180" t="s">
        <v>1238</v>
      </c>
      <c r="F217" s="181"/>
      <c r="G217" s="179" t="s">
        <v>8526</v>
      </c>
      <c r="H217" s="190"/>
      <c r="I217" s="190"/>
      <c r="J217" s="187" t="s">
        <v>3825</v>
      </c>
      <c r="K217" s="187"/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>
        <f>IFERROR(__xludf.DUMMYFUNCTION("ifna(VALUE(REGEXEXTRACT(E217,""[0-9.]+[,]+[0-9]+"")))"),105.0)</f>
        <v>105</v>
      </c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</row>
    <row r="218" ht="14.25" customHeight="1">
      <c r="A218" s="178"/>
      <c r="B218" s="10">
        <v>2136579.0</v>
      </c>
      <c r="C218" s="11">
        <v>46131.93788194445</v>
      </c>
      <c r="D218" s="179" t="s">
        <v>50</v>
      </c>
      <c r="E218" s="180" t="s">
        <v>1129</v>
      </c>
      <c r="F218" s="181"/>
      <c r="G218" s="179" t="s">
        <v>8529</v>
      </c>
      <c r="H218" s="190"/>
      <c r="I218" s="190"/>
      <c r="J218" s="187" t="s">
        <v>3825</v>
      </c>
      <c r="K218" s="187"/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>
        <f>IFERROR(__xludf.DUMMYFUNCTION("ifna(VALUE(REGEXEXTRACT(E218,""[0-9.]+[,]+[0-9]+"")))"),120.0)</f>
        <v>120</v>
      </c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</row>
    <row r="219" ht="14.25" customHeight="1">
      <c r="A219" s="178"/>
      <c r="B219" s="10">
        <v>2136584.0</v>
      </c>
      <c r="C219" s="11">
        <v>46131.93819444445</v>
      </c>
      <c r="D219" s="179" t="s">
        <v>50</v>
      </c>
      <c r="E219" s="180" t="s">
        <v>8229</v>
      </c>
      <c r="F219" s="181"/>
      <c r="G219" s="179" t="s">
        <v>8531</v>
      </c>
      <c r="H219" s="190"/>
      <c r="I219" s="190"/>
      <c r="J219" s="187" t="s">
        <v>3825</v>
      </c>
      <c r="K219" s="187"/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>
        <f>IFERROR(__xludf.DUMMYFUNCTION("ifna(VALUE(REGEXEXTRACT(E219,""[0-9.]+[,]+[0-9]+"")))"),127.5)</f>
        <v>127.5</v>
      </c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</row>
    <row r="220" ht="14.25" customHeight="1">
      <c r="A220" s="178"/>
      <c r="B220" s="10">
        <v>2137555.0</v>
      </c>
      <c r="C220" s="11">
        <v>46132.656377314815</v>
      </c>
      <c r="D220" s="179" t="s">
        <v>50</v>
      </c>
      <c r="E220" s="180" t="s">
        <v>7537</v>
      </c>
      <c r="F220" s="181"/>
      <c r="G220" s="179" t="s">
        <v>8535</v>
      </c>
      <c r="H220" s="190"/>
      <c r="I220" s="190"/>
      <c r="J220" s="187" t="s">
        <v>3466</v>
      </c>
      <c r="K220" s="187"/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>
        <f>IFERROR(__xludf.DUMMYFUNCTION("ifna(VALUE(REGEXEXTRACT(E220,""[0-9.]+[,]+[0-9]+"")))"),25.82)</f>
        <v>25.82</v>
      </c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</row>
    <row r="221" ht="14.25" customHeight="1">
      <c r="A221" s="178"/>
      <c r="B221" s="10">
        <v>2137669.0</v>
      </c>
      <c r="C221" s="11">
        <v>46132.67984953704</v>
      </c>
      <c r="D221" s="179" t="s">
        <v>50</v>
      </c>
      <c r="E221" s="180" t="s">
        <v>8454</v>
      </c>
      <c r="F221" s="181"/>
      <c r="G221" s="179" t="s">
        <v>8537</v>
      </c>
      <c r="H221" s="190"/>
      <c r="I221" s="190"/>
      <c r="J221" s="187" t="s">
        <v>3903</v>
      </c>
      <c r="K221" s="187"/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"""")"),"Encontrada")</f>
        <v>Encontrada</v>
      </c>
      <c r="N221" s="185">
        <f>IFERROR(__xludf.DUMMYFUNCTION("ifna(VALUE(REGEXEXTRACT(E221,""[0-9.]+[,]+[0-9]+"")))"),55.2)</f>
        <v>55.2</v>
      </c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</row>
    <row r="222" ht="14.25" customHeight="1">
      <c r="A222" s="178"/>
      <c r="B222" s="10">
        <v>2137831.0</v>
      </c>
      <c r="C222" s="11">
        <v>46132.71335648148</v>
      </c>
      <c r="D222" s="179" t="s">
        <v>50</v>
      </c>
      <c r="E222" s="180" t="s">
        <v>6441</v>
      </c>
      <c r="F222" s="181"/>
      <c r="G222" s="179" t="s">
        <v>8539</v>
      </c>
      <c r="H222" s="190"/>
      <c r="I222" s="190"/>
      <c r="J222" s="187" t="s">
        <v>3466</v>
      </c>
      <c r="K222" s="187"/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>
        <f>IFERROR(__xludf.DUMMYFUNCTION("ifna(VALUE(REGEXEXTRACT(E222,""[0-9.]+[,]+[0-9]+"")))"),36.3)</f>
        <v>36.3</v>
      </c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</row>
    <row r="223" ht="14.25" customHeight="1">
      <c r="A223" s="178"/>
      <c r="B223" s="10">
        <v>2137931.0</v>
      </c>
      <c r="C223" s="11">
        <v>46132.73341435185</v>
      </c>
      <c r="D223" s="179" t="s">
        <v>50</v>
      </c>
      <c r="E223" s="180" t="s">
        <v>494</v>
      </c>
      <c r="F223" s="181"/>
      <c r="G223" s="179" t="s">
        <v>8541</v>
      </c>
      <c r="H223" s="190"/>
      <c r="I223" s="190"/>
      <c r="J223" s="187"/>
      <c r="K223" s="187"/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>
        <f>IFERROR(__xludf.DUMMYFUNCTION("ifna(VALUE(REGEXEXTRACT(E223,""[0-9.]+[,]+[0-9]+"")))"),0.01)</f>
        <v>0.01</v>
      </c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</row>
    <row r="224" ht="14.25" customHeight="1">
      <c r="A224" s="178"/>
      <c r="B224" s="10">
        <v>2137955.0</v>
      </c>
      <c r="C224" s="11">
        <v>46132.735914351855</v>
      </c>
      <c r="D224" s="179" t="s">
        <v>227</v>
      </c>
      <c r="E224" s="180" t="s">
        <v>494</v>
      </c>
      <c r="F224" s="181"/>
      <c r="G224" s="179" t="s">
        <v>8543</v>
      </c>
      <c r="H224" s="190"/>
      <c r="I224" s="190"/>
      <c r="J224" s="187"/>
      <c r="K224" s="187"/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>
        <f>IFERROR(__xludf.DUMMYFUNCTION("ifna(VALUE(REGEXEXTRACT(E224,""[0-9.]+[,]+[0-9]+"")))"),0.01)</f>
        <v>0.01</v>
      </c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</row>
    <row r="225" ht="14.25" customHeight="1">
      <c r="A225" s="178"/>
      <c r="B225" s="10">
        <v>2137965.0</v>
      </c>
      <c r="C225" s="11">
        <v>46132.7375</v>
      </c>
      <c r="D225" s="179" t="s">
        <v>50</v>
      </c>
      <c r="E225" s="180" t="s">
        <v>8548</v>
      </c>
      <c r="F225" s="181"/>
      <c r="G225" s="179" t="s">
        <v>8549</v>
      </c>
      <c r="H225" s="190"/>
      <c r="I225" s="190"/>
      <c r="J225" s="187" t="s">
        <v>3903</v>
      </c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185">
        <f>IFERROR(__xludf.DUMMYFUNCTION("ifna(VALUE(REGEXEXTRACT(E225,""[0-9.]+[,]+[0-9]+"")))"),16.15)</f>
        <v>16.15</v>
      </c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</row>
    <row r="226" ht="14.25" customHeight="1">
      <c r="A226" s="178"/>
      <c r="B226" s="10">
        <v>2137970.0</v>
      </c>
      <c r="C226" s="11">
        <v>46132.73814814815</v>
      </c>
      <c r="D226" s="179" t="s">
        <v>50</v>
      </c>
      <c r="E226" s="180" t="s">
        <v>8552</v>
      </c>
      <c r="F226" s="181"/>
      <c r="G226" s="179" t="s">
        <v>8553</v>
      </c>
      <c r="H226" s="190"/>
      <c r="I226" s="190"/>
      <c r="J226" s="187" t="s">
        <v>3903</v>
      </c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"""")"),"Encontrada")</f>
        <v>Encontrada</v>
      </c>
      <c r="N226" s="185">
        <f>IFERROR(__xludf.DUMMYFUNCTION("ifna(VALUE(REGEXEXTRACT(E226,""[0-9.]+[,]+[0-9]+"")))"),13.57)</f>
        <v>13.57</v>
      </c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</row>
    <row r="227" ht="14.25" customHeight="1">
      <c r="A227" s="178"/>
      <c r="B227" s="10">
        <v>2137974.0</v>
      </c>
      <c r="C227" s="11">
        <v>46132.738599537035</v>
      </c>
      <c r="D227" s="179" t="s">
        <v>50</v>
      </c>
      <c r="E227" s="180" t="s">
        <v>8557</v>
      </c>
      <c r="F227" s="181"/>
      <c r="G227" s="179" t="s">
        <v>8559</v>
      </c>
      <c r="H227" s="190"/>
      <c r="I227" s="190"/>
      <c r="J227" s="187" t="s">
        <v>3903</v>
      </c>
      <c r="K227" s="187"/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"""")"),"Encontrada")</f>
        <v>Encontrada</v>
      </c>
      <c r="N227" s="185">
        <f>IFERROR(__xludf.DUMMYFUNCTION("ifna(VALUE(REGEXEXTRACT(E227,""[0-9.]+[,]+[0-9]+"")))"),269.27)</f>
        <v>269.27</v>
      </c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</row>
    <row r="228" ht="14.25" customHeight="1">
      <c r="A228" s="178"/>
      <c r="B228" s="10">
        <v>2138077.0</v>
      </c>
      <c r="C228" s="11">
        <v>46132.755324074074</v>
      </c>
      <c r="D228" s="179" t="s">
        <v>50</v>
      </c>
      <c r="E228" s="180" t="s">
        <v>236</v>
      </c>
      <c r="F228" s="181"/>
      <c r="G228" s="179" t="s">
        <v>8560</v>
      </c>
      <c r="H228" s="190"/>
      <c r="I228" s="190"/>
      <c r="J228" s="187" t="s">
        <v>3825</v>
      </c>
      <c r="K228" s="187"/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>
        <f>IFERROR(__xludf.DUMMYFUNCTION("ifna(VALUE(REGEXEXTRACT(E228,""[0-9.]+[,]+[0-9]+"")))"),30.0)</f>
        <v>30</v>
      </c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</row>
    <row r="229" ht="14.25" customHeight="1">
      <c r="A229" s="178"/>
      <c r="B229" s="10">
        <v>2138081.0</v>
      </c>
      <c r="C229" s="11">
        <v>46132.755891203706</v>
      </c>
      <c r="D229" s="179" t="s">
        <v>50</v>
      </c>
      <c r="E229" s="180" t="s">
        <v>1702</v>
      </c>
      <c r="F229" s="181"/>
      <c r="G229" s="179" t="s">
        <v>8563</v>
      </c>
      <c r="H229" s="190"/>
      <c r="I229" s="190"/>
      <c r="J229" s="187" t="s">
        <v>3825</v>
      </c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>
        <f>IFERROR(__xludf.DUMMYFUNCTION("ifna(VALUE(REGEXEXTRACT(E229,""[0-9.]+[,]+[0-9]+"")))"),90.0)</f>
        <v>90</v>
      </c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</row>
    <row r="230" ht="14.25" customHeight="1">
      <c r="A230" s="178"/>
      <c r="B230" s="10">
        <v>2140871.0</v>
      </c>
      <c r="C230" s="11">
        <v>46133.887511574074</v>
      </c>
      <c r="D230" s="179" t="s">
        <v>50</v>
      </c>
      <c r="E230" s="180" t="s">
        <v>1129</v>
      </c>
      <c r="F230" s="181"/>
      <c r="G230" s="179" t="s">
        <v>8566</v>
      </c>
      <c r="H230" s="190"/>
      <c r="I230" s="190"/>
      <c r="J230" s="187" t="s">
        <v>3825</v>
      </c>
      <c r="K230" s="187"/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>
        <f>IFERROR(__xludf.DUMMYFUNCTION("ifna(VALUE(REGEXEXTRACT(E230,""[0-9.]+[,]+[0-9]+"")))"),120.0)</f>
        <v>120</v>
      </c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</row>
    <row r="231" ht="14.25" customHeight="1">
      <c r="A231" s="178"/>
      <c r="B231" s="10">
        <v>2141097.0</v>
      </c>
      <c r="C231" s="11">
        <v>46133.91375</v>
      </c>
      <c r="D231" s="179" t="s">
        <v>50</v>
      </c>
      <c r="E231" s="180" t="s">
        <v>6392</v>
      </c>
      <c r="F231" s="181"/>
      <c r="G231" s="10" t="s">
        <v>8568</v>
      </c>
      <c r="H231" s="190"/>
      <c r="I231" s="190"/>
      <c r="J231" s="187" t="s">
        <v>3746</v>
      </c>
      <c r="K231" s="187" t="s">
        <v>7058</v>
      </c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"),"Depositada")</f>
        <v>Depositada</v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>
        <f>IFERROR(__xludf.DUMMYFUNCTION("ifna(VALUE(REGEXEXTRACT(E231,""[0-9.]+[,]+[0-9]+"")))"),1300.0)</f>
        <v>1300</v>
      </c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</row>
    <row r="232" ht="14.25" customHeight="1">
      <c r="A232" s="178"/>
      <c r="B232" s="10">
        <v>2142121.0</v>
      </c>
      <c r="C232" s="11">
        <v>46134.640069444446</v>
      </c>
      <c r="D232" s="179" t="s">
        <v>227</v>
      </c>
      <c r="E232" s="180" t="s">
        <v>6731</v>
      </c>
      <c r="F232" s="181"/>
      <c r="G232" s="179" t="s">
        <v>8571</v>
      </c>
      <c r="H232" s="190"/>
      <c r="I232" s="190"/>
      <c r="J232" s="187" t="s">
        <v>3874</v>
      </c>
      <c r="K232" s="187"/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>
        <f>IFERROR(__xludf.DUMMYFUNCTION("ifna(VALUE(REGEXEXTRACT(E232,""[0-9.]+[,]+[0-9]+"")))"),100.0)</f>
        <v>100</v>
      </c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</row>
    <row r="233" ht="14.25" customHeight="1">
      <c r="A233" s="178"/>
      <c r="B233" s="10">
        <v>2142124.0</v>
      </c>
      <c r="C233" s="11">
        <v>46134.64034722222</v>
      </c>
      <c r="D233" s="179" t="s">
        <v>50</v>
      </c>
      <c r="E233" s="180" t="s">
        <v>8572</v>
      </c>
      <c r="F233" s="181"/>
      <c r="G233" s="179" t="s">
        <v>8573</v>
      </c>
      <c r="H233" s="190"/>
      <c r="I233" s="190"/>
      <c r="J233" s="187" t="s">
        <v>3903</v>
      </c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"""")"),"Encontrada")</f>
        <v>Encontrada</v>
      </c>
      <c r="N233" s="185">
        <f>IFERROR(__xludf.DUMMYFUNCTION("ifna(VALUE(REGEXEXTRACT(E233,""[0-9.]+[,]+[0-9]+"")))"),155.5)</f>
        <v>155.5</v>
      </c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</row>
    <row r="234" ht="14.25" customHeight="1">
      <c r="A234" s="178"/>
      <c r="B234" s="10">
        <v>2142650.0</v>
      </c>
      <c r="C234" s="11">
        <v>46134.77951388889</v>
      </c>
      <c r="D234" s="179" t="s">
        <v>50</v>
      </c>
      <c r="E234" s="180" t="s">
        <v>1136</v>
      </c>
      <c r="F234" s="181"/>
      <c r="G234" s="179" t="s">
        <v>8576</v>
      </c>
      <c r="H234" s="190"/>
      <c r="I234" s="190"/>
      <c r="J234" s="187" t="s">
        <v>3903</v>
      </c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185">
        <f>IFERROR(__xludf.DUMMYFUNCTION("ifna(VALUE(REGEXEXTRACT(E234,""[0-9.]+[,]+[0-9]+"")))"),112.5)</f>
        <v>112.5</v>
      </c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</row>
    <row r="235" ht="14.25" customHeight="1">
      <c r="A235" s="178"/>
      <c r="B235" s="10">
        <v>2142671.0</v>
      </c>
      <c r="C235" s="11">
        <v>46134.785046296296</v>
      </c>
      <c r="D235" s="179" t="s">
        <v>50</v>
      </c>
      <c r="E235" s="180" t="s">
        <v>1129</v>
      </c>
      <c r="F235" s="181"/>
      <c r="G235" s="179" t="s">
        <v>8578</v>
      </c>
      <c r="H235" s="190"/>
      <c r="I235" s="190"/>
      <c r="J235" s="187" t="s">
        <v>3903</v>
      </c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"""")"),"Não Encontrada")</f>
        <v>Não Encontrada</v>
      </c>
      <c r="N235" s="185">
        <f>IFERROR(__xludf.DUMMYFUNCTION("ifna(VALUE(REGEXEXTRACT(E235,""[0-9.]+[,]+[0-9]+"")))"),120.0)</f>
        <v>120</v>
      </c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</row>
    <row r="236" ht="14.25" customHeight="1">
      <c r="A236" s="178"/>
      <c r="B236" s="10">
        <v>2142675.0</v>
      </c>
      <c r="C236" s="11">
        <v>46134.786041666666</v>
      </c>
      <c r="D236" s="179" t="s">
        <v>50</v>
      </c>
      <c r="E236" s="180" t="s">
        <v>8580</v>
      </c>
      <c r="F236" s="181"/>
      <c r="G236" s="179" t="s">
        <v>8581</v>
      </c>
      <c r="H236" s="190"/>
      <c r="I236" s="190"/>
      <c r="J236" s="187" t="s">
        <v>3903</v>
      </c>
      <c r="K236" s="187"/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"""")"),"Encontrada")</f>
        <v>Encontrada</v>
      </c>
      <c r="N236" s="185">
        <f>IFERROR(__xludf.DUMMYFUNCTION("ifna(VALUE(REGEXEXTRACT(E236,""[0-9.]+[,]+[0-9]+"")))"),13.43)</f>
        <v>13.43</v>
      </c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</row>
    <row r="237" ht="14.25" customHeight="1">
      <c r="A237" s="178"/>
      <c r="B237" s="10">
        <v>2143922.0</v>
      </c>
      <c r="C237" s="11">
        <v>46135.67303240741</v>
      </c>
      <c r="D237" s="179" t="s">
        <v>50</v>
      </c>
      <c r="E237" s="180" t="s">
        <v>8584</v>
      </c>
      <c r="F237" s="181"/>
      <c r="G237" s="179" t="s">
        <v>8585</v>
      </c>
      <c r="H237" s="190"/>
      <c r="I237" s="190"/>
      <c r="J237" s="187" t="s">
        <v>3466</v>
      </c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>
        <f>IFERROR(__xludf.DUMMYFUNCTION("ifna(VALUE(REGEXEXTRACT(E237,""[0-9.]+[,]+[0-9]+"")))"),27.35)</f>
        <v>27.35</v>
      </c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</row>
    <row r="238" ht="14.25" customHeight="1">
      <c r="A238" s="178"/>
      <c r="B238" s="10">
        <v>2143964.0</v>
      </c>
      <c r="C238" s="11">
        <v>46135.682233796295</v>
      </c>
      <c r="D238" s="179" t="s">
        <v>227</v>
      </c>
      <c r="E238" s="180" t="s">
        <v>494</v>
      </c>
      <c r="F238" s="188"/>
      <c r="G238" s="179" t="s">
        <v>8588</v>
      </c>
      <c r="H238" s="190"/>
      <c r="I238" s="190"/>
      <c r="J238" s="187"/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>
        <f>IFERROR(__xludf.DUMMYFUNCTION("ifna(VALUE(REGEXEXTRACT(E238,""[0-9.]+[,]+[0-9]+"")))"),0.01)</f>
        <v>0.01</v>
      </c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</row>
    <row r="239" ht="14.25" customHeight="1">
      <c r="A239" s="178"/>
      <c r="B239" s="10">
        <v>2143970.0</v>
      </c>
      <c r="C239" s="11">
        <v>46135.68368055556</v>
      </c>
      <c r="D239" s="179" t="s">
        <v>50</v>
      </c>
      <c r="E239" s="180" t="s">
        <v>494</v>
      </c>
      <c r="F239" s="181"/>
      <c r="G239" s="179" t="s">
        <v>8589</v>
      </c>
      <c r="H239" s="190"/>
      <c r="I239" s="190"/>
      <c r="J239" s="187"/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>
        <f>IFERROR(__xludf.DUMMYFUNCTION("ifna(VALUE(REGEXEXTRACT(E239,""[0-9.]+[,]+[0-9]+"")))"),0.01)</f>
        <v>0.01</v>
      </c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</row>
    <row r="240" ht="14.25" customHeight="1">
      <c r="A240" s="178"/>
      <c r="B240" s="10">
        <v>2145385.0</v>
      </c>
      <c r="C240" s="11">
        <v>46136.58677083333</v>
      </c>
      <c r="D240" s="179" t="s">
        <v>50</v>
      </c>
      <c r="E240" s="180" t="s">
        <v>7499</v>
      </c>
      <c r="F240" s="181"/>
      <c r="G240" s="179" t="s">
        <v>8590</v>
      </c>
      <c r="H240" s="190"/>
      <c r="I240" s="190"/>
      <c r="J240" s="187" t="s">
        <v>3903</v>
      </c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"""")"),"Encontrada")</f>
        <v>Encontrada</v>
      </c>
      <c r="N240" s="185">
        <f>IFERROR(__xludf.DUMMYFUNCTION("ifna(VALUE(REGEXEXTRACT(E240,""[0-9.]+[,]+[0-9]+"")))"),420.0)</f>
        <v>420</v>
      </c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</row>
    <row r="241" ht="14.25" customHeight="1">
      <c r="A241" s="178"/>
      <c r="B241" s="10">
        <v>2145792.0</v>
      </c>
      <c r="C241" s="11">
        <v>46136.71013888889</v>
      </c>
      <c r="D241" s="179" t="s">
        <v>227</v>
      </c>
      <c r="E241" s="180" t="s">
        <v>719</v>
      </c>
      <c r="F241" s="181"/>
      <c r="G241" s="179" t="s">
        <v>8592</v>
      </c>
      <c r="H241" s="190"/>
      <c r="I241" s="190"/>
      <c r="J241" s="187" t="s">
        <v>3874</v>
      </c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>
        <f>IFERROR(__xludf.DUMMYFUNCTION("ifna(VALUE(REGEXEXTRACT(E241,""[0-9.]+[,]+[0-9]+"")))"),500.0)</f>
        <v>500</v>
      </c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</row>
    <row r="242" ht="14.25" customHeight="1">
      <c r="A242" s="178"/>
      <c r="B242" s="10">
        <v>2145807.0</v>
      </c>
      <c r="C242" s="11">
        <v>46136.71326388889</v>
      </c>
      <c r="D242" s="179" t="s">
        <v>50</v>
      </c>
      <c r="E242" s="180" t="s">
        <v>8593</v>
      </c>
      <c r="F242" s="188"/>
      <c r="G242" s="179" t="s">
        <v>8594</v>
      </c>
      <c r="H242" s="190"/>
      <c r="I242" s="190"/>
      <c r="J242" s="187" t="s">
        <v>3466</v>
      </c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>
        <f>IFERROR(__xludf.DUMMYFUNCTION("ifna(VALUE(REGEXEXTRACT(E242,""[0-9.]+[,]+[0-9]+"")))"),50.87)</f>
        <v>50.87</v>
      </c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</row>
    <row r="243" ht="14.25" customHeight="1">
      <c r="A243" s="178"/>
      <c r="B243" s="10">
        <v>2145847.0</v>
      </c>
      <c r="C243" s="11">
        <v>46136.72173611111</v>
      </c>
      <c r="D243" s="179" t="s">
        <v>50</v>
      </c>
      <c r="E243" s="180" t="s">
        <v>8595</v>
      </c>
      <c r="F243" s="181"/>
      <c r="G243" s="179" t="s">
        <v>8596</v>
      </c>
      <c r="H243" s="190"/>
      <c r="I243" s="190"/>
      <c r="J243" s="187" t="s">
        <v>3874</v>
      </c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>
        <f>IFERROR(__xludf.DUMMYFUNCTION("ifna(VALUE(REGEXEXTRACT(E243,""[0-9.]+[,]+[0-9]+"")))"),537.0)</f>
        <v>537</v>
      </c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</row>
    <row r="244" ht="14.25" customHeight="1">
      <c r="A244" s="178"/>
      <c r="B244" s="10">
        <v>2147975.0</v>
      </c>
      <c r="C244" s="11">
        <v>46137.78685185185</v>
      </c>
      <c r="D244" s="179" t="s">
        <v>50</v>
      </c>
      <c r="E244" s="180" t="s">
        <v>8445</v>
      </c>
      <c r="F244" s="181"/>
      <c r="G244" s="179" t="s">
        <v>8598</v>
      </c>
      <c r="H244" s="190"/>
      <c r="I244" s="190"/>
      <c r="J244" s="187" t="s">
        <v>3825</v>
      </c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>
        <f>IFERROR(__xludf.DUMMYFUNCTION("ifna(VALUE(REGEXEXTRACT(E244,""[0-9.]+[,]+[0-9]+"")))"),82.5)</f>
        <v>82.5</v>
      </c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</row>
    <row r="245" ht="14.25" customHeight="1">
      <c r="A245" s="178"/>
      <c r="B245" s="10">
        <v>2148752.0</v>
      </c>
      <c r="C245" s="11">
        <v>46137.92212962963</v>
      </c>
      <c r="D245" s="179" t="s">
        <v>50</v>
      </c>
      <c r="E245" s="180" t="s">
        <v>8229</v>
      </c>
      <c r="F245" s="181"/>
      <c r="G245" s="179" t="s">
        <v>8601</v>
      </c>
      <c r="H245" s="190"/>
      <c r="I245" s="190"/>
      <c r="J245" s="187" t="s">
        <v>3825</v>
      </c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>
        <f>IFERROR(__xludf.DUMMYFUNCTION("ifna(VALUE(REGEXEXTRACT(E245,""[0-9.]+[,]+[0-9]+"")))"),127.5)</f>
        <v>127.5</v>
      </c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IFERROR(__xludf.DUMMYFUNCTION("IF(
  AND(D282=""Saída"", J282=""Sangria""),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IFERROR(__xludf.DUMMYFUNCTION("IF(
  AND(D283=""Saída"", J283=""Sangria""),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/>
      <c r="AD283" s="185"/>
      <c r="AE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IFERROR(__xludf.DUMMYFUNCTION("IF(
  AND(D284=""Saída"", J284=""Sangria""),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/>
      <c r="AD284" s="185"/>
      <c r="AE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IFERROR(__xludf.DUMMYFUNCTION("IF(
  AND(D285=""Saída"", J285=""Sangria""),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/>
      <c r="AD285" s="185"/>
      <c r="AE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IFERROR(__xludf.DUMMYFUNCTION("IF(
  AND(D286=""Saída"", J286=""Sangria""),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/>
      <c r="AD286" s="185"/>
      <c r="AE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IFERROR(__xludf.DUMMYFUNCTION("IF(
  AND(D287=""Saída"", J287=""Sangria""),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IFERROR(__xludf.DUMMYFUNCTION("IF(
  AND(D288=""Saída"", J288=""Sangria""),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IFERROR(__xludf.DUMMYFUNCTION("IF(
  AND(D289=""Saída"", J289=""Sangria""),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/>
      <c r="AD289" s="185"/>
      <c r="AE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IFERROR(__xludf.DUMMYFUNCTION("IF(
  AND(D290=""Saída"", J290=""Sangria""),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/>
      <c r="AD290" s="185"/>
      <c r="AE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IFERROR(__xludf.DUMMYFUNCTION("IF(
  AND(D291=""Saída"", J291=""Sangria""),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IFERROR(__xludf.DUMMYFUNCTION("IF(
  AND(D292=""Saída"", J292=""Sangria""),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/>
      <c r="AD292" s="185"/>
      <c r="AE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IFERROR(__xludf.DUMMYFUNCTION("IF(
  AND(D293=""Saída"", J293=""Sangria""),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IFERROR(__xludf.DUMMYFUNCTION("IF(
  AND(D294=""Saída"", J294=""Sangria""),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IFERROR(__xludf.DUMMYFUNCTION("IF(
  AND(D295=""Saída"", J295=""Sangria""),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IFERROR(__xludf.DUMMYFUNCTION("IF(
  AND(D296=""Saída"", J296=""Sangria""),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IFERROR(__xludf.DUMMYFUNCTION("IF(
  AND(D297=""Saída"", J297=""Sangria""),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  <c r="AC297" s="185"/>
      <c r="AD297" s="185"/>
      <c r="AE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IFERROR(__xludf.DUMMYFUNCTION("IF(
  AND(D298=""Saída"", J298=""Sangria""),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  <c r="AC298" s="185"/>
      <c r="AD298" s="185"/>
      <c r="AE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IFERROR(__xludf.DUMMYFUNCTION("IF(
  AND(D299=""Saída"", J299=""Sangria""),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  <c r="AC299" s="185"/>
      <c r="AD299" s="185"/>
      <c r="AE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IFERROR(__xludf.DUMMYFUNCTION("IF(
  AND(D300=""Saída"", J300=""Sangria""),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IFERROR(__xludf.DUMMYFUNCTION("IF(
  AND(D301=""Saída"", J301=""Sangria""),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  <c r="AC301" s="185"/>
      <c r="AD301" s="185"/>
      <c r="AE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IFERROR(__xludf.DUMMYFUNCTION("IF(
  AND(D302=""Saída"", J302=""Sangria""),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  <c r="AC302" s="185"/>
      <c r="AD302" s="185"/>
      <c r="AE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IFERROR(__xludf.DUMMYFUNCTION("IF(
  AND(D303=""Saída"", J303=""Sangria""),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IFERROR(__xludf.DUMMYFUNCTION("IF(
  AND(D304=""Saída"", J304=""Sangria""),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  <c r="AC304" s="185"/>
      <c r="AD304" s="185"/>
      <c r="AE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IFERROR(__xludf.DUMMYFUNCTION("IF(
  AND(D305=""Saída"", J305=""Sangria""),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IFERROR(__xludf.DUMMYFUNCTION("IF(
  AND(D306=""Saída"", J306=""Sangria""),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  <c r="AC306" s="185"/>
      <c r="AD306" s="185"/>
      <c r="AE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IFERROR(__xludf.DUMMYFUNCTION("IF(
  AND(D307=""Saída"", J307=""Sangria""),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  <c r="AC307" s="185"/>
      <c r="AD307" s="185"/>
      <c r="AE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IFERROR(__xludf.DUMMYFUNCTION("IF(
  AND(D308=""Saída"", J308=""Sangria""),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  <c r="AC308" s="185"/>
      <c r="AD308" s="185"/>
      <c r="AE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IFERROR(__xludf.DUMMYFUNCTION("IF(
  AND(D309=""Saída"", J309=""Sangria""),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IFERROR(__xludf.DUMMYFUNCTION("IF(
  AND(D310=""Saída"", J310=""Sangria""),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IFERROR(__xludf.DUMMYFUNCTION("IF(
  AND(D311=""Saída"", J311=""Sangria""),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IFERROR(__xludf.DUMMYFUNCTION("IF(
  AND(D312=""Saída"", J312=""Sangria""),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  <c r="AC312" s="185"/>
      <c r="AD312" s="185"/>
      <c r="AE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IFERROR(__xludf.DUMMYFUNCTION("IF(
  AND(D313=""Saída"", J313=""Sangria""),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  <c r="AC313" s="185"/>
      <c r="AD313" s="185"/>
      <c r="AE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IFERROR(__xludf.DUMMYFUNCTION("IF(
  AND(D314=""Saída"", J314=""Sangria""),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  <c r="AC314" s="185"/>
      <c r="AD314" s="185"/>
      <c r="AE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IFERROR(__xludf.DUMMYFUNCTION("IF(
  AND(D315=""Saída"", J315=""Sangria""),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  <c r="AC315" s="185"/>
      <c r="AD315" s="185"/>
      <c r="AE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IFERROR(__xludf.DUMMYFUNCTION("IF(
  AND(D316=""Saída"", J316=""Sangria""),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IFERROR(__xludf.DUMMYFUNCTION("IF(
  AND(D317=""Saída"", J317=""Sangria""),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IFERROR(__xludf.DUMMYFUNCTION("IF(
  AND(D318=""Saída"", J318=""Sangria""),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IFERROR(__xludf.DUMMYFUNCTION("IF(
  AND(D319=""Saída"", J319=""Sangria""),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IFERROR(__xludf.DUMMYFUNCTION("IF(
  AND(D320=""Saída"", J320=""Sangria""),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  <c r="AC320" s="185"/>
      <c r="AD320" s="185"/>
      <c r="AE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IFERROR(__xludf.DUMMYFUNCTION("IF(
  AND(D321=""Saída"", J321=""Sangria""),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  <c r="AC321" s="185"/>
      <c r="AD321" s="185"/>
      <c r="AE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IFERROR(__xludf.DUMMYFUNCTION("IF(
  AND(D322=""Saída"", J322=""Sangria""),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IFERROR(__xludf.DUMMYFUNCTION("IF(
  AND(D323=""Saída"", J323=""Sangria""),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  <c r="AC323" s="185"/>
      <c r="AD323" s="185"/>
      <c r="AE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IFERROR(__xludf.DUMMYFUNCTION("IF(
  AND(D324=""Saída"", J324=""Sangria""),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  <c r="AC324" s="185"/>
      <c r="AD324" s="185"/>
      <c r="AE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IFERROR(__xludf.DUMMYFUNCTION("IF(
  AND(D325=""Saída"", J325=""Sangria""),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  <c r="AC325" s="185"/>
      <c r="AD325" s="185"/>
      <c r="AE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IFERROR(__xludf.DUMMYFUNCTION("IF(
  AND(D326=""Saída"", J326=""Sangria""),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IFERROR(__xludf.DUMMYFUNCTION("IF(
  AND(D327=""Saída"", J327=""Sangria""),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IFERROR(__xludf.DUMMYFUNCTION("IF(
  AND(D328=""Saída"", J328=""Sangria""),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IFERROR(__xludf.DUMMYFUNCTION("IF(
  AND(D329=""Saída"", J329=""Sangria""),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IFERROR(__xludf.DUMMYFUNCTION("IF(
  AND(D330=""Saída"", J330=""Sangria""),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  <c r="AB330" s="185"/>
      <c r="AC330" s="185"/>
      <c r="AD330" s="185"/>
      <c r="AE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IFERROR(__xludf.DUMMYFUNCTION("IF(
  AND(D331=""Saída"", J331=""Sangria""),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  <c r="AB331" s="185"/>
      <c r="AC331" s="185"/>
      <c r="AD331" s="185"/>
      <c r="AE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IFERROR(__xludf.DUMMYFUNCTION("IF(
  AND(D332=""Saída"", J332=""Sangria""),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  <c r="AB332" s="185"/>
      <c r="AC332" s="185"/>
      <c r="AD332" s="185"/>
      <c r="AE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IFERROR(__xludf.DUMMYFUNCTION("IF(
  AND(D333=""Saída"", J333=""Sangria""),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  <c r="AB333" s="185"/>
      <c r="AC333" s="185"/>
      <c r="AD333" s="185"/>
      <c r="AE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IFERROR(__xludf.DUMMYFUNCTION("IF(
  AND(D334=""Saída"", J334=""Sangria""),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  <c r="AB334" s="185"/>
      <c r="AC334" s="185"/>
      <c r="AD334" s="185"/>
      <c r="AE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IFERROR(__xludf.DUMMYFUNCTION("IF(
  AND(D335=""Saída"", J335=""Sangria""),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  <c r="AC335" s="185"/>
      <c r="AD335" s="185"/>
      <c r="AE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IFERROR(__xludf.DUMMYFUNCTION("IF(
  AND(D336=""Saída"", J336=""Sangria""),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IFERROR(__xludf.DUMMYFUNCTION("IF(
  AND(D337=""Saída"", J337=""Sangria""),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  <c r="AB337" s="185"/>
      <c r="AC337" s="185"/>
      <c r="AD337" s="185"/>
      <c r="AE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IFERROR(__xludf.DUMMYFUNCTION("IF(
  AND(D338=""Saída"", J338=""Sangria""),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IFERROR(__xludf.DUMMYFUNCTION("IF(
  AND(D339=""Saída"", J339=""Sangria""),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  <c r="AB339" s="185"/>
      <c r="AC339" s="185"/>
      <c r="AD339" s="185"/>
      <c r="AE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IFERROR(__xludf.DUMMYFUNCTION("IF(
  AND(D340=""Saída"", J340=""Sangria""),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  <c r="AB340" s="185"/>
      <c r="AC340" s="185"/>
      <c r="AD340" s="185"/>
      <c r="AE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IFERROR(__xludf.DUMMYFUNCTION("IF(
  AND(D341=""Saída"", J341=""Sangria""),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85"/>
      <c r="AC341" s="185"/>
      <c r="AD341" s="185"/>
      <c r="AE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IFERROR(__xludf.DUMMYFUNCTION("IF(
  AND(D342=""Saída"", J342=""Sangria""),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IFERROR(__xludf.DUMMYFUNCTION("IF(
  AND(D343=""Saída"", J343=""Sangria""),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  <c r="AC343" s="185"/>
      <c r="AD343" s="185"/>
      <c r="AE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IFERROR(__xludf.DUMMYFUNCTION("IF(
  AND(D344=""Saída"", J344=""Sangria""),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  <c r="AB344" s="185"/>
      <c r="AC344" s="185"/>
      <c r="AD344" s="185"/>
      <c r="AE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IFERROR(__xludf.DUMMYFUNCTION("IF(
  AND(D345=""Saída"", J345=""Sangria""),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  <c r="AB345" s="185"/>
      <c r="AC345" s="185"/>
      <c r="AD345" s="185"/>
      <c r="AE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IFERROR(__xludf.DUMMYFUNCTION("IF(
  AND(D346=""Saída"", J346=""Sangria""),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  <c r="AC346" s="185"/>
      <c r="AD346" s="185"/>
      <c r="AE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IFERROR(__xludf.DUMMYFUNCTION("IF(
  AND(D347=""Saída"", J347=""Sangria""),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  <c r="AB347" s="185"/>
      <c r="AC347" s="185"/>
      <c r="AD347" s="185"/>
      <c r="AE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IFERROR(__xludf.DUMMYFUNCTION("IF(
  AND(D348=""Saída"", J348=""Sangria""),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IFERROR(__xludf.DUMMYFUNCTION("IF(
  AND(D349=""Saída"", J349=""Sangria""),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  <c r="AC349" s="185"/>
      <c r="AD349" s="185"/>
      <c r="AE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IFERROR(__xludf.DUMMYFUNCTION("IF(
  AND(D350=""Saída"", J350=""Sangria""),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  <c r="AB350" s="185"/>
      <c r="AC350" s="185"/>
      <c r="AD350" s="185"/>
      <c r="AE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IFERROR(__xludf.DUMMYFUNCTION("IF(
  AND(D351=""Saída"", J351=""Sangria""),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IFERROR(__xludf.DUMMYFUNCTION("IF(
  AND(D352=""Saída"", J352=""Sangria""),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  <c r="AB352" s="185"/>
      <c r="AC352" s="185"/>
      <c r="AD352" s="185"/>
      <c r="AE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IFERROR(__xludf.DUMMYFUNCTION("IF(
  AND(D353=""Saída"", J353=""Sangria""),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  <c r="AB353" s="185"/>
      <c r="AC353" s="185"/>
      <c r="AD353" s="185"/>
      <c r="AE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IFERROR(__xludf.DUMMYFUNCTION("IF(
  AND(D354=""Saída"", J354=""Sangria""),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  <c r="AB354" s="185"/>
      <c r="AC354" s="185"/>
      <c r="AD354" s="185"/>
      <c r="AE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IFERROR(__xludf.DUMMYFUNCTION("IF(
  AND(D355=""Saída"", J355=""Sangria""),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  <c r="AC355" s="185"/>
      <c r="AD355" s="185"/>
      <c r="AE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IFERROR(__xludf.DUMMYFUNCTION("IF(
  AND(D356=""Saída"", J356=""Sangria""),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  <c r="AC356" s="185"/>
      <c r="AD356" s="185"/>
      <c r="AE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IFERROR(__xludf.DUMMYFUNCTION("IF(
  AND(D357=""Saída"", J357=""Sangria""),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  <c r="AC357" s="185"/>
      <c r="AD357" s="185"/>
      <c r="AE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IFERROR(__xludf.DUMMYFUNCTION("IF(
  AND(D358=""Saída"", J358=""Sangria""),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  <c r="AB358" s="185"/>
      <c r="AC358" s="185"/>
      <c r="AD358" s="185"/>
      <c r="AE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IFERROR(__xludf.DUMMYFUNCTION("IF(
  AND(D359=""Saída"", J359=""Sangria""),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  <c r="AB359" s="185"/>
      <c r="AC359" s="185"/>
      <c r="AD359" s="185"/>
      <c r="AE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IFERROR(__xludf.DUMMYFUNCTION("IF(
  AND(D360=""Saída"", J360=""Sangria""),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  <c r="AC360" s="185"/>
      <c r="AD360" s="185"/>
      <c r="AE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IFERROR(__xludf.DUMMYFUNCTION("IF(
  AND(D361=""Saída"", J361=""Sangria""),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  <c r="AC361" s="185"/>
      <c r="AD361" s="185"/>
      <c r="AE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IFERROR(__xludf.DUMMYFUNCTION("IF(
  AND(D362=""Saída"", J362=""Sangria""),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IFERROR(__xludf.DUMMYFUNCTION("IF(
  AND(D363=""Saída"", J363=""Sangria""),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  <c r="AB363" s="185"/>
      <c r="AC363" s="185"/>
      <c r="AD363" s="185"/>
      <c r="AE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IFERROR(__xludf.DUMMYFUNCTION("IF(
  AND(D364=""Saída"", J364=""Sangria""),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  <c r="AC364" s="185"/>
      <c r="AD364" s="185"/>
      <c r="AE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IFERROR(__xludf.DUMMYFUNCTION("IF(
  AND(D365=""Saída"", J365=""Sangria""),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  <c r="AC365" s="185"/>
      <c r="AD365" s="185"/>
      <c r="AE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IFERROR(__xludf.DUMMYFUNCTION("IF(
  AND(D366=""Saída"", J366=""Sangria""),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IFERROR(__xludf.DUMMYFUNCTION("IF(
  AND(D367=""Saída"", J367=""Sangria""),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IFERROR(__xludf.DUMMYFUNCTION("IF(
  AND(D368=""Saída"", J368=""Sangria""),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  <c r="AB368" s="185"/>
      <c r="AC368" s="185"/>
      <c r="AD368" s="185"/>
      <c r="AE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IFERROR(__xludf.DUMMYFUNCTION("IF(
  AND(D369=""Saída"", J369=""Sangria""),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  <c r="AC369" s="185"/>
      <c r="AD369" s="185"/>
      <c r="AE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IFERROR(__xludf.DUMMYFUNCTION("IF(
  AND(D370=""Saída"", J370=""Sangria""),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  <c r="AB370" s="185"/>
      <c r="AC370" s="185"/>
      <c r="AD370" s="185"/>
      <c r="AE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IFERROR(__xludf.DUMMYFUNCTION("IF(
  AND(D371=""Saída"", J371=""Sangria""),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  <c r="AB371" s="185"/>
      <c r="AC371" s="185"/>
      <c r="AD371" s="185"/>
      <c r="AE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IFERROR(__xludf.DUMMYFUNCTION("IF(
  AND(D372=""Saída"", J372=""Sangria""),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  <c r="AB372" s="185"/>
      <c r="AC372" s="185"/>
      <c r="AD372" s="185"/>
      <c r="AE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IFERROR(__xludf.DUMMYFUNCTION("IF(
  AND(D373=""Saída"", J373=""Sangria""),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  <c r="AC373" s="185"/>
      <c r="AD373" s="185"/>
      <c r="AE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IFERROR(__xludf.DUMMYFUNCTION("IF(
  AND(D374=""Saída"", J374=""Sangria""),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  <c r="AB374" s="185"/>
      <c r="AC374" s="185"/>
      <c r="AD374" s="185"/>
      <c r="AE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IFERROR(__xludf.DUMMYFUNCTION("IF(
  AND(D375=""Saída"", J375=""Sangria""),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  <c r="AB375" s="185"/>
      <c r="AC375" s="185"/>
      <c r="AD375" s="185"/>
      <c r="AE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IFERROR(__xludf.DUMMYFUNCTION("IF(
  AND(D376=""Saída"", J376=""Sangria""),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  <c r="AC376" s="185"/>
      <c r="AD376" s="185"/>
      <c r="AE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IFERROR(__xludf.DUMMYFUNCTION("IF(
  AND(D377=""Saída"", J377=""Sangria""),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  <c r="AB377" s="185"/>
      <c r="AC377" s="185"/>
      <c r="AD377" s="185"/>
      <c r="AE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IFERROR(__xludf.DUMMYFUNCTION("IF(
  AND(D378=""Saída"", J378=""Sangria""),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185"/>
      <c r="AE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IFERROR(__xludf.DUMMYFUNCTION("IF(
  AND(D379=""Saída"", J379=""Sangria""),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  <c r="AC379" s="185"/>
      <c r="AD379" s="185"/>
      <c r="AE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IFERROR(__xludf.DUMMYFUNCTION("IF(
  AND(D380=""Saída"", J380=""Sangria""),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  <c r="AC380" s="185"/>
      <c r="AD380" s="185"/>
      <c r="AE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IFERROR(__xludf.DUMMYFUNCTION("IF(
  AND(D381=""Saída"", J381=""Sangria""),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  <c r="AC381" s="185"/>
      <c r="AD381" s="185"/>
      <c r="AE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IFERROR(__xludf.DUMMYFUNCTION("IF(
  AND(D382=""Saída"", J382=""Sangria""),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IFERROR(__xludf.DUMMYFUNCTION("IF(
  AND(D383=""Saída"", J383=""Sangria""),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IFERROR(__xludf.DUMMYFUNCTION("IF(
  AND(D384=""Saída"", J384=""Sangria""),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  <c r="AB384" s="185"/>
      <c r="AC384" s="185"/>
      <c r="AD384" s="185"/>
      <c r="AE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IFERROR(__xludf.DUMMYFUNCTION("IF(
  AND(D385=""Saída"", J385=""Sangria""),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  <c r="AB385" s="185"/>
      <c r="AC385" s="185"/>
      <c r="AD385" s="185"/>
      <c r="AE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IFERROR(__xludf.DUMMYFUNCTION("IF(
  AND(D386=""Saída"", J386=""Sangria""),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  <c r="AC386" s="185"/>
      <c r="AD386" s="185"/>
      <c r="AE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IFERROR(__xludf.DUMMYFUNCTION("IF(
  AND(D387=""Saída"", J387=""Sangria""),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IFERROR(__xludf.DUMMYFUNCTION("IF(
  AND(D388=""Saída"", J388=""Sangria""),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  <c r="AB388" s="185"/>
      <c r="AC388" s="185"/>
      <c r="AD388" s="185"/>
      <c r="AE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IFERROR(__xludf.DUMMYFUNCTION("IF(
  AND(D389=""Saída"", J389=""Sangria""),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  <c r="AC389" s="185"/>
      <c r="AD389" s="185"/>
      <c r="AE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IFERROR(__xludf.DUMMYFUNCTION("IF(
  AND(D390=""Saída"", J390=""Sangria""),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  <c r="AB390" s="185"/>
      <c r="AC390" s="185"/>
      <c r="AD390" s="185"/>
      <c r="AE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IFERROR(__xludf.DUMMYFUNCTION("IF(
  AND(D391=""Saída"", J391=""Sangria""),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  <c r="AB391" s="185"/>
      <c r="AC391" s="185"/>
      <c r="AD391" s="185"/>
      <c r="AE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IFERROR(__xludf.DUMMYFUNCTION("IF(
  AND(D392=""Saída"", J392=""Sangria""),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  <c r="AB392" s="185"/>
      <c r="AC392" s="185"/>
      <c r="AD392" s="185"/>
      <c r="AE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IFERROR(__xludf.DUMMYFUNCTION("IF(
  AND(D393=""Saída"", J393=""Sangria""),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  <c r="AC393" s="185"/>
      <c r="AD393" s="185"/>
      <c r="AE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IFERROR(__xludf.DUMMYFUNCTION("IF(
  AND(D394=""Saída"", J394=""Sangria""),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IFERROR(__xludf.DUMMYFUNCTION("IF(
  AND(D395=""Saída"", J395=""Sangria""),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IFERROR(__xludf.DUMMYFUNCTION("IF(
  AND(D396=""Saída"", J396=""Sangria""),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  <c r="AB396" s="185"/>
      <c r="AC396" s="185"/>
      <c r="AD396" s="185"/>
      <c r="AE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IFERROR(__xludf.DUMMYFUNCTION("IF(
  AND(D397=""Saída"", J397=""Sangria""),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  <c r="AB397" s="185"/>
      <c r="AC397" s="185"/>
      <c r="AD397" s="185"/>
      <c r="AE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IFERROR(__xludf.DUMMYFUNCTION("IF(
  AND(D398=""Saída"", J398=""Sangria""),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  <c r="AC398" s="185"/>
      <c r="AD398" s="185"/>
      <c r="AE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IFERROR(__xludf.DUMMYFUNCTION("IF(
  AND(D399=""Saída"", J399=""Sangria""),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IFERROR(__xludf.DUMMYFUNCTION("IF(
  AND(D400=""Saída"", J400=""Sangria""),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IFERROR(__xludf.DUMMYFUNCTION("IF(
  AND(D401=""Saída"", J401=""Sangria""),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  <c r="AB401" s="185"/>
      <c r="AC401" s="185"/>
      <c r="AD401" s="185"/>
      <c r="AE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IFERROR(__xludf.DUMMYFUNCTION("IF(
  AND(D402=""Saída"", J402=""Sangria""),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  <c r="AB402" s="185"/>
      <c r="AC402" s="185"/>
      <c r="AD402" s="185"/>
      <c r="AE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IFERROR(__xludf.DUMMYFUNCTION("IF(
  AND(D403=""Saída"", J403=""Sangria""),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IFERROR(__xludf.DUMMYFUNCTION("IF(
  AND(D404=""Saída"", J404=""Sangria""),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  <c r="AC404" s="185"/>
      <c r="AD404" s="185"/>
      <c r="AE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IFERROR(__xludf.DUMMYFUNCTION("IF(
  AND(D405=""Saída"", J405=""Sangria""),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  <c r="AB405" s="185"/>
      <c r="AC405" s="185"/>
      <c r="AD405" s="185"/>
      <c r="AE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IFERROR(__xludf.DUMMYFUNCTION("IF(
  AND(D406=""Saída"", J406=""Sangria""),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  <c r="AB406" s="185"/>
      <c r="AC406" s="185"/>
      <c r="AD406" s="185"/>
      <c r="AE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IFERROR(__xludf.DUMMYFUNCTION("IF(
  AND(D407=""Saída"", J407=""Sangria""),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  <c r="AC407" s="185"/>
      <c r="AD407" s="185"/>
      <c r="AE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IFERROR(__xludf.DUMMYFUNCTION("IF(
  AND(D408=""Saída"", J408=""Sangria""),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85"/>
      <c r="AC408" s="185"/>
      <c r="AD408" s="185"/>
      <c r="AE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IFERROR(__xludf.DUMMYFUNCTION("IF(
  AND(D409=""Saída"", J409=""Sangria""),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  <c r="AB409" s="185"/>
      <c r="AC409" s="185"/>
      <c r="AD409" s="185"/>
      <c r="AE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IFERROR(__xludf.DUMMYFUNCTION("IF(
  AND(D410=""Saída"", J410=""Sangria""),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  <c r="AB410" s="185"/>
      <c r="AC410" s="185"/>
      <c r="AD410" s="185"/>
      <c r="AE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IFERROR(__xludf.DUMMYFUNCTION("IF(
  AND(D411=""Saída"", J411=""Sangria""),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  <c r="AB411" s="185"/>
      <c r="AC411" s="185"/>
      <c r="AD411" s="185"/>
      <c r="AE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IFERROR(__xludf.DUMMYFUNCTION("IF(
  AND(D412=""Saída"", J412=""Sangria""),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  <c r="AC412" s="185"/>
      <c r="AD412" s="185"/>
      <c r="AE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IFERROR(__xludf.DUMMYFUNCTION("IF(
  AND(D413=""Saída"", J413=""Sangria""),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  <c r="AB413" s="185"/>
      <c r="AC413" s="185"/>
      <c r="AD413" s="185"/>
      <c r="AE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IFERROR(__xludf.DUMMYFUNCTION("IF(
  AND(D414=""Saída"", J414=""Sangria""),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  <c r="AB414" s="185"/>
      <c r="AC414" s="185"/>
      <c r="AD414" s="185"/>
      <c r="AE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IFERROR(__xludf.DUMMYFUNCTION("IF(
  AND(D415=""Saída"", J415=""Sangria""),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  <c r="AC415" s="185"/>
      <c r="AD415" s="185"/>
      <c r="AE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IFERROR(__xludf.DUMMYFUNCTION("IF(
  AND(D416=""Saída"", J416=""Sangria""),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  <c r="AB416" s="185"/>
      <c r="AC416" s="185"/>
      <c r="AD416" s="185"/>
      <c r="AE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IFERROR(__xludf.DUMMYFUNCTION("IF(
  AND(D417=""Saída"", J417=""Sangria""),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  <c r="AB417" s="185"/>
      <c r="AC417" s="185"/>
      <c r="AD417" s="185"/>
      <c r="AE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IFERROR(__xludf.DUMMYFUNCTION("IF(
  AND(D418=""Saída"", J418=""Sangria""),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IFERROR(__xludf.DUMMYFUNCTION("IF(
  AND(D419=""Saída"", J419=""Sangria""),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  <c r="AB419" s="185"/>
      <c r="AC419" s="185"/>
      <c r="AD419" s="185"/>
      <c r="AE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IFERROR(__xludf.DUMMYFUNCTION("IF(
  AND(D420=""Saída"", J420=""Sangria""),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  <c r="AB420" s="185"/>
      <c r="AC420" s="185"/>
      <c r="AD420" s="185"/>
      <c r="AE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IFERROR(__xludf.DUMMYFUNCTION("IF(
  AND(D421=""Saída"", J421=""Sangria""),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  <c r="AB421" s="185"/>
      <c r="AC421" s="185"/>
      <c r="AD421" s="185"/>
      <c r="AE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IFERROR(__xludf.DUMMYFUNCTION("IF(
  AND(D422=""Saída"", J422=""Sangria""),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IFERROR(__xludf.DUMMYFUNCTION("IF(
  AND(D423=""Saída"", J423=""Sangria""),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85"/>
      <c r="AC423" s="185"/>
      <c r="AD423" s="185"/>
      <c r="AE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IFERROR(__xludf.DUMMYFUNCTION("IF(
  AND(D424=""Saída"", J424=""Sangria""),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IFERROR(__xludf.DUMMYFUNCTION("IF(
  AND(D425=""Saída"", J425=""Sangria""),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  <c r="AB425" s="185"/>
      <c r="AC425" s="185"/>
      <c r="AD425" s="185"/>
      <c r="AE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IFERROR(__xludf.DUMMYFUNCTION("IF(
  AND(D426=""Saída"", J426=""Sangria""),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  <c r="AC426" s="185"/>
      <c r="AD426" s="185"/>
      <c r="AE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IFERROR(__xludf.DUMMYFUNCTION("IF(
  AND(D427=""Saída"", J427=""Sangria""),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  <c r="AB427" s="185"/>
      <c r="AC427" s="185"/>
      <c r="AD427" s="185"/>
      <c r="AE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IFERROR(__xludf.DUMMYFUNCTION("IF(
  AND(D428=""Saída"", J428=""Sangria""),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  <c r="AC428" s="185"/>
      <c r="AD428" s="185"/>
      <c r="AE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IFERROR(__xludf.DUMMYFUNCTION("IF(
  AND(D429=""Saída"", J429=""Sangria""),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85"/>
      <c r="AC429" s="185"/>
      <c r="AD429" s="185"/>
      <c r="AE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IFERROR(__xludf.DUMMYFUNCTION("IF(
  AND(D430=""Saída"", J430=""Sangria""),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  <c r="AB430" s="185"/>
      <c r="AC430" s="185"/>
      <c r="AD430" s="185"/>
      <c r="AE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IFERROR(__xludf.DUMMYFUNCTION("IF(
  AND(D431=""Saída"", J431=""Sangria""),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  <c r="AB431" s="185"/>
      <c r="AC431" s="185"/>
      <c r="AD431" s="185"/>
      <c r="AE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IFERROR(__xludf.DUMMYFUNCTION("IF(
  AND(D432=""Saída"", J432=""Sangria""),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  <c r="AB432" s="185"/>
      <c r="AC432" s="185"/>
      <c r="AD432" s="185"/>
      <c r="AE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IFERROR(__xludf.DUMMYFUNCTION("IF(
  AND(D433=""Saída"", J433=""Sangria""),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  <c r="AB433" s="185"/>
      <c r="AC433" s="185"/>
      <c r="AD433" s="185"/>
      <c r="AE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IFERROR(__xludf.DUMMYFUNCTION("IF(
  AND(D434=""Saída"", J434=""Sangria""),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  <c r="AB434" s="185"/>
      <c r="AC434" s="185"/>
      <c r="AD434" s="185"/>
      <c r="AE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IFERROR(__xludf.DUMMYFUNCTION("IF(
  AND(D435=""Saída"", J435=""Sangria""),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  <c r="AB435" s="185"/>
      <c r="AC435" s="185"/>
      <c r="AD435" s="185"/>
      <c r="AE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IFERROR(__xludf.DUMMYFUNCTION("IF(
  AND(D436=""Saída"", J436=""Sangria""),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  <c r="AB436" s="185"/>
      <c r="AC436" s="185"/>
      <c r="AD436" s="185"/>
      <c r="AE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IFERROR(__xludf.DUMMYFUNCTION("IF(
  AND(D437=""Saída"", J437=""Sangria""),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  <c r="AB437" s="185"/>
      <c r="AC437" s="185"/>
      <c r="AD437" s="185"/>
      <c r="AE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IFERROR(__xludf.DUMMYFUNCTION("IF(
  AND(D438=""Saída"", J438=""Sangria""),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  <c r="AC438" s="185"/>
      <c r="AD438" s="185"/>
      <c r="AE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IFERROR(__xludf.DUMMYFUNCTION("IF(
  AND(D439=""Saída"", J439=""Sangria""),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85"/>
      <c r="AC439" s="185"/>
      <c r="AD439" s="185"/>
      <c r="AE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IFERROR(__xludf.DUMMYFUNCTION("IF(
  AND(D440=""Saída"", J440=""Sangria""),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  <c r="AB440" s="185"/>
      <c r="AC440" s="185"/>
      <c r="AD440" s="185"/>
      <c r="AE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IFERROR(__xludf.DUMMYFUNCTION("IF(
  AND(D441=""Saída"", J441=""Sangria""),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  <c r="AB441" s="185"/>
      <c r="AC441" s="185"/>
      <c r="AD441" s="185"/>
      <c r="AE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IFERROR(__xludf.DUMMYFUNCTION("IF(
  AND(D442=""Saída"", J442=""Sangria""),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  <c r="AB442" s="185"/>
      <c r="AC442" s="185"/>
      <c r="AD442" s="185"/>
      <c r="AE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IFERROR(__xludf.DUMMYFUNCTION("IF(
  AND(D443=""Saída"", J443=""Sangria""),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  <c r="AB443" s="185"/>
      <c r="AC443" s="185"/>
      <c r="AD443" s="185"/>
      <c r="AE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IFERROR(__xludf.DUMMYFUNCTION("IF(
  AND(D444=""Saída"", J444=""Sangria""),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  <c r="AB444" s="185"/>
      <c r="AC444" s="185"/>
      <c r="AD444" s="185"/>
      <c r="AE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IFERROR(__xludf.DUMMYFUNCTION("IF(
  AND(D445=""Saída"", J445=""Sangria""),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  <c r="AB445" s="185"/>
      <c r="AC445" s="185"/>
      <c r="AD445" s="185"/>
      <c r="AE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IFERROR(__xludf.DUMMYFUNCTION("IF(
  AND(D446=""Saída"", J446=""Sangria""),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  <c r="AC446" s="185"/>
      <c r="AD446" s="185"/>
      <c r="AE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IFERROR(__xludf.DUMMYFUNCTION("IF(
  AND(D447=""Saída"", J447=""Sangria""),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  <c r="AB447" s="185"/>
      <c r="AC447" s="185"/>
      <c r="AD447" s="185"/>
      <c r="AE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IFERROR(__xludf.DUMMYFUNCTION("IF(
  AND(D448=""Saída"", J448=""Sangria""),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  <c r="AC448" s="185"/>
      <c r="AD448" s="185"/>
      <c r="AE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IFERROR(__xludf.DUMMYFUNCTION("IF(
  AND(D449=""Saída"", J449=""Sangria""),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  <c r="AB449" s="185"/>
      <c r="AC449" s="185"/>
      <c r="AD449" s="185"/>
      <c r="AE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IFERROR(__xludf.DUMMYFUNCTION("IF(
  AND(D450=""Saída"", J450=""Sangria""),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IFERROR(__xludf.DUMMYFUNCTION("IF(
  AND(D451=""Saída"", J451=""Sangria""),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  <c r="AB451" s="185"/>
      <c r="AC451" s="185"/>
      <c r="AD451" s="185"/>
      <c r="AE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IFERROR(__xludf.DUMMYFUNCTION("IF(
  AND(D452=""Saída"", J452=""Sangria""),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  <c r="AB452" s="185"/>
      <c r="AC452" s="185"/>
      <c r="AD452" s="185"/>
      <c r="AE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IFERROR(__xludf.DUMMYFUNCTION("IF(
  AND(D453=""Saída"", J453=""Sangria""),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  <c r="AB453" s="185"/>
      <c r="AC453" s="185"/>
      <c r="AD453" s="185"/>
      <c r="AE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IFERROR(__xludf.DUMMYFUNCTION("IF(
  AND(D454=""Saída"", J454=""Sangria""),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  <c r="AB454" s="185"/>
      <c r="AC454" s="185"/>
      <c r="AD454" s="185"/>
      <c r="AE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IFERROR(__xludf.DUMMYFUNCTION("IF(
  AND(D455=""Saída"", J455=""Sangria""),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  <c r="AB455" s="185"/>
      <c r="AC455" s="185"/>
      <c r="AD455" s="185"/>
      <c r="AE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IFERROR(__xludf.DUMMYFUNCTION("IF(
  AND(D456=""Saída"", J456=""Sangria""),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  <c r="AC456" s="185"/>
      <c r="AD456" s="185"/>
      <c r="AE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IFERROR(__xludf.DUMMYFUNCTION("IF(
  AND(D457=""Saída"", J457=""Sangria""),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85"/>
      <c r="AC457" s="185"/>
      <c r="AD457" s="185"/>
      <c r="AE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IFERROR(__xludf.DUMMYFUNCTION("IF(
  AND(D458=""Saída"", J458=""Sangria""),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  <c r="AB458" s="185"/>
      <c r="AC458" s="185"/>
      <c r="AD458" s="185"/>
      <c r="AE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IFERROR(__xludf.DUMMYFUNCTION("IF(
  AND(D459=""Saída"", J459=""Sangria""),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  <c r="AB459" s="185"/>
      <c r="AC459" s="185"/>
      <c r="AD459" s="185"/>
      <c r="AE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IFERROR(__xludf.DUMMYFUNCTION("IF(
  AND(D460=""Saída"", J460=""Sangria""),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  <c r="AC460" s="185"/>
      <c r="AD460" s="185"/>
      <c r="AE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IFERROR(__xludf.DUMMYFUNCTION("IF(
  AND(D461=""Saída"", J461=""Sangria""),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  <c r="AB461" s="185"/>
      <c r="AC461" s="185"/>
      <c r="AD461" s="185"/>
      <c r="AE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IFERROR(__xludf.DUMMYFUNCTION("IF(
  AND(D462=""Saída"", J462=""Sangria""),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  <c r="AB462" s="185"/>
      <c r="AC462" s="185"/>
      <c r="AD462" s="185"/>
      <c r="AE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IFERROR(__xludf.DUMMYFUNCTION("IF(
  AND(D463=""Saída"", J463=""Sangria""),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  <c r="AB463" s="185"/>
      <c r="AC463" s="185"/>
      <c r="AD463" s="185"/>
      <c r="AE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IFERROR(__xludf.DUMMYFUNCTION("IF(
  AND(D464=""Saída"", J464=""Sangria""),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IFERROR(__xludf.DUMMYFUNCTION("IF(
  AND(D465=""Saída"", J465=""Sangria""),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  <c r="AB465" s="185"/>
      <c r="AC465" s="185"/>
      <c r="AD465" s="185"/>
      <c r="AE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IFERROR(__xludf.DUMMYFUNCTION("IF(
  AND(D466=""Saída"", J466=""Sangria""),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85"/>
      <c r="AC466" s="185"/>
      <c r="AD466" s="185"/>
      <c r="AE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IFERROR(__xludf.DUMMYFUNCTION("IF(
  AND(D467=""Saída"", J467=""Sangria""),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  <c r="AB467" s="185"/>
      <c r="AC467" s="185"/>
      <c r="AD467" s="185"/>
      <c r="AE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IFERROR(__xludf.DUMMYFUNCTION("IF(
  AND(D468=""Saída"", J468=""Sangria""),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  <c r="AB468" s="185"/>
      <c r="AC468" s="185"/>
      <c r="AD468" s="185"/>
      <c r="AE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IFERROR(__xludf.DUMMYFUNCTION("IF(
  AND(D469=""Saída"", J469=""Sangria""),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  <c r="AC469" s="185"/>
      <c r="AD469" s="185"/>
      <c r="AE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IFERROR(__xludf.DUMMYFUNCTION("IF(
  AND(D470=""Saída"", J470=""Sangria""),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  <c r="AB470" s="185"/>
      <c r="AC470" s="185"/>
      <c r="AD470" s="185"/>
      <c r="AE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IFERROR(__xludf.DUMMYFUNCTION("IF(
  AND(D471=""Saída"", J471=""Sangria""),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  <c r="AB471" s="185"/>
      <c r="AC471" s="185"/>
      <c r="AD471" s="185"/>
      <c r="AE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IFERROR(__xludf.DUMMYFUNCTION("IF(
  AND(D472=""Saída"", J472=""Sangria""),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  <c r="AB472" s="185"/>
      <c r="AC472" s="185"/>
      <c r="AD472" s="185"/>
      <c r="AE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IFERROR(__xludf.DUMMYFUNCTION("IF(
  AND(D473=""Saída"", J473=""Sangria""),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  <c r="AB473" s="185"/>
      <c r="AC473" s="185"/>
      <c r="AD473" s="185"/>
      <c r="AE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IFERROR(__xludf.DUMMYFUNCTION("IF(
  AND(D474=""Saída"", J474=""Sangria""),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  <c r="AB474" s="185"/>
      <c r="AC474" s="185"/>
      <c r="AD474" s="185"/>
      <c r="AE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IFERROR(__xludf.DUMMYFUNCTION("IF(
  AND(D475=""Saída"", J475=""Sangria""),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  <c r="AC475" s="185"/>
      <c r="AD475" s="185"/>
      <c r="AE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IFERROR(__xludf.DUMMYFUNCTION("IF(
  AND(D476=""Saída"", J476=""Sangria""),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  <c r="AB476" s="185"/>
      <c r="AC476" s="185"/>
      <c r="AD476" s="185"/>
      <c r="AE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IFERROR(__xludf.DUMMYFUNCTION("IF(
  AND(D477=""Saída"", J477=""Sangria""),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  <c r="AB477" s="185"/>
      <c r="AC477" s="185"/>
      <c r="AD477" s="185"/>
      <c r="AE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IFERROR(__xludf.DUMMYFUNCTION("IF(
  AND(D478=""Saída"", J478=""Sangria""),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  <c r="AC478" s="185"/>
      <c r="AD478" s="185"/>
      <c r="AE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IFERROR(__xludf.DUMMYFUNCTION("IF(
  AND(D479=""Saída"", J479=""Sangria""),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  <c r="AB479" s="185"/>
      <c r="AC479" s="185"/>
      <c r="AD479" s="185"/>
      <c r="AE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IFERROR(__xludf.DUMMYFUNCTION("IF(
  AND(D480=""Saída"", J480=""Sangria""),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  <c r="AC480" s="185"/>
      <c r="AD480" s="185"/>
      <c r="AE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IFERROR(__xludf.DUMMYFUNCTION("IF(
  AND(D481=""Saída"", J481=""Sangria""),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IFERROR(__xludf.DUMMYFUNCTION("IF(
  AND(D482=""Saída"", J482=""Sangria""),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  <c r="AC482" s="185"/>
      <c r="AD482" s="185"/>
      <c r="AE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IFERROR(__xludf.DUMMYFUNCTION("IF(
  AND(D483=""Saída"", J483=""Sangria""),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  <c r="AB483" s="185"/>
      <c r="AC483" s="185"/>
      <c r="AD483" s="185"/>
      <c r="AE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IFERROR(__xludf.DUMMYFUNCTION("IF(
  AND(D484=""Saída"", J484=""Sangria""),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  <c r="AC484" s="185"/>
      <c r="AD484" s="185"/>
      <c r="AE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IFERROR(__xludf.DUMMYFUNCTION("IF(
  AND(D485=""Saída"", J485=""Sangria""),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  <c r="AC485" s="185"/>
      <c r="AD485" s="185"/>
      <c r="AE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IFERROR(__xludf.DUMMYFUNCTION("IF(
  AND(D486=""Saída"", J486=""Sangria""),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  <c r="AB486" s="185"/>
      <c r="AC486" s="185"/>
      <c r="AD486" s="185"/>
      <c r="AE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IFERROR(__xludf.DUMMYFUNCTION("IF(
  AND(D487=""Saída"", J487=""Sangria""),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  <c r="AB487" s="185"/>
      <c r="AC487" s="185"/>
      <c r="AD487" s="185"/>
      <c r="AE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IFERROR(__xludf.DUMMYFUNCTION("IF(
  AND(D488=""Saída"", J488=""Sangria""),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  <c r="AB488" s="185"/>
      <c r="AC488" s="185"/>
      <c r="AD488" s="185"/>
      <c r="AE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IFERROR(__xludf.DUMMYFUNCTION("IF(
  AND(D489=""Saída"", J489=""Sangria""),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IFERROR(__xludf.DUMMYFUNCTION("IF(
  AND(D490=""Saída"", J490=""Sangria""),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  <c r="AB490" s="185"/>
      <c r="AC490" s="185"/>
      <c r="AD490" s="185"/>
      <c r="AE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IFERROR(__xludf.DUMMYFUNCTION("IF(
  AND(D491=""Saída"", J491=""Sangria""),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  <c r="AB491" s="185"/>
      <c r="AC491" s="185"/>
      <c r="AD491" s="185"/>
      <c r="AE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IFERROR(__xludf.DUMMYFUNCTION("IF(
  AND(D492=""Saída"", J492=""Sangria""),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  <c r="AB492" s="185"/>
      <c r="AC492" s="185"/>
      <c r="AD492" s="185"/>
      <c r="AE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IFERROR(__xludf.DUMMYFUNCTION("IF(
  AND(D493=""Saída"", J493=""Sangria""),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85"/>
      <c r="AC493" s="185"/>
      <c r="AD493" s="185"/>
      <c r="AE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IFERROR(__xludf.DUMMYFUNCTION("IF(
  AND(D494=""Saída"", J494=""Sangria""),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  <c r="AB494" s="185"/>
      <c r="AC494" s="185"/>
      <c r="AD494" s="185"/>
      <c r="AE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IFERROR(__xludf.DUMMYFUNCTION("IF(
  AND(D495=""Saída"", J495=""Sangria""),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  <c r="AB495" s="185"/>
      <c r="AC495" s="185"/>
      <c r="AD495" s="185"/>
      <c r="AE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IFERROR(__xludf.DUMMYFUNCTION("IF(
  AND(D496=""Saída"", J496=""Sangria""),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  <c r="AB496" s="185"/>
      <c r="AC496" s="185"/>
      <c r="AD496" s="185"/>
      <c r="AE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IFERROR(__xludf.DUMMYFUNCTION("IF(
  AND(D497=""Saída"", J497=""Sangria""),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  <c r="AC497" s="185"/>
      <c r="AD497" s="185"/>
      <c r="AE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IFERROR(__xludf.DUMMYFUNCTION("IF(
  AND(D498=""Saída"", J498=""Sangria""),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  <c r="AC498" s="185"/>
      <c r="AD498" s="185"/>
      <c r="AE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IFERROR(__xludf.DUMMYFUNCTION("IF(
  AND(D499=""Saída"", J499=""Sangria""),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  <c r="AB499" s="185"/>
      <c r="AC499" s="185"/>
      <c r="AD499" s="185"/>
      <c r="AE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IFERROR(__xludf.DUMMYFUNCTION("IF(
  AND(D500=""Saída"", J500=""Sangria""),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  <c r="AB500" s="185"/>
      <c r="AC500" s="185"/>
      <c r="AD500" s="185"/>
      <c r="AE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IFERROR(__xludf.DUMMYFUNCTION("IF(
  AND(D501=""Saída"", J501=""Sangria""),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  <c r="AB501" s="185"/>
      <c r="AC501" s="185"/>
      <c r="AD501" s="185"/>
      <c r="AE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IFERROR(__xludf.DUMMYFUNCTION("IF(
  AND(D502=""Saída"", J502=""Sangria""),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IFERROR(__xludf.DUMMYFUNCTION("IF(
  AND(D503=""Saída"", J503=""Sangria""),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IFERROR(__xludf.DUMMYFUNCTION("IF(
  AND(D504=""Saída"", J504=""Sangria""),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252" t="str">
        <f>IFERROR(__xludf.DUMMYFUNCTION("IF(
  AND(D505=""Saída"", J505=""Sangria""),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252" t="str">
        <f>IFERROR(__xludf.DUMMYFUNCTION("IF(
  AND(D506=""Saída"", J506=""Sangria""),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7" t="str">
        <f>IFERROR(__xludf.DUMMYFUNCTION("IF(
  AND(D507=""Saída"", J507=""Sangria""),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/>
    </row>
  </sheetData>
  <mergeCells count="99"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33:U133"/>
    <mergeCell ref="S134:U134"/>
    <mergeCell ref="S135:U135"/>
    <mergeCell ref="S136:U136"/>
    <mergeCell ref="S126:U126"/>
    <mergeCell ref="S127:U127"/>
    <mergeCell ref="S128:U128"/>
    <mergeCell ref="S129:U129"/>
    <mergeCell ref="S130:U130"/>
    <mergeCell ref="S131:U131"/>
    <mergeCell ref="S132:U132"/>
    <mergeCell ref="T3:W3"/>
    <mergeCell ref="X3:AA3"/>
    <mergeCell ref="AB3:AE3"/>
    <mergeCell ref="A2:L2"/>
    <mergeCell ref="O2:W2"/>
    <mergeCell ref="A3:B3"/>
    <mergeCell ref="C3:D3"/>
    <mergeCell ref="E3:F3"/>
    <mergeCell ref="G3:H3"/>
    <mergeCell ref="I3:J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C19:D19"/>
    <mergeCell ref="E19:F19"/>
    <mergeCell ref="K18:L18"/>
    <mergeCell ref="K19:L19"/>
    <mergeCell ref="I22:J22"/>
    <mergeCell ref="O39:R39"/>
    <mergeCell ref="T39:W39"/>
    <mergeCell ref="O61:T62"/>
    <mergeCell ref="S63:T63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507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E36:E507">
    <cfRule type="containsText" dxfId="9" priority="19" operator="containsText" text="R$">
      <formula>NOT(ISERROR(SEARCH(("R$"),(E36))))</formula>
    </cfRule>
  </conditionalFormatting>
  <conditionalFormatting sqref="K36:K507">
    <cfRule type="expression" dxfId="10" priority="20">
      <formula>or($J$29:$J$218="Compra Moedas",$J$29:$J$218="Cortesias",$J$29:$J$218="Troco")</formula>
    </cfRule>
  </conditionalFormatting>
  <conditionalFormatting sqref="K36:K507">
    <cfRule type="expression" dxfId="11" priority="21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2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3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4">
      <formula>LEN(TRIM(I43))&gt;0</formula>
    </cfRule>
  </conditionalFormatting>
  <conditionalFormatting sqref="I36:I507">
    <cfRule type="expression" dxfId="8" priority="25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6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27">
      <formula>and($C$29:$C$218="",or($D$29:$D$218="Entrada",$D$29:$D$218="Saída"))</formula>
    </cfRule>
  </conditionalFormatting>
  <conditionalFormatting sqref="I36:I507">
    <cfRule type="expression" dxfId="8" priority="28">
      <formula>and(K36 = "",or(J36="Consumo",J36="Adiantamento"))</formula>
    </cfRule>
  </conditionalFormatting>
  <conditionalFormatting sqref="M29:M507">
    <cfRule type="cellIs" dxfId="8" priority="29" operator="equal">
      <formula>"Não Encontrada"</formula>
    </cfRule>
  </conditionalFormatting>
  <conditionalFormatting sqref="L29:L507">
    <cfRule type="cellIs" dxfId="8" priority="30" operator="equal">
      <formula>"Caixa Sangria"</formula>
    </cfRule>
  </conditionalFormatting>
  <dataValidations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  <dataValidation type="list" allowBlank="1" showErrorMessage="1" sqref="K29:K507">
      <formula1>'ABRIL 2026'!$B$4:$B$16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hidden="1" min="1" max="1" width="9.63" outlineLevel="1"/>
    <col collapsed="1" customWidth="1" min="2" max="2" width="10.25"/>
    <col customWidth="1" min="3" max="3" width="15.13"/>
    <col customWidth="1" min="4" max="4" width="13.88"/>
    <col customWidth="1" min="5" max="5" width="15.13"/>
    <col customWidth="1" min="6" max="6" width="16.13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28.88"/>
    <col customWidth="1" min="22" max="22" width="19.38"/>
    <col customWidth="1" min="23" max="31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  <c r="X2" s="358"/>
      <c r="Y2" s="359"/>
      <c r="Z2" s="359"/>
      <c r="AA2" s="360"/>
      <c r="AB2" s="361"/>
      <c r="AC2" s="362"/>
      <c r="AD2" s="362"/>
      <c r="AE2" s="363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B6</f>
        <v>Jaara</v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4" t="str">
        <f>B4</f>
        <v>Marcos</v>
      </c>
      <c r="P3" s="106"/>
      <c r="Q3" s="106"/>
      <c r="R3" s="107"/>
      <c r="S3" s="37"/>
      <c r="T3" s="38" t="str">
        <f>B5</f>
        <v>Rayanna</v>
      </c>
      <c r="U3" s="27"/>
      <c r="V3" s="27"/>
      <c r="W3" s="28"/>
      <c r="X3" s="365" t="str">
        <f>B8</f>
        <v>Sabrina</v>
      </c>
      <c r="AA3" s="150"/>
      <c r="AB3" s="364" t="str">
        <f>B7</f>
        <v>Ana Carolina</v>
      </c>
      <c r="AC3" s="106"/>
      <c r="AD3" s="106"/>
      <c r="AE3" s="107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0</v>
      </c>
      <c r="E4" s="43" t="s">
        <v>1112</v>
      </c>
      <c r="F4" s="42">
        <f>SUMIFS(N29:N504,J29:J504,E4,K29:K504,E3)+SUMIF(Q64:Q106,A5,R64:R106)+F9</f>
        <v>500</v>
      </c>
      <c r="G4" s="43" t="s">
        <v>1112</v>
      </c>
      <c r="H4" s="42">
        <f>SUMIFS(N29:N504,J29:J504,G4,K29:K504,G3)+SUMIF(Q64:Q81,A6,R64:R106)+H9</f>
        <v>500</v>
      </c>
      <c r="I4" s="43" t="s">
        <v>1112</v>
      </c>
      <c r="J4" s="42">
        <f>SUMIFS(N29:N504,J29:J504,C4,K29:K504,I3)+SUMIF(Q64:Q106,A7,R64:R106)+J9</f>
        <v>500</v>
      </c>
      <c r="K4" s="43" t="s">
        <v>1112</v>
      </c>
      <c r="L4" s="44">
        <f>SUMIFS(N29:N504,J29:J504,C4,K29:K504,K3)+SUMIF(Q64:Q106,A8,R64:R106)+L9</f>
        <v>500</v>
      </c>
      <c r="M4" s="25"/>
      <c r="N4" s="25"/>
      <c r="O4" s="366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36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'""&amp;B5&amp;""'"",1)"),"Data")</f>
        <v>Data</v>
      </c>
      <c r="U4" s="49" t="str">
        <f>IFERROR(__xludf.DUMMYFUNCTION("""COMPUTED_VALUE"""),"Valor ")</f>
        <v>Valor </v>
      </c>
      <c r="V4" s="49" t="str">
        <f>IFERROR(__xludf.DUMMYFUNCTION("""COMPUTED_VALUE"""),"Tipo")</f>
        <v>Tipo</v>
      </c>
      <c r="W4" s="49" t="str">
        <f>IFERROR(__xludf.DUMMYFUNCTION("""COMPUTED_VALUE"""),"Funcionário")</f>
        <v>Funcionário</v>
      </c>
      <c r="X4" s="368" t="str">
        <f>IFERROR(__xludf.DUMMYFUNCTION("query(C28:L507,""select Col1,Col3,Col8,Col9 where (Col8 = 'Adiantamento' or Col8 = 'Consumo') and Col9 = '""&amp;B8&amp;""'"",1)"),"Data")</f>
        <v>Data</v>
      </c>
      <c r="Y4" s="49" t="str">
        <f>IFERROR(__xludf.DUMMYFUNCTION("""COMPUTED_VALUE"""),"Valor ")</f>
        <v>Valor </v>
      </c>
      <c r="Z4" s="49" t="str">
        <f>IFERROR(__xludf.DUMMYFUNCTION("""COMPUTED_VALUE"""),"Tipo")</f>
        <v>Tipo</v>
      </c>
      <c r="AA4" s="369" t="str">
        <f>IFERROR(__xludf.DUMMYFUNCTION("""COMPUTED_VALUE"""),"Funcionário")</f>
        <v>Funcionário</v>
      </c>
      <c r="AB4" s="366" t="str">
        <f>IFERROR(__xludf.DUMMYFUNCTION("query(C28:L507,""select Col1,Col3,Col8,Col9 where (Col8 = 'Adiantamento' or Col8 = 'Consumo') and Col9 = '""&amp;B7&amp;""'"",1)"),"Data")</f>
        <v>Data</v>
      </c>
      <c r="AC4" s="46" t="str">
        <f>IFERROR(__xludf.DUMMYFUNCTION("""COMPUTED_VALUE"""),"Valor ")</f>
        <v>Valor </v>
      </c>
      <c r="AD4" s="46" t="str">
        <f>IFERROR(__xludf.DUMMYFUNCTION("""COMPUTED_VALUE"""),"Tipo")</f>
        <v>Tipo</v>
      </c>
      <c r="AE4" s="367" t="str">
        <f>IFERROR(__xludf.DUMMYFUNCTION("""COMPUTED_VALUE"""),"Funcionário")</f>
        <v>Funcionário</v>
      </c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257.91</v>
      </c>
      <c r="G5" s="43" t="s">
        <v>3044</v>
      </c>
      <c r="H5" s="42">
        <f>SUMIFS(N29:N504,J29:J504,C5,K29:K504,G3)</f>
        <v>108.44</v>
      </c>
      <c r="I5" s="43" t="s">
        <v>3044</v>
      </c>
      <c r="J5" s="42">
        <f>SUMIFS(N29:N504,J29:J504,C5,K29:K504,I3)</f>
        <v>280.25</v>
      </c>
      <c r="K5" s="43" t="s">
        <v>3044</v>
      </c>
      <c r="L5" s="44">
        <f>SUMIFS(N29:N504,J29:J504,C5,K29:K504,K3)</f>
        <v>250.53</v>
      </c>
      <c r="M5" s="25"/>
      <c r="N5" s="25"/>
      <c r="O5" s="370"/>
      <c r="P5" s="52"/>
      <c r="Q5" s="52"/>
      <c r="R5" s="371"/>
      <c r="S5" s="54"/>
      <c r="T5" s="55">
        <f>IFERROR(__xludf.DUMMYFUNCTION("""COMPUTED_VALUE"""),46138.64438657407)</f>
        <v>46138.64439</v>
      </c>
      <c r="U5" s="52" t="str">
        <f>IFERROR(__xludf.DUMMYFUNCTION("""COMPUTED_VALUE"""),"R$ 27,59")</f>
        <v>R$ 27,59</v>
      </c>
      <c r="V5" s="52" t="str">
        <f>IFERROR(__xludf.DUMMYFUNCTION("""COMPUTED_VALUE"""),"Consumo")</f>
        <v>Consumo</v>
      </c>
      <c r="W5" s="52" t="str">
        <f>IFERROR(__xludf.DUMMYFUNCTION("""COMPUTED_VALUE"""),"Rayanna")</f>
        <v>Rayanna</v>
      </c>
      <c r="X5" s="370">
        <f>IFERROR(__xludf.DUMMYFUNCTION("""COMPUTED_VALUE"""),46139.54344907407)</f>
        <v>46139.54345</v>
      </c>
      <c r="Y5" s="52" t="str">
        <f>IFERROR(__xludf.DUMMYFUNCTION("""COMPUTED_VALUE"""),"R$ 5,00")</f>
        <v>R$ 5,00</v>
      </c>
      <c r="Z5" s="52" t="str">
        <f>IFERROR(__xludf.DUMMYFUNCTION("""COMPUTED_VALUE"""),"Consumo")</f>
        <v>Consumo</v>
      </c>
      <c r="AA5" s="371" t="str">
        <f>IFERROR(__xludf.DUMMYFUNCTION("""COMPUTED_VALUE"""),"Sabrina")</f>
        <v>Sabrina</v>
      </c>
      <c r="AB5" s="370">
        <f>IFERROR(__xludf.DUMMYFUNCTION("""COMPUTED_VALUE"""),46138.88778935185)</f>
        <v>46138.88779</v>
      </c>
      <c r="AC5" s="52" t="str">
        <f>IFERROR(__xludf.DUMMYFUNCTION("""COMPUTED_VALUE"""),"R$ 21,90")</f>
        <v>R$ 21,90</v>
      </c>
      <c r="AD5" s="52" t="str">
        <f>IFERROR(__xludf.DUMMYFUNCTION("""COMPUTED_VALUE"""),"Consumo")</f>
        <v>Consumo</v>
      </c>
      <c r="AE5" s="371" t="str">
        <f>IFERROR(__xludf.DUMMYFUNCTION("""COMPUTED_VALUE"""),"Ana Carolina")</f>
        <v>Ana Carolina</v>
      </c>
    </row>
    <row r="6" ht="16.5" customHeight="1">
      <c r="A6" s="56" t="s">
        <v>152</v>
      </c>
      <c r="B6" s="40" t="s">
        <v>8093</v>
      </c>
      <c r="C6" s="41" t="s">
        <v>3082</v>
      </c>
      <c r="D6" s="42">
        <f>D5*0.8</f>
        <v>0</v>
      </c>
      <c r="E6" s="43" t="s">
        <v>3082</v>
      </c>
      <c r="F6" s="42">
        <f>F5*0.8</f>
        <v>206.328</v>
      </c>
      <c r="G6" s="43" t="s">
        <v>3082</v>
      </c>
      <c r="H6" s="42">
        <f>H5*0.8</f>
        <v>86.752</v>
      </c>
      <c r="I6" s="43" t="s">
        <v>3082</v>
      </c>
      <c r="J6" s="42">
        <f>J5*0.8</f>
        <v>224.2</v>
      </c>
      <c r="K6" s="57" t="s">
        <v>3082</v>
      </c>
      <c r="L6" s="44">
        <f>L5*0.8</f>
        <v>200.424</v>
      </c>
      <c r="M6" s="25"/>
      <c r="N6" s="25"/>
      <c r="O6" s="370"/>
      <c r="P6" s="52"/>
      <c r="Q6" s="52"/>
      <c r="R6" s="371"/>
      <c r="S6" s="54"/>
      <c r="T6" s="55">
        <f>IFERROR(__xludf.DUMMYFUNCTION("""COMPUTED_VALUE"""),46139.780497685184)</f>
        <v>46139.7805</v>
      </c>
      <c r="U6" s="52" t="str">
        <f>IFERROR(__xludf.DUMMYFUNCTION("""COMPUTED_VALUE"""),"R$ 27,11")</f>
        <v>R$ 27,11</v>
      </c>
      <c r="V6" s="52" t="str">
        <f>IFERROR(__xludf.DUMMYFUNCTION("""COMPUTED_VALUE"""),"Consumo")</f>
        <v>Consumo</v>
      </c>
      <c r="W6" s="52" t="str">
        <f>IFERROR(__xludf.DUMMYFUNCTION("""COMPUTED_VALUE"""),"Rayanna")</f>
        <v>Rayanna</v>
      </c>
      <c r="X6" s="370">
        <f>IFERROR(__xludf.DUMMYFUNCTION("""COMPUTED_VALUE"""),46140.698854166665)</f>
        <v>46140.69885</v>
      </c>
      <c r="Y6" s="52" t="str">
        <f>IFERROR(__xludf.DUMMYFUNCTION("""COMPUTED_VALUE"""),"R$ 5,00")</f>
        <v>R$ 5,00</v>
      </c>
      <c r="Z6" s="52" t="str">
        <f>IFERROR(__xludf.DUMMYFUNCTION("""COMPUTED_VALUE"""),"Consumo")</f>
        <v>Consumo</v>
      </c>
      <c r="AA6" s="371" t="str">
        <f>IFERROR(__xludf.DUMMYFUNCTION("""COMPUTED_VALUE"""),"Sabrina")</f>
        <v>Sabrina</v>
      </c>
      <c r="AB6" s="370">
        <f>IFERROR(__xludf.DUMMYFUNCTION("""COMPUTED_VALUE"""),46139.53591435185)</f>
        <v>46139.53591</v>
      </c>
      <c r="AC6" s="52" t="str">
        <f>IFERROR(__xludf.DUMMYFUNCTION("""COMPUTED_VALUE"""),"R$ 10,99")</f>
        <v>R$ 10,99</v>
      </c>
      <c r="AD6" s="52" t="str">
        <f>IFERROR(__xludf.DUMMYFUNCTION("""COMPUTED_VALUE"""),"Consumo")</f>
        <v>Consumo</v>
      </c>
      <c r="AE6" s="371" t="str">
        <f>IFERROR(__xludf.DUMMYFUNCTION("""COMPUTED_VALUE"""),"Ana Carolina")</f>
        <v>Ana Carolina</v>
      </c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370"/>
      <c r="P7" s="52"/>
      <c r="Q7" s="52"/>
      <c r="R7" s="371"/>
      <c r="S7" s="54"/>
      <c r="T7" s="55">
        <f>IFERROR(__xludf.DUMMYFUNCTION("""COMPUTED_VALUE"""),46141.61679398148)</f>
        <v>46141.61679</v>
      </c>
      <c r="U7" s="52" t="str">
        <f>IFERROR(__xludf.DUMMYFUNCTION("""COMPUTED_VALUE"""),"R$ 17,25")</f>
        <v>R$ 17,25</v>
      </c>
      <c r="V7" s="52" t="str">
        <f>IFERROR(__xludf.DUMMYFUNCTION("""COMPUTED_VALUE"""),"Consumo")</f>
        <v>Consumo</v>
      </c>
      <c r="W7" s="52" t="str">
        <f>IFERROR(__xludf.DUMMYFUNCTION("""COMPUTED_VALUE"""),"Rayanna")</f>
        <v>Rayanna</v>
      </c>
      <c r="X7" s="370">
        <f>IFERROR(__xludf.DUMMYFUNCTION("""COMPUTED_VALUE"""),46141.74024305555)</f>
        <v>46141.74024</v>
      </c>
      <c r="Y7" s="52" t="str">
        <f>IFERROR(__xludf.DUMMYFUNCTION("""COMPUTED_VALUE"""),"R$ 4,00")</f>
        <v>R$ 4,00</v>
      </c>
      <c r="Z7" s="52" t="str">
        <f>IFERROR(__xludf.DUMMYFUNCTION("""COMPUTED_VALUE"""),"Consumo")</f>
        <v>Consumo</v>
      </c>
      <c r="AA7" s="371" t="str">
        <f>IFERROR(__xludf.DUMMYFUNCTION("""COMPUTED_VALUE"""),"Sabrina")</f>
        <v>Sabrina</v>
      </c>
      <c r="AB7" s="370">
        <f>IFERROR(__xludf.DUMMYFUNCTION("""COMPUTED_VALUE"""),46139.67371527778)</f>
        <v>46139.67372</v>
      </c>
      <c r="AC7" s="52" t="str">
        <f>IFERROR(__xludf.DUMMYFUNCTION("""COMPUTED_VALUE"""),"R$ 8,00")</f>
        <v>R$ 8,00</v>
      </c>
      <c r="AD7" s="52" t="str">
        <f>IFERROR(__xludf.DUMMYFUNCTION("""COMPUTED_VALUE"""),"Consumo")</f>
        <v>Consumo</v>
      </c>
      <c r="AE7" s="371" t="str">
        <f>IFERROR(__xludf.DUMMYFUNCTION("""COMPUTED_VALUE"""),"Ana Carolina")</f>
        <v>Ana Carolina</v>
      </c>
    </row>
    <row r="8" ht="14.25" customHeight="1">
      <c r="A8" s="12" t="s">
        <v>78</v>
      </c>
      <c r="B8" s="40" t="s">
        <v>7058</v>
      </c>
      <c r="C8" s="63" t="s">
        <v>3170</v>
      </c>
      <c r="D8" s="67"/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370"/>
      <c r="P8" s="52"/>
      <c r="Q8" s="52"/>
      <c r="R8" s="371"/>
      <c r="S8" s="54"/>
      <c r="T8" s="55">
        <f>IFERROR(__xludf.DUMMYFUNCTION("""COMPUTED_VALUE"""),46142.61050925926)</f>
        <v>46142.61051</v>
      </c>
      <c r="U8" s="52" t="str">
        <f>IFERROR(__xludf.DUMMYFUNCTION("""COMPUTED_VALUE"""),"R$ 21,13")</f>
        <v>R$ 21,13</v>
      </c>
      <c r="V8" s="52" t="str">
        <f>IFERROR(__xludf.DUMMYFUNCTION("""COMPUTED_VALUE"""),"Consumo")</f>
        <v>Consumo</v>
      </c>
      <c r="W8" s="52" t="str">
        <f>IFERROR(__xludf.DUMMYFUNCTION("""COMPUTED_VALUE"""),"Rayanna")</f>
        <v>Rayanna</v>
      </c>
      <c r="X8" s="370">
        <f>IFERROR(__xludf.DUMMYFUNCTION("""COMPUTED_VALUE"""),46141.77758101852)</f>
        <v>46141.77758</v>
      </c>
      <c r="Y8" s="52" t="str">
        <f>IFERROR(__xludf.DUMMYFUNCTION("""COMPUTED_VALUE"""),"R$ 12,01")</f>
        <v>R$ 12,01</v>
      </c>
      <c r="Z8" s="52" t="str">
        <f>IFERROR(__xludf.DUMMYFUNCTION("""COMPUTED_VALUE"""),"Consumo")</f>
        <v>Consumo</v>
      </c>
      <c r="AA8" s="371" t="str">
        <f>IFERROR(__xludf.DUMMYFUNCTION("""COMPUTED_VALUE"""),"Sabrina")</f>
        <v>Sabrina</v>
      </c>
      <c r="AB8" s="370">
        <f>IFERROR(__xludf.DUMMYFUNCTION("""COMPUTED_VALUE"""),46140.698645833334)</f>
        <v>46140.69865</v>
      </c>
      <c r="AC8" s="52" t="str">
        <f>IFERROR(__xludf.DUMMYFUNCTION("""COMPUTED_VALUE"""),"R$ 9,00")</f>
        <v>R$ 9,00</v>
      </c>
      <c r="AD8" s="52" t="str">
        <f>IFERROR(__xludf.DUMMYFUNCTION("""COMPUTED_VALUE"""),"Consumo")</f>
        <v>Consumo</v>
      </c>
      <c r="AE8" s="371" t="str">
        <f>IFERROR(__xludf.DUMMYFUNCTION("""COMPUTED_VALUE"""),"Ana Carolina")</f>
        <v>Ana Carolina</v>
      </c>
    </row>
    <row r="9">
      <c r="A9" s="39"/>
      <c r="B9" s="40"/>
      <c r="C9" s="70" t="s">
        <v>41</v>
      </c>
      <c r="D9" s="71"/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370"/>
      <c r="P9" s="52"/>
      <c r="Q9" s="52"/>
      <c r="R9" s="371"/>
      <c r="S9" s="54"/>
      <c r="T9" s="55">
        <f>IFERROR(__xludf.DUMMYFUNCTION("""COMPUTED_VALUE"""),46142.650509259256)</f>
        <v>46142.65051</v>
      </c>
      <c r="U9" s="52" t="str">
        <f>IFERROR(__xludf.DUMMYFUNCTION("""COMPUTED_VALUE"""),"R$ 4,00")</f>
        <v>R$ 4,00</v>
      </c>
      <c r="V9" s="52" t="str">
        <f>IFERROR(__xludf.DUMMYFUNCTION("""COMPUTED_VALUE"""),"Consumo")</f>
        <v>Consumo</v>
      </c>
      <c r="W9" s="52" t="str">
        <f>IFERROR(__xludf.DUMMYFUNCTION("""COMPUTED_VALUE"""),"Rayanna")</f>
        <v>Rayanna</v>
      </c>
      <c r="X9" s="370">
        <f>IFERROR(__xludf.DUMMYFUNCTION("""COMPUTED_VALUE"""),46142.632615740746)</f>
        <v>46142.63262</v>
      </c>
      <c r="Y9" s="52" t="str">
        <f>IFERROR(__xludf.DUMMYFUNCTION("""COMPUTED_VALUE"""),"R$ 10,99")</f>
        <v>R$ 10,99</v>
      </c>
      <c r="Z9" s="52" t="str">
        <f>IFERROR(__xludf.DUMMYFUNCTION("""COMPUTED_VALUE"""),"Consumo")</f>
        <v>Consumo</v>
      </c>
      <c r="AA9" s="371" t="str">
        <f>IFERROR(__xludf.DUMMYFUNCTION("""COMPUTED_VALUE"""),"Sabrina")</f>
        <v>Sabrina</v>
      </c>
      <c r="AB9" s="370">
        <f>IFERROR(__xludf.DUMMYFUNCTION("""COMPUTED_VALUE"""),46141.621620370366)</f>
        <v>46141.62162</v>
      </c>
      <c r="AC9" s="52" t="str">
        <f>IFERROR(__xludf.DUMMYFUNCTION("""COMPUTED_VALUE"""),"R$ 14,76")</f>
        <v>R$ 14,76</v>
      </c>
      <c r="AD9" s="52" t="str">
        <f>IFERROR(__xludf.DUMMYFUNCTION("""COMPUTED_VALUE"""),"Consumo")</f>
        <v>Consumo</v>
      </c>
      <c r="AE9" s="371" t="str">
        <f>IFERROR(__xludf.DUMMYFUNCTION("""COMPUTED_VALUE"""),"Ana Carolina")</f>
        <v>Ana Carolina</v>
      </c>
    </row>
    <row r="10" ht="21.75" customHeight="1">
      <c r="A10" s="39"/>
      <c r="B10" s="40"/>
      <c r="C10" s="75"/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370"/>
      <c r="P10" s="79"/>
      <c r="Q10" s="79"/>
      <c r="R10" s="372"/>
      <c r="S10" s="81"/>
      <c r="T10" s="55">
        <f>IFERROR(__xludf.DUMMYFUNCTION("""COMPUTED_VALUE"""),46142.72063657407)</f>
        <v>46142.72064</v>
      </c>
      <c r="U10" s="79" t="str">
        <f>IFERROR(__xludf.DUMMYFUNCTION("""COMPUTED_VALUE"""),"R$ 13,04")</f>
        <v>R$ 13,04</v>
      </c>
      <c r="V10" s="79" t="str">
        <f>IFERROR(__xludf.DUMMYFUNCTION("""COMPUTED_VALUE"""),"Consumo")</f>
        <v>Consumo</v>
      </c>
      <c r="W10" s="79" t="str">
        <f>IFERROR(__xludf.DUMMYFUNCTION("""COMPUTED_VALUE"""),"Rayanna")</f>
        <v>Rayanna</v>
      </c>
      <c r="X10" s="370">
        <f>IFERROR(__xludf.DUMMYFUNCTION("""COMPUTED_VALUE"""),46142.63332175926)</f>
        <v>46142.63332</v>
      </c>
      <c r="Y10" s="79" t="str">
        <f>IFERROR(__xludf.DUMMYFUNCTION("""COMPUTED_VALUE"""),"R$ 9,00")</f>
        <v>R$ 9,00</v>
      </c>
      <c r="Z10" s="79" t="str">
        <f>IFERROR(__xludf.DUMMYFUNCTION("""COMPUTED_VALUE"""),"Consumo")</f>
        <v>Consumo</v>
      </c>
      <c r="AA10" s="372" t="str">
        <f>IFERROR(__xludf.DUMMYFUNCTION("""COMPUTED_VALUE"""),"Sabrina")</f>
        <v>Sabrina</v>
      </c>
      <c r="AB10" s="370">
        <f>IFERROR(__xludf.DUMMYFUNCTION("""COMPUTED_VALUE"""),46142.79284722223)</f>
        <v>46142.79285</v>
      </c>
      <c r="AC10" s="79" t="str">
        <f>IFERROR(__xludf.DUMMYFUNCTION("""COMPUTED_VALUE"""),"R$ 4,00")</f>
        <v>R$ 4,00</v>
      </c>
      <c r="AD10" s="79" t="str">
        <f>IFERROR(__xludf.DUMMYFUNCTION("""COMPUTED_VALUE"""),"Consumo")</f>
        <v>Consumo</v>
      </c>
      <c r="AE10" s="372" t="str">
        <f>IFERROR(__xludf.DUMMYFUNCTION("""COMPUTED_VALUE"""),"Ana Carolina")</f>
        <v>Ana Carolina</v>
      </c>
    </row>
    <row r="11">
      <c r="A11" s="82"/>
      <c r="B11" s="83"/>
      <c r="C11" s="84" t="s">
        <v>1112</v>
      </c>
      <c r="D11" s="85">
        <f>SUMIFS(N29:N514,J29:J514,C11,K29:K514,C10)+SUMIF(Q64:Q106,A9,R64:R106)+D16</f>
        <v>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373"/>
      <c r="P11" s="89"/>
      <c r="Q11" s="89"/>
      <c r="R11" s="374"/>
      <c r="S11" s="91"/>
      <c r="T11" s="236">
        <f>IFERROR(__xludf.DUMMYFUNCTION("""COMPUTED_VALUE"""),46142.75545138889)</f>
        <v>46142.75545</v>
      </c>
      <c r="U11" s="89" t="str">
        <f>IFERROR(__xludf.DUMMYFUNCTION("""COMPUTED_VALUE"""),"R$ 18,79")</f>
        <v>R$ 18,79</v>
      </c>
      <c r="V11" s="89" t="str">
        <f>IFERROR(__xludf.DUMMYFUNCTION("""COMPUTED_VALUE"""),"Consumo")</f>
        <v>Consumo</v>
      </c>
      <c r="W11" s="89" t="str">
        <f>IFERROR(__xludf.DUMMYFUNCTION("""COMPUTED_VALUE"""),"Rayanna")</f>
        <v>Rayanna</v>
      </c>
      <c r="X11" s="375">
        <f>IFERROR(__xludf.DUMMYFUNCTION("""COMPUTED_VALUE"""),46142.64195601852)</f>
        <v>46142.64196</v>
      </c>
      <c r="Y11" s="89" t="str">
        <f>IFERROR(__xludf.DUMMYFUNCTION("""COMPUTED_VALUE"""),"R$ 16,87")</f>
        <v>R$ 16,87</v>
      </c>
      <c r="Z11" s="89" t="str">
        <f>IFERROR(__xludf.DUMMYFUNCTION("""COMPUTED_VALUE"""),"Consumo")</f>
        <v>Consumo</v>
      </c>
      <c r="AA11" s="374" t="str">
        <f>IFERROR(__xludf.DUMMYFUNCTION("""COMPUTED_VALUE"""),"Sabrina")</f>
        <v>Sabrina</v>
      </c>
      <c r="AB11" s="375">
        <f>IFERROR(__xludf.DUMMYFUNCTION("""COMPUTED_VALUE"""),46143.63229166667)</f>
        <v>46143.63229</v>
      </c>
      <c r="AC11" s="89" t="str">
        <f>IFERROR(__xludf.DUMMYFUNCTION("""COMPUTED_VALUE"""),"R$ 12,18")</f>
        <v>R$ 12,18</v>
      </c>
      <c r="AD11" s="89" t="str">
        <f>IFERROR(__xludf.DUMMYFUNCTION("""COMPUTED_VALUE"""),"Consumo")</f>
        <v>Consumo</v>
      </c>
      <c r="AE11" s="374" t="str">
        <f>IFERROR(__xludf.DUMMYFUNCTION("""COMPUTED_VALUE"""),"Ana Carolina")</f>
        <v>Ana Carolina</v>
      </c>
    </row>
    <row r="12">
      <c r="A12" s="82"/>
      <c r="B12" s="83"/>
      <c r="C12" s="84" t="s">
        <v>3044</v>
      </c>
      <c r="D12" s="85">
        <f>SUMIFS(N36:N514,J36:J514,C12,K36:K514,C10)</f>
        <v>0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373"/>
      <c r="P12" s="89"/>
      <c r="Q12" s="89"/>
      <c r="R12" s="374"/>
      <c r="S12" s="91"/>
      <c r="T12" s="236">
        <f>IFERROR(__xludf.DUMMYFUNCTION("""COMPUTED_VALUE"""),46142.75545138889)</f>
        <v>46142.75545</v>
      </c>
      <c r="U12" s="89" t="str">
        <f>IFERROR(__xludf.DUMMYFUNCTION("""COMPUTED_VALUE"""),"R$ 18,79")</f>
        <v>R$ 18,79</v>
      </c>
      <c r="V12" s="89" t="str">
        <f>IFERROR(__xludf.DUMMYFUNCTION("""COMPUTED_VALUE"""),"Consumo")</f>
        <v>Consumo</v>
      </c>
      <c r="W12" s="89" t="str">
        <f>IFERROR(__xludf.DUMMYFUNCTION("""COMPUTED_VALUE"""),"Rayanna")</f>
        <v>Rayanna</v>
      </c>
      <c r="X12" s="375">
        <f>IFERROR(__xludf.DUMMYFUNCTION("""COMPUTED_VALUE"""),46142.64224537037)</f>
        <v>46142.64225</v>
      </c>
      <c r="Y12" s="89" t="str">
        <f>IFERROR(__xludf.DUMMYFUNCTION("""COMPUTED_VALUE"""),"R$ 4,00")</f>
        <v>R$ 4,00</v>
      </c>
      <c r="Z12" s="89" t="str">
        <f>IFERROR(__xludf.DUMMYFUNCTION("""COMPUTED_VALUE"""),"Consumo")</f>
        <v>Consumo</v>
      </c>
      <c r="AA12" s="374" t="str">
        <f>IFERROR(__xludf.DUMMYFUNCTION("""COMPUTED_VALUE"""),"Sabrina")</f>
        <v>Sabrina</v>
      </c>
      <c r="AB12" s="375">
        <f>IFERROR(__xludf.DUMMYFUNCTION("""COMPUTED_VALUE"""),46144.655335648145)</f>
        <v>46144.65534</v>
      </c>
      <c r="AC12" s="89" t="str">
        <f>IFERROR(__xludf.DUMMYFUNCTION("""COMPUTED_VALUE"""),"R$ 10,22")</f>
        <v>R$ 10,22</v>
      </c>
      <c r="AD12" s="89" t="str">
        <f>IFERROR(__xludf.DUMMYFUNCTION("""COMPUTED_VALUE"""),"Consumo")</f>
        <v>Consumo</v>
      </c>
      <c r="AE12" s="374" t="str">
        <f>IFERROR(__xludf.DUMMYFUNCTION("""COMPUTED_VALUE"""),"Ana Carolina")</f>
        <v>Ana Carolina</v>
      </c>
    </row>
    <row r="13">
      <c r="A13" s="82"/>
      <c r="B13" s="93"/>
      <c r="C13" s="84" t="s">
        <v>3082</v>
      </c>
      <c r="D13" s="85">
        <f>D12*0.8</f>
        <v>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373"/>
      <c r="P13" s="89"/>
      <c r="Q13" s="89"/>
      <c r="R13" s="374"/>
      <c r="S13" s="91"/>
      <c r="T13" s="236">
        <f>IFERROR(__xludf.DUMMYFUNCTION("""COMPUTED_VALUE"""),46147.72284722222)</f>
        <v>46147.72285</v>
      </c>
      <c r="U13" s="89" t="str">
        <f>IFERROR(__xludf.DUMMYFUNCTION("""COMPUTED_VALUE"""),"R$ 55,32")</f>
        <v>R$ 55,32</v>
      </c>
      <c r="V13" s="89" t="str">
        <f>IFERROR(__xludf.DUMMYFUNCTION("""COMPUTED_VALUE"""),"Consumo")</f>
        <v>Consumo</v>
      </c>
      <c r="W13" s="89" t="str">
        <f>IFERROR(__xludf.DUMMYFUNCTION("""COMPUTED_VALUE"""),"Rayanna")</f>
        <v>Rayanna</v>
      </c>
      <c r="X13" s="375">
        <f>IFERROR(__xludf.DUMMYFUNCTION("""COMPUTED_VALUE"""),46143.90012731482)</f>
        <v>46143.90013</v>
      </c>
      <c r="Y13" s="89" t="str">
        <f>IFERROR(__xludf.DUMMYFUNCTION("""COMPUTED_VALUE"""),"R$ 44,11")</f>
        <v>R$ 44,11</v>
      </c>
      <c r="Z13" s="89" t="str">
        <f>IFERROR(__xludf.DUMMYFUNCTION("""COMPUTED_VALUE"""),"Consumo")</f>
        <v>Consumo</v>
      </c>
      <c r="AA13" s="374" t="str">
        <f>IFERROR(__xludf.DUMMYFUNCTION("""COMPUTED_VALUE"""),"Sabrina")</f>
        <v>Sabrina</v>
      </c>
      <c r="AB13" s="375">
        <f>IFERROR(__xludf.DUMMYFUNCTION("""COMPUTED_VALUE"""),46144.859201388885)</f>
        <v>46144.8592</v>
      </c>
      <c r="AC13" s="89" t="str">
        <f>IFERROR(__xludf.DUMMYFUNCTION("""COMPUTED_VALUE"""),"R$ 4,00")</f>
        <v>R$ 4,00</v>
      </c>
      <c r="AD13" s="89" t="str">
        <f>IFERROR(__xludf.DUMMYFUNCTION("""COMPUTED_VALUE"""),"Consumo")</f>
        <v>Consumo</v>
      </c>
      <c r="AE13" s="374" t="str">
        <f>IFERROR(__xludf.DUMMYFUNCTION("""COMPUTED_VALUE"""),"Ana Carolina")</f>
        <v>Ana Carolina</v>
      </c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373"/>
      <c r="P14" s="89"/>
      <c r="Q14" s="89"/>
      <c r="R14" s="374"/>
      <c r="S14" s="91"/>
      <c r="T14" s="236">
        <f>IFERROR(__xludf.DUMMYFUNCTION("""COMPUTED_VALUE"""),46148.60958333334)</f>
        <v>46148.60958</v>
      </c>
      <c r="U14" s="89" t="str">
        <f>IFERROR(__xludf.DUMMYFUNCTION("""COMPUTED_VALUE"""),"R$ 21,09")</f>
        <v>R$ 21,09</v>
      </c>
      <c r="V14" s="89" t="str">
        <f>IFERROR(__xludf.DUMMYFUNCTION("""COMPUTED_VALUE"""),"Consumo")</f>
        <v>Consumo</v>
      </c>
      <c r="W14" s="89" t="str">
        <f>IFERROR(__xludf.DUMMYFUNCTION("""COMPUTED_VALUE"""),"Rayanna")</f>
        <v>Rayanna</v>
      </c>
      <c r="X14" s="376">
        <f>IFERROR(__xludf.DUMMYFUNCTION("""COMPUTED_VALUE"""),46147.55113425926)</f>
        <v>46147.55113</v>
      </c>
      <c r="Y14" s="377" t="str">
        <f>IFERROR(__xludf.DUMMYFUNCTION("""COMPUTED_VALUE"""),"R$ 4,00")</f>
        <v>R$ 4,00</v>
      </c>
      <c r="Z14" s="377" t="str">
        <f>IFERROR(__xludf.DUMMYFUNCTION("""COMPUTED_VALUE"""),"Consumo")</f>
        <v>Consumo</v>
      </c>
      <c r="AA14" s="378" t="str">
        <f>IFERROR(__xludf.DUMMYFUNCTION("""COMPUTED_VALUE"""),"Sabrina")</f>
        <v>Sabrina</v>
      </c>
      <c r="AB14" s="375">
        <f>IFERROR(__xludf.DUMMYFUNCTION("""COMPUTED_VALUE"""),46144.92252314815)</f>
        <v>46144.92252</v>
      </c>
      <c r="AC14" s="89" t="str">
        <f>IFERROR(__xludf.DUMMYFUNCTION("""COMPUTED_VALUE"""),"R$ 24,67")</f>
        <v>R$ 24,67</v>
      </c>
      <c r="AD14" s="89" t="str">
        <f>IFERROR(__xludf.DUMMYFUNCTION("""COMPUTED_VALUE"""),"Consumo")</f>
        <v>Consumo</v>
      </c>
      <c r="AE14" s="374" t="str">
        <f>IFERROR(__xludf.DUMMYFUNCTION("""COMPUTED_VALUE"""),"Ana Carolina")</f>
        <v>Ana Carolina</v>
      </c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373"/>
      <c r="P15" s="89"/>
      <c r="Q15" s="89"/>
      <c r="R15" s="374"/>
      <c r="S15" s="91"/>
      <c r="T15" s="236">
        <f>IFERROR(__xludf.DUMMYFUNCTION("""COMPUTED_VALUE"""),46150.76076388889)</f>
        <v>46150.76076</v>
      </c>
      <c r="U15" s="89" t="str">
        <f>IFERROR(__xludf.DUMMYFUNCTION("""COMPUTED_VALUE"""),"R$ 7,16")</f>
        <v>R$ 7,16</v>
      </c>
      <c r="V15" s="89" t="str">
        <f>IFERROR(__xludf.DUMMYFUNCTION("""COMPUTED_VALUE"""),"Consumo")</f>
        <v>Consumo</v>
      </c>
      <c r="W15" s="89" t="str">
        <f>IFERROR(__xludf.DUMMYFUNCTION("""COMPUTED_VALUE"""),"Rayanna")</f>
        <v>Rayanna</v>
      </c>
      <c r="X15" s="376">
        <f>IFERROR(__xludf.DUMMYFUNCTION("""COMPUTED_VALUE"""),46148.80516203704)</f>
        <v>46148.80516</v>
      </c>
      <c r="Y15" s="377" t="str">
        <f>IFERROR(__xludf.DUMMYFUNCTION("""COMPUTED_VALUE"""),"R$ 15,21")</f>
        <v>R$ 15,21</v>
      </c>
      <c r="Z15" s="377" t="str">
        <f>IFERROR(__xludf.DUMMYFUNCTION("""COMPUTED_VALUE"""),"Consumo")</f>
        <v>Consumo</v>
      </c>
      <c r="AA15" s="378" t="str">
        <f>IFERROR(__xludf.DUMMYFUNCTION("""COMPUTED_VALUE"""),"Sabrina")</f>
        <v>Sabrina</v>
      </c>
      <c r="AB15" s="379">
        <f>IFERROR(__xludf.DUMMYFUNCTION("""COMPUTED_VALUE"""),46145.758831018524)</f>
        <v>46145.75883</v>
      </c>
      <c r="AC15" s="193" t="str">
        <f>IFERROR(__xludf.DUMMYFUNCTION("""COMPUTED_VALUE"""),"R$ 8,00")</f>
        <v>R$ 8,00</v>
      </c>
      <c r="AD15" s="194" t="str">
        <f>IFERROR(__xludf.DUMMYFUNCTION("""COMPUTED_VALUE"""),"Consumo")</f>
        <v>Consumo</v>
      </c>
      <c r="AE15" s="380" t="str">
        <f>IFERROR(__xludf.DUMMYFUNCTION("""COMPUTED_VALUE"""),"Ana Carolina")</f>
        <v>Ana Carolina</v>
      </c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373"/>
      <c r="P16" s="89"/>
      <c r="Q16" s="89"/>
      <c r="R16" s="374"/>
      <c r="S16" s="91"/>
      <c r="T16" s="236">
        <f>IFERROR(__xludf.DUMMYFUNCTION("""COMPUTED_VALUE"""),46151.56916666667)</f>
        <v>46151.56917</v>
      </c>
      <c r="U16" s="89" t="str">
        <f>IFERROR(__xludf.DUMMYFUNCTION("""COMPUTED_VALUE"""),"R$ 9,00")</f>
        <v>R$ 9,00</v>
      </c>
      <c r="V16" s="89" t="str">
        <f>IFERROR(__xludf.DUMMYFUNCTION("""COMPUTED_VALUE"""),"Consumo")</f>
        <v>Consumo</v>
      </c>
      <c r="W16" s="89" t="str">
        <f>IFERROR(__xludf.DUMMYFUNCTION("""COMPUTED_VALUE"""),"Rayanna")</f>
        <v>Rayanna</v>
      </c>
      <c r="X16" s="376">
        <f>IFERROR(__xludf.DUMMYFUNCTION("""COMPUTED_VALUE"""),46149.66732638889)</f>
        <v>46149.66733</v>
      </c>
      <c r="Y16" s="377" t="str">
        <f>IFERROR(__xludf.DUMMYFUNCTION("""COMPUTED_VALUE"""),"R$ 9,00")</f>
        <v>R$ 9,00</v>
      </c>
      <c r="Z16" s="377" t="str">
        <f>IFERROR(__xludf.DUMMYFUNCTION("""COMPUTED_VALUE"""),"Consumo")</f>
        <v>Consumo</v>
      </c>
      <c r="AA16" s="378" t="str">
        <f>IFERROR(__xludf.DUMMYFUNCTION("""COMPUTED_VALUE"""),"Sabrina")</f>
        <v>Sabrina</v>
      </c>
      <c r="AB16" s="375">
        <f>IFERROR(__xludf.DUMMYFUNCTION("""COMPUTED_VALUE"""),46147.550787037035)</f>
        <v>46147.55079</v>
      </c>
      <c r="AC16" s="89" t="str">
        <f>IFERROR(__xludf.DUMMYFUNCTION("""COMPUTED_VALUE"""),"R$ 11,12")</f>
        <v>R$ 11,12</v>
      </c>
      <c r="AD16" s="89" t="str">
        <f>IFERROR(__xludf.DUMMYFUNCTION("""COMPUTED_VALUE"""),"Consumo")</f>
        <v>Consumo</v>
      </c>
      <c r="AE16" s="374" t="str">
        <f>IFERROR(__xludf.DUMMYFUNCTION("""COMPUTED_VALUE"""),"Ana Carolina")</f>
        <v>Ana Carolina</v>
      </c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373"/>
      <c r="P17" s="89"/>
      <c r="Q17" s="89"/>
      <c r="R17" s="374"/>
      <c r="S17" s="91"/>
      <c r="T17" s="236">
        <f>IFERROR(__xludf.DUMMYFUNCTION("""COMPUTED_VALUE"""),46152.86184027778)</f>
        <v>46152.86184</v>
      </c>
      <c r="U17" s="89" t="str">
        <f>IFERROR(__xludf.DUMMYFUNCTION("""COMPUTED_VALUE"""),"R$ 17,64")</f>
        <v>R$ 17,64</v>
      </c>
      <c r="V17" s="89" t="str">
        <f>IFERROR(__xludf.DUMMYFUNCTION("""COMPUTED_VALUE"""),"Consumo")</f>
        <v>Consumo</v>
      </c>
      <c r="W17" s="89" t="str">
        <f>IFERROR(__xludf.DUMMYFUNCTION("""COMPUTED_VALUE"""),"Rayanna")</f>
        <v>Rayanna</v>
      </c>
      <c r="X17" s="376">
        <f>IFERROR(__xludf.DUMMYFUNCTION("""COMPUTED_VALUE"""),46149.76226851852)</f>
        <v>46149.76227</v>
      </c>
      <c r="Y17" s="377" t="str">
        <f>IFERROR(__xludf.DUMMYFUNCTION("""COMPUTED_VALUE"""),"R$ 11,12")</f>
        <v>R$ 11,12</v>
      </c>
      <c r="Z17" s="377" t="str">
        <f>IFERROR(__xludf.DUMMYFUNCTION("""COMPUTED_VALUE"""),"Consumo")</f>
        <v>Consumo</v>
      </c>
      <c r="AA17" s="378" t="str">
        <f>IFERROR(__xludf.DUMMYFUNCTION("""COMPUTED_VALUE"""),"Sabrina")</f>
        <v>Sabrina</v>
      </c>
      <c r="AB17" s="375">
        <f>IFERROR(__xludf.DUMMYFUNCTION("""COMPUTED_VALUE"""),46148.609826388885)</f>
        <v>46148.60983</v>
      </c>
      <c r="AC17" s="89" t="str">
        <f>IFERROR(__xludf.DUMMYFUNCTION("""COMPUTED_VALUE"""),"R$ 9,07")</f>
        <v>R$ 9,07</v>
      </c>
      <c r="AD17" s="89" t="str">
        <f>IFERROR(__xludf.DUMMYFUNCTION("""COMPUTED_VALUE"""),"Consumo")</f>
        <v>Consumo</v>
      </c>
      <c r="AE17" s="374" t="str">
        <f>IFERROR(__xludf.DUMMYFUNCTION("""COMPUTED_VALUE"""),"Ana Carolina")</f>
        <v>Ana Carolina</v>
      </c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381"/>
      <c r="P18" s="109"/>
      <c r="Q18" s="109"/>
      <c r="R18" s="382"/>
      <c r="S18" s="110"/>
      <c r="T18" s="109"/>
      <c r="U18" s="109"/>
      <c r="V18" s="109"/>
      <c r="W18" s="109"/>
      <c r="X18" s="376">
        <f>IFERROR(__xludf.DUMMYFUNCTION("""COMPUTED_VALUE"""),46150.76152777778)</f>
        <v>46150.76153</v>
      </c>
      <c r="Y18" s="383" t="str">
        <f>IFERROR(__xludf.DUMMYFUNCTION("""COMPUTED_VALUE"""),"R$ 11,50")</f>
        <v>R$ 11,50</v>
      </c>
      <c r="Z18" s="383" t="str">
        <f>IFERROR(__xludf.DUMMYFUNCTION("""COMPUTED_VALUE"""),"Consumo")</f>
        <v>Consumo</v>
      </c>
      <c r="AA18" s="384" t="str">
        <f>IFERROR(__xludf.DUMMYFUNCTION("""COMPUTED_VALUE"""),"Sabrina")</f>
        <v>Sabrina</v>
      </c>
      <c r="AB18" s="375">
        <f>IFERROR(__xludf.DUMMYFUNCTION("""COMPUTED_VALUE"""),46149.66706018518)</f>
        <v>46149.66706</v>
      </c>
      <c r="AC18" s="109" t="str">
        <f>IFERROR(__xludf.DUMMYFUNCTION("""COMPUTED_VALUE"""),"R$ 8,00")</f>
        <v>R$ 8,00</v>
      </c>
      <c r="AD18" s="109" t="str">
        <f>IFERROR(__xludf.DUMMYFUNCTION("""COMPUTED_VALUE"""),"Consumo")</f>
        <v>Consumo</v>
      </c>
      <c r="AE18" s="382" t="str">
        <f>IFERROR(__xludf.DUMMYFUNCTION("""COMPUTED_VALUE"""),"Ana Carolina")</f>
        <v>Ana Carolina</v>
      </c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385"/>
      <c r="P19" s="386"/>
      <c r="Q19" s="386"/>
      <c r="R19" s="387"/>
      <c r="S19" s="110"/>
      <c r="X19" s="388">
        <f>IFERROR(__xludf.DUMMYFUNCTION("""COMPUTED_VALUE"""),46152.87540509259)</f>
        <v>46152.87541</v>
      </c>
      <c r="Y19" s="389" t="str">
        <f>IFERROR(__xludf.DUMMYFUNCTION("""COMPUTED_VALUE"""),"R$ 13,16")</f>
        <v>R$ 13,16</v>
      </c>
      <c r="Z19" s="389" t="str">
        <f>IFERROR(__xludf.DUMMYFUNCTION("""COMPUTED_VALUE"""),"Consumo")</f>
        <v>Consumo</v>
      </c>
      <c r="AA19" s="390" t="str">
        <f>IFERROR(__xludf.DUMMYFUNCTION("""COMPUTED_VALUE"""),"Sabrina")</f>
        <v>Sabrina</v>
      </c>
      <c r="AB19" s="391">
        <f>IFERROR(__xludf.DUMMYFUNCTION("""COMPUTED_VALUE"""),46150.56251157407)</f>
        <v>46150.56251</v>
      </c>
      <c r="AC19" s="239" t="str">
        <f>IFERROR(__xludf.DUMMYFUNCTION("""COMPUTED_VALUE"""),"R$ 4,00")</f>
        <v>R$ 4,00</v>
      </c>
      <c r="AD19" s="239" t="str">
        <f>IFERROR(__xludf.DUMMYFUNCTION("""COMPUTED_VALUE"""),"Consumo")</f>
        <v>Consumo</v>
      </c>
      <c r="AE19" s="392" t="str">
        <f>IFERROR(__xludf.DUMMYFUNCTION("""COMPUTED_VALUE"""),"Ana Carolina")</f>
        <v>Ana Carolina</v>
      </c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173.7</v>
      </c>
      <c r="J20" s="132">
        <f>SUMIF(J29:J504,J19,N29:N504)</f>
        <v>158.85</v>
      </c>
      <c r="K20" s="133" t="s">
        <v>3520</v>
      </c>
      <c r="L20" s="134"/>
      <c r="M20" s="24"/>
      <c r="N20" s="24"/>
      <c r="O20" s="393"/>
      <c r="P20" s="394"/>
      <c r="Q20" s="394"/>
      <c r="R20" s="395"/>
      <c r="S20" s="48"/>
      <c r="T20" s="402"/>
      <c r="U20" s="397"/>
      <c r="V20" s="397"/>
      <c r="W20" s="397"/>
      <c r="X20" s="398">
        <f>IFERROR(__xludf.DUMMYFUNCTION("""COMPUTED_VALUE"""),46153.687303240746)</f>
        <v>46153.6873</v>
      </c>
      <c r="Y20" s="399" t="str">
        <f>IFERROR(__xludf.DUMMYFUNCTION("""COMPUTED_VALUE"""),"R$ 18,28")</f>
        <v>R$ 18,28</v>
      </c>
      <c r="Z20" s="399" t="str">
        <f>IFERROR(__xludf.DUMMYFUNCTION("""COMPUTED_VALUE"""),"Consumo")</f>
        <v>Consumo</v>
      </c>
      <c r="AA20" s="400" t="str">
        <f>IFERROR(__xludf.DUMMYFUNCTION("""COMPUTED_VALUE"""),"Sabrina")</f>
        <v>Sabrina</v>
      </c>
      <c r="AB20" s="401">
        <f>IFERROR(__xludf.DUMMYFUNCTION("""COMPUTED_VALUE"""),46150.754375000004)</f>
        <v>46150.75438</v>
      </c>
      <c r="AC20" s="402" t="str">
        <f>IFERROR(__xludf.DUMMYFUNCTION("""COMPUTED_VALUE"""),"R$ 21,34")</f>
        <v>R$ 21,34</v>
      </c>
      <c r="AD20" s="402" t="str">
        <f>IFERROR(__xludf.DUMMYFUNCTION("""COMPUTED_VALUE"""),"Consumo")</f>
        <v>Consumo</v>
      </c>
      <c r="AE20" s="403" t="str">
        <f>IFERROR(__xludf.DUMMYFUNCTION("""COMPUTED_VALUE"""),"Ana Carolina")</f>
        <v>Ana Carolina</v>
      </c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1000</v>
      </c>
      <c r="I21" s="138"/>
      <c r="J21" s="139"/>
      <c r="K21" s="133" t="s">
        <v>3570</v>
      </c>
      <c r="L21" s="134"/>
      <c r="M21" s="24"/>
      <c r="N21" s="24"/>
      <c r="O21" s="370"/>
      <c r="P21" s="52"/>
      <c r="Q21" s="52"/>
      <c r="R21" s="371"/>
      <c r="S21" s="54"/>
      <c r="T21" s="52"/>
      <c r="U21" s="52"/>
      <c r="V21" s="52"/>
      <c r="W21" s="52"/>
      <c r="X21" s="404">
        <f>IFERROR(__xludf.DUMMYFUNCTION("""COMPUTED_VALUE"""),46154.65918981482)</f>
        <v>46154.65919</v>
      </c>
      <c r="Y21" s="405" t="str">
        <f>IFERROR(__xludf.DUMMYFUNCTION("""COMPUTED_VALUE"""),"R$ 5,00")</f>
        <v>R$ 5,00</v>
      </c>
      <c r="Z21" s="405" t="str">
        <f>IFERROR(__xludf.DUMMYFUNCTION("""COMPUTED_VALUE"""),"Consumo")</f>
        <v>Consumo</v>
      </c>
      <c r="AA21" s="406" t="str">
        <f>IFERROR(__xludf.DUMMYFUNCTION("""COMPUTED_VALUE"""),"Sabrina")</f>
        <v>Sabrina</v>
      </c>
      <c r="AB21" s="391">
        <f>IFERROR(__xludf.DUMMYFUNCTION("""COMPUTED_VALUE"""),46150.787986111114)</f>
        <v>46150.78799</v>
      </c>
      <c r="AC21" s="239" t="str">
        <f>IFERROR(__xludf.DUMMYFUNCTION("""COMPUTED_VALUE"""),"R$ 4,00")</f>
        <v>R$ 4,00</v>
      </c>
      <c r="AD21" s="239" t="str">
        <f>IFERROR(__xludf.DUMMYFUNCTION("""COMPUTED_VALUE"""),"Consumo")</f>
        <v>Consumo</v>
      </c>
      <c r="AE21" s="392" t="str">
        <f>IFERROR(__xludf.DUMMYFUNCTION("""COMPUTED_VALUE"""),"Ana Carolina")</f>
        <v>Ana Carolina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370"/>
      <c r="P22" s="52"/>
      <c r="Q22" s="52"/>
      <c r="R22" s="371"/>
      <c r="S22" s="54"/>
      <c r="T22" s="52"/>
      <c r="U22" s="52"/>
      <c r="V22" s="52"/>
      <c r="W22" s="52"/>
      <c r="X22" s="404">
        <f>IFERROR(__xludf.DUMMYFUNCTION("""COMPUTED_VALUE"""),46154.77755787037)</f>
        <v>46154.77756</v>
      </c>
      <c r="Y22" s="405" t="str">
        <f>IFERROR(__xludf.DUMMYFUNCTION("""COMPUTED_VALUE"""),"R$ 15,34")</f>
        <v>R$ 15,34</v>
      </c>
      <c r="Z22" s="405" t="str">
        <f>IFERROR(__xludf.DUMMYFUNCTION("""COMPUTED_VALUE"""),"Consumo")</f>
        <v>Consumo</v>
      </c>
      <c r="AA22" s="406" t="str">
        <f>IFERROR(__xludf.DUMMYFUNCTION("""COMPUTED_VALUE"""),"Sabrina")</f>
        <v>Sabrina</v>
      </c>
      <c r="AB22" s="391">
        <f>IFERROR(__xludf.DUMMYFUNCTION("""COMPUTED_VALUE"""),46152.56806712963)</f>
        <v>46152.56807</v>
      </c>
      <c r="AC22" s="239" t="str">
        <f>IFERROR(__xludf.DUMMYFUNCTION("""COMPUTED_VALUE"""),"R$ 8,82")</f>
        <v>R$ 8,82</v>
      </c>
      <c r="AD22" s="239" t="str">
        <f>IFERROR(__xludf.DUMMYFUNCTION("""COMPUTED_VALUE"""),"Consumo")</f>
        <v>Consumo</v>
      </c>
      <c r="AE22" s="392" t="str">
        <f>IFERROR(__xludf.DUMMYFUNCTION("""COMPUTED_VALUE"""),"Ana Carolina")</f>
        <v>Ana Carolina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370"/>
      <c r="P23" s="52"/>
      <c r="Q23" s="52"/>
      <c r="R23" s="371"/>
      <c r="S23" s="54"/>
      <c r="T23" s="52"/>
      <c r="U23" s="52"/>
      <c r="V23" s="52"/>
      <c r="W23" s="52"/>
      <c r="X23" s="370">
        <f>IFERROR(__xludf.DUMMYFUNCTION("""COMPUTED_VALUE"""),46155.67855324074)</f>
        <v>46155.67855</v>
      </c>
      <c r="Y23" s="52" t="str">
        <f>IFERROR(__xludf.DUMMYFUNCTION("""COMPUTED_VALUE"""),"R$ 4,00")</f>
        <v>R$ 4,00</v>
      </c>
      <c r="Z23" s="52" t="str">
        <f>IFERROR(__xludf.DUMMYFUNCTION("""COMPUTED_VALUE"""),"Consumo")</f>
        <v>Consumo</v>
      </c>
      <c r="AA23" s="371" t="str">
        <f>IFERROR(__xludf.DUMMYFUNCTION("""COMPUTED_VALUE"""),"Sabrina")</f>
        <v>Sabrina</v>
      </c>
      <c r="AB23" s="370">
        <f>IFERROR(__xludf.DUMMYFUNCTION("""COMPUTED_VALUE"""),46152.70721064815)</f>
        <v>46152.70721</v>
      </c>
      <c r="AC23" s="52" t="str">
        <f>IFERROR(__xludf.DUMMYFUNCTION("""COMPUTED_VALUE"""),"R$ 15,00")</f>
        <v>R$ 15,00</v>
      </c>
      <c r="AD23" s="52" t="str">
        <f>IFERROR(__xludf.DUMMYFUNCTION("""COMPUTED_VALUE"""),"Consumo")</f>
        <v>Consumo</v>
      </c>
      <c r="AE23" s="371" t="str">
        <f>IFERROR(__xludf.DUMMYFUNCTION("""COMPUTED_VALUE"""),"Ana Carolina")</f>
        <v>Ana Carolina</v>
      </c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0</v>
      </c>
      <c r="I24" s="157" t="s">
        <v>3653</v>
      </c>
      <c r="J24" s="150"/>
      <c r="K24" s="133" t="s">
        <v>3656</v>
      </c>
      <c r="L24" s="134"/>
      <c r="M24" s="24"/>
      <c r="N24" s="24"/>
      <c r="O24" s="370"/>
      <c r="P24" s="52"/>
      <c r="Q24" s="52"/>
      <c r="R24" s="371"/>
      <c r="S24" s="54"/>
      <c r="T24" s="52"/>
      <c r="U24" s="52"/>
      <c r="V24" s="52"/>
      <c r="W24" s="52"/>
      <c r="X24" s="370">
        <f>IFERROR(__xludf.DUMMYFUNCTION("""COMPUTED_VALUE"""),46155.85643518518)</f>
        <v>46155.85644</v>
      </c>
      <c r="Y24" s="52" t="str">
        <f>IFERROR(__xludf.DUMMYFUNCTION("""COMPUTED_VALUE"""),"R$ 10,00")</f>
        <v>R$ 10,00</v>
      </c>
      <c r="Z24" s="52" t="str">
        <f>IFERROR(__xludf.DUMMYFUNCTION("""COMPUTED_VALUE"""),"Consumo")</f>
        <v>Consumo</v>
      </c>
      <c r="AA24" s="371" t="str">
        <f>IFERROR(__xludf.DUMMYFUNCTION("""COMPUTED_VALUE"""),"Sabrina")</f>
        <v>Sabrina</v>
      </c>
      <c r="AB24" s="370">
        <f>IFERROR(__xludf.DUMMYFUNCTION("""COMPUTED_VALUE"""),46153.69734953703)</f>
        <v>46153.69735</v>
      </c>
      <c r="AC24" s="52" t="str">
        <f>IFERROR(__xludf.DUMMYFUNCTION("""COMPUTED_VALUE"""),"R$ 12,40")</f>
        <v>R$ 12,40</v>
      </c>
      <c r="AD24" s="52" t="str">
        <f>IFERROR(__xludf.DUMMYFUNCTION("""COMPUTED_VALUE"""),"Consumo")</f>
        <v>Consumo</v>
      </c>
      <c r="AE24" s="371" t="str">
        <f>IFERROR(__xludf.DUMMYFUNCTION("""COMPUTED_VALUE"""),"Ana Carolina")</f>
        <v>Ana Carolina</v>
      </c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1000</v>
      </c>
      <c r="I25" s="151">
        <f>SUMIF(J29:J504,I24,N29:N504)</f>
        <v>0</v>
      </c>
      <c r="J25" s="152"/>
      <c r="K25" s="162"/>
      <c r="L25" s="163"/>
      <c r="M25" s="25"/>
      <c r="N25" s="25"/>
      <c r="O25" s="370"/>
      <c r="P25" s="52"/>
      <c r="Q25" s="52"/>
      <c r="R25" s="371"/>
      <c r="S25" s="54"/>
      <c r="T25" s="52"/>
      <c r="U25" s="52"/>
      <c r="V25" s="52"/>
      <c r="W25" s="52"/>
      <c r="X25" s="370">
        <f>IFERROR(__xludf.DUMMYFUNCTION("""COMPUTED_VALUE"""),46159.866273148145)</f>
        <v>46159.86627</v>
      </c>
      <c r="Y25" s="52" t="str">
        <f>IFERROR(__xludf.DUMMYFUNCTION("""COMPUTED_VALUE"""),"R$ 18,04")</f>
        <v>R$ 18,04</v>
      </c>
      <c r="Z25" s="52" t="str">
        <f>IFERROR(__xludf.DUMMYFUNCTION("""COMPUTED_VALUE"""),"Consumo")</f>
        <v>Consumo</v>
      </c>
      <c r="AA25" s="371" t="str">
        <f>IFERROR(__xludf.DUMMYFUNCTION("""COMPUTED_VALUE"""),"Sabrina")</f>
        <v>Sabrina</v>
      </c>
      <c r="AB25" s="370">
        <f>IFERROR(__xludf.DUMMYFUNCTION("""COMPUTED_VALUE"""),46153.76851851852)</f>
        <v>46153.76852</v>
      </c>
      <c r="AC25" s="52" t="str">
        <f>IFERROR(__xludf.DUMMYFUNCTION("""COMPUTED_VALUE"""),"R$ 8,05")</f>
        <v>R$ 8,05</v>
      </c>
      <c r="AD25" s="52" t="str">
        <f>IFERROR(__xludf.DUMMYFUNCTION("""COMPUTED_VALUE"""),"Consumo")</f>
        <v>Consumo</v>
      </c>
      <c r="AE25" s="371" t="str">
        <f>IFERROR(__xludf.DUMMYFUNCTION("""COMPUTED_VALUE"""),"Ana Carolina")</f>
        <v>Ana Carolina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370"/>
      <c r="P26" s="79"/>
      <c r="Q26" s="79"/>
      <c r="R26" s="372"/>
      <c r="S26" s="81"/>
      <c r="T26" s="79"/>
      <c r="U26" s="79"/>
      <c r="V26" s="79"/>
      <c r="W26" s="79"/>
      <c r="X26" s="370">
        <f>IFERROR(__xludf.DUMMYFUNCTION("""COMPUTED_VALUE"""),46162.66101851852)</f>
        <v>46162.66102</v>
      </c>
      <c r="Y26" s="79" t="str">
        <f>IFERROR(__xludf.DUMMYFUNCTION("""COMPUTED_VALUE"""),"R$ 4,90")</f>
        <v>R$ 4,90</v>
      </c>
      <c r="Z26" s="79" t="str">
        <f>IFERROR(__xludf.DUMMYFUNCTION("""COMPUTED_VALUE"""),"Consumo")</f>
        <v>Consumo</v>
      </c>
      <c r="AA26" s="372" t="str">
        <f>IFERROR(__xludf.DUMMYFUNCTION("""COMPUTED_VALUE"""),"Sabrina")</f>
        <v>Sabrina</v>
      </c>
      <c r="AB26" s="370">
        <f>IFERROR(__xludf.DUMMYFUNCTION("""COMPUTED_VALUE"""),46154.52722222223)</f>
        <v>46154.52722</v>
      </c>
      <c r="AC26" s="79" t="str">
        <f>IFERROR(__xludf.DUMMYFUNCTION("""COMPUTED_VALUE"""),"R$ 8,00")</f>
        <v>R$ 8,00</v>
      </c>
      <c r="AD26" s="79" t="str">
        <f>IFERROR(__xludf.DUMMYFUNCTION("""COMPUTED_VALUE"""),"Consumo")</f>
        <v>Consumo</v>
      </c>
      <c r="AE26" s="372" t="str">
        <f>IFERROR(__xludf.DUMMYFUNCTION("""COMPUTED_VALUE"""),"Ana Carolina")</f>
        <v>Ana Carolina</v>
      </c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373"/>
      <c r="P27" s="89"/>
      <c r="Q27" s="89"/>
      <c r="R27" s="374"/>
      <c r="S27" s="91"/>
      <c r="T27" s="89"/>
      <c r="U27" s="89"/>
      <c r="V27" s="89"/>
      <c r="W27" s="89"/>
      <c r="X27" s="373"/>
      <c r="Y27" s="89"/>
      <c r="Z27" s="89"/>
      <c r="AA27" s="374"/>
      <c r="AB27" s="375">
        <f>IFERROR(__xludf.DUMMYFUNCTION("""COMPUTED_VALUE"""),46154.627488425926)</f>
        <v>46154.62749</v>
      </c>
      <c r="AC27" s="89" t="str">
        <f>IFERROR(__xludf.DUMMYFUNCTION("""COMPUTED_VALUE"""),"R$ 9,71")</f>
        <v>R$ 9,71</v>
      </c>
      <c r="AD27" s="89" t="str">
        <f>IFERROR(__xludf.DUMMYFUNCTION("""COMPUTED_VALUE"""),"Consumo")</f>
        <v>Consumo</v>
      </c>
      <c r="AE27" s="374" t="str">
        <f>IFERROR(__xludf.DUMMYFUNCTION("""COMPUTED_VALUE"""),"Ana Carolina")</f>
        <v>Ana Carolina</v>
      </c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340" t="s">
        <v>3724</v>
      </c>
      <c r="M28" s="274" t="s">
        <v>12</v>
      </c>
      <c r="N28" s="167"/>
      <c r="O28" s="373"/>
      <c r="P28" s="89"/>
      <c r="Q28" s="89"/>
      <c r="R28" s="374"/>
      <c r="S28" s="91"/>
      <c r="T28" s="89"/>
      <c r="U28" s="89"/>
      <c r="V28" s="89"/>
      <c r="W28" s="89"/>
      <c r="X28" s="373"/>
      <c r="Y28" s="89"/>
      <c r="Z28" s="89"/>
      <c r="AA28" s="374"/>
      <c r="AB28" s="375">
        <f>IFERROR(__xludf.DUMMYFUNCTION("""COMPUTED_VALUE"""),46155.65840277778)</f>
        <v>46155.6584</v>
      </c>
      <c r="AC28" s="89" t="str">
        <f>IFERROR(__xludf.DUMMYFUNCTION("""COMPUTED_VALUE"""),"R$ 33,02")</f>
        <v>R$ 33,02</v>
      </c>
      <c r="AD28" s="89" t="str">
        <f>IFERROR(__xludf.DUMMYFUNCTION("""COMPUTED_VALUE"""),"Consumo")</f>
        <v>Consumo</v>
      </c>
      <c r="AE28" s="374" t="str">
        <f>IFERROR(__xludf.DUMMYFUNCTION("""COMPUTED_VALUE"""),"Ana Carolina")</f>
        <v>Ana Carolina</v>
      </c>
    </row>
    <row r="29" ht="14.25" customHeight="1">
      <c r="A29" s="178"/>
      <c r="B29" s="10">
        <v>2149660.0</v>
      </c>
      <c r="C29" s="11">
        <v>46138.62666666666</v>
      </c>
      <c r="D29" s="179" t="s">
        <v>50</v>
      </c>
      <c r="E29" s="180" t="s">
        <v>236</v>
      </c>
      <c r="F29" s="181"/>
      <c r="G29" s="179" t="s">
        <v>8130</v>
      </c>
      <c r="H29" s="190"/>
      <c r="I29" s="190"/>
      <c r="J29" s="187" t="s">
        <v>3903</v>
      </c>
      <c r="K29" s="187"/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85">
        <f>IFERROR(__xludf.DUMMYFUNCTION("ifna(VALUE(REGEXEXTRACT(E29,""[0-9.]+[,]+[0-9]+"")))"),30.0)</f>
        <v>30</v>
      </c>
      <c r="O29" s="373"/>
      <c r="P29" s="89"/>
      <c r="Q29" s="89"/>
      <c r="R29" s="374"/>
      <c r="S29" s="91"/>
      <c r="T29" s="89"/>
      <c r="U29" s="89"/>
      <c r="V29" s="89"/>
      <c r="W29" s="89"/>
      <c r="X29" s="373"/>
      <c r="Y29" s="89"/>
      <c r="Z29" s="89"/>
      <c r="AA29" s="374"/>
      <c r="AB29" s="373"/>
      <c r="AC29" s="89"/>
      <c r="AD29" s="89"/>
      <c r="AE29" s="374"/>
    </row>
    <row r="30">
      <c r="A30" s="178"/>
      <c r="B30" s="10">
        <v>2149662.0</v>
      </c>
      <c r="C30" s="11">
        <v>46138.62708333333</v>
      </c>
      <c r="D30" s="179" t="s">
        <v>50</v>
      </c>
      <c r="E30" s="180" t="s">
        <v>8134</v>
      </c>
      <c r="F30" s="181"/>
      <c r="G30" s="179" t="s">
        <v>8135</v>
      </c>
      <c r="H30" s="190"/>
      <c r="I30" s="190"/>
      <c r="J30" s="187" t="s">
        <v>3903</v>
      </c>
      <c r="K30" s="187"/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85">
        <f>IFERROR(__xludf.DUMMYFUNCTION("ifna(VALUE(REGEXEXTRACT(E30,""[0-9.]+[,]+[0-9]+"")))"),8.03)</f>
        <v>8.03</v>
      </c>
      <c r="O30" s="373"/>
      <c r="P30" s="89"/>
      <c r="Q30" s="89"/>
      <c r="R30" s="374"/>
      <c r="S30" s="91"/>
      <c r="T30" s="89"/>
      <c r="U30" s="89"/>
      <c r="V30" s="89"/>
      <c r="W30" s="89"/>
      <c r="X30" s="373"/>
      <c r="Y30" s="89"/>
      <c r="Z30" s="89"/>
      <c r="AA30" s="374"/>
      <c r="AB30" s="373"/>
      <c r="AC30" s="89"/>
      <c r="AD30" s="89"/>
      <c r="AE30" s="374"/>
    </row>
    <row r="31" ht="14.25" customHeight="1">
      <c r="A31" s="178"/>
      <c r="B31" s="10">
        <v>2149667.0</v>
      </c>
      <c r="C31" s="11">
        <v>46138.629537037035</v>
      </c>
      <c r="D31" s="179" t="s">
        <v>50</v>
      </c>
      <c r="E31" s="180" t="s">
        <v>8137</v>
      </c>
      <c r="F31" s="181"/>
      <c r="G31" s="10" t="s">
        <v>8138</v>
      </c>
      <c r="H31" s="190"/>
      <c r="I31" s="190"/>
      <c r="J31" s="187" t="s">
        <v>3903</v>
      </c>
      <c r="K31" s="187"/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85">
        <f>IFERROR(__xludf.DUMMYFUNCTION("ifna(VALUE(REGEXEXTRACT(E31,""[0-9.]+[,]+[0-9]+"")))"),478.7)</f>
        <v>478.7</v>
      </c>
      <c r="O31" s="409"/>
      <c r="P31" s="193"/>
      <c r="Q31" s="194"/>
      <c r="R31" s="380"/>
      <c r="S31" s="91"/>
      <c r="T31" s="89"/>
      <c r="U31" s="89"/>
      <c r="V31" s="89"/>
      <c r="W31" s="89"/>
      <c r="X31" s="373"/>
      <c r="Y31" s="89"/>
      <c r="Z31" s="89"/>
      <c r="AA31" s="374"/>
      <c r="AB31" s="373"/>
      <c r="AC31" s="89"/>
      <c r="AD31" s="89"/>
      <c r="AE31" s="374"/>
    </row>
    <row r="32" ht="14.25" customHeight="1">
      <c r="A32" s="178"/>
      <c r="B32" s="10">
        <v>2149670.0</v>
      </c>
      <c r="C32" s="11">
        <v>46138.63003472222</v>
      </c>
      <c r="D32" s="179" t="s">
        <v>50</v>
      </c>
      <c r="E32" s="180" t="s">
        <v>8140</v>
      </c>
      <c r="F32" s="181"/>
      <c r="G32" s="179" t="s">
        <v>8141</v>
      </c>
      <c r="H32" s="190"/>
      <c r="I32" s="190"/>
      <c r="J32" s="187" t="s">
        <v>3903</v>
      </c>
      <c r="K32" s="187"/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85">
        <f>IFERROR(__xludf.DUMMYFUNCTION("ifna(VALUE(REGEXEXTRACT(E32,""[0-9.]+[,]+[0-9]+"")))"),15.38)</f>
        <v>15.38</v>
      </c>
      <c r="O32" s="373"/>
      <c r="P32" s="89"/>
      <c r="Q32" s="89"/>
      <c r="R32" s="374"/>
      <c r="S32" s="91"/>
      <c r="T32" s="89"/>
      <c r="U32" s="89"/>
      <c r="V32" s="89"/>
      <c r="W32" s="89"/>
      <c r="X32" s="373"/>
      <c r="Y32" s="89"/>
      <c r="Z32" s="89"/>
      <c r="AA32" s="374"/>
      <c r="AB32" s="373"/>
      <c r="AC32" s="89"/>
      <c r="AD32" s="89"/>
      <c r="AE32" s="374"/>
    </row>
    <row r="33" ht="14.25" customHeight="1">
      <c r="A33" s="178"/>
      <c r="B33" s="10">
        <v>2149671.0</v>
      </c>
      <c r="C33" s="11">
        <v>46138.630381944444</v>
      </c>
      <c r="D33" s="179" t="s">
        <v>50</v>
      </c>
      <c r="E33" s="180" t="s">
        <v>8143</v>
      </c>
      <c r="F33" s="181"/>
      <c r="G33" s="179" t="s">
        <v>8138</v>
      </c>
      <c r="H33" s="190"/>
      <c r="I33" s="190"/>
      <c r="J33" s="187" t="s">
        <v>3903</v>
      </c>
      <c r="K33" s="187"/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"""")"),"Encontrada")</f>
        <v>Encontrada</v>
      </c>
      <c r="N33" s="185">
        <f>IFERROR(__xludf.DUMMYFUNCTION("ifna(VALUE(REGEXEXTRACT(E33,""[0-9.]+[,]+[0-9]+"")))"),31.89)</f>
        <v>31.89</v>
      </c>
      <c r="O33" s="373"/>
      <c r="P33" s="89"/>
      <c r="Q33" s="89"/>
      <c r="R33" s="374"/>
      <c r="S33" s="91"/>
      <c r="T33" s="89"/>
      <c r="U33" s="89"/>
      <c r="V33" s="89"/>
      <c r="W33" s="89"/>
      <c r="X33" s="373"/>
      <c r="Y33" s="89"/>
      <c r="Z33" s="89"/>
      <c r="AA33" s="374"/>
      <c r="AB33" s="373"/>
      <c r="AC33" s="89"/>
      <c r="AD33" s="89"/>
      <c r="AE33" s="374"/>
    </row>
    <row r="34" ht="14.25" customHeight="1">
      <c r="A34" s="178"/>
      <c r="B34" s="10">
        <v>2149678.0</v>
      </c>
      <c r="C34" s="11">
        <v>46138.63081018518</v>
      </c>
      <c r="D34" s="179" t="s">
        <v>50</v>
      </c>
      <c r="E34" s="180" t="s">
        <v>8146</v>
      </c>
      <c r="F34" s="181"/>
      <c r="G34" s="179" t="s">
        <v>8147</v>
      </c>
      <c r="H34" s="190"/>
      <c r="I34" s="190"/>
      <c r="J34" s="187" t="s">
        <v>3903</v>
      </c>
      <c r="K34" s="187"/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85">
        <f>IFERROR(__xludf.DUMMYFUNCTION("ifna(VALUE(REGEXEXTRACT(E34,""[0-9.]+[,]+[0-9]+"")))"),169.9)</f>
        <v>169.9</v>
      </c>
      <c r="O34" s="381"/>
      <c r="P34" s="109"/>
      <c r="Q34" s="109"/>
      <c r="R34" s="382"/>
      <c r="S34" s="110"/>
      <c r="T34" s="109"/>
      <c r="U34" s="109"/>
      <c r="V34" s="109"/>
      <c r="W34" s="109"/>
      <c r="X34" s="381"/>
      <c r="Y34" s="109"/>
      <c r="Z34" s="109"/>
      <c r="AA34" s="382"/>
      <c r="AB34" s="381"/>
      <c r="AC34" s="109"/>
      <c r="AD34" s="109"/>
      <c r="AE34" s="382"/>
    </row>
    <row r="35" ht="18.75" customHeight="1">
      <c r="A35" s="178"/>
      <c r="B35" s="10">
        <v>2149682.0</v>
      </c>
      <c r="C35" s="11">
        <v>46138.63128472222</v>
      </c>
      <c r="D35" s="179" t="s">
        <v>50</v>
      </c>
      <c r="E35" s="180" t="s">
        <v>840</v>
      </c>
      <c r="F35" s="181"/>
      <c r="G35" s="179" t="s">
        <v>8151</v>
      </c>
      <c r="H35" s="190"/>
      <c r="I35" s="190"/>
      <c r="J35" s="187" t="s">
        <v>3903</v>
      </c>
      <c r="K35" s="187"/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85">
        <f>IFERROR(__xludf.DUMMYFUNCTION("ifna(VALUE(REGEXEXTRACT(E35,""[0-9.]+[,]+[0-9]+"")))"),9.99)</f>
        <v>9.99</v>
      </c>
      <c r="O35" s="410"/>
      <c r="R35" s="392"/>
      <c r="S35" s="24"/>
      <c r="X35" s="410"/>
      <c r="AA35" s="392"/>
      <c r="AB35" s="410"/>
      <c r="AE35" s="392"/>
    </row>
    <row r="36" ht="14.25" customHeight="1">
      <c r="A36" s="178"/>
      <c r="B36" s="10">
        <v>2149728.0</v>
      </c>
      <c r="C36" s="11">
        <v>46138.64438657407</v>
      </c>
      <c r="D36" s="179" t="s">
        <v>50</v>
      </c>
      <c r="E36" s="180" t="s">
        <v>8153</v>
      </c>
      <c r="F36" s="181"/>
      <c r="G36" s="179" t="s">
        <v>7666</v>
      </c>
      <c r="H36" s="186"/>
      <c r="I36" s="186"/>
      <c r="J36" s="187" t="s">
        <v>3044</v>
      </c>
      <c r="K36" s="187" t="s">
        <v>7052</v>
      </c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IFERROR(__xludf.DUMMYFUNCTION("ifna(VALUE(REGEXEXTRACT(E36,""[0-9.]+[,]+[0-9]+"")))"),27.59)</f>
        <v>27.59</v>
      </c>
      <c r="O36" s="410"/>
      <c r="R36" s="392"/>
      <c r="S36" s="24"/>
      <c r="X36" s="410"/>
      <c r="AA36" s="392"/>
      <c r="AB36" s="410"/>
      <c r="AE36" s="392"/>
    </row>
    <row r="37" ht="14.25" customHeight="1">
      <c r="A37" s="178"/>
      <c r="B37" s="10">
        <v>2150876.0</v>
      </c>
      <c r="C37" s="11">
        <v>46138.88778935185</v>
      </c>
      <c r="D37" s="179" t="s">
        <v>50</v>
      </c>
      <c r="E37" s="180" t="s">
        <v>460</v>
      </c>
      <c r="F37" s="181"/>
      <c r="G37" s="179" t="s">
        <v>122</v>
      </c>
      <c r="H37" s="186"/>
      <c r="I37" s="186"/>
      <c r="J37" s="187" t="s">
        <v>3044</v>
      </c>
      <c r="K37" s="187" t="s">
        <v>6664</v>
      </c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IFERROR(__xludf.DUMMYFUNCTION("ifna(VALUE(REGEXEXTRACT(E37,""[0-9.]+[,]+[0-9]+"")))"),21.9)</f>
        <v>21.9</v>
      </c>
      <c r="O37" s="410"/>
      <c r="R37" s="392"/>
      <c r="S37" s="24"/>
      <c r="X37" s="410"/>
      <c r="AA37" s="392"/>
      <c r="AB37" s="410"/>
      <c r="AE37" s="392"/>
    </row>
    <row r="38" ht="14.25" customHeight="1">
      <c r="A38" s="178"/>
      <c r="B38" s="10">
        <v>2152045.0</v>
      </c>
      <c r="C38" s="11">
        <v>46139.53591435185</v>
      </c>
      <c r="D38" s="179" t="s">
        <v>50</v>
      </c>
      <c r="E38" s="180" t="s">
        <v>71</v>
      </c>
      <c r="F38" s="181"/>
      <c r="G38" s="179" t="s">
        <v>122</v>
      </c>
      <c r="H38" s="186"/>
      <c r="I38" s="186"/>
      <c r="J38" s="187" t="s">
        <v>3044</v>
      </c>
      <c r="K38" s="187" t="s">
        <v>6664</v>
      </c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IFERROR(__xludf.DUMMYFUNCTION("ifna(VALUE(REGEXEXTRACT(E38,""[0-9.]+[,]+[0-9]+"")))"),10.99)</f>
        <v>10.99</v>
      </c>
      <c r="O38" s="411"/>
      <c r="P38" s="412"/>
      <c r="Q38" s="412"/>
      <c r="R38" s="413"/>
      <c r="S38" s="24"/>
      <c r="X38" s="411"/>
      <c r="Y38" s="412"/>
      <c r="Z38" s="412"/>
      <c r="AA38" s="413"/>
      <c r="AB38" s="411"/>
      <c r="AC38" s="412"/>
      <c r="AD38" s="412"/>
      <c r="AE38" s="413"/>
    </row>
    <row r="39" ht="21.75" customHeight="1">
      <c r="A39" s="178"/>
      <c r="B39" s="10">
        <v>2152060.0</v>
      </c>
      <c r="C39" s="11">
        <v>46139.54344907407</v>
      </c>
      <c r="D39" s="179" t="s">
        <v>50</v>
      </c>
      <c r="E39" s="180" t="s">
        <v>157</v>
      </c>
      <c r="F39" s="181"/>
      <c r="G39" s="179" t="s">
        <v>94</v>
      </c>
      <c r="H39" s="186"/>
      <c r="I39" s="186"/>
      <c r="J39" s="187" t="s">
        <v>3044</v>
      </c>
      <c r="K39" s="187" t="s">
        <v>7058</v>
      </c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IFERROR(__xludf.DUMMYFUNCTION("ifna(VALUE(REGEXEXTRACT(E39,""[0-9.]+[,]+[0-9]+"")))"),5.0)</f>
        <v>5</v>
      </c>
      <c r="O39" s="191" t="str">
        <f>B9</f>
        <v/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  <c r="X39" s="414"/>
      <c r="Y39" s="414"/>
      <c r="Z39" s="414"/>
      <c r="AA39" s="414"/>
      <c r="AB39" s="414"/>
      <c r="AC39" s="414"/>
      <c r="AD39" s="414"/>
      <c r="AE39" s="414"/>
    </row>
    <row r="40" ht="14.25" customHeight="1">
      <c r="A40" s="178"/>
      <c r="B40" s="10">
        <v>2152297.0</v>
      </c>
      <c r="C40" s="11">
        <v>46139.67371527778</v>
      </c>
      <c r="D40" s="179" t="s">
        <v>50</v>
      </c>
      <c r="E40" s="180" t="s">
        <v>708</v>
      </c>
      <c r="F40" s="181"/>
      <c r="G40" s="179" t="s">
        <v>122</v>
      </c>
      <c r="H40" s="186"/>
      <c r="I40" s="186"/>
      <c r="J40" s="187" t="s">
        <v>3044</v>
      </c>
      <c r="K40" s="187" t="s">
        <v>6664</v>
      </c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IFERROR(__xludf.DUMMYFUNCTION("ifna(VALUE(REGEXEXTRACT(E40,""[0-9.]+[,]+[0-9]+"")))"),8.0)</f>
        <v>8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'""&amp;AB10&amp;""'"",1)"),"Data")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  <c r="X40" s="49"/>
      <c r="Y40" s="49"/>
      <c r="Z40" s="49"/>
      <c r="AA40" s="49"/>
      <c r="AB40" s="49"/>
      <c r="AC40" s="49"/>
      <c r="AD40" s="49"/>
      <c r="AE40" s="49"/>
    </row>
    <row r="41" ht="27.0" customHeight="1">
      <c r="A41" s="178"/>
      <c r="B41" s="10">
        <v>2152359.0</v>
      </c>
      <c r="C41" s="11">
        <v>46139.696851851855</v>
      </c>
      <c r="D41" s="179" t="s">
        <v>227</v>
      </c>
      <c r="E41" s="180" t="s">
        <v>1279</v>
      </c>
      <c r="F41" s="181"/>
      <c r="G41" s="179" t="s">
        <v>8158</v>
      </c>
      <c r="H41" s="186"/>
      <c r="I41" s="186"/>
      <c r="J41" s="187" t="s">
        <v>3874</v>
      </c>
      <c r="K41" s="187"/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IFERROR(__xludf.DUMMYFUNCTION("ifna(VALUE(REGEXEXTRACT(E41,""[0-9.]+[,]+[0-9]+"")))"),600.0)</f>
        <v>600</v>
      </c>
      <c r="O41" s="51"/>
      <c r="P41" s="52"/>
      <c r="Q41" s="52"/>
      <c r="R41" s="52"/>
      <c r="S41" s="54"/>
      <c r="T41" s="52"/>
      <c r="U41" s="52"/>
      <c r="V41" s="52"/>
      <c r="W41" s="53"/>
      <c r="X41" s="52"/>
      <c r="Y41" s="52"/>
      <c r="Z41" s="52"/>
      <c r="AA41" s="52"/>
      <c r="AB41" s="52"/>
      <c r="AC41" s="52"/>
      <c r="AD41" s="52"/>
      <c r="AE41" s="52"/>
    </row>
    <row r="42" ht="14.25" customHeight="1">
      <c r="A42" s="178"/>
      <c r="B42" s="10">
        <v>2152363.0</v>
      </c>
      <c r="C42" s="11">
        <v>46139.6978125</v>
      </c>
      <c r="D42" s="179" t="s">
        <v>50</v>
      </c>
      <c r="E42" s="180" t="s">
        <v>8160</v>
      </c>
      <c r="F42" s="181"/>
      <c r="G42" s="179" t="s">
        <v>8161</v>
      </c>
      <c r="H42" s="186"/>
      <c r="I42" s="186"/>
      <c r="J42" s="187" t="s">
        <v>3903</v>
      </c>
      <c r="K42" s="187"/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85">
        <f>IFERROR(__xludf.DUMMYFUNCTION("ifna(VALUE(REGEXEXTRACT(E42,""[0-9.]+[,]+[0-9]+"")))"),537.5)</f>
        <v>537.5</v>
      </c>
      <c r="O42" s="51"/>
      <c r="P42" s="52"/>
      <c r="Q42" s="52"/>
      <c r="R42" s="52"/>
      <c r="S42" s="54"/>
      <c r="T42" s="52"/>
      <c r="U42" s="52"/>
      <c r="V42" s="52"/>
      <c r="W42" s="53"/>
      <c r="X42" s="52"/>
      <c r="Y42" s="52"/>
      <c r="Z42" s="52"/>
      <c r="AA42" s="52"/>
      <c r="AB42" s="52"/>
      <c r="AC42" s="52"/>
      <c r="AD42" s="52"/>
      <c r="AE42" s="52"/>
    </row>
    <row r="43" ht="14.25" customHeight="1">
      <c r="A43" s="178"/>
      <c r="B43" s="10">
        <v>2152599.0</v>
      </c>
      <c r="C43" s="11">
        <v>46139.780497685184</v>
      </c>
      <c r="D43" s="179" t="s">
        <v>50</v>
      </c>
      <c r="E43" s="180" t="s">
        <v>8162</v>
      </c>
      <c r="F43" s="181"/>
      <c r="G43" s="179" t="s">
        <v>7666</v>
      </c>
      <c r="H43" s="189"/>
      <c r="I43" s="189"/>
      <c r="J43" s="187" t="s">
        <v>3044</v>
      </c>
      <c r="K43" s="187" t="s">
        <v>7052</v>
      </c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IFERROR(__xludf.DUMMYFUNCTION("ifna(VALUE(REGEXEXTRACT(E43,""[0-9.]+[,]+[0-9]+"")))"),27.11)</f>
        <v>27.11</v>
      </c>
      <c r="O43" s="51"/>
      <c r="P43" s="52"/>
      <c r="Q43" s="52"/>
      <c r="R43" s="52"/>
      <c r="S43" s="54"/>
      <c r="T43" s="52"/>
      <c r="U43" s="52"/>
      <c r="V43" s="52"/>
      <c r="W43" s="53"/>
      <c r="X43" s="52"/>
      <c r="Y43" s="52"/>
      <c r="Z43" s="52"/>
      <c r="AA43" s="52"/>
      <c r="AB43" s="52"/>
      <c r="AC43" s="52"/>
      <c r="AD43" s="52"/>
      <c r="AE43" s="52"/>
    </row>
    <row r="44" ht="14.25" customHeight="1">
      <c r="A44" s="178"/>
      <c r="B44" s="10">
        <v>2153715.0</v>
      </c>
      <c r="C44" s="11">
        <v>46140.698645833334</v>
      </c>
      <c r="D44" s="179" t="s">
        <v>50</v>
      </c>
      <c r="E44" s="180" t="s">
        <v>871</v>
      </c>
      <c r="F44" s="181"/>
      <c r="G44" s="179" t="s">
        <v>122</v>
      </c>
      <c r="H44" s="189"/>
      <c r="I44" s="189"/>
      <c r="J44" s="187" t="s">
        <v>3044</v>
      </c>
      <c r="K44" s="187" t="s">
        <v>6664</v>
      </c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IFERROR(__xludf.DUMMYFUNCTION("ifna(VALUE(REGEXEXTRACT(E44,""[0-9.]+[,]+[0-9]+"")))"),9.0)</f>
        <v>9</v>
      </c>
      <c r="O44" s="51"/>
      <c r="P44" s="52"/>
      <c r="Q44" s="52"/>
      <c r="R44" s="52"/>
      <c r="S44" s="54"/>
      <c r="T44" s="52"/>
      <c r="U44" s="52"/>
      <c r="V44" s="52"/>
      <c r="W44" s="53"/>
      <c r="X44" s="52"/>
      <c r="Y44" s="52"/>
      <c r="Z44" s="52"/>
      <c r="AA44" s="52"/>
      <c r="AB44" s="52"/>
      <c r="AC44" s="52"/>
      <c r="AD44" s="52"/>
      <c r="AE44" s="52"/>
    </row>
    <row r="45" ht="14.25" customHeight="1">
      <c r="A45" s="178"/>
      <c r="B45" s="10">
        <v>2153716.0</v>
      </c>
      <c r="C45" s="11">
        <v>46140.698854166665</v>
      </c>
      <c r="D45" s="179" t="s">
        <v>50</v>
      </c>
      <c r="E45" s="180" t="s">
        <v>157</v>
      </c>
      <c r="F45" s="181"/>
      <c r="G45" s="179" t="s">
        <v>94</v>
      </c>
      <c r="H45" s="190"/>
      <c r="I45" s="190"/>
      <c r="J45" s="187" t="s">
        <v>3044</v>
      </c>
      <c r="K45" s="187" t="s">
        <v>7058</v>
      </c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IFERROR(__xludf.DUMMYFUNCTION("ifna(VALUE(REGEXEXTRACT(E45,""[0-9.]+[,]+[0-9]+"")))"),5.0)</f>
        <v>5</v>
      </c>
      <c r="O45" s="51"/>
      <c r="P45" s="52"/>
      <c r="Q45" s="52"/>
      <c r="R45" s="52"/>
      <c r="S45" s="54"/>
      <c r="T45" s="52"/>
      <c r="U45" s="52"/>
      <c r="V45" s="52"/>
      <c r="W45" s="53"/>
      <c r="X45" s="52"/>
      <c r="Y45" s="52"/>
      <c r="Z45" s="52"/>
      <c r="AA45" s="52"/>
      <c r="AB45" s="52"/>
      <c r="AC45" s="52"/>
      <c r="AD45" s="52"/>
      <c r="AE45" s="52"/>
    </row>
    <row r="46" ht="18.75" customHeight="1">
      <c r="A46" s="178"/>
      <c r="B46" s="10">
        <v>2153823.0</v>
      </c>
      <c r="C46" s="11">
        <v>46140.741319444445</v>
      </c>
      <c r="D46" s="179" t="s">
        <v>50</v>
      </c>
      <c r="E46" s="180" t="s">
        <v>7499</v>
      </c>
      <c r="F46" s="181"/>
      <c r="G46" s="179" t="s">
        <v>8166</v>
      </c>
      <c r="H46" s="190"/>
      <c r="I46" s="190"/>
      <c r="J46" s="187" t="s">
        <v>3903</v>
      </c>
      <c r="K46" s="187"/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85">
        <f>IFERROR(__xludf.DUMMYFUNCTION("ifna(VALUE(REGEXEXTRACT(E46,""[0-9.]+[,]+[0-9]+"")))"),420.0)</f>
        <v>420</v>
      </c>
      <c r="O46" s="51"/>
      <c r="P46" s="79"/>
      <c r="Q46" s="79"/>
      <c r="R46" s="79"/>
      <c r="S46" s="81"/>
      <c r="T46" s="79"/>
      <c r="U46" s="79"/>
      <c r="V46" s="79"/>
      <c r="W46" s="80"/>
      <c r="X46" s="79"/>
      <c r="Y46" s="79"/>
      <c r="Z46" s="79"/>
      <c r="AA46" s="79"/>
      <c r="AB46" s="79"/>
      <c r="AC46" s="79"/>
      <c r="AD46" s="79"/>
      <c r="AE46" s="79"/>
    </row>
    <row r="47" ht="14.25" customHeight="1">
      <c r="A47" s="178"/>
      <c r="B47" s="10">
        <v>2154851.0</v>
      </c>
      <c r="C47" s="11">
        <v>46141.616793981484</v>
      </c>
      <c r="D47" s="179" t="s">
        <v>50</v>
      </c>
      <c r="E47" s="180" t="s">
        <v>290</v>
      </c>
      <c r="F47" s="181"/>
      <c r="G47" s="179" t="s">
        <v>7666</v>
      </c>
      <c r="H47" s="354"/>
      <c r="I47" s="190"/>
      <c r="J47" s="187" t="s">
        <v>3044</v>
      </c>
      <c r="K47" s="187" t="s">
        <v>7052</v>
      </c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IFERROR(__xludf.DUMMYFUNCTION("ifna(VALUE(REGEXEXTRACT(E47,""[0-9.]+[,]+[0-9]+"")))"),17.25)</f>
        <v>17.25</v>
      </c>
      <c r="O47" s="88"/>
      <c r="P47" s="89"/>
      <c r="Q47" s="89"/>
      <c r="R47" s="89"/>
      <c r="S47" s="91"/>
      <c r="T47" s="89"/>
      <c r="U47" s="89"/>
      <c r="V47" s="89"/>
      <c r="W47" s="90"/>
      <c r="X47" s="89"/>
      <c r="Y47" s="89"/>
      <c r="Z47" s="89"/>
      <c r="AA47" s="89"/>
      <c r="AB47" s="89"/>
      <c r="AC47" s="89"/>
      <c r="AD47" s="89"/>
      <c r="AE47" s="89"/>
    </row>
    <row r="48">
      <c r="A48" s="178"/>
      <c r="B48" s="10">
        <v>2154865.0</v>
      </c>
      <c r="C48" s="11">
        <v>46141.62162037037</v>
      </c>
      <c r="D48" s="179" t="s">
        <v>50</v>
      </c>
      <c r="E48" s="180" t="s">
        <v>8169</v>
      </c>
      <c r="F48" s="181"/>
      <c r="G48" s="179" t="s">
        <v>122</v>
      </c>
      <c r="H48" s="355"/>
      <c r="I48" s="190"/>
      <c r="J48" s="187" t="s">
        <v>3044</v>
      </c>
      <c r="K48" s="187" t="s">
        <v>6664</v>
      </c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IFERROR(__xludf.DUMMYFUNCTION("ifna(VALUE(REGEXEXTRACT(E48,""[0-9.]+[,]+[0-9]+"")))"),14.76)</f>
        <v>14.76</v>
      </c>
      <c r="O48" s="192"/>
      <c r="P48" s="193"/>
      <c r="Q48" s="194"/>
      <c r="R48" s="195"/>
      <c r="S48" s="91"/>
      <c r="T48" s="89"/>
      <c r="U48" s="89"/>
      <c r="V48" s="89"/>
      <c r="W48" s="90"/>
      <c r="X48" s="89"/>
      <c r="Y48" s="89"/>
      <c r="Z48" s="89"/>
      <c r="AA48" s="89"/>
      <c r="AB48" s="89"/>
      <c r="AC48" s="89"/>
      <c r="AD48" s="89"/>
      <c r="AE48" s="89"/>
    </row>
    <row r="49" ht="21.0" customHeight="1">
      <c r="A49" s="178"/>
      <c r="B49" s="10">
        <v>2155158.0</v>
      </c>
      <c r="C49" s="11">
        <v>46141.74024305555</v>
      </c>
      <c r="D49" s="179" t="s">
        <v>50</v>
      </c>
      <c r="E49" s="180" t="s">
        <v>246</v>
      </c>
      <c r="F49" s="181"/>
      <c r="G49" s="179" t="s">
        <v>94</v>
      </c>
      <c r="H49" s="190"/>
      <c r="I49" s="190"/>
      <c r="J49" s="187" t="s">
        <v>3044</v>
      </c>
      <c r="K49" s="187" t="s">
        <v>7058</v>
      </c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IFERROR(__xludf.DUMMYFUNCTION("ifna(VALUE(REGEXEXTRACT(E49,""[0-9.]+[,]+[0-9]+"")))"),4.0)</f>
        <v>4</v>
      </c>
      <c r="O49" s="192"/>
      <c r="P49" s="193"/>
      <c r="Q49" s="194"/>
      <c r="R49" s="195"/>
      <c r="S49" s="91"/>
      <c r="T49" s="89"/>
      <c r="U49" s="89"/>
      <c r="V49" s="89"/>
      <c r="W49" s="90"/>
      <c r="X49" s="89"/>
      <c r="Y49" s="89"/>
      <c r="Z49" s="89"/>
      <c r="AA49" s="89"/>
      <c r="AB49" s="89"/>
      <c r="AC49" s="89"/>
      <c r="AD49" s="89"/>
      <c r="AE49" s="89"/>
    </row>
    <row r="50" ht="14.25" customHeight="1">
      <c r="A50" s="178"/>
      <c r="B50" s="10">
        <v>2155172.0</v>
      </c>
      <c r="C50" s="11">
        <v>46141.74456018519</v>
      </c>
      <c r="D50" s="179" t="s">
        <v>50</v>
      </c>
      <c r="E50" s="180" t="s">
        <v>311</v>
      </c>
      <c r="F50" s="181"/>
      <c r="G50" s="179" t="s">
        <v>8172</v>
      </c>
      <c r="H50" s="190"/>
      <c r="I50" s="190"/>
      <c r="J50" s="187" t="s">
        <v>3903</v>
      </c>
      <c r="K50" s="187"/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"""")"),"Encontrada")</f>
        <v>Encontrada</v>
      </c>
      <c r="N50" s="185">
        <f>IFERROR(__xludf.DUMMYFUNCTION("ifna(VALUE(REGEXEXTRACT(E50,""[0-9.]+[,]+[0-9]+"")))"),159.6)</f>
        <v>159.6</v>
      </c>
      <c r="O50" s="192"/>
      <c r="P50" s="193"/>
      <c r="Q50" s="194"/>
      <c r="R50" s="195"/>
      <c r="S50" s="91"/>
      <c r="T50" s="89"/>
      <c r="U50" s="89"/>
      <c r="V50" s="89"/>
      <c r="W50" s="90"/>
      <c r="X50" s="89"/>
      <c r="Y50" s="89"/>
      <c r="Z50" s="89"/>
      <c r="AA50" s="89"/>
      <c r="AB50" s="89"/>
      <c r="AC50" s="89"/>
      <c r="AD50" s="89"/>
      <c r="AE50" s="89"/>
    </row>
    <row r="51" ht="24.75" customHeight="1">
      <c r="A51" s="178"/>
      <c r="B51" s="10">
        <v>2155261.0</v>
      </c>
      <c r="C51" s="11">
        <v>46141.77758101852</v>
      </c>
      <c r="D51" s="179" t="s">
        <v>50</v>
      </c>
      <c r="E51" s="180" t="s">
        <v>8175</v>
      </c>
      <c r="F51" s="181"/>
      <c r="G51" s="179" t="s">
        <v>74</v>
      </c>
      <c r="H51" s="190"/>
      <c r="I51" s="190"/>
      <c r="J51" s="187" t="s">
        <v>3044</v>
      </c>
      <c r="K51" s="187" t="s">
        <v>7058</v>
      </c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IFERROR(__xludf.DUMMYFUNCTION("ifna(VALUE(REGEXEXTRACT(E51,""[0-9.]+[,]+[0-9]+"")))"),12.01)</f>
        <v>12.01</v>
      </c>
      <c r="O51" s="192"/>
      <c r="P51" s="193"/>
      <c r="Q51" s="194"/>
      <c r="R51" s="195"/>
      <c r="S51" s="91"/>
      <c r="T51" s="89"/>
      <c r="U51" s="89"/>
      <c r="V51" s="89"/>
      <c r="W51" s="90"/>
      <c r="X51" s="89"/>
      <c r="Y51" s="89"/>
      <c r="Z51" s="89"/>
      <c r="AA51" s="89"/>
      <c r="AB51" s="89"/>
      <c r="AC51" s="89"/>
      <c r="AD51" s="89"/>
      <c r="AE51" s="89"/>
    </row>
    <row r="52" ht="14.25" customHeight="1">
      <c r="A52" s="178"/>
      <c r="B52" s="10">
        <v>2156150.0</v>
      </c>
      <c r="C52" s="11">
        <v>46142.568240740744</v>
      </c>
      <c r="D52" s="179" t="s">
        <v>50</v>
      </c>
      <c r="E52" s="180" t="s">
        <v>146</v>
      </c>
      <c r="F52" s="181"/>
      <c r="G52" s="179" t="s">
        <v>8177</v>
      </c>
      <c r="H52" s="190"/>
      <c r="I52" s="190"/>
      <c r="J52" s="187" t="s">
        <v>3044</v>
      </c>
      <c r="K52" s="187" t="s">
        <v>8093</v>
      </c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IFERROR(__xludf.DUMMYFUNCTION("ifna(VALUE(REGEXEXTRACT(E52,""[0-9.]+[,]+[0-9]+"")))"),3.0)</f>
        <v>3</v>
      </c>
      <c r="O52" s="88"/>
      <c r="P52" s="89"/>
      <c r="Q52" s="89"/>
      <c r="R52" s="89"/>
      <c r="S52" s="91"/>
      <c r="T52" s="89"/>
      <c r="U52" s="89"/>
      <c r="V52" s="89"/>
      <c r="W52" s="90"/>
      <c r="X52" s="89"/>
      <c r="Y52" s="89"/>
      <c r="Z52" s="89"/>
      <c r="AA52" s="89"/>
      <c r="AB52" s="89"/>
      <c r="AC52" s="89"/>
      <c r="AD52" s="89"/>
      <c r="AE52" s="89"/>
    </row>
    <row r="53" ht="14.25" customHeight="1">
      <c r="A53" s="178"/>
      <c r="B53" s="10">
        <v>2156231.0</v>
      </c>
      <c r="C53" s="11">
        <v>46142.61050925926</v>
      </c>
      <c r="D53" s="179" t="s">
        <v>50</v>
      </c>
      <c r="E53" s="180" t="s">
        <v>8178</v>
      </c>
      <c r="F53" s="181"/>
      <c r="G53" s="179" t="s">
        <v>7666</v>
      </c>
      <c r="H53" s="190"/>
      <c r="I53" s="190"/>
      <c r="J53" s="187" t="s">
        <v>3044</v>
      </c>
      <c r="K53" s="187" t="s">
        <v>7052</v>
      </c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IFERROR(__xludf.DUMMYFUNCTION("ifna(VALUE(REGEXEXTRACT(E53,""[0-9.]+[,]+[0-9]+"")))"),21.13)</f>
        <v>21.13</v>
      </c>
      <c r="O53" s="88"/>
      <c r="P53" s="89"/>
      <c r="Q53" s="89"/>
      <c r="R53" s="89"/>
      <c r="S53" s="91"/>
      <c r="T53" s="89"/>
      <c r="U53" s="89"/>
      <c r="V53" s="89"/>
      <c r="W53" s="90"/>
      <c r="X53" s="89"/>
      <c r="Y53" s="89"/>
      <c r="Z53" s="89"/>
      <c r="AA53" s="89"/>
      <c r="AB53" s="89"/>
      <c r="AC53" s="89"/>
      <c r="AD53" s="89"/>
      <c r="AE53" s="89"/>
    </row>
    <row r="54" ht="14.25" customHeight="1">
      <c r="A54" s="178"/>
      <c r="B54" s="10">
        <v>2156290.0</v>
      </c>
      <c r="C54" s="11">
        <v>46142.63261574074</v>
      </c>
      <c r="D54" s="179" t="s">
        <v>50</v>
      </c>
      <c r="E54" s="180" t="s">
        <v>71</v>
      </c>
      <c r="F54" s="181"/>
      <c r="G54" s="179" t="s">
        <v>122</v>
      </c>
      <c r="H54" s="190"/>
      <c r="I54" s="190"/>
      <c r="J54" s="187" t="s">
        <v>3044</v>
      </c>
      <c r="K54" s="187" t="s">
        <v>7058</v>
      </c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IFERROR(__xludf.DUMMYFUNCTION("ifna(VALUE(REGEXEXTRACT(E54,""[0-9.]+[,]+[0-9]+"")))"),10.99)</f>
        <v>10.99</v>
      </c>
      <c r="O54" s="108"/>
      <c r="P54" s="109"/>
      <c r="Q54" s="109"/>
      <c r="R54" s="109"/>
      <c r="S54" s="91"/>
      <c r="T54" s="109"/>
      <c r="U54" s="109"/>
      <c r="V54" s="109"/>
      <c r="W54" s="111"/>
      <c r="X54" s="109"/>
      <c r="Y54" s="109"/>
      <c r="Z54" s="109"/>
      <c r="AA54" s="109"/>
      <c r="AB54" s="109"/>
      <c r="AC54" s="109"/>
      <c r="AD54" s="109"/>
      <c r="AE54" s="109"/>
    </row>
    <row r="55" ht="14.25" customHeight="1">
      <c r="A55" s="178"/>
      <c r="B55" s="10">
        <v>2156295.0</v>
      </c>
      <c r="C55" s="11">
        <v>46142.63332175926</v>
      </c>
      <c r="D55" s="179" t="s">
        <v>50</v>
      </c>
      <c r="E55" s="180" t="s">
        <v>871</v>
      </c>
      <c r="F55" s="181"/>
      <c r="G55" s="179" t="s">
        <v>94</v>
      </c>
      <c r="H55" s="190"/>
      <c r="I55" s="190"/>
      <c r="J55" s="187" t="s">
        <v>3044</v>
      </c>
      <c r="K55" s="187" t="s">
        <v>7058</v>
      </c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IFERROR(__xludf.DUMMYFUNCTION("ifna(VALUE(REGEXEXTRACT(E55,""[0-9.]+[,]+[0-9]+"")))"),9.0)</f>
        <v>9</v>
      </c>
      <c r="O55" s="197"/>
      <c r="P55" s="198"/>
      <c r="Q55" s="198"/>
      <c r="R55" s="198"/>
      <c r="S55" s="91"/>
      <c r="T55" s="198"/>
      <c r="U55" s="198"/>
      <c r="V55" s="198"/>
      <c r="W55" s="199"/>
      <c r="X55" s="198"/>
      <c r="Y55" s="198"/>
      <c r="Z55" s="198"/>
      <c r="AA55" s="198"/>
      <c r="AB55" s="198"/>
      <c r="AC55" s="198"/>
      <c r="AD55" s="198"/>
      <c r="AE55" s="198"/>
    </row>
    <row r="56" ht="14.25" customHeight="1">
      <c r="A56" s="178"/>
      <c r="B56" s="10">
        <v>2156322.0</v>
      </c>
      <c r="C56" s="11">
        <v>46142.64195601852</v>
      </c>
      <c r="D56" s="179" t="s">
        <v>50</v>
      </c>
      <c r="E56" s="180" t="s">
        <v>7235</v>
      </c>
      <c r="F56" s="181"/>
      <c r="G56" s="179" t="s">
        <v>94</v>
      </c>
      <c r="H56" s="190"/>
      <c r="I56" s="190"/>
      <c r="J56" s="187" t="s">
        <v>3044</v>
      </c>
      <c r="K56" s="187" t="s">
        <v>7058</v>
      </c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IFERROR(__xludf.DUMMYFUNCTION("ifna(VALUE(REGEXEXTRACT(E56,""[0-9.]+[,]+[0-9]+"")))"),16.87)</f>
        <v>16.87</v>
      </c>
      <c r="O56" s="197"/>
      <c r="P56" s="198"/>
      <c r="Q56" s="198"/>
      <c r="R56" s="198"/>
      <c r="S56" s="91"/>
      <c r="T56" s="198"/>
      <c r="U56" s="198"/>
      <c r="V56" s="198"/>
      <c r="W56" s="199"/>
      <c r="X56" s="198"/>
      <c r="Y56" s="198"/>
      <c r="Z56" s="198"/>
      <c r="AA56" s="198"/>
      <c r="AB56" s="198"/>
      <c r="AC56" s="198"/>
      <c r="AD56" s="198"/>
      <c r="AE56" s="198"/>
    </row>
    <row r="57" ht="17.25" customHeight="1">
      <c r="A57" s="178"/>
      <c r="B57" s="10">
        <v>2156328.0</v>
      </c>
      <c r="C57" s="11">
        <v>46142.64224537037</v>
      </c>
      <c r="D57" s="179" t="s">
        <v>50</v>
      </c>
      <c r="E57" s="180" t="s">
        <v>246</v>
      </c>
      <c r="F57" s="181"/>
      <c r="G57" s="179" t="s">
        <v>94</v>
      </c>
      <c r="H57" s="190"/>
      <c r="I57" s="190"/>
      <c r="J57" s="187" t="s">
        <v>3044</v>
      </c>
      <c r="K57" s="187" t="s">
        <v>7058</v>
      </c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IFERROR(__xludf.DUMMYFUNCTION("ifna(VALUE(REGEXEXTRACT(E57,""[0-9.]+[,]+[0-9]+"")))"),4.0)</f>
        <v>4</v>
      </c>
      <c r="O57" s="197"/>
      <c r="P57" s="198"/>
      <c r="Q57" s="198"/>
      <c r="R57" s="198"/>
      <c r="S57" s="91"/>
      <c r="T57" s="198"/>
      <c r="U57" s="198"/>
      <c r="V57" s="198"/>
      <c r="W57" s="199"/>
      <c r="X57" s="198"/>
      <c r="Y57" s="198"/>
      <c r="Z57" s="198"/>
      <c r="AA57" s="198"/>
      <c r="AB57" s="198"/>
      <c r="AC57" s="198"/>
      <c r="AD57" s="198"/>
      <c r="AE57" s="198"/>
    </row>
    <row r="58" ht="14.25" customHeight="1">
      <c r="A58" s="178"/>
      <c r="B58" s="10">
        <v>2156362.0</v>
      </c>
      <c r="C58" s="11">
        <v>46142.650509259256</v>
      </c>
      <c r="D58" s="179" t="s">
        <v>50</v>
      </c>
      <c r="E58" s="180" t="s">
        <v>246</v>
      </c>
      <c r="F58" s="181"/>
      <c r="G58" s="179" t="s">
        <v>7666</v>
      </c>
      <c r="H58" s="190"/>
      <c r="I58" s="190"/>
      <c r="J58" s="187" t="s">
        <v>3044</v>
      </c>
      <c r="K58" s="187" t="s">
        <v>7052</v>
      </c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IFERROR(__xludf.DUMMYFUNCTION("ifna(VALUE(REGEXEXTRACT(E58,""[0-9.]+[,]+[0-9]+"")))"),4.0)</f>
        <v>4</v>
      </c>
      <c r="O58" s="197"/>
      <c r="P58" s="198"/>
      <c r="Q58" s="198"/>
      <c r="R58" s="198"/>
      <c r="S58" s="91"/>
      <c r="T58" s="198"/>
      <c r="U58" s="198"/>
      <c r="V58" s="198"/>
      <c r="W58" s="199"/>
      <c r="X58" s="198"/>
      <c r="Y58" s="198"/>
      <c r="Z58" s="198"/>
      <c r="AA58" s="198"/>
      <c r="AB58" s="198"/>
      <c r="AC58" s="198"/>
      <c r="AD58" s="198"/>
      <c r="AE58" s="198"/>
    </row>
    <row r="59" ht="14.25" customHeight="1">
      <c r="A59" s="178"/>
      <c r="B59" s="10">
        <v>2156473.0</v>
      </c>
      <c r="C59" s="11">
        <v>46142.68523148148</v>
      </c>
      <c r="D59" s="10" t="s">
        <v>50</v>
      </c>
      <c r="E59" s="10" t="s">
        <v>4300</v>
      </c>
      <c r="F59" s="13"/>
      <c r="G59" s="10" t="s">
        <v>8183</v>
      </c>
      <c r="H59" s="190"/>
      <c r="I59" s="190"/>
      <c r="J59" s="187" t="s">
        <v>3874</v>
      </c>
      <c r="K59" s="187"/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IFERROR(__xludf.DUMMYFUNCTION("ifna(VALUE(REGEXEXTRACT(E59,""[0-9.]+[,]+[0-9]+"")))"),104.0)</f>
        <v>104</v>
      </c>
      <c r="O59" s="200"/>
      <c r="P59" s="201"/>
      <c r="Q59" s="201"/>
      <c r="R59" s="201"/>
      <c r="S59" s="202"/>
      <c r="T59" s="201"/>
      <c r="U59" s="201"/>
      <c r="V59" s="201"/>
      <c r="W59" s="203"/>
      <c r="X59" s="198"/>
      <c r="Y59" s="198"/>
      <c r="Z59" s="198"/>
      <c r="AA59" s="198"/>
      <c r="AB59" s="198"/>
      <c r="AC59" s="198"/>
      <c r="AD59" s="198"/>
      <c r="AE59" s="198"/>
    </row>
    <row r="60" ht="14.25" customHeight="1">
      <c r="A60" s="178"/>
      <c r="B60" s="10">
        <v>2156474.0</v>
      </c>
      <c r="C60" s="11">
        <v>46142.6856712963</v>
      </c>
      <c r="D60" s="179" t="s">
        <v>50</v>
      </c>
      <c r="E60" s="180" t="s">
        <v>6968</v>
      </c>
      <c r="F60" s="181"/>
      <c r="G60" s="179" t="s">
        <v>8185</v>
      </c>
      <c r="H60" s="190"/>
      <c r="I60" s="190"/>
      <c r="J60" s="187" t="s">
        <v>3466</v>
      </c>
      <c r="K60" s="187"/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IFERROR(__xludf.DUMMYFUNCTION("ifna(VALUE(REGEXEXTRACT(E60,""[0-9.]+[,]+[0-9]+"")))"),17.0)</f>
        <v>17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178"/>
      <c r="B61" s="10">
        <v>2156483.0</v>
      </c>
      <c r="C61" s="11">
        <v>46142.687268518515</v>
      </c>
      <c r="D61" s="179" t="s">
        <v>227</v>
      </c>
      <c r="E61" s="180" t="s">
        <v>494</v>
      </c>
      <c r="F61" s="188"/>
      <c r="G61" s="179" t="s">
        <v>8186</v>
      </c>
      <c r="H61" s="190"/>
      <c r="I61" s="190"/>
      <c r="J61" s="187"/>
      <c r="K61" s="187"/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IFERROR(__xludf.DUMMYFUNCTION("ifna(VALUE(REGEXEXTRACT(E61,""[0-9.]+[,]+[0-9]+"")))"),0.01)</f>
        <v>0.01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 ht="14.25" customHeight="1">
      <c r="A62" s="178"/>
      <c r="B62" s="10">
        <v>2156621.0</v>
      </c>
      <c r="C62" s="11">
        <v>46142.72063657407</v>
      </c>
      <c r="D62" s="179" t="s">
        <v>50</v>
      </c>
      <c r="E62" s="180" t="s">
        <v>8187</v>
      </c>
      <c r="F62" s="181"/>
      <c r="G62" s="179" t="s">
        <v>7666</v>
      </c>
      <c r="H62" s="190"/>
      <c r="I62" s="190"/>
      <c r="J62" s="187" t="s">
        <v>3044</v>
      </c>
      <c r="K62" s="187" t="s">
        <v>7052</v>
      </c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IFERROR(__xludf.DUMMYFUNCTION("ifna(VALUE(REGEXEXTRACT(E62,""[0-9.]+[,]+[0-9]+"")))"),13.04)</f>
        <v>13.04</v>
      </c>
      <c r="O62" s="206"/>
      <c r="T62" s="207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ht="14.25" customHeight="1">
      <c r="A63" s="178"/>
      <c r="B63" s="10">
        <v>2156751.0</v>
      </c>
      <c r="C63" s="11">
        <v>46142.75429398148</v>
      </c>
      <c r="D63" s="179" t="s">
        <v>50</v>
      </c>
      <c r="E63" s="180" t="s">
        <v>7501</v>
      </c>
      <c r="F63" s="181"/>
      <c r="G63" s="179" t="s">
        <v>8189</v>
      </c>
      <c r="H63" s="190"/>
      <c r="I63" s="190"/>
      <c r="J63" s="187" t="s">
        <v>4159</v>
      </c>
      <c r="K63" s="187"/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IFERROR(__xludf.DUMMYFUNCTION("ifna(VALUE(REGEXEXTRACT(E63,""[0-9.]+[,]+[0-9]+"")))"),50.0)</f>
        <v>50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 ht="14.25" customHeight="1">
      <c r="A64" s="178"/>
      <c r="B64" s="10">
        <v>2156758.0</v>
      </c>
      <c r="C64" s="11">
        <v>46142.75545138889</v>
      </c>
      <c r="D64" s="179" t="s">
        <v>50</v>
      </c>
      <c r="E64" s="180" t="s">
        <v>7712</v>
      </c>
      <c r="F64" s="181"/>
      <c r="G64" s="179" t="s">
        <v>7666</v>
      </c>
      <c r="H64" s="190"/>
      <c r="I64" s="190"/>
      <c r="J64" s="187" t="s">
        <v>3044</v>
      </c>
      <c r="K64" s="187" t="s">
        <v>7052</v>
      </c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IFERROR(__xludf.DUMMYFUNCTION("ifna(VALUE(REGEXEXTRACT(E64,""[0-9.]+[,]+[0-9]+"")))"),18.79)</f>
        <v>18.79</v>
      </c>
      <c r="O64" s="283" t="s">
        <v>2735</v>
      </c>
      <c r="P64" s="284">
        <v>46155.0</v>
      </c>
      <c r="Q64" s="415" t="s">
        <v>1183</v>
      </c>
      <c r="R64" s="286">
        <v>500.0</v>
      </c>
      <c r="S64" s="287"/>
      <c r="T64" s="288" t="str">
        <f t="shared" ref="T64:T82" si="1">IFERROR(VLOOKUP(Q64, $A$4:$B$11, 2, FALSE), "")</f>
        <v>Rayanna</v>
      </c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 ht="14.25" customHeight="1">
      <c r="A65" s="178"/>
      <c r="B65" s="10">
        <v>2156759.0</v>
      </c>
      <c r="C65" s="11">
        <v>46142.75545138889</v>
      </c>
      <c r="D65" s="179" t="s">
        <v>50</v>
      </c>
      <c r="E65" s="180" t="s">
        <v>7712</v>
      </c>
      <c r="F65" s="181"/>
      <c r="G65" s="179" t="s">
        <v>7666</v>
      </c>
      <c r="H65" s="190"/>
      <c r="I65" s="190"/>
      <c r="J65" s="187" t="s">
        <v>3044</v>
      </c>
      <c r="K65" s="187" t="s">
        <v>7052</v>
      </c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IFERROR(__xludf.DUMMYFUNCTION("ifna(VALUE(REGEXEXTRACT(E65,""[0-9.]+[,]+[0-9]+"")))"),18.79)</f>
        <v>18.79</v>
      </c>
      <c r="O65" s="289" t="s">
        <v>2737</v>
      </c>
      <c r="P65" s="290">
        <v>46155.0</v>
      </c>
      <c r="Q65" s="291" t="s">
        <v>152</v>
      </c>
      <c r="R65" s="292">
        <v>500.0</v>
      </c>
      <c r="S65" s="293"/>
      <c r="T65" s="294" t="str">
        <f t="shared" si="1"/>
        <v>Jaara</v>
      </c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ht="14.25" customHeight="1">
      <c r="A66" s="178"/>
      <c r="B66" s="10">
        <v>2156866.0</v>
      </c>
      <c r="C66" s="11">
        <v>46142.79284722222</v>
      </c>
      <c r="D66" s="179" t="s">
        <v>50</v>
      </c>
      <c r="E66" s="180" t="s">
        <v>246</v>
      </c>
      <c r="F66" s="181"/>
      <c r="G66" s="179" t="s">
        <v>122</v>
      </c>
      <c r="H66" s="190"/>
      <c r="I66" s="190"/>
      <c r="J66" s="187" t="s">
        <v>3044</v>
      </c>
      <c r="K66" s="187" t="s">
        <v>6664</v>
      </c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IFERROR(__xludf.DUMMYFUNCTION("ifna(VALUE(REGEXEXTRACT(E66,""[0-9.]+[,]+[0-9]+"")))"),4.0)</f>
        <v>4</v>
      </c>
      <c r="O66" s="283" t="s">
        <v>2741</v>
      </c>
      <c r="P66" s="284">
        <v>46155.0</v>
      </c>
      <c r="Q66" s="295" t="s">
        <v>62</v>
      </c>
      <c r="R66" s="286">
        <v>500.0</v>
      </c>
      <c r="S66" s="296"/>
      <c r="T66" s="288" t="str">
        <f t="shared" si="1"/>
        <v>Ana Carolina</v>
      </c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ht="14.25" customHeight="1">
      <c r="A67" s="178"/>
      <c r="B67" s="10">
        <v>2157370.0</v>
      </c>
      <c r="C67" s="11">
        <v>46142.92983796296</v>
      </c>
      <c r="D67" s="179" t="s">
        <v>227</v>
      </c>
      <c r="E67" s="180" t="s">
        <v>6731</v>
      </c>
      <c r="F67" s="181"/>
      <c r="G67" s="179" t="s">
        <v>8192</v>
      </c>
      <c r="H67" s="190"/>
      <c r="I67" s="190"/>
      <c r="J67" s="187" t="s">
        <v>3874</v>
      </c>
      <c r="K67" s="187"/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IFERROR(__xludf.DUMMYFUNCTION("ifna(VALUE(REGEXEXTRACT(E67,""[0-9.]+[,]+[0-9]+"")))"),100.0)</f>
        <v>100</v>
      </c>
      <c r="O67" s="289" t="s">
        <v>2746</v>
      </c>
      <c r="P67" s="290">
        <v>46155.0</v>
      </c>
      <c r="Q67" s="291" t="s">
        <v>78</v>
      </c>
      <c r="R67" s="292">
        <v>500.0</v>
      </c>
      <c r="S67" s="297"/>
      <c r="T67" s="294" t="str">
        <f t="shared" si="1"/>
        <v>Sabrina</v>
      </c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178"/>
      <c r="B68" s="10">
        <v>2158024.0</v>
      </c>
      <c r="C68" s="11">
        <v>46143.63229166667</v>
      </c>
      <c r="D68" s="179" t="s">
        <v>50</v>
      </c>
      <c r="E68" s="180" t="s">
        <v>8194</v>
      </c>
      <c r="F68" s="181"/>
      <c r="G68" s="179" t="s">
        <v>122</v>
      </c>
      <c r="H68" s="190"/>
      <c r="I68" s="190"/>
      <c r="J68" s="187" t="s">
        <v>3044</v>
      </c>
      <c r="K68" s="187" t="s">
        <v>6664</v>
      </c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IFERROR(__xludf.DUMMYFUNCTION("ifna(VALUE(REGEXEXTRACT(E68,""[0-9.]+[,]+[0-9]+"")))"),12.18)</f>
        <v>12.18</v>
      </c>
      <c r="O68" s="283"/>
      <c r="P68" s="284"/>
      <c r="Q68" s="295"/>
      <c r="R68" s="286"/>
      <c r="S68" s="296"/>
      <c r="T68" s="288" t="str">
        <f t="shared" si="1"/>
        <v/>
      </c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 ht="14.25" customHeight="1">
      <c r="A69" s="178"/>
      <c r="B69" s="10">
        <v>2158550.0</v>
      </c>
      <c r="C69" s="11">
        <v>46143.756203703706</v>
      </c>
      <c r="D69" s="179" t="s">
        <v>50</v>
      </c>
      <c r="E69" s="180" t="s">
        <v>8196</v>
      </c>
      <c r="F69" s="181"/>
      <c r="G69" s="179" t="s">
        <v>8197</v>
      </c>
      <c r="H69" s="190"/>
      <c r="I69" s="190"/>
      <c r="J69" s="187" t="s">
        <v>3466</v>
      </c>
      <c r="K69" s="187"/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IFERROR(__xludf.DUMMYFUNCTION("ifna(VALUE(REGEXEXTRACT(E69,""[0-9.]+[,]+[0-9]+"")))"),100.34)</f>
        <v>100.34</v>
      </c>
      <c r="O69" s="289"/>
      <c r="P69" s="290"/>
      <c r="Q69" s="291"/>
      <c r="R69" s="292"/>
      <c r="S69" s="297"/>
      <c r="T69" s="294" t="str">
        <f t="shared" si="1"/>
        <v/>
      </c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178"/>
      <c r="B70" s="10">
        <v>2158615.0</v>
      </c>
      <c r="C70" s="11">
        <v>46143.76993055556</v>
      </c>
      <c r="D70" s="179" t="s">
        <v>50</v>
      </c>
      <c r="E70" s="180" t="s">
        <v>494</v>
      </c>
      <c r="F70" s="181"/>
      <c r="G70" s="179" t="s">
        <v>8199</v>
      </c>
      <c r="H70" s="190"/>
      <c r="I70" s="190"/>
      <c r="J70" s="187"/>
      <c r="K70" s="187"/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IFERROR(__xludf.DUMMYFUNCTION("ifna(VALUE(REGEXEXTRACT(E70,""[0-9.]+[,]+[0-9]+"")))"),0.01)</f>
        <v>0.01</v>
      </c>
      <c r="O70" s="283"/>
      <c r="P70" s="284"/>
      <c r="Q70" s="295"/>
      <c r="R70" s="286"/>
      <c r="S70" s="296" t="str">
        <f t="shared" ref="S70:S82" si="2">IFERROR(VLOOKUP(Q70, $A$4:$B$18, 2, FALSE), "")</f>
        <v/>
      </c>
      <c r="T70" s="288" t="str">
        <f t="shared" si="1"/>
        <v/>
      </c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 ht="14.25" customHeight="1">
      <c r="A71" s="178"/>
      <c r="B71" s="10">
        <v>2158617.0</v>
      </c>
      <c r="C71" s="11">
        <v>46143.77034722222</v>
      </c>
      <c r="D71" s="179" t="s">
        <v>50</v>
      </c>
      <c r="E71" s="180" t="s">
        <v>719</v>
      </c>
      <c r="F71" s="188"/>
      <c r="G71" s="179" t="s">
        <v>8200</v>
      </c>
      <c r="H71" s="190"/>
      <c r="I71" s="190"/>
      <c r="J71" s="187" t="s">
        <v>3874</v>
      </c>
      <c r="K71" s="187"/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IFERROR(__xludf.DUMMYFUNCTION("ifna(VALUE(REGEXEXTRACT(E71,""[0-9.]+[,]+[0-9]+"")))"),500.0)</f>
        <v>500</v>
      </c>
      <c r="O71" s="289"/>
      <c r="P71" s="290"/>
      <c r="Q71" s="291"/>
      <c r="R71" s="292"/>
      <c r="S71" s="297" t="str">
        <f t="shared" si="2"/>
        <v/>
      </c>
      <c r="T71" s="294" t="str">
        <f t="shared" si="1"/>
        <v/>
      </c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 ht="14.25" customHeight="1">
      <c r="A72" s="178"/>
      <c r="B72" s="10">
        <v>2158642.0</v>
      </c>
      <c r="C72" s="11">
        <v>46143.77402777778</v>
      </c>
      <c r="D72" s="179" t="s">
        <v>227</v>
      </c>
      <c r="E72" s="180" t="s">
        <v>494</v>
      </c>
      <c r="F72" s="181"/>
      <c r="G72" s="179" t="s">
        <v>8203</v>
      </c>
      <c r="H72" s="190"/>
      <c r="I72" s="190"/>
      <c r="J72" s="187"/>
      <c r="K72" s="187"/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IFERROR(__xludf.DUMMYFUNCTION("ifna(VALUE(REGEXEXTRACT(E72,""[0-9.]+[,]+[0-9]+"")))"),0.01)</f>
        <v>0.01</v>
      </c>
      <c r="O72" s="283"/>
      <c r="P72" s="284"/>
      <c r="Q72" s="295"/>
      <c r="R72" s="286"/>
      <c r="S72" s="296" t="str">
        <f t="shared" si="2"/>
        <v/>
      </c>
      <c r="T72" s="288" t="str">
        <f t="shared" si="1"/>
        <v/>
      </c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178"/>
      <c r="B73" s="10">
        <v>2158665.0</v>
      </c>
      <c r="C73" s="11">
        <v>46143.778125</v>
      </c>
      <c r="D73" s="179" t="s">
        <v>227</v>
      </c>
      <c r="E73" s="180" t="s">
        <v>494</v>
      </c>
      <c r="F73" s="181"/>
      <c r="G73" s="179" t="s">
        <v>8205</v>
      </c>
      <c r="H73" s="190"/>
      <c r="I73" s="190"/>
      <c r="J73" s="187"/>
      <c r="K73" s="187"/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IFERROR(__xludf.DUMMYFUNCTION("ifna(VALUE(REGEXEXTRACT(E73,""[0-9.]+[,]+[0-9]+"")))"),0.01)</f>
        <v>0.01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 ht="14.25" customHeight="1">
      <c r="A74" s="178"/>
      <c r="B74" s="10">
        <v>2158671.0</v>
      </c>
      <c r="C74" s="11">
        <v>46143.77883101852</v>
      </c>
      <c r="D74" s="179" t="s">
        <v>227</v>
      </c>
      <c r="E74" s="180" t="s">
        <v>8017</v>
      </c>
      <c r="F74" s="181"/>
      <c r="G74" s="179" t="s">
        <v>8208</v>
      </c>
      <c r="H74" s="190"/>
      <c r="I74" s="190"/>
      <c r="J74" s="187" t="s">
        <v>3825</v>
      </c>
      <c r="K74" s="187"/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IFERROR(__xludf.DUMMYFUNCTION("ifna(VALUE(REGEXEXTRACT(E74,""[0-9.]+[,]+[0-9]+"")))"),97.5)</f>
        <v>97.5</v>
      </c>
      <c r="O74" s="299"/>
      <c r="P74" s="300"/>
      <c r="Q74" s="301"/>
      <c r="R74" s="302" t="str">
        <f t="shared" ref="R74:R82" si="3">IFERROR(VLOOKUP(Q74, $B$4:$C$18, 2, FALSE), "")</f>
        <v/>
      </c>
      <c r="S74" s="296" t="str">
        <f t="shared" si="2"/>
        <v/>
      </c>
      <c r="T74" s="288" t="str">
        <f t="shared" si="1"/>
        <v/>
      </c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 ht="14.25" customHeight="1">
      <c r="A75" s="178"/>
      <c r="B75" s="10">
        <v>2158708.0</v>
      </c>
      <c r="C75" s="11">
        <v>46143.78670138889</v>
      </c>
      <c r="D75" s="179" t="s">
        <v>50</v>
      </c>
      <c r="E75" s="180" t="s">
        <v>1702</v>
      </c>
      <c r="F75" s="181"/>
      <c r="G75" s="179" t="s">
        <v>8210</v>
      </c>
      <c r="H75" s="190"/>
      <c r="I75" s="190"/>
      <c r="J75" s="187"/>
      <c r="K75" s="187"/>
      <c r="L75" s="343" t="s">
        <v>8211</v>
      </c>
      <c r="M75" s="344" t="s">
        <v>7462</v>
      </c>
      <c r="N75" s="185">
        <f>IFERROR(__xludf.DUMMYFUNCTION("ifna(VALUE(REGEXEXTRACT(E75,""[0-9.]+[,]+[0-9]+"")))"),90.0)</f>
        <v>90</v>
      </c>
      <c r="O75" s="303"/>
      <c r="P75" s="121"/>
      <c r="Q75" s="121"/>
      <c r="R75" s="304" t="str">
        <f t="shared" si="3"/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 ht="14.25" customHeight="1">
      <c r="A76" s="178"/>
      <c r="B76" s="10">
        <v>2158723.0</v>
      </c>
      <c r="C76" s="11">
        <v>46143.792025462964</v>
      </c>
      <c r="D76" s="179" t="s">
        <v>50</v>
      </c>
      <c r="E76" s="180" t="s">
        <v>494</v>
      </c>
      <c r="F76" s="181"/>
      <c r="G76" s="179" t="s">
        <v>8214</v>
      </c>
      <c r="H76" s="190"/>
      <c r="I76" s="190"/>
      <c r="J76" s="187"/>
      <c r="K76" s="187"/>
      <c r="L76" s="252" t="str">
        <f>IFERROR(__xludf.DUMMYFUNCTION("IF(
  AND(D76=""Saída"",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IFERROR(__xludf.DUMMYFUNCTION("IF(J75=""Compra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IFERROR(__xludf.DUMMYFUNCTION("ifna(VALUE(REGEXEXTRACT(E76,""[0-9.]+[,]+[0-9]+"")))"),0.01)</f>
        <v>0.01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 ht="14.25" customHeight="1">
      <c r="A77" s="178"/>
      <c r="B77" s="10">
        <v>2158762.0</v>
      </c>
      <c r="C77" s="11">
        <v>46143.80547453704</v>
      </c>
      <c r="D77" s="179" t="s">
        <v>227</v>
      </c>
      <c r="E77" s="180" t="s">
        <v>8216</v>
      </c>
      <c r="F77" s="181"/>
      <c r="G77" s="179" t="s">
        <v>8217</v>
      </c>
      <c r="H77" s="190"/>
      <c r="I77" s="190"/>
      <c r="J77" s="187" t="s">
        <v>4159</v>
      </c>
      <c r="K77" s="187"/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IFERROR(__xludf.DUMMYFUNCTION("ifna(VALUE(REGEXEXTRACT(E77,""[0-9.]+[,]+[0-9]+"")))"),39.76)</f>
        <v>39.76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178"/>
      <c r="B78" s="10">
        <v>2158776.0</v>
      </c>
      <c r="C78" s="11">
        <v>46143.81023148148</v>
      </c>
      <c r="D78" s="179" t="s">
        <v>50</v>
      </c>
      <c r="E78" s="180" t="s">
        <v>8219</v>
      </c>
      <c r="F78" s="181"/>
      <c r="G78" s="179" t="s">
        <v>8220</v>
      </c>
      <c r="H78" s="190"/>
      <c r="I78" s="190"/>
      <c r="J78" s="187" t="s">
        <v>3903</v>
      </c>
      <c r="K78" s="187"/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85">
        <f>IFERROR(__xludf.DUMMYFUNCTION("ifna(VALUE(REGEXEXTRACT(E78,""[0-9.]+[,]+[0-9]+"")))"),10.24)</f>
        <v>10.24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 ht="14.25" customHeight="1">
      <c r="A79" s="178"/>
      <c r="B79" s="10">
        <v>2158797.0</v>
      </c>
      <c r="C79" s="11">
        <v>46143.81636574074</v>
      </c>
      <c r="D79" s="179" t="s">
        <v>227</v>
      </c>
      <c r="E79" s="180" t="s">
        <v>3983</v>
      </c>
      <c r="F79" s="181"/>
      <c r="G79" s="179" t="s">
        <v>8222</v>
      </c>
      <c r="H79" s="190"/>
      <c r="I79" s="190"/>
      <c r="J79" s="187" t="s">
        <v>3874</v>
      </c>
      <c r="K79" s="187"/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IFERROR(__xludf.DUMMYFUNCTION("ifna(VALUE(REGEXEXTRACT(E79,""[0-9.]+[,]+[0-9]+"")))"),150.0)</f>
        <v>150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 ht="14.25" customHeight="1">
      <c r="A80" s="178"/>
      <c r="B80" s="10">
        <v>2158871.0</v>
      </c>
      <c r="C80" s="11">
        <v>46143.83337962963</v>
      </c>
      <c r="D80" s="179" t="s">
        <v>50</v>
      </c>
      <c r="E80" s="180" t="s">
        <v>6909</v>
      </c>
      <c r="F80" s="181"/>
      <c r="G80" s="179" t="s">
        <v>8224</v>
      </c>
      <c r="H80" s="190"/>
      <c r="I80" s="190"/>
      <c r="J80" s="187" t="s">
        <v>3825</v>
      </c>
      <c r="K80" s="187"/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IFERROR(__xludf.DUMMYFUNCTION("ifna(VALUE(REGEXEXTRACT(E80,""[0-9.]+[,]+[0-9]+"")))"),75.0)</f>
        <v>75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 ht="14.25" customHeight="1">
      <c r="A81" s="178"/>
      <c r="B81" s="10">
        <v>2159281.0</v>
      </c>
      <c r="C81" s="11">
        <v>46143.90012731482</v>
      </c>
      <c r="D81" s="179" t="s">
        <v>50</v>
      </c>
      <c r="E81" s="180" t="s">
        <v>8227</v>
      </c>
      <c r="F81" s="181"/>
      <c r="G81" s="179" t="s">
        <v>8228</v>
      </c>
      <c r="H81" s="190"/>
      <c r="I81" s="190"/>
      <c r="J81" s="187" t="s">
        <v>3044</v>
      </c>
      <c r="K81" s="187" t="s">
        <v>7058</v>
      </c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IFERROR(__xludf.DUMMYFUNCTION("ifna(VALUE(REGEXEXTRACT(E81,""[0-9.]+[,]+[0-9]+"")))"),44.11)</f>
        <v>44.11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 ht="14.25" customHeight="1">
      <c r="A82" s="178"/>
      <c r="B82" s="10">
        <v>2159348.0</v>
      </c>
      <c r="C82" s="11">
        <v>46143.908217592594</v>
      </c>
      <c r="D82" s="179" t="s">
        <v>50</v>
      </c>
      <c r="E82" s="180" t="s">
        <v>8229</v>
      </c>
      <c r="F82" s="181"/>
      <c r="G82" s="179" t="s">
        <v>8230</v>
      </c>
      <c r="H82" s="190"/>
      <c r="I82" s="190"/>
      <c r="J82" s="187" t="s">
        <v>3825</v>
      </c>
      <c r="K82" s="187"/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IFERROR(__xludf.DUMMYFUNCTION("ifna(VALUE(REGEXEXTRACT(E82,""[0-9.]+[,]+[0-9]+"")))"),127.5)</f>
        <v>127.5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 ht="14.25" customHeight="1">
      <c r="A83" s="178"/>
      <c r="B83" s="10">
        <v>2160566.0</v>
      </c>
      <c r="C83" s="11">
        <v>46144.655335648145</v>
      </c>
      <c r="D83" s="179" t="s">
        <v>50</v>
      </c>
      <c r="E83" s="180" t="s">
        <v>8233</v>
      </c>
      <c r="F83" s="181"/>
      <c r="G83" s="179" t="s">
        <v>122</v>
      </c>
      <c r="H83" s="190"/>
      <c r="I83" s="190"/>
      <c r="J83" s="187" t="s">
        <v>3044</v>
      </c>
      <c r="K83" s="187" t="s">
        <v>6664</v>
      </c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IFERROR(__xludf.DUMMYFUNCTION("ifna(VALUE(REGEXEXTRACT(E83,""[0-9.]+[,]+[0-9]+"")))"),10.22)</f>
        <v>10.22</v>
      </c>
      <c r="O83" s="305"/>
      <c r="P83" s="305"/>
      <c r="Q83" s="305"/>
      <c r="R83" s="306"/>
      <c r="S83" s="305"/>
      <c r="T83" s="91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 ht="14.25" customHeight="1">
      <c r="A84" s="178"/>
      <c r="B84" s="10">
        <v>2160862.0</v>
      </c>
      <c r="C84" s="11">
        <v>46144.73571759259</v>
      </c>
      <c r="D84" s="179" t="s">
        <v>50</v>
      </c>
      <c r="E84" s="180" t="s">
        <v>8235</v>
      </c>
      <c r="F84" s="181"/>
      <c r="G84" s="179" t="s">
        <v>8236</v>
      </c>
      <c r="H84" s="190"/>
      <c r="I84" s="190"/>
      <c r="J84" s="187" t="s">
        <v>3825</v>
      </c>
      <c r="K84" s="187"/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IFERROR(__xludf.DUMMYFUNCTION("ifna(VALUE(REGEXEXTRACT(E84,""[0-9.]+[,]+[0-9]+"")))"),53.0)</f>
        <v>53</v>
      </c>
      <c r="O84" s="307" t="s">
        <v>7170</v>
      </c>
      <c r="W84" s="24"/>
      <c r="X84" s="24"/>
      <c r="Y84" s="24"/>
      <c r="Z84" s="24"/>
      <c r="AA84" s="24"/>
      <c r="AB84" s="24"/>
      <c r="AC84" s="24"/>
      <c r="AD84" s="24"/>
      <c r="AE84" s="24"/>
    </row>
    <row r="85" ht="14.25" customHeight="1">
      <c r="A85" s="178"/>
      <c r="B85" s="10">
        <v>2161303.0</v>
      </c>
      <c r="C85" s="11">
        <v>46144.85920138889</v>
      </c>
      <c r="D85" s="179" t="s">
        <v>50</v>
      </c>
      <c r="E85" s="180" t="s">
        <v>246</v>
      </c>
      <c r="F85" s="181"/>
      <c r="G85" s="179" t="s">
        <v>122</v>
      </c>
      <c r="H85" s="190"/>
      <c r="I85" s="190"/>
      <c r="J85" s="187" t="s">
        <v>3044</v>
      </c>
      <c r="K85" s="187" t="s">
        <v>6664</v>
      </c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IFERROR(__xludf.DUMMYFUNCTION("ifna(VALUE(REGEXEXTRACT(E85,""[0-9.]+[,]+[0-9]+"")))"),4.0)</f>
        <v>4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  <c r="X85" s="24"/>
      <c r="Y85" s="24"/>
      <c r="Z85" s="24"/>
      <c r="AA85" s="24"/>
      <c r="AB85" s="24"/>
      <c r="AC85" s="24"/>
      <c r="AD85" s="24"/>
      <c r="AE85" s="24"/>
    </row>
    <row r="86" ht="14.25" customHeight="1">
      <c r="A86" s="178"/>
      <c r="B86" s="10">
        <v>2161377.0</v>
      </c>
      <c r="C86" s="11">
        <v>46144.87815972222</v>
      </c>
      <c r="D86" s="179" t="s">
        <v>227</v>
      </c>
      <c r="E86" s="180" t="s">
        <v>8240</v>
      </c>
      <c r="F86" s="181"/>
      <c r="G86" s="179" t="s">
        <v>8241</v>
      </c>
      <c r="H86" s="190"/>
      <c r="I86" s="190"/>
      <c r="J86" s="187" t="s">
        <v>3874</v>
      </c>
      <c r="K86" s="187"/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IFERROR(__xludf.DUMMYFUNCTION("ifna(VALUE(REGEXEXTRACT(E86,""[0-9.]+[,]+[0-9]+"")))"),284.0)</f>
        <v>284</v>
      </c>
      <c r="O86" s="356"/>
      <c r="P86" s="312"/>
      <c r="Q86" s="311"/>
      <c r="R86" s="313"/>
      <c r="S86" s="311"/>
      <c r="V86" s="314"/>
      <c r="W86" s="24"/>
      <c r="X86" s="24"/>
      <c r="Y86" s="24"/>
      <c r="Z86" s="24"/>
      <c r="AA86" s="24"/>
      <c r="AB86" s="24"/>
      <c r="AC86" s="24"/>
      <c r="AD86" s="24"/>
      <c r="AE86" s="24"/>
    </row>
    <row r="87" ht="14.25" customHeight="1">
      <c r="A87" s="178"/>
      <c r="B87" s="10">
        <v>2161390.0</v>
      </c>
      <c r="C87" s="11">
        <v>46144.88041666667</v>
      </c>
      <c r="D87" s="179" t="s">
        <v>50</v>
      </c>
      <c r="E87" s="180" t="s">
        <v>8242</v>
      </c>
      <c r="F87" s="181"/>
      <c r="G87" s="179" t="s">
        <v>8243</v>
      </c>
      <c r="H87" s="190"/>
      <c r="I87" s="190"/>
      <c r="J87" s="187" t="s">
        <v>3903</v>
      </c>
      <c r="K87" s="187"/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"""")"),"Encontrada")</f>
        <v>Encontrada</v>
      </c>
      <c r="N87" s="185">
        <f>IFERROR(__xludf.DUMMYFUNCTION("ifna(VALUE(REGEXEXTRACT(E87,""[0-9.]+[,]+[0-9]+"")))"),433.81)</f>
        <v>433.81</v>
      </c>
      <c r="O87" s="315"/>
      <c r="P87" s="316"/>
      <c r="Q87" s="315"/>
      <c r="R87" s="317"/>
      <c r="S87" s="315"/>
      <c r="V87" s="318"/>
      <c r="W87" s="24"/>
      <c r="X87" s="24"/>
      <c r="Y87" s="24"/>
      <c r="Z87" s="24"/>
      <c r="AA87" s="24"/>
      <c r="AB87" s="24"/>
      <c r="AC87" s="24"/>
      <c r="AD87" s="24"/>
      <c r="AE87" s="24"/>
    </row>
    <row r="88" ht="14.25" customHeight="1">
      <c r="A88" s="178"/>
      <c r="B88" s="10">
        <v>2161402.0</v>
      </c>
      <c r="C88" s="11">
        <v>46144.882789351854</v>
      </c>
      <c r="D88" s="179" t="s">
        <v>50</v>
      </c>
      <c r="E88" s="180" t="s">
        <v>6654</v>
      </c>
      <c r="F88" s="181"/>
      <c r="G88" s="179" t="s">
        <v>8248</v>
      </c>
      <c r="H88" s="190"/>
      <c r="I88" s="190"/>
      <c r="J88" s="187" t="s">
        <v>3903</v>
      </c>
      <c r="K88" s="187"/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85">
        <f>IFERROR(__xludf.DUMMYFUNCTION("ifna(VALUE(REGEXEXTRACT(E88,""[0-9.]+[,]+[0-9]+"")))"),60.0)</f>
        <v>60</v>
      </c>
      <c r="O88" s="319"/>
      <c r="P88" s="320"/>
      <c r="Q88" s="319"/>
      <c r="R88" s="321"/>
      <c r="S88" s="319"/>
      <c r="V88" s="322"/>
      <c r="W88" s="24"/>
      <c r="X88" s="24"/>
      <c r="Y88" s="24"/>
      <c r="Z88" s="24"/>
      <c r="AA88" s="24"/>
      <c r="AB88" s="24"/>
      <c r="AC88" s="24"/>
      <c r="AD88" s="24"/>
      <c r="AE88" s="24"/>
    </row>
    <row r="89" ht="14.25" customHeight="1">
      <c r="A89" s="178"/>
      <c r="B89" s="10">
        <v>2161661.0</v>
      </c>
      <c r="C89" s="11">
        <v>46144.92252314815</v>
      </c>
      <c r="D89" s="179" t="s">
        <v>50</v>
      </c>
      <c r="E89" s="180" t="s">
        <v>7889</v>
      </c>
      <c r="F89" s="181"/>
      <c r="G89" s="179" t="s">
        <v>122</v>
      </c>
      <c r="H89" s="323"/>
      <c r="I89" s="190"/>
      <c r="J89" s="187" t="s">
        <v>3044</v>
      </c>
      <c r="K89" s="187" t="s">
        <v>6664</v>
      </c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IFERROR(__xludf.DUMMYFUNCTION("ifna(VALUE(REGEXEXTRACT(E89,""[0-9.]+[,]+[0-9]+"")))"),24.67)</f>
        <v>24.67</v>
      </c>
      <c r="O89" s="315"/>
      <c r="P89" s="316"/>
      <c r="Q89" s="315"/>
      <c r="R89" s="317"/>
      <c r="S89" s="315"/>
      <c r="V89" s="318"/>
      <c r="W89" s="24"/>
      <c r="X89" s="24"/>
      <c r="Y89" s="24"/>
      <c r="Z89" s="24"/>
      <c r="AA89" s="24"/>
      <c r="AB89" s="24"/>
      <c r="AC89" s="24"/>
      <c r="AD89" s="24"/>
      <c r="AE89" s="24"/>
    </row>
    <row r="90" ht="14.25" customHeight="1">
      <c r="A90" s="178"/>
      <c r="B90" s="10">
        <v>2162791.0</v>
      </c>
      <c r="C90" s="11">
        <v>46145.73299768518</v>
      </c>
      <c r="D90" s="179" t="s">
        <v>50</v>
      </c>
      <c r="E90" s="180" t="s">
        <v>8251</v>
      </c>
      <c r="F90" s="181"/>
      <c r="G90" s="179" t="s">
        <v>8252</v>
      </c>
      <c r="H90" s="190"/>
      <c r="I90" s="190"/>
      <c r="J90" s="187" t="s">
        <v>3903</v>
      </c>
      <c r="K90" s="187"/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185">
        <f>IFERROR(__xludf.DUMMYFUNCTION("ifna(VALUE(REGEXEXTRACT(E90,""[0-9.]+[,]+[0-9]+"")))"),4.65)</f>
        <v>4.65</v>
      </c>
      <c r="O90" s="319"/>
      <c r="P90" s="320"/>
      <c r="Q90" s="319"/>
      <c r="R90" s="321"/>
      <c r="S90" s="319"/>
      <c r="V90" s="322"/>
      <c r="W90" s="24"/>
      <c r="X90" s="24"/>
      <c r="Y90" s="24"/>
      <c r="Z90" s="24"/>
      <c r="AA90" s="24"/>
      <c r="AB90" s="24"/>
      <c r="AC90" s="24"/>
      <c r="AD90" s="24"/>
      <c r="AE90" s="24"/>
    </row>
    <row r="91" ht="14.25" customHeight="1">
      <c r="A91" s="178"/>
      <c r="B91" s="10">
        <v>2162793.0</v>
      </c>
      <c r="C91" s="11">
        <v>46145.733298611114</v>
      </c>
      <c r="D91" s="179" t="s">
        <v>50</v>
      </c>
      <c r="E91" s="180" t="s">
        <v>8255</v>
      </c>
      <c r="F91" s="181"/>
      <c r="G91" s="179" t="s">
        <v>8256</v>
      </c>
      <c r="H91" s="190"/>
      <c r="I91" s="190"/>
      <c r="J91" s="187" t="s">
        <v>3903</v>
      </c>
      <c r="K91" s="187"/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"""")"),"Encontrada")</f>
        <v>Encontrada</v>
      </c>
      <c r="N91" s="185">
        <f>IFERROR(__xludf.DUMMYFUNCTION("ifna(VALUE(REGEXEXTRACT(E91,""[0-9.]+[,]+[0-9]+"")))"),28.92)</f>
        <v>28.92</v>
      </c>
      <c r="O91" s="315"/>
      <c r="P91" s="316"/>
      <c r="Q91" s="315"/>
      <c r="R91" s="317"/>
      <c r="S91" s="315"/>
      <c r="V91" s="318"/>
      <c r="W91" s="24"/>
      <c r="X91" s="24"/>
      <c r="Y91" s="24"/>
      <c r="Z91" s="24"/>
      <c r="AA91" s="24"/>
      <c r="AB91" s="24"/>
      <c r="AC91" s="24"/>
      <c r="AD91" s="24"/>
      <c r="AE91" s="24"/>
    </row>
    <row r="92" ht="14.25" customHeight="1">
      <c r="A92" s="178"/>
      <c r="B92" s="10">
        <v>2162796.0</v>
      </c>
      <c r="C92" s="11">
        <v>46145.733668981484</v>
      </c>
      <c r="D92" s="179" t="s">
        <v>50</v>
      </c>
      <c r="E92" s="180" t="s">
        <v>8259</v>
      </c>
      <c r="F92" s="188"/>
      <c r="G92" s="179" t="s">
        <v>8260</v>
      </c>
      <c r="H92" s="190"/>
      <c r="I92" s="190"/>
      <c r="J92" s="187" t="s">
        <v>3903</v>
      </c>
      <c r="K92" s="187"/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85">
        <f>IFERROR(__xludf.DUMMYFUNCTION("ifna(VALUE(REGEXEXTRACT(E92,""[0-9.]+[,]+[0-9]+"")))"),4.89)</f>
        <v>4.89</v>
      </c>
      <c r="O92" s="319"/>
      <c r="P92" s="320"/>
      <c r="Q92" s="319"/>
      <c r="R92" s="321"/>
      <c r="S92" s="319"/>
      <c r="V92" s="281"/>
      <c r="W92" s="185"/>
      <c r="X92" s="185"/>
      <c r="Y92" s="185"/>
      <c r="Z92" s="185"/>
      <c r="AA92" s="185"/>
      <c r="AB92" s="185"/>
      <c r="AC92" s="185"/>
      <c r="AD92" s="185"/>
      <c r="AE92" s="185"/>
    </row>
    <row r="93" ht="14.25" customHeight="1">
      <c r="A93" s="178"/>
      <c r="B93" s="10">
        <v>2162799.0</v>
      </c>
      <c r="C93" s="11">
        <v>46145.73405092592</v>
      </c>
      <c r="D93" s="179" t="s">
        <v>50</v>
      </c>
      <c r="E93" s="180" t="s">
        <v>8263</v>
      </c>
      <c r="F93" s="181"/>
      <c r="G93" s="179" t="s">
        <v>8264</v>
      </c>
      <c r="H93" s="190"/>
      <c r="I93" s="190"/>
      <c r="J93" s="187" t="s">
        <v>3903</v>
      </c>
      <c r="K93" s="187"/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"""")"),"Encontrada")</f>
        <v>Encontrada</v>
      </c>
      <c r="N93" s="185">
        <f>IFERROR(__xludf.DUMMYFUNCTION("ifna(VALUE(REGEXEXTRACT(E93,""[0-9.]+[,]+[0-9]+"")))"),68.66)</f>
        <v>68.66</v>
      </c>
      <c r="O93" s="315"/>
      <c r="P93" s="316"/>
      <c r="Q93" s="315"/>
      <c r="R93" s="317"/>
      <c r="S93" s="315"/>
      <c r="V93" s="279"/>
      <c r="W93" s="185"/>
      <c r="X93" s="185"/>
      <c r="Y93" s="185"/>
      <c r="Z93" s="185"/>
      <c r="AA93" s="185"/>
      <c r="AB93" s="185"/>
      <c r="AC93" s="185"/>
      <c r="AD93" s="185"/>
      <c r="AE93" s="185"/>
    </row>
    <row r="94" ht="14.25" customHeight="1">
      <c r="A94" s="178"/>
      <c r="B94" s="10">
        <v>2162929.0</v>
      </c>
      <c r="C94" s="11">
        <v>46145.75883101852</v>
      </c>
      <c r="D94" s="179" t="s">
        <v>50</v>
      </c>
      <c r="E94" s="180" t="s">
        <v>708</v>
      </c>
      <c r="F94" s="181"/>
      <c r="G94" s="179" t="s">
        <v>122</v>
      </c>
      <c r="H94" s="190"/>
      <c r="I94" s="190"/>
      <c r="J94" s="187" t="s">
        <v>3044</v>
      </c>
      <c r="K94" s="187" t="s">
        <v>6664</v>
      </c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IFERROR(__xludf.DUMMYFUNCTION("ifna(VALUE(REGEXEXTRACT(E94,""[0-9.]+[,]+[0-9]+"")))"),8.0)</f>
        <v>8</v>
      </c>
      <c r="O94" s="319"/>
      <c r="P94" s="320"/>
      <c r="Q94" s="319"/>
      <c r="R94" s="321"/>
      <c r="S94" s="319"/>
      <c r="V94" s="281"/>
      <c r="W94" s="185"/>
      <c r="X94" s="185"/>
      <c r="Y94" s="185"/>
      <c r="Z94" s="185"/>
      <c r="AA94" s="185"/>
      <c r="AB94" s="185"/>
      <c r="AC94" s="185"/>
      <c r="AD94" s="185"/>
      <c r="AE94" s="185"/>
    </row>
    <row r="95" ht="14.25" customHeight="1">
      <c r="A95" s="178"/>
      <c r="B95" s="10">
        <v>2163726.0</v>
      </c>
      <c r="C95" s="11">
        <v>46145.90966435185</v>
      </c>
      <c r="D95" s="179" t="s">
        <v>50</v>
      </c>
      <c r="E95" s="180" t="s">
        <v>7421</v>
      </c>
      <c r="F95" s="188"/>
      <c r="G95" s="179" t="s">
        <v>8266</v>
      </c>
      <c r="H95" s="190"/>
      <c r="I95" s="190"/>
      <c r="J95" s="187" t="s">
        <v>3825</v>
      </c>
      <c r="K95" s="187"/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IFERROR(__xludf.DUMMYFUNCTION("ifna(VALUE(REGEXEXTRACT(E95,""[0-9.]+[,]+[0-9]+"")))"),145.0)</f>
        <v>145</v>
      </c>
      <c r="O95" s="315"/>
      <c r="P95" s="316"/>
      <c r="Q95" s="315"/>
      <c r="R95" s="317"/>
      <c r="S95" s="315"/>
      <c r="V95" s="279"/>
      <c r="W95" s="185"/>
      <c r="X95" s="185"/>
      <c r="Y95" s="185"/>
      <c r="Z95" s="185"/>
      <c r="AA95" s="185"/>
      <c r="AB95" s="185"/>
      <c r="AC95" s="185"/>
      <c r="AD95" s="185"/>
      <c r="AE95" s="185"/>
    </row>
    <row r="96" ht="14.25" customHeight="1">
      <c r="A96" s="178"/>
      <c r="B96" s="10">
        <v>2163811.0</v>
      </c>
      <c r="C96" s="11">
        <v>46145.91756944444</v>
      </c>
      <c r="D96" s="179" t="s">
        <v>50</v>
      </c>
      <c r="E96" s="180" t="s">
        <v>8268</v>
      </c>
      <c r="F96" s="181"/>
      <c r="G96" s="179" t="s">
        <v>8269</v>
      </c>
      <c r="H96" s="190"/>
      <c r="I96" s="190"/>
      <c r="J96" s="187" t="s">
        <v>3825</v>
      </c>
      <c r="K96" s="187"/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IFERROR(__xludf.DUMMYFUNCTION("ifna(VALUE(REGEXEXTRACT(E96,""[0-9.]+[,]+[0-9]+"")))"),57.0)</f>
        <v>57</v>
      </c>
      <c r="O96" s="325"/>
      <c r="P96" s="326"/>
      <c r="Q96" s="326"/>
      <c r="R96" s="321"/>
      <c r="S96" s="319"/>
      <c r="V96" s="281"/>
      <c r="W96" s="185"/>
      <c r="X96" s="185"/>
      <c r="Y96" s="185"/>
      <c r="Z96" s="185"/>
      <c r="AA96" s="185"/>
      <c r="AB96" s="185"/>
      <c r="AC96" s="185"/>
      <c r="AD96" s="185"/>
      <c r="AE96" s="185"/>
    </row>
    <row r="97" ht="14.25" customHeight="1">
      <c r="A97" s="178"/>
      <c r="B97" s="10">
        <v>2164960.0</v>
      </c>
      <c r="C97" s="11">
        <v>46146.72944444444</v>
      </c>
      <c r="D97" s="179" t="s">
        <v>227</v>
      </c>
      <c r="E97" s="180" t="s">
        <v>494</v>
      </c>
      <c r="F97" s="181"/>
      <c r="G97" s="179" t="s">
        <v>8271</v>
      </c>
      <c r="H97" s="190"/>
      <c r="I97" s="190"/>
      <c r="J97" s="187"/>
      <c r="K97" s="187"/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IFERROR(__xludf.DUMMYFUNCTION("ifna(VALUE(REGEXEXTRACT(E97,""[0-9.]+[,]+[0-9]+"")))"),0.01)</f>
        <v>0.01</v>
      </c>
      <c r="O97" s="315"/>
      <c r="P97" s="316"/>
      <c r="Q97" s="315"/>
      <c r="R97" s="317"/>
      <c r="S97" s="315"/>
      <c r="V97" s="279"/>
      <c r="W97" s="185"/>
      <c r="X97" s="185"/>
      <c r="Y97" s="185"/>
      <c r="Z97" s="185"/>
      <c r="AA97" s="185"/>
      <c r="AB97" s="185"/>
      <c r="AC97" s="185"/>
      <c r="AD97" s="185"/>
      <c r="AE97" s="185"/>
    </row>
    <row r="98" ht="14.25" customHeight="1">
      <c r="A98" s="178"/>
      <c r="B98" s="10">
        <v>2164963.0</v>
      </c>
      <c r="C98" s="11">
        <v>46146.73032407407</v>
      </c>
      <c r="D98" s="179" t="s">
        <v>50</v>
      </c>
      <c r="E98" s="180" t="s">
        <v>329</v>
      </c>
      <c r="F98" s="188"/>
      <c r="G98" s="179" t="s">
        <v>8273</v>
      </c>
      <c r="H98" s="190"/>
      <c r="I98" s="190"/>
      <c r="J98" s="187" t="s">
        <v>3874</v>
      </c>
      <c r="K98" s="187"/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IFERROR(__xludf.DUMMYFUNCTION("ifna(VALUE(REGEXEXTRACT(E98,""[0-9.]+[,]+[0-9]+"")))"),200.0)</f>
        <v>200</v>
      </c>
      <c r="O98" s="319"/>
      <c r="P98" s="320"/>
      <c r="Q98" s="319"/>
      <c r="R98" s="321"/>
      <c r="S98" s="319"/>
      <c r="V98" s="281"/>
      <c r="W98" s="185"/>
      <c r="X98" s="185"/>
      <c r="Y98" s="185"/>
      <c r="Z98" s="185"/>
      <c r="AA98" s="185"/>
      <c r="AB98" s="185"/>
      <c r="AC98" s="185"/>
      <c r="AD98" s="185"/>
      <c r="AE98" s="185"/>
    </row>
    <row r="99" ht="14.25" customHeight="1">
      <c r="A99" s="178"/>
      <c r="B99" s="10">
        <v>2165927.0</v>
      </c>
      <c r="C99" s="11">
        <v>46147.550787037035</v>
      </c>
      <c r="D99" s="179" t="s">
        <v>50</v>
      </c>
      <c r="E99" s="180" t="s">
        <v>6782</v>
      </c>
      <c r="F99" s="181"/>
      <c r="G99" s="179" t="s">
        <v>122</v>
      </c>
      <c r="H99" s="190"/>
      <c r="I99" s="190"/>
      <c r="J99" s="187" t="s">
        <v>3044</v>
      </c>
      <c r="K99" s="187" t="s">
        <v>6664</v>
      </c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IFERROR(__xludf.DUMMYFUNCTION("ifna(VALUE(REGEXEXTRACT(E99,""[0-9.]+[,]+[0-9]+"")))"),11.12)</f>
        <v>11.12</v>
      </c>
      <c r="O99" s="315"/>
      <c r="P99" s="316"/>
      <c r="Q99" s="315"/>
      <c r="R99" s="317"/>
      <c r="S99" s="315"/>
      <c r="V99" s="279"/>
      <c r="W99" s="185"/>
      <c r="X99" s="185"/>
      <c r="Y99" s="185"/>
      <c r="Z99" s="185"/>
      <c r="AA99" s="185"/>
      <c r="AB99" s="185"/>
      <c r="AC99" s="185"/>
      <c r="AD99" s="185"/>
      <c r="AE99" s="185"/>
    </row>
    <row r="100" ht="14.25" customHeight="1">
      <c r="A100" s="178"/>
      <c r="B100" s="10">
        <v>2165929.0</v>
      </c>
      <c r="C100" s="11">
        <v>46147.55113425926</v>
      </c>
      <c r="D100" s="179" t="s">
        <v>50</v>
      </c>
      <c r="E100" s="180" t="s">
        <v>246</v>
      </c>
      <c r="F100" s="181"/>
      <c r="G100" s="179" t="s">
        <v>94</v>
      </c>
      <c r="H100" s="190"/>
      <c r="I100" s="190"/>
      <c r="J100" s="187" t="s">
        <v>3044</v>
      </c>
      <c r="K100" s="187" t="s">
        <v>7058</v>
      </c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IFERROR(__xludf.DUMMYFUNCTION("ifna(VALUE(REGEXEXTRACT(E100,""[0-9.]+[,]+[0-9]+"")))"),4.0)</f>
        <v>4</v>
      </c>
      <c r="O100" s="319"/>
      <c r="P100" s="320"/>
      <c r="Q100" s="319"/>
      <c r="R100" s="321"/>
      <c r="S100" s="319"/>
      <c r="V100" s="281"/>
      <c r="W100" s="185"/>
      <c r="X100" s="185"/>
      <c r="Y100" s="185"/>
      <c r="Z100" s="185"/>
      <c r="AA100" s="185"/>
      <c r="AB100" s="185"/>
      <c r="AC100" s="185"/>
      <c r="AD100" s="185"/>
      <c r="AE100" s="185"/>
    </row>
    <row r="101" ht="14.25" customHeight="1">
      <c r="A101" s="178"/>
      <c r="B101" s="10">
        <v>2166425.0</v>
      </c>
      <c r="C101" s="11">
        <v>46147.72284722222</v>
      </c>
      <c r="D101" s="179" t="s">
        <v>50</v>
      </c>
      <c r="E101" s="180" t="s">
        <v>8275</v>
      </c>
      <c r="F101" s="181"/>
      <c r="G101" s="179" t="s">
        <v>7666</v>
      </c>
      <c r="H101" s="190"/>
      <c r="I101" s="190"/>
      <c r="J101" s="187" t="s">
        <v>3044</v>
      </c>
      <c r="K101" s="187" t="s">
        <v>7052</v>
      </c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IFERROR(__xludf.DUMMYFUNCTION("ifna(VALUE(REGEXEXTRACT(E101,""[0-9.]+[,]+[0-9]+"")))"),55.32)</f>
        <v>55.32</v>
      </c>
      <c r="O101" s="315"/>
      <c r="P101" s="316"/>
      <c r="Q101" s="315"/>
      <c r="R101" s="317"/>
      <c r="S101" s="315"/>
      <c r="V101" s="279"/>
      <c r="W101" s="185"/>
      <c r="X101" s="185"/>
      <c r="Y101" s="185"/>
      <c r="Z101" s="185"/>
      <c r="AA101" s="185"/>
      <c r="AB101" s="185"/>
      <c r="AC101" s="185"/>
      <c r="AD101" s="185"/>
      <c r="AE101" s="185"/>
    </row>
    <row r="102" ht="17.25" customHeight="1">
      <c r="A102" s="178"/>
      <c r="B102" s="10">
        <v>2166491.0</v>
      </c>
      <c r="C102" s="11">
        <v>46147.73725694444</v>
      </c>
      <c r="D102" s="179" t="s">
        <v>50</v>
      </c>
      <c r="E102" s="180" t="s">
        <v>8277</v>
      </c>
      <c r="F102" s="181"/>
      <c r="G102" s="179" t="s">
        <v>8278</v>
      </c>
      <c r="H102" s="190"/>
      <c r="I102" s="190"/>
      <c r="J102" s="187" t="s">
        <v>3903</v>
      </c>
      <c r="K102" s="187"/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85">
        <f>IFERROR(__xludf.DUMMYFUNCTION("ifna(VALUE(REGEXEXTRACT(E102,""[0-9.]+[,]+[0-9]+"")))"),99.0)</f>
        <v>99</v>
      </c>
      <c r="O102" s="319"/>
      <c r="P102" s="320"/>
      <c r="Q102" s="319"/>
      <c r="R102" s="321"/>
      <c r="S102" s="319"/>
      <c r="V102" s="281"/>
      <c r="W102" s="185"/>
      <c r="X102" s="185"/>
      <c r="Y102" s="185"/>
      <c r="Z102" s="185"/>
      <c r="AA102" s="185"/>
      <c r="AB102" s="185"/>
      <c r="AC102" s="185"/>
      <c r="AD102" s="185"/>
      <c r="AE102" s="185"/>
    </row>
    <row r="103" ht="14.25" customHeight="1">
      <c r="A103" s="178"/>
      <c r="B103" s="10">
        <v>2167771.0</v>
      </c>
      <c r="C103" s="11">
        <v>46148.60958333333</v>
      </c>
      <c r="D103" s="179" t="s">
        <v>50</v>
      </c>
      <c r="E103" s="180" t="s">
        <v>7395</v>
      </c>
      <c r="F103" s="181"/>
      <c r="G103" s="179" t="s">
        <v>7666</v>
      </c>
      <c r="H103" s="190"/>
      <c r="I103" s="190"/>
      <c r="J103" s="187" t="s">
        <v>3044</v>
      </c>
      <c r="K103" s="187" t="s">
        <v>7052</v>
      </c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TRIM(CLEAN(TO_TEXT(#REF!)))) &gt; 0,
      ""Encontrada"",
      ""Não Encontrada""
   ),
"""")"),"")</f>
        <v/>
      </c>
      <c r="N103" s="185">
        <f>IFERROR(__xludf.DUMMYFUNCTION("ifna(VALUE(REGEXEXTRACT(E103,""[0-9.]+[,]+[0-9]+"")))"),21.09)</f>
        <v>21.09</v>
      </c>
      <c r="O103" s="315"/>
      <c r="P103" s="316"/>
      <c r="Q103" s="315"/>
      <c r="R103" s="317"/>
      <c r="S103" s="315"/>
      <c r="V103" s="279"/>
      <c r="W103" s="185"/>
      <c r="X103" s="185"/>
      <c r="Y103" s="185"/>
      <c r="Z103" s="185"/>
      <c r="AA103" s="185"/>
      <c r="AB103" s="185"/>
      <c r="AC103" s="185"/>
      <c r="AD103" s="185"/>
      <c r="AE103" s="185"/>
    </row>
    <row r="104" ht="14.25" customHeight="1">
      <c r="A104" s="178"/>
      <c r="B104" s="10">
        <v>2167772.0</v>
      </c>
      <c r="C104" s="11">
        <v>46148.609826388885</v>
      </c>
      <c r="D104" s="10" t="s">
        <v>50</v>
      </c>
      <c r="E104" s="10" t="s">
        <v>8282</v>
      </c>
      <c r="F104" s="13"/>
      <c r="G104" s="10" t="s">
        <v>122</v>
      </c>
      <c r="H104" s="190"/>
      <c r="I104" s="190"/>
      <c r="J104" s="187" t="s">
        <v>3044</v>
      </c>
      <c r="K104" s="187" t="s">
        <v>6664</v>
      </c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TRIM(CLEAN(TO_TEXT(B103)))) &gt; 0,
      ""Encontrada"",
      ""Não Encontrada""
   ),
"""")"),"")</f>
        <v/>
      </c>
      <c r="N104" s="185">
        <f>IFERROR(__xludf.DUMMYFUNCTION("ifna(VALUE(REGEXEXTRACT(E104,""[0-9.]+[,]+[0-9]+"")))"),9.07)</f>
        <v>9.07</v>
      </c>
      <c r="O104" s="319"/>
      <c r="P104" s="320"/>
      <c r="Q104" s="319"/>
      <c r="R104" s="321"/>
      <c r="S104" s="319"/>
      <c r="V104" s="281"/>
      <c r="W104" s="185"/>
      <c r="X104" s="185"/>
      <c r="Y104" s="185"/>
      <c r="Z104" s="185"/>
      <c r="AA104" s="185"/>
      <c r="AB104" s="185"/>
      <c r="AC104" s="185"/>
      <c r="AD104" s="185"/>
      <c r="AE104" s="185"/>
    </row>
    <row r="105" ht="14.25" customHeight="1">
      <c r="A105" s="178"/>
      <c r="B105" s="10">
        <v>2168461.0</v>
      </c>
      <c r="C105" s="11">
        <v>46148.80516203704</v>
      </c>
      <c r="D105" s="179" t="s">
        <v>50</v>
      </c>
      <c r="E105" s="180" t="s">
        <v>8284</v>
      </c>
      <c r="F105" s="181"/>
      <c r="G105" s="179" t="s">
        <v>74</v>
      </c>
      <c r="H105" s="190"/>
      <c r="I105" s="190"/>
      <c r="J105" s="187" t="s">
        <v>3044</v>
      </c>
      <c r="K105" s="187" t="s">
        <v>7058</v>
      </c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IFERROR(__xludf.DUMMYFUNCTION("ifna(VALUE(REGEXEXTRACT(E105,""[0-9.]+[,]+[0-9]+"")))"),15.21)</f>
        <v>15.21</v>
      </c>
      <c r="O105" s="315"/>
      <c r="P105" s="315"/>
      <c r="Q105" s="315"/>
      <c r="R105" s="317"/>
      <c r="S105" s="315"/>
      <c r="V105" s="279"/>
      <c r="W105" s="185"/>
      <c r="X105" s="185"/>
      <c r="Y105" s="185"/>
      <c r="Z105" s="185"/>
      <c r="AA105" s="185"/>
      <c r="AB105" s="185"/>
      <c r="AC105" s="185"/>
      <c r="AD105" s="185"/>
      <c r="AE105" s="185"/>
    </row>
    <row r="106" ht="14.25" customHeight="1">
      <c r="A106" s="178"/>
      <c r="B106" s="10">
        <v>2168604.0</v>
      </c>
      <c r="C106" s="11">
        <v>46148.865277777775</v>
      </c>
      <c r="D106" s="179" t="s">
        <v>50</v>
      </c>
      <c r="E106" s="180" t="s">
        <v>3899</v>
      </c>
      <c r="F106" s="188"/>
      <c r="G106" s="179" t="s">
        <v>8287</v>
      </c>
      <c r="H106" s="190"/>
      <c r="I106" s="190"/>
      <c r="J106" s="187" t="s">
        <v>3746</v>
      </c>
      <c r="K106" s="187" t="s">
        <v>7058</v>
      </c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"),"Depositada")</f>
        <v>Depositada</v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IFERROR(__xludf.DUMMYFUNCTION("ifna(VALUE(REGEXEXTRACT(E106,""[0-9.]+[,]+[0-9]+"")))"),1000.0)</f>
        <v>1000</v>
      </c>
      <c r="O106" s="319"/>
      <c r="P106" s="319"/>
      <c r="Q106" s="319"/>
      <c r="R106" s="321"/>
      <c r="S106" s="319"/>
      <c r="V106" s="281"/>
      <c r="W106" s="185"/>
      <c r="X106" s="185"/>
      <c r="Y106" s="185"/>
      <c r="Z106" s="185"/>
      <c r="AA106" s="185"/>
      <c r="AB106" s="185"/>
      <c r="AC106" s="185"/>
      <c r="AD106" s="185"/>
      <c r="AE106" s="185"/>
    </row>
    <row r="107" ht="18.75" customHeight="1">
      <c r="A107" s="178"/>
      <c r="B107" s="10">
        <v>2169638.0</v>
      </c>
      <c r="C107" s="11">
        <v>46149.65684027778</v>
      </c>
      <c r="D107" s="179" t="s">
        <v>227</v>
      </c>
      <c r="E107" s="180" t="s">
        <v>719</v>
      </c>
      <c r="F107" s="181"/>
      <c r="G107" s="179" t="s">
        <v>8289</v>
      </c>
      <c r="H107" s="190"/>
      <c r="I107" s="190"/>
      <c r="J107" s="187" t="s">
        <v>3874</v>
      </c>
      <c r="K107" s="187"/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IFERROR(__xludf.DUMMYFUNCTION("ifna(VALUE(REGEXEXTRACT(E107,""[0-9.]+[,]+[0-9]+"")))"),500.0)</f>
        <v>500</v>
      </c>
      <c r="O107" s="331"/>
      <c r="P107" s="331"/>
      <c r="Q107" s="331"/>
      <c r="R107" s="317"/>
      <c r="S107" s="331"/>
      <c r="V107" s="279"/>
      <c r="W107" s="185"/>
      <c r="X107" s="185"/>
      <c r="Y107" s="185"/>
      <c r="Z107" s="185"/>
      <c r="AA107" s="185"/>
      <c r="AB107" s="185"/>
      <c r="AC107" s="185"/>
      <c r="AD107" s="185"/>
      <c r="AE107" s="185"/>
    </row>
    <row r="108" ht="14.25" customHeight="1">
      <c r="A108" s="178"/>
      <c r="B108" s="10">
        <v>2169645.0</v>
      </c>
      <c r="C108" s="11">
        <v>46149.659004629626</v>
      </c>
      <c r="D108" s="179" t="s">
        <v>50</v>
      </c>
      <c r="E108" s="180" t="s">
        <v>494</v>
      </c>
      <c r="F108" s="188"/>
      <c r="G108" s="179" t="s">
        <v>8291</v>
      </c>
      <c r="H108" s="190"/>
      <c r="I108" s="190"/>
      <c r="J108" s="187" t="s">
        <v>3874</v>
      </c>
      <c r="K108" s="187"/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IFERROR(__xludf.DUMMYFUNCTION("ifna(VALUE(REGEXEXTRACT(E108,""[0-9.]+[,]+[0-9]+"")))"),0.01)</f>
        <v>0.01</v>
      </c>
      <c r="O108" s="332"/>
      <c r="P108" s="332"/>
      <c r="Q108" s="332"/>
      <c r="R108" s="321"/>
      <c r="S108" s="332"/>
      <c r="V108" s="281"/>
      <c r="W108" s="185"/>
      <c r="X108" s="185"/>
      <c r="Y108" s="185"/>
      <c r="Z108" s="185"/>
      <c r="AA108" s="185"/>
      <c r="AB108" s="185"/>
      <c r="AC108" s="185"/>
      <c r="AD108" s="185"/>
      <c r="AE108" s="185"/>
    </row>
    <row r="109" ht="15.75" customHeight="1">
      <c r="A109" s="178"/>
      <c r="B109" s="10">
        <v>2169650.0</v>
      </c>
      <c r="C109" s="11">
        <v>46149.65982638889</v>
      </c>
      <c r="D109" s="179" t="s">
        <v>50</v>
      </c>
      <c r="E109" s="180" t="s">
        <v>719</v>
      </c>
      <c r="F109" s="181"/>
      <c r="G109" s="179" t="s">
        <v>8293</v>
      </c>
      <c r="H109" s="190"/>
      <c r="I109" s="190"/>
      <c r="J109" s="187" t="s">
        <v>3874</v>
      </c>
      <c r="K109" s="187"/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IFERROR(__xludf.DUMMYFUNCTION("ifna(VALUE(REGEXEXTRACT(E109,""[0-9.]+[,]+[0-9]+"")))"),500.0)</f>
        <v>500</v>
      </c>
      <c r="O109" s="333"/>
      <c r="P109" s="331"/>
      <c r="Q109" s="331"/>
      <c r="R109" s="317"/>
      <c r="S109" s="331"/>
      <c r="V109" s="279"/>
      <c r="W109" s="185"/>
      <c r="X109" s="185"/>
      <c r="Y109" s="185"/>
      <c r="Z109" s="185"/>
      <c r="AA109" s="185"/>
      <c r="AB109" s="185"/>
      <c r="AC109" s="185"/>
      <c r="AD109" s="185"/>
      <c r="AE109" s="185"/>
    </row>
    <row r="110" ht="14.25" customHeight="1">
      <c r="A110" s="178"/>
      <c r="B110" s="10">
        <v>2169677.0</v>
      </c>
      <c r="C110" s="11">
        <v>46149.66658564815</v>
      </c>
      <c r="D110" s="179" t="s">
        <v>50</v>
      </c>
      <c r="E110" s="180" t="s">
        <v>7581</v>
      </c>
      <c r="F110" s="181"/>
      <c r="G110" s="179" t="s">
        <v>7962</v>
      </c>
      <c r="H110" s="190"/>
      <c r="I110" s="190"/>
      <c r="J110" s="187" t="s">
        <v>3466</v>
      </c>
      <c r="K110" s="187"/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IFERROR(__xludf.DUMMYFUNCTION("ifna(VALUE(REGEXEXTRACT(E110,""[0-9.]+[,]+[0-9]+"")))"),29.78)</f>
        <v>29.78</v>
      </c>
      <c r="O110" s="332"/>
      <c r="P110" s="332"/>
      <c r="Q110" s="332"/>
      <c r="R110" s="321"/>
      <c r="S110" s="332"/>
      <c r="V110" s="281"/>
      <c r="W110" s="185"/>
      <c r="X110" s="185"/>
      <c r="Y110" s="185"/>
      <c r="Z110" s="185"/>
      <c r="AA110" s="185"/>
      <c r="AB110" s="185"/>
      <c r="AC110" s="185"/>
      <c r="AD110" s="185"/>
      <c r="AE110" s="185"/>
    </row>
    <row r="111" ht="17.25" customHeight="1">
      <c r="A111" s="178"/>
      <c r="B111" s="10">
        <v>2169681.0</v>
      </c>
      <c r="C111" s="11">
        <v>46149.66706018519</v>
      </c>
      <c r="D111" s="179" t="s">
        <v>50</v>
      </c>
      <c r="E111" s="180" t="s">
        <v>708</v>
      </c>
      <c r="F111" s="181"/>
      <c r="G111" s="179" t="s">
        <v>122</v>
      </c>
      <c r="H111" s="190"/>
      <c r="I111" s="190"/>
      <c r="J111" s="187" t="s">
        <v>3044</v>
      </c>
      <c r="K111" s="187" t="s">
        <v>6664</v>
      </c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IFERROR(__xludf.DUMMYFUNCTION("ifna(VALUE(REGEXEXTRACT(E111,""[0-9.]+[,]+[0-9]+"")))"),8.0)</f>
        <v>8</v>
      </c>
      <c r="O111" s="331"/>
      <c r="P111" s="331"/>
      <c r="Q111" s="331"/>
      <c r="R111" s="317"/>
      <c r="S111" s="331"/>
      <c r="V111" s="279"/>
      <c r="W111" s="185"/>
      <c r="X111" s="185"/>
      <c r="Y111" s="185"/>
      <c r="Z111" s="185"/>
      <c r="AA111" s="185"/>
      <c r="AB111" s="185"/>
      <c r="AC111" s="185"/>
      <c r="AD111" s="185"/>
      <c r="AE111" s="185"/>
    </row>
    <row r="112" ht="14.25" customHeight="1">
      <c r="A112" s="178"/>
      <c r="B112" s="10">
        <v>2169683.0</v>
      </c>
      <c r="C112" s="11">
        <v>46149.66732638889</v>
      </c>
      <c r="D112" s="179" t="s">
        <v>50</v>
      </c>
      <c r="E112" s="180" t="s">
        <v>871</v>
      </c>
      <c r="F112" s="181"/>
      <c r="G112" s="179" t="s">
        <v>94</v>
      </c>
      <c r="H112" s="190"/>
      <c r="I112" s="190"/>
      <c r="J112" s="187" t="s">
        <v>3044</v>
      </c>
      <c r="K112" s="187" t="s">
        <v>7058</v>
      </c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IFERROR(__xludf.DUMMYFUNCTION("ifna(VALUE(REGEXEXTRACT(E112,""[0-9.]+[,]+[0-9]+"")))"),9.0)</f>
        <v>9</v>
      </c>
      <c r="O112" s="332"/>
      <c r="P112" s="332"/>
      <c r="Q112" s="332"/>
      <c r="R112" s="321"/>
      <c r="S112" s="332"/>
      <c r="V112" s="281"/>
      <c r="W112" s="185"/>
      <c r="X112" s="185"/>
      <c r="Y112" s="185"/>
      <c r="Z112" s="185"/>
      <c r="AA112" s="185"/>
      <c r="AB112" s="185"/>
      <c r="AC112" s="185"/>
      <c r="AD112" s="185"/>
      <c r="AE112" s="185"/>
    </row>
    <row r="113" ht="14.25" customHeight="1">
      <c r="A113" s="178"/>
      <c r="B113" s="10">
        <v>2170067.0</v>
      </c>
      <c r="C113" s="11">
        <v>46149.76226851852</v>
      </c>
      <c r="D113" s="179" t="s">
        <v>50</v>
      </c>
      <c r="E113" s="180" t="s">
        <v>6782</v>
      </c>
      <c r="F113" s="181"/>
      <c r="G113" s="179" t="s">
        <v>74</v>
      </c>
      <c r="H113" s="190"/>
      <c r="I113" s="190"/>
      <c r="J113" s="187" t="s">
        <v>3044</v>
      </c>
      <c r="K113" s="187" t="s">
        <v>7058</v>
      </c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IFERROR(__xludf.DUMMYFUNCTION("ifna(VALUE(REGEXEXTRACT(E113,""[0-9.]+[,]+[0-9]+"")))"),11.12)</f>
        <v>11.12</v>
      </c>
      <c r="O113" s="331"/>
      <c r="P113" s="331"/>
      <c r="Q113" s="331"/>
      <c r="R113" s="331"/>
      <c r="S113" s="331"/>
      <c r="V113" s="279"/>
      <c r="W113" s="185"/>
      <c r="X113" s="185"/>
      <c r="Y113" s="185"/>
      <c r="Z113" s="185"/>
      <c r="AA113" s="185"/>
      <c r="AB113" s="185"/>
      <c r="AC113" s="185"/>
      <c r="AD113" s="185"/>
      <c r="AE113" s="185"/>
    </row>
    <row r="114" ht="14.25" customHeight="1">
      <c r="A114" s="178"/>
      <c r="B114" s="10">
        <v>2171219.0</v>
      </c>
      <c r="C114" s="11">
        <v>46150.56251157408</v>
      </c>
      <c r="D114" s="179" t="s">
        <v>50</v>
      </c>
      <c r="E114" s="180" t="s">
        <v>246</v>
      </c>
      <c r="F114" s="181"/>
      <c r="G114" s="179" t="s">
        <v>122</v>
      </c>
      <c r="H114" s="190"/>
      <c r="I114" s="190"/>
      <c r="J114" s="187" t="s">
        <v>3044</v>
      </c>
      <c r="K114" s="187" t="s">
        <v>6664</v>
      </c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IFERROR(__xludf.DUMMYFUNCTION("ifna(VALUE(REGEXEXTRACT(E114,""[0-9.]+[,]+[0-9]+"")))"),4.0)</f>
        <v>4</v>
      </c>
      <c r="O114" s="332"/>
      <c r="P114" s="332"/>
      <c r="Q114" s="332"/>
      <c r="R114" s="332"/>
      <c r="S114" s="332"/>
      <c r="V114" s="281"/>
      <c r="W114" s="185"/>
      <c r="X114" s="185"/>
      <c r="Y114" s="185"/>
      <c r="Z114" s="185"/>
      <c r="AA114" s="185"/>
      <c r="AB114" s="185"/>
      <c r="AC114" s="185"/>
      <c r="AD114" s="185"/>
      <c r="AE114" s="185"/>
    </row>
    <row r="115" ht="14.25" customHeight="1">
      <c r="A115" s="178"/>
      <c r="B115" s="10">
        <v>2171529.0</v>
      </c>
      <c r="C115" s="11">
        <v>46150.68518518518</v>
      </c>
      <c r="D115" s="179" t="s">
        <v>50</v>
      </c>
      <c r="E115" s="180" t="s">
        <v>6479</v>
      </c>
      <c r="F115" s="181"/>
      <c r="G115" s="179" t="s">
        <v>8297</v>
      </c>
      <c r="H115" s="190"/>
      <c r="I115" s="190"/>
      <c r="J115" s="187" t="s">
        <v>3903</v>
      </c>
      <c r="K115" s="187"/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85">
        <f>IFERROR(__xludf.DUMMYFUNCTION("ifna(VALUE(REGEXEXTRACT(E115,""[0-9.]+[,]+[0-9]+"")))"),300.0)</f>
        <v>300</v>
      </c>
      <c r="O115" s="331"/>
      <c r="P115" s="331"/>
      <c r="Q115" s="331"/>
      <c r="R115" s="331"/>
      <c r="S115" s="331"/>
      <c r="V115" s="279"/>
      <c r="W115" s="185"/>
      <c r="X115" s="185"/>
      <c r="Y115" s="185"/>
      <c r="Z115" s="185"/>
      <c r="AA115" s="185"/>
      <c r="AB115" s="185"/>
      <c r="AC115" s="185"/>
      <c r="AD115" s="185"/>
      <c r="AE115" s="185"/>
    </row>
    <row r="116" ht="14.25" customHeight="1">
      <c r="A116" s="178"/>
      <c r="B116" s="10">
        <v>2171625.0</v>
      </c>
      <c r="C116" s="11">
        <v>46150.72215277778</v>
      </c>
      <c r="D116" s="179" t="s">
        <v>50</v>
      </c>
      <c r="E116" s="180" t="s">
        <v>1195</v>
      </c>
      <c r="F116" s="181"/>
      <c r="G116" s="179" t="s">
        <v>8299</v>
      </c>
      <c r="H116" s="190"/>
      <c r="I116" s="190"/>
      <c r="J116" s="187" t="s">
        <v>3825</v>
      </c>
      <c r="K116" s="187"/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IFERROR(__xludf.DUMMYFUNCTION("ifna(VALUE(REGEXEXTRACT(E116,""[0-9.]+[,]+[0-9]+"")))"),25.0)</f>
        <v>25</v>
      </c>
      <c r="O116" s="332"/>
      <c r="P116" s="332"/>
      <c r="Q116" s="332"/>
      <c r="R116" s="332"/>
      <c r="S116" s="332"/>
      <c r="V116" s="281"/>
      <c r="W116" s="185"/>
      <c r="X116" s="185"/>
      <c r="Y116" s="185"/>
      <c r="Z116" s="185"/>
      <c r="AA116" s="185"/>
      <c r="AB116" s="185"/>
      <c r="AC116" s="185"/>
      <c r="AD116" s="185"/>
      <c r="AE116" s="185"/>
    </row>
    <row r="117" ht="14.25" customHeight="1">
      <c r="A117" s="178"/>
      <c r="B117" s="10">
        <v>2171637.0</v>
      </c>
      <c r="C117" s="11">
        <v>46150.728993055556</v>
      </c>
      <c r="D117" s="179" t="s">
        <v>50</v>
      </c>
      <c r="E117" s="180" t="s">
        <v>8301</v>
      </c>
      <c r="F117" s="181"/>
      <c r="G117" s="179" t="s">
        <v>8302</v>
      </c>
      <c r="H117" s="190"/>
      <c r="I117" s="190"/>
      <c r="J117" s="187" t="s">
        <v>3903</v>
      </c>
      <c r="K117" s="187"/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"""")"),"Encontrada")</f>
        <v>Encontrada</v>
      </c>
      <c r="N117" s="185">
        <f>IFERROR(__xludf.DUMMYFUNCTION("ifna(VALUE(REGEXEXTRACT(E117,""[0-9.]+[,]+[0-9]+"")))"),174.52)</f>
        <v>174.52</v>
      </c>
      <c r="O117" s="334"/>
      <c r="P117" s="335"/>
      <c r="Q117" s="336"/>
      <c r="R117" s="331"/>
      <c r="S117" s="331"/>
      <c r="V117" s="279"/>
      <c r="W117" s="185"/>
      <c r="X117" s="185"/>
      <c r="Y117" s="185"/>
      <c r="Z117" s="185"/>
      <c r="AA117" s="185"/>
      <c r="AB117" s="185"/>
      <c r="AC117" s="185"/>
      <c r="AD117" s="185"/>
      <c r="AE117" s="185"/>
    </row>
    <row r="118" ht="14.25" customHeight="1">
      <c r="A118" s="178"/>
      <c r="B118" s="10">
        <v>2171638.0</v>
      </c>
      <c r="C118" s="11">
        <v>46150.729837962965</v>
      </c>
      <c r="D118" s="179" t="s">
        <v>50</v>
      </c>
      <c r="E118" s="180" t="s">
        <v>6561</v>
      </c>
      <c r="F118" s="181"/>
      <c r="G118" s="179" t="s">
        <v>8303</v>
      </c>
      <c r="H118" s="190"/>
      <c r="I118" s="190"/>
      <c r="J118" s="187" t="s">
        <v>3903</v>
      </c>
      <c r="K118" s="187"/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"""")"),"Encontrada")</f>
        <v>Encontrada</v>
      </c>
      <c r="N118" s="185">
        <f>IFERROR(__xludf.DUMMYFUNCTION("ifna(VALUE(REGEXEXTRACT(E118,""[0-9.]+[,]+[0-9]+"")))"),6.0)</f>
        <v>6</v>
      </c>
      <c r="O118" s="325"/>
      <c r="P118" s="326"/>
      <c r="Q118" s="337"/>
      <c r="R118" s="332"/>
      <c r="S118" s="332"/>
      <c r="V118" s="281"/>
      <c r="W118" s="185"/>
      <c r="X118" s="185"/>
      <c r="Y118" s="185"/>
      <c r="Z118" s="185"/>
      <c r="AA118" s="185"/>
      <c r="AB118" s="185"/>
      <c r="AC118" s="185"/>
      <c r="AD118" s="185"/>
      <c r="AE118" s="185"/>
    </row>
    <row r="119" ht="14.25" customHeight="1">
      <c r="A119" s="178"/>
      <c r="B119" s="10">
        <v>2171737.0</v>
      </c>
      <c r="C119" s="11">
        <v>46150.754375</v>
      </c>
      <c r="D119" s="179" t="s">
        <v>50</v>
      </c>
      <c r="E119" s="180" t="s">
        <v>7154</v>
      </c>
      <c r="F119" s="181"/>
      <c r="G119" s="179" t="s">
        <v>122</v>
      </c>
      <c r="H119" s="190"/>
      <c r="I119" s="190"/>
      <c r="J119" s="187" t="s">
        <v>3044</v>
      </c>
      <c r="K119" s="187" t="s">
        <v>6664</v>
      </c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IFERROR(__xludf.DUMMYFUNCTION("ifna(VALUE(REGEXEXTRACT(E119,""[0-9.]+[,]+[0-9]+"")))"),21.34)</f>
        <v>21.34</v>
      </c>
      <c r="O119" s="331"/>
      <c r="P119" s="331"/>
      <c r="Q119" s="331"/>
      <c r="R119" s="331"/>
      <c r="S119" s="331"/>
      <c r="V119" s="279"/>
      <c r="W119" s="185"/>
      <c r="X119" s="185"/>
      <c r="Y119" s="185"/>
      <c r="Z119" s="185"/>
      <c r="AA119" s="185"/>
      <c r="AB119" s="185"/>
      <c r="AC119" s="185"/>
      <c r="AD119" s="185"/>
      <c r="AE119" s="185"/>
    </row>
    <row r="120" ht="14.25" customHeight="1">
      <c r="A120" s="178"/>
      <c r="B120" s="10">
        <v>2171764.0</v>
      </c>
      <c r="C120" s="11">
        <v>46150.76076388889</v>
      </c>
      <c r="D120" s="179" t="s">
        <v>50</v>
      </c>
      <c r="E120" s="180" t="s">
        <v>511</v>
      </c>
      <c r="F120" s="181"/>
      <c r="G120" s="179" t="s">
        <v>7666</v>
      </c>
      <c r="H120" s="190"/>
      <c r="I120" s="190"/>
      <c r="J120" s="187" t="s">
        <v>3044</v>
      </c>
      <c r="K120" s="187" t="s">
        <v>7052</v>
      </c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IFERROR(__xludf.DUMMYFUNCTION("ifna(VALUE(REGEXEXTRACT(E120,""[0-9.]+[,]+[0-9]+"")))"),7.16)</f>
        <v>7.16</v>
      </c>
      <c r="O120" s="332"/>
      <c r="P120" s="332"/>
      <c r="Q120" s="332"/>
      <c r="R120" s="332"/>
      <c r="S120" s="332"/>
      <c r="V120" s="281"/>
      <c r="W120" s="185"/>
      <c r="X120" s="185"/>
      <c r="Y120" s="185"/>
      <c r="Z120" s="185"/>
      <c r="AA120" s="185"/>
      <c r="AB120" s="185"/>
      <c r="AC120" s="185"/>
      <c r="AD120" s="185"/>
      <c r="AE120" s="185"/>
    </row>
    <row r="121" ht="14.25" customHeight="1">
      <c r="A121" s="178"/>
      <c r="B121" s="10">
        <v>2171769.0</v>
      </c>
      <c r="C121" s="11">
        <v>46150.76152777778</v>
      </c>
      <c r="D121" s="179" t="s">
        <v>50</v>
      </c>
      <c r="E121" s="180" t="s">
        <v>6551</v>
      </c>
      <c r="F121" s="188"/>
      <c r="G121" s="179" t="s">
        <v>94</v>
      </c>
      <c r="H121" s="190"/>
      <c r="I121" s="190"/>
      <c r="J121" s="187" t="s">
        <v>3044</v>
      </c>
      <c r="K121" s="187" t="s">
        <v>7058</v>
      </c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IFERROR(__xludf.DUMMYFUNCTION("ifna(VALUE(REGEXEXTRACT(E121,""[0-9.]+[,]+[0-9]+"")))"),11.5)</f>
        <v>11.5</v>
      </c>
      <c r="O121" s="331"/>
      <c r="P121" s="331"/>
      <c r="Q121" s="331"/>
      <c r="R121" s="331"/>
      <c r="S121" s="331"/>
      <c r="V121" s="279"/>
      <c r="W121" s="185"/>
      <c r="X121" s="185"/>
      <c r="Y121" s="185"/>
      <c r="Z121" s="185"/>
      <c r="AA121" s="185"/>
      <c r="AB121" s="185"/>
      <c r="AC121" s="185"/>
      <c r="AD121" s="185"/>
      <c r="AE121" s="185"/>
    </row>
    <row r="122" ht="14.25" customHeight="1">
      <c r="A122" s="178"/>
      <c r="B122" s="10">
        <v>2171839.0</v>
      </c>
      <c r="C122" s="11">
        <v>46150.787986111114</v>
      </c>
      <c r="D122" s="179" t="s">
        <v>50</v>
      </c>
      <c r="E122" s="180" t="s">
        <v>246</v>
      </c>
      <c r="F122" s="181"/>
      <c r="G122" s="179" t="s">
        <v>122</v>
      </c>
      <c r="H122" s="190"/>
      <c r="I122" s="190"/>
      <c r="J122" s="187" t="s">
        <v>3044</v>
      </c>
      <c r="K122" s="187" t="s">
        <v>6664</v>
      </c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IFERROR(__xludf.DUMMYFUNCTION("ifna(VALUE(REGEXEXTRACT(E122,""[0-9.]+[,]+[0-9]+"")))"),4.0)</f>
        <v>4</v>
      </c>
      <c r="O122" s="332"/>
      <c r="P122" s="332"/>
      <c r="Q122" s="332"/>
      <c r="R122" s="332"/>
      <c r="S122" s="332"/>
      <c r="V122" s="281"/>
      <c r="W122" s="185"/>
      <c r="X122" s="185"/>
      <c r="Y122" s="185"/>
      <c r="Z122" s="185"/>
      <c r="AA122" s="185"/>
      <c r="AB122" s="185"/>
      <c r="AC122" s="185"/>
      <c r="AD122" s="185"/>
      <c r="AE122" s="185"/>
    </row>
    <row r="123" ht="14.25" customHeight="1">
      <c r="A123" s="178"/>
      <c r="B123" s="10">
        <v>2172738.0</v>
      </c>
      <c r="C123" s="11">
        <v>46151.56916666667</v>
      </c>
      <c r="D123" s="179" t="s">
        <v>50</v>
      </c>
      <c r="E123" s="180" t="s">
        <v>871</v>
      </c>
      <c r="F123" s="181"/>
      <c r="G123" s="179" t="s">
        <v>7666</v>
      </c>
      <c r="H123" s="190"/>
      <c r="I123" s="190"/>
      <c r="J123" s="187" t="s">
        <v>3044</v>
      </c>
      <c r="K123" s="187" t="s">
        <v>7052</v>
      </c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IFERROR(__xludf.DUMMYFUNCTION("ifna(VALUE(REGEXEXTRACT(E123,""[0-9.]+[,]+[0-9]+"")))"),9.0)</f>
        <v>9</v>
      </c>
      <c r="O123" s="331"/>
      <c r="P123" s="331"/>
      <c r="Q123" s="331"/>
      <c r="R123" s="331"/>
      <c r="S123" s="331"/>
      <c r="V123" s="279"/>
      <c r="W123" s="185"/>
      <c r="X123" s="185"/>
      <c r="Y123" s="185"/>
      <c r="Z123" s="185"/>
      <c r="AA123" s="185"/>
      <c r="AB123" s="185"/>
      <c r="AC123" s="185"/>
      <c r="AD123" s="185"/>
      <c r="AE123" s="185"/>
    </row>
    <row r="124" ht="14.25" customHeight="1">
      <c r="A124" s="178"/>
      <c r="B124" s="10">
        <v>2172766.0</v>
      </c>
      <c r="C124" s="11">
        <v>46151.587905092594</v>
      </c>
      <c r="D124" s="179" t="s">
        <v>50</v>
      </c>
      <c r="E124" s="180" t="s">
        <v>8306</v>
      </c>
      <c r="F124" s="181"/>
      <c r="G124" s="179" t="s">
        <v>8307</v>
      </c>
      <c r="H124" s="190"/>
      <c r="I124" s="190"/>
      <c r="J124" s="187" t="s">
        <v>3903</v>
      </c>
      <c r="K124" s="187"/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85">
        <f>IFERROR(__xludf.DUMMYFUNCTION("ifna(VALUE(REGEXEXTRACT(E124,""[0-9.]+[,]+[0-9]+"")))"),4.45)</f>
        <v>4.45</v>
      </c>
      <c r="O124" s="332"/>
      <c r="P124" s="332"/>
      <c r="Q124" s="332"/>
      <c r="R124" s="332"/>
      <c r="S124" s="332"/>
      <c r="V124" s="281"/>
      <c r="W124" s="185"/>
      <c r="X124" s="185"/>
      <c r="Y124" s="185"/>
      <c r="Z124" s="185"/>
      <c r="AA124" s="185"/>
      <c r="AB124" s="185"/>
      <c r="AC124" s="185"/>
      <c r="AD124" s="185"/>
      <c r="AE124" s="185"/>
    </row>
    <row r="125" ht="14.25" customHeight="1">
      <c r="A125" s="178"/>
      <c r="B125" s="10">
        <v>2172939.0</v>
      </c>
      <c r="C125" s="11">
        <v>46151.67259259259</v>
      </c>
      <c r="D125" s="179" t="s">
        <v>50</v>
      </c>
      <c r="E125" s="180" t="s">
        <v>1195</v>
      </c>
      <c r="F125" s="181"/>
      <c r="G125" s="179" t="s">
        <v>8309</v>
      </c>
      <c r="H125" s="190"/>
      <c r="I125" s="190"/>
      <c r="J125" s="187" t="s">
        <v>3825</v>
      </c>
      <c r="K125" s="187"/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IFERROR(__xludf.DUMMYFUNCTION("ifna(VALUE(REGEXEXTRACT(E125,""[0-9.]+[,]+[0-9]+"")))"),25.0)</f>
        <v>25</v>
      </c>
      <c r="O125" s="331"/>
      <c r="P125" s="331"/>
      <c r="Q125" s="331"/>
      <c r="R125" s="331"/>
      <c r="S125" s="331"/>
      <c r="V125" s="279"/>
      <c r="W125" s="185"/>
      <c r="X125" s="185"/>
      <c r="Y125" s="185"/>
      <c r="Z125" s="185"/>
      <c r="AA125" s="185"/>
      <c r="AB125" s="185"/>
      <c r="AC125" s="185"/>
      <c r="AD125" s="185"/>
      <c r="AE125" s="185"/>
    </row>
    <row r="126" ht="16.5" customHeight="1">
      <c r="A126" s="178"/>
      <c r="B126" s="10">
        <v>2173171.0</v>
      </c>
      <c r="C126" s="11">
        <v>46151.75746527778</v>
      </c>
      <c r="D126" s="179" t="s">
        <v>50</v>
      </c>
      <c r="E126" s="180" t="s">
        <v>8311</v>
      </c>
      <c r="F126" s="181"/>
      <c r="G126" s="179" t="s">
        <v>8312</v>
      </c>
      <c r="H126" s="190"/>
      <c r="I126" s="190"/>
      <c r="J126" s="187" t="s">
        <v>3903</v>
      </c>
      <c r="K126" s="187"/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"""")"),"Encontrada")</f>
        <v>Encontrada</v>
      </c>
      <c r="N126" s="185">
        <f>IFERROR(__xludf.DUMMYFUNCTION("ifna(VALUE(REGEXEXTRACT(E126,""[0-9.]+[,]+[0-9]+"")))"),6.2)</f>
        <v>6.2</v>
      </c>
      <c r="O126" s="332"/>
      <c r="P126" s="332"/>
      <c r="Q126" s="332"/>
      <c r="R126" s="332"/>
      <c r="S126" s="332"/>
      <c r="V126" s="281"/>
      <c r="W126" s="185"/>
      <c r="X126" s="185"/>
      <c r="Y126" s="185"/>
      <c r="Z126" s="185"/>
      <c r="AA126" s="185"/>
      <c r="AB126" s="185"/>
      <c r="AC126" s="185"/>
      <c r="AD126" s="185"/>
      <c r="AE126" s="185"/>
    </row>
    <row r="127" ht="18.75" customHeight="1">
      <c r="A127" s="178"/>
      <c r="B127" s="10">
        <v>2173414.0</v>
      </c>
      <c r="C127" s="11">
        <v>46151.84003472222</v>
      </c>
      <c r="D127" s="179" t="s">
        <v>50</v>
      </c>
      <c r="E127" s="180" t="s">
        <v>7732</v>
      </c>
      <c r="F127" s="181"/>
      <c r="G127" s="179" t="s">
        <v>8316</v>
      </c>
      <c r="H127" s="190"/>
      <c r="I127" s="190"/>
      <c r="J127" s="187" t="s">
        <v>3825</v>
      </c>
      <c r="K127" s="187"/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IFERROR(__xludf.DUMMYFUNCTION("ifna(VALUE(REGEXEXTRACT(E127,""[0-9.]+[,]+[0-9]+"")))"),37.5)</f>
        <v>37.5</v>
      </c>
      <c r="O127" s="331"/>
      <c r="P127" s="331"/>
      <c r="Q127" s="331"/>
      <c r="R127" s="331"/>
      <c r="S127" s="331"/>
      <c r="V127" s="279"/>
      <c r="W127" s="185"/>
      <c r="X127" s="185"/>
      <c r="Y127" s="185"/>
      <c r="Z127" s="185"/>
      <c r="AA127" s="185"/>
      <c r="AB127" s="185"/>
      <c r="AC127" s="185"/>
      <c r="AD127" s="185"/>
      <c r="AE127" s="185"/>
    </row>
    <row r="128" ht="17.25" customHeight="1">
      <c r="A128" s="178"/>
      <c r="B128" s="10">
        <v>2173524.0</v>
      </c>
      <c r="C128" s="11">
        <v>46151.872928240744</v>
      </c>
      <c r="D128" s="179" t="s">
        <v>227</v>
      </c>
      <c r="E128" s="180" t="s">
        <v>8320</v>
      </c>
      <c r="F128" s="181"/>
      <c r="G128" s="179" t="s">
        <v>8321</v>
      </c>
      <c r="H128" s="190"/>
      <c r="I128" s="190"/>
      <c r="J128" s="187" t="s">
        <v>3874</v>
      </c>
      <c r="K128" s="187"/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IFERROR(__xludf.DUMMYFUNCTION("ifna(VALUE(REGEXEXTRACT(E128,""[0-9.]+[,]+[0-9]+"")))"),213.0)</f>
        <v>213</v>
      </c>
      <c r="O128" s="332"/>
      <c r="P128" s="332"/>
      <c r="Q128" s="332"/>
      <c r="R128" s="332"/>
      <c r="S128" s="332"/>
      <c r="V128" s="281"/>
      <c r="W128" s="185"/>
      <c r="X128" s="185"/>
      <c r="Y128" s="185"/>
      <c r="Z128" s="185"/>
      <c r="AA128" s="185"/>
      <c r="AB128" s="185"/>
      <c r="AC128" s="185"/>
      <c r="AD128" s="185"/>
      <c r="AE128" s="185"/>
    </row>
    <row r="129" ht="17.25" customHeight="1">
      <c r="A129" s="178"/>
      <c r="B129" s="10">
        <v>2174303.0</v>
      </c>
      <c r="C129" s="11">
        <v>46152.56806712963</v>
      </c>
      <c r="D129" s="179" t="s">
        <v>50</v>
      </c>
      <c r="E129" s="180" t="s">
        <v>1058</v>
      </c>
      <c r="F129" s="181"/>
      <c r="G129" s="179" t="s">
        <v>122</v>
      </c>
      <c r="H129" s="190"/>
      <c r="I129" s="190"/>
      <c r="J129" s="187" t="s">
        <v>3044</v>
      </c>
      <c r="K129" s="187" t="s">
        <v>6664</v>
      </c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IFERROR(__xludf.DUMMYFUNCTION("ifna(VALUE(REGEXEXTRACT(E129,""[0-9.]+[,]+[0-9]+"")))"),8.82)</f>
        <v>8.82</v>
      </c>
      <c r="O129" s="331"/>
      <c r="P129" s="331"/>
      <c r="Q129" s="331"/>
      <c r="R129" s="331"/>
      <c r="S129" s="331"/>
      <c r="V129" s="279"/>
      <c r="W129" s="185"/>
      <c r="X129" s="185"/>
      <c r="Y129" s="185"/>
      <c r="Z129" s="185"/>
      <c r="AA129" s="185"/>
      <c r="AB129" s="185"/>
      <c r="AC129" s="185"/>
      <c r="AD129" s="185"/>
      <c r="AE129" s="185"/>
    </row>
    <row r="130" ht="14.25" customHeight="1">
      <c r="A130" s="178"/>
      <c r="B130" s="10">
        <v>2174594.0</v>
      </c>
      <c r="C130" s="11">
        <v>46152.70721064815</v>
      </c>
      <c r="D130" s="179" t="s">
        <v>50</v>
      </c>
      <c r="E130" s="180" t="s">
        <v>427</v>
      </c>
      <c r="F130" s="181"/>
      <c r="G130" s="179" t="s">
        <v>122</v>
      </c>
      <c r="H130" s="190"/>
      <c r="I130" s="190"/>
      <c r="J130" s="187" t="s">
        <v>3044</v>
      </c>
      <c r="K130" s="187" t="s">
        <v>6664</v>
      </c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IFERROR(__xludf.DUMMYFUNCTION("ifna(VALUE(REGEXEXTRACT(E130,""[0-9.]+[,]+[0-9]+"")))"),15.0)</f>
        <v>15</v>
      </c>
      <c r="O130" s="332"/>
      <c r="P130" s="332"/>
      <c r="Q130" s="332"/>
      <c r="R130" s="332"/>
      <c r="S130" s="332"/>
      <c r="V130" s="281"/>
      <c r="W130" s="185"/>
      <c r="X130" s="185"/>
      <c r="Y130" s="185"/>
      <c r="Z130" s="185"/>
      <c r="AA130" s="185"/>
      <c r="AB130" s="185"/>
      <c r="AC130" s="185"/>
      <c r="AD130" s="185"/>
      <c r="AE130" s="185"/>
    </row>
    <row r="131" ht="14.25" customHeight="1">
      <c r="A131" s="178"/>
      <c r="B131" s="10">
        <v>2175085.0</v>
      </c>
      <c r="C131" s="11">
        <v>46152.86184027778</v>
      </c>
      <c r="D131" s="179" t="s">
        <v>50</v>
      </c>
      <c r="E131" s="180" t="s">
        <v>7758</v>
      </c>
      <c r="F131" s="181"/>
      <c r="G131" s="179" t="s">
        <v>7666</v>
      </c>
      <c r="H131" s="190"/>
      <c r="I131" s="190"/>
      <c r="J131" s="187" t="s">
        <v>3044</v>
      </c>
      <c r="K131" s="187" t="s">
        <v>7052</v>
      </c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IFERROR(__xludf.DUMMYFUNCTION("ifna(VALUE(REGEXEXTRACT(E131,""[0-9.]+[,]+[0-9]+"")))"),17.64)</f>
        <v>17.64</v>
      </c>
      <c r="O131" s="331"/>
      <c r="P131" s="331"/>
      <c r="Q131" s="331"/>
      <c r="R131" s="331"/>
      <c r="S131" s="331"/>
      <c r="V131" s="279"/>
      <c r="W131" s="185"/>
      <c r="X131" s="185"/>
      <c r="Y131" s="185"/>
      <c r="Z131" s="185"/>
      <c r="AA131" s="185"/>
      <c r="AB131" s="185"/>
      <c r="AC131" s="185"/>
      <c r="AD131" s="185"/>
      <c r="AE131" s="185"/>
    </row>
    <row r="132" ht="14.25" customHeight="1">
      <c r="A132" s="178"/>
      <c r="B132" s="10">
        <v>2175138.0</v>
      </c>
      <c r="C132" s="11">
        <v>46152.87540509259</v>
      </c>
      <c r="D132" s="179" t="s">
        <v>50</v>
      </c>
      <c r="E132" s="180" t="s">
        <v>8328</v>
      </c>
      <c r="F132" s="181"/>
      <c r="G132" s="179" t="s">
        <v>94</v>
      </c>
      <c r="H132" s="190"/>
      <c r="I132" s="190"/>
      <c r="J132" s="187" t="s">
        <v>3044</v>
      </c>
      <c r="K132" s="187" t="s">
        <v>7058</v>
      </c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>
        <f>IFERROR(__xludf.DUMMYFUNCTION("ifna(VALUE(REGEXEXTRACT(E132,""[0-9.]+[,]+[0-9]+"")))"),13.16)</f>
        <v>13.16</v>
      </c>
      <c r="O132" s="332"/>
      <c r="P132" s="332"/>
      <c r="Q132" s="332"/>
      <c r="R132" s="332"/>
      <c r="S132" s="332"/>
      <c r="V132" s="281"/>
      <c r="W132" s="185"/>
      <c r="X132" s="185"/>
      <c r="Y132" s="185"/>
      <c r="Z132" s="185"/>
      <c r="AA132" s="185"/>
      <c r="AB132" s="185"/>
      <c r="AC132" s="185"/>
      <c r="AD132" s="185"/>
      <c r="AE132" s="185"/>
    </row>
    <row r="133" ht="14.25" customHeight="1">
      <c r="A133" s="178"/>
      <c r="B133" s="10">
        <v>2176189.0</v>
      </c>
      <c r="C133" s="11">
        <v>46153.67068287037</v>
      </c>
      <c r="D133" s="179" t="s">
        <v>50</v>
      </c>
      <c r="E133" s="180" t="s">
        <v>3983</v>
      </c>
      <c r="F133" s="181"/>
      <c r="G133" s="179" t="s">
        <v>8331</v>
      </c>
      <c r="H133" s="190"/>
      <c r="I133" s="190"/>
      <c r="J133" s="187" t="s">
        <v>3825</v>
      </c>
      <c r="K133" s="187"/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IFERROR(__xludf.DUMMYFUNCTION("ifna(VALUE(REGEXEXTRACT(E133,""[0-9.]+[,]+[0-9]+"")))"),150.0)</f>
        <v>150</v>
      </c>
      <c r="O133" s="331"/>
      <c r="P133" s="331"/>
      <c r="Q133" s="331"/>
      <c r="R133" s="331"/>
      <c r="S133" s="331"/>
      <c r="V133" s="279"/>
      <c r="W133" s="185"/>
      <c r="X133" s="185"/>
      <c r="Y133" s="185"/>
      <c r="Z133" s="185"/>
      <c r="AA133" s="185"/>
      <c r="AB133" s="185"/>
      <c r="AC133" s="185"/>
      <c r="AD133" s="185"/>
      <c r="AE133" s="185"/>
    </row>
    <row r="134" ht="14.25" customHeight="1">
      <c r="A134" s="178"/>
      <c r="B134" s="10">
        <v>2176221.0</v>
      </c>
      <c r="C134" s="11">
        <v>46153.68730324074</v>
      </c>
      <c r="D134" s="179" t="s">
        <v>50</v>
      </c>
      <c r="E134" s="180" t="s">
        <v>1635</v>
      </c>
      <c r="F134" s="181"/>
      <c r="G134" s="179" t="s">
        <v>94</v>
      </c>
      <c r="H134" s="190"/>
      <c r="I134" s="190"/>
      <c r="J134" s="187" t="s">
        <v>3044</v>
      </c>
      <c r="K134" s="187" t="s">
        <v>7058</v>
      </c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IFERROR(__xludf.DUMMYFUNCTION("ifna(VALUE(REGEXEXTRACT(E134,""[0-9.]+[,]+[0-9]+"")))"),18.28)</f>
        <v>18.28</v>
      </c>
      <c r="O134" s="332"/>
      <c r="P134" s="332"/>
      <c r="Q134" s="332"/>
      <c r="R134" s="332"/>
      <c r="S134" s="332"/>
      <c r="V134" s="281"/>
      <c r="W134" s="185"/>
      <c r="X134" s="185"/>
      <c r="Y134" s="185"/>
      <c r="Z134" s="185"/>
      <c r="AA134" s="185"/>
      <c r="AB134" s="185"/>
      <c r="AC134" s="185"/>
      <c r="AD134" s="185"/>
      <c r="AE134" s="185"/>
    </row>
    <row r="135" ht="14.25" customHeight="1">
      <c r="A135" s="178"/>
      <c r="B135" s="10">
        <v>2176238.0</v>
      </c>
      <c r="C135" s="11">
        <v>46153.69734953704</v>
      </c>
      <c r="D135" s="179" t="s">
        <v>50</v>
      </c>
      <c r="E135" s="180" t="s">
        <v>778</v>
      </c>
      <c r="F135" s="181"/>
      <c r="G135" s="179" t="s">
        <v>122</v>
      </c>
      <c r="H135" s="190"/>
      <c r="I135" s="190"/>
      <c r="J135" s="187" t="s">
        <v>3044</v>
      </c>
      <c r="K135" s="187" t="s">
        <v>6664</v>
      </c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IFERROR(__xludf.DUMMYFUNCTION("ifna(VALUE(REGEXEXTRACT(E135,""[0-9.]+[,]+[0-9]+"")))"),12.4)</f>
        <v>12.4</v>
      </c>
      <c r="O135" s="331"/>
      <c r="P135" s="331"/>
      <c r="Q135" s="331"/>
      <c r="R135" s="331"/>
      <c r="S135" s="331"/>
      <c r="V135" s="279"/>
      <c r="W135" s="185"/>
      <c r="X135" s="185"/>
      <c r="Y135" s="185"/>
      <c r="Z135" s="185"/>
      <c r="AA135" s="185"/>
      <c r="AB135" s="185"/>
      <c r="AC135" s="185"/>
      <c r="AD135" s="185"/>
      <c r="AE135" s="185"/>
    </row>
    <row r="136" ht="14.25" customHeight="1">
      <c r="A136" s="178"/>
      <c r="B136" s="10">
        <v>2176255.0</v>
      </c>
      <c r="C136" s="11">
        <v>46153.704675925925</v>
      </c>
      <c r="D136" s="179" t="s">
        <v>50</v>
      </c>
      <c r="E136" s="180" t="s">
        <v>7501</v>
      </c>
      <c r="F136" s="188"/>
      <c r="G136" s="179" t="s">
        <v>8336</v>
      </c>
      <c r="H136" s="190"/>
      <c r="I136" s="190"/>
      <c r="J136" s="187" t="s">
        <v>3825</v>
      </c>
      <c r="K136" s="187"/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IFERROR(__xludf.DUMMYFUNCTION("ifna(VALUE(REGEXEXTRACT(E136,""[0-9.]+[,]+[0-9]+"")))"),50.0)</f>
        <v>50</v>
      </c>
      <c r="O136" s="332"/>
      <c r="P136" s="332"/>
      <c r="Q136" s="332"/>
      <c r="R136" s="332"/>
      <c r="S136" s="332"/>
      <c r="V136" s="281"/>
      <c r="W136" s="185"/>
      <c r="X136" s="185"/>
      <c r="Y136" s="185"/>
      <c r="Z136" s="185"/>
      <c r="AA136" s="185"/>
      <c r="AB136" s="185"/>
      <c r="AC136" s="185"/>
      <c r="AD136" s="185"/>
      <c r="AE136" s="185"/>
    </row>
    <row r="137" ht="14.25" customHeight="1">
      <c r="A137" s="178"/>
      <c r="B137" s="10">
        <v>2176287.0</v>
      </c>
      <c r="C137" s="11">
        <v>46153.71559027778</v>
      </c>
      <c r="D137" s="179" t="s">
        <v>50</v>
      </c>
      <c r="E137" s="180" t="s">
        <v>8337</v>
      </c>
      <c r="F137" s="181"/>
      <c r="G137" s="179" t="s">
        <v>8339</v>
      </c>
      <c r="H137" s="190"/>
      <c r="I137" s="190"/>
      <c r="J137" s="187" t="s">
        <v>3467</v>
      </c>
      <c r="K137" s="187"/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IFERROR(__xludf.DUMMYFUNCTION("ifna(VALUE(REGEXEXTRACT(E137,""[0-9.]+[,]+[0-9]+"")))"),20.7)</f>
        <v>20.7</v>
      </c>
      <c r="O137" s="24"/>
      <c r="P137" s="24"/>
      <c r="Q137" s="24"/>
      <c r="R137" s="24"/>
      <c r="S137" s="24"/>
      <c r="T137" s="24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</row>
    <row r="138" ht="14.25" customHeight="1">
      <c r="A138" s="178"/>
      <c r="B138" s="10">
        <v>2176388.0</v>
      </c>
      <c r="C138" s="11">
        <v>46153.75150462963</v>
      </c>
      <c r="D138" s="179" t="s">
        <v>50</v>
      </c>
      <c r="E138" s="180" t="s">
        <v>1611</v>
      </c>
      <c r="F138" s="181"/>
      <c r="G138" s="179" t="s">
        <v>8340</v>
      </c>
      <c r="H138" s="190"/>
      <c r="I138" s="190"/>
      <c r="J138" s="187" t="s">
        <v>3903</v>
      </c>
      <c r="K138" s="187"/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"""")"),"Encontrada")</f>
        <v>Encontrada</v>
      </c>
      <c r="N138" s="185">
        <f>IFERROR(__xludf.DUMMYFUNCTION("ifna(VALUE(REGEXEXTRACT(E138,""[0-9.]+[,]+[0-9]+"")))"),7.0)</f>
        <v>7</v>
      </c>
      <c r="O138" s="24"/>
      <c r="P138" s="24"/>
      <c r="Q138" s="24"/>
      <c r="R138" s="24"/>
      <c r="S138" s="24"/>
      <c r="T138" s="24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</row>
    <row r="139" ht="14.25" customHeight="1">
      <c r="A139" s="178"/>
      <c r="B139" s="10">
        <v>2176429.0</v>
      </c>
      <c r="C139" s="11">
        <v>46153.76851851852</v>
      </c>
      <c r="D139" s="179" t="s">
        <v>50</v>
      </c>
      <c r="E139" s="180" t="s">
        <v>405</v>
      </c>
      <c r="F139" s="181"/>
      <c r="G139" s="179" t="s">
        <v>122</v>
      </c>
      <c r="H139" s="190"/>
      <c r="I139" s="190"/>
      <c r="J139" s="187" t="s">
        <v>3044</v>
      </c>
      <c r="K139" s="187" t="s">
        <v>6664</v>
      </c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IFERROR(__xludf.DUMMYFUNCTION("ifna(VALUE(REGEXEXTRACT(E139,""[0-9.]+[,]+[0-9]+"")))"),8.05)</f>
        <v>8.05</v>
      </c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</row>
    <row r="140" ht="14.25" customHeight="1">
      <c r="A140" s="178"/>
      <c r="B140" s="10">
        <v>2176431.0</v>
      </c>
      <c r="C140" s="11">
        <v>46153.77291666667</v>
      </c>
      <c r="D140" s="179" t="s">
        <v>50</v>
      </c>
      <c r="E140" s="180" t="s">
        <v>8337</v>
      </c>
      <c r="F140" s="181"/>
      <c r="G140" s="179" t="s">
        <v>8343</v>
      </c>
      <c r="H140" s="190"/>
      <c r="I140" s="190"/>
      <c r="J140" s="187" t="s">
        <v>3467</v>
      </c>
      <c r="K140" s="187"/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IFERROR(__xludf.DUMMYFUNCTION("ifna(VALUE(REGEXEXTRACT(E140,""[0-9.]+[,]+[0-9]+"")))"),20.7)</f>
        <v>20.7</v>
      </c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</row>
    <row r="141" ht="14.25" customHeight="1">
      <c r="A141" s="178"/>
      <c r="B141" s="10">
        <v>2177078.0</v>
      </c>
      <c r="C141" s="11">
        <v>46154.52722222222</v>
      </c>
      <c r="D141" s="179" t="s">
        <v>50</v>
      </c>
      <c r="E141" s="180" t="s">
        <v>708</v>
      </c>
      <c r="F141" s="181"/>
      <c r="G141" s="179" t="s">
        <v>122</v>
      </c>
      <c r="H141" s="190"/>
      <c r="I141" s="190"/>
      <c r="J141" s="187" t="s">
        <v>3044</v>
      </c>
      <c r="K141" s="187" t="s">
        <v>6664</v>
      </c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IFERROR(__xludf.DUMMYFUNCTION("ifna(VALUE(REGEXEXTRACT(E141,""[0-9.]+[,]+[0-9]+"")))"),8.0)</f>
        <v>8</v>
      </c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</row>
    <row r="142" ht="14.25" customHeight="1">
      <c r="A142" s="178"/>
      <c r="B142" s="10">
        <v>2177201.0</v>
      </c>
      <c r="C142" s="11">
        <v>46154.627488425926</v>
      </c>
      <c r="D142" s="179" t="s">
        <v>50</v>
      </c>
      <c r="E142" s="180" t="s">
        <v>179</v>
      </c>
      <c r="F142" s="181"/>
      <c r="G142" s="179" t="s">
        <v>122</v>
      </c>
      <c r="H142" s="190"/>
      <c r="I142" s="190"/>
      <c r="J142" s="187" t="s">
        <v>3044</v>
      </c>
      <c r="K142" s="187" t="s">
        <v>6664</v>
      </c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IFERROR(__xludf.DUMMYFUNCTION("ifna(VALUE(REGEXEXTRACT(E142,""[0-9.]+[,]+[0-9]+"")))"),9.71)</f>
        <v>9.71</v>
      </c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</row>
    <row r="143" ht="14.25" customHeight="1">
      <c r="A143" s="178"/>
      <c r="B143" s="10">
        <v>2177251.0</v>
      </c>
      <c r="C143" s="11">
        <v>46154.65792824074</v>
      </c>
      <c r="D143" s="179" t="s">
        <v>50</v>
      </c>
      <c r="E143" s="180" t="s">
        <v>8124</v>
      </c>
      <c r="F143" s="181"/>
      <c r="G143" s="179" t="s">
        <v>8349</v>
      </c>
      <c r="H143" s="190"/>
      <c r="I143" s="190"/>
      <c r="J143" s="187" t="s">
        <v>3466</v>
      </c>
      <c r="K143" s="187"/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IFERROR(__xludf.DUMMYFUNCTION("ifna(VALUE(REGEXEXTRACT(E143,""[0-9.]+[,]+[0-9]+"")))"),26.58)</f>
        <v>26.58</v>
      </c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</row>
    <row r="144" ht="14.25" customHeight="1">
      <c r="A144" s="178"/>
      <c r="B144" s="10">
        <v>2177257.0</v>
      </c>
      <c r="C144" s="11">
        <v>46154.65918981482</v>
      </c>
      <c r="D144" s="179" t="s">
        <v>50</v>
      </c>
      <c r="E144" s="180" t="s">
        <v>157</v>
      </c>
      <c r="F144" s="181"/>
      <c r="G144" s="179" t="s">
        <v>94</v>
      </c>
      <c r="H144" s="190"/>
      <c r="I144" s="190"/>
      <c r="J144" s="187" t="s">
        <v>3044</v>
      </c>
      <c r="K144" s="187" t="s">
        <v>7058</v>
      </c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IFERROR(__xludf.DUMMYFUNCTION("ifna(VALUE(REGEXEXTRACT(E144,""[0-9.]+[,]+[0-9]+"")))"),5.0)</f>
        <v>5</v>
      </c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</row>
    <row r="145" ht="14.25" customHeight="1">
      <c r="A145" s="178"/>
      <c r="B145" s="10">
        <v>2177576.0</v>
      </c>
      <c r="C145" s="11">
        <v>46154.77755787037</v>
      </c>
      <c r="D145" s="179" t="s">
        <v>50</v>
      </c>
      <c r="E145" s="180" t="s">
        <v>6646</v>
      </c>
      <c r="F145" s="181"/>
      <c r="G145" s="179" t="s">
        <v>94</v>
      </c>
      <c r="H145" s="190"/>
      <c r="I145" s="190"/>
      <c r="J145" s="187" t="s">
        <v>3044</v>
      </c>
      <c r="K145" s="187" t="s">
        <v>7058</v>
      </c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IFERROR(__xludf.DUMMYFUNCTION("ifna(VALUE(REGEXEXTRACT(E145,""[0-9.]+[,]+[0-9]+"")))"),15.34)</f>
        <v>15.34</v>
      </c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</row>
    <row r="146" ht="16.5" customHeight="1">
      <c r="A146" s="178"/>
      <c r="B146" s="10">
        <v>2177739.0</v>
      </c>
      <c r="C146" s="11">
        <v>46154.864965277775</v>
      </c>
      <c r="D146" s="179" t="s">
        <v>50</v>
      </c>
      <c r="E146" s="180" t="s">
        <v>8353</v>
      </c>
      <c r="F146" s="181"/>
      <c r="G146" s="179" t="s">
        <v>149</v>
      </c>
      <c r="H146" s="190"/>
      <c r="I146" s="190"/>
      <c r="J146" s="187" t="s">
        <v>3044</v>
      </c>
      <c r="K146" s="187" t="s">
        <v>8093</v>
      </c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IFERROR(__xludf.DUMMYFUNCTION("ifna(VALUE(REGEXEXTRACT(E146,""[0-9.]+[,]+[0-9]+"")))"),36.42)</f>
        <v>36.42</v>
      </c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</row>
    <row r="147" ht="15.0" customHeight="1">
      <c r="A147" s="178"/>
      <c r="B147" s="10">
        <v>2178393.0</v>
      </c>
      <c r="C147" s="11">
        <v>46155.6180787037</v>
      </c>
      <c r="D147" s="179" t="s">
        <v>50</v>
      </c>
      <c r="E147" s="180" t="s">
        <v>8356</v>
      </c>
      <c r="F147" s="188"/>
      <c r="G147" s="179" t="s">
        <v>8357</v>
      </c>
      <c r="H147" s="190"/>
      <c r="I147" s="190"/>
      <c r="J147" s="187" t="s">
        <v>3903</v>
      </c>
      <c r="K147" s="187"/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85">
        <f>IFERROR(__xludf.DUMMYFUNCTION("ifna(VALUE(REGEXEXTRACT(E147,""[0-9.]+[,]+[0-9]+"")))"),360.0)</f>
        <v>360</v>
      </c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</row>
    <row r="148" ht="14.25" customHeight="1">
      <c r="A148" s="178"/>
      <c r="B148" s="10">
        <v>2178468.0</v>
      </c>
      <c r="C148" s="11">
        <v>46155.65840277778</v>
      </c>
      <c r="D148" s="179" t="s">
        <v>50</v>
      </c>
      <c r="E148" s="180" t="s">
        <v>8361</v>
      </c>
      <c r="F148" s="181"/>
      <c r="G148" s="179" t="s">
        <v>122</v>
      </c>
      <c r="H148" s="190"/>
      <c r="I148" s="190"/>
      <c r="J148" s="187" t="s">
        <v>3044</v>
      </c>
      <c r="K148" s="187" t="s">
        <v>6664</v>
      </c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IFERROR(__xludf.DUMMYFUNCTION("ifna(VALUE(REGEXEXTRACT(E148,""[0-9.]+[,]+[0-9]+"")))"),33.02)</f>
        <v>33.02</v>
      </c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</row>
    <row r="149" ht="14.25" customHeight="1">
      <c r="A149" s="178"/>
      <c r="B149" s="10">
        <v>2178510.0</v>
      </c>
      <c r="C149" s="11">
        <v>46155.67855324074</v>
      </c>
      <c r="D149" s="179" t="s">
        <v>50</v>
      </c>
      <c r="E149" s="180" t="s">
        <v>246</v>
      </c>
      <c r="F149" s="181"/>
      <c r="G149" s="179" t="s">
        <v>94</v>
      </c>
      <c r="H149" s="190"/>
      <c r="I149" s="190"/>
      <c r="J149" s="187" t="s">
        <v>3044</v>
      </c>
      <c r="K149" s="187" t="s">
        <v>7058</v>
      </c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IFERROR(__xludf.DUMMYFUNCTION("ifna(VALUE(REGEXEXTRACT(E149,""[0-9.]+[,]+[0-9]+"")))"),4.0)</f>
        <v>4</v>
      </c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</row>
    <row r="150" ht="14.25" customHeight="1">
      <c r="A150" s="178"/>
      <c r="B150" s="10">
        <v>2178874.0</v>
      </c>
      <c r="C150" s="11">
        <v>46155.85643518518</v>
      </c>
      <c r="D150" s="179" t="s">
        <v>50</v>
      </c>
      <c r="E150" s="180" t="s">
        <v>205</v>
      </c>
      <c r="F150" s="181"/>
      <c r="G150" s="179" t="s">
        <v>74</v>
      </c>
      <c r="H150" s="190"/>
      <c r="I150" s="190"/>
      <c r="J150" s="187" t="s">
        <v>3044</v>
      </c>
      <c r="K150" s="187" t="s">
        <v>7058</v>
      </c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IFERROR(__xludf.DUMMYFUNCTION("ifna(VALUE(REGEXEXTRACT(E150,""[0-9.]+[,]+[0-9]+"")))"),10.0)</f>
        <v>10</v>
      </c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</row>
    <row r="151" ht="14.25" customHeight="1">
      <c r="A151" s="178"/>
      <c r="B151" s="10">
        <v>2179927.0</v>
      </c>
      <c r="C151" s="11">
        <v>46156.750810185185</v>
      </c>
      <c r="D151" s="179" t="s">
        <v>50</v>
      </c>
      <c r="E151" s="180" t="s">
        <v>8364</v>
      </c>
      <c r="F151" s="181"/>
      <c r="G151" s="179" t="s">
        <v>8365</v>
      </c>
      <c r="H151" s="190"/>
      <c r="I151" s="190"/>
      <c r="J151" s="187" t="s">
        <v>3903</v>
      </c>
      <c r="K151" s="187"/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"""")"),"Encontrada")</f>
        <v>Encontrada</v>
      </c>
      <c r="N151" s="185">
        <f>IFERROR(__xludf.DUMMYFUNCTION("ifna(VALUE(REGEXEXTRACT(E151,""[0-9.]+[,]+[0-9]+"")))"),9.5)</f>
        <v>9.5</v>
      </c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</row>
    <row r="152" ht="14.25" customHeight="1">
      <c r="A152" s="178"/>
      <c r="B152" s="10">
        <v>2179929.0</v>
      </c>
      <c r="C152" s="11">
        <v>46156.75109953704</v>
      </c>
      <c r="D152" s="179" t="s">
        <v>50</v>
      </c>
      <c r="E152" s="180" t="s">
        <v>8369</v>
      </c>
      <c r="F152" s="181"/>
      <c r="G152" s="179" t="s">
        <v>8312</v>
      </c>
      <c r="H152" s="190"/>
      <c r="I152" s="190"/>
      <c r="J152" s="187" t="s">
        <v>3903</v>
      </c>
      <c r="K152" s="187"/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185">
        <f>IFERROR(__xludf.DUMMYFUNCTION("ifna(VALUE(REGEXEXTRACT(E152,""[0-9.]+[,]+[0-9]+"")))"),3.59)</f>
        <v>3.59</v>
      </c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</row>
    <row r="153" ht="14.25" customHeight="1">
      <c r="A153" s="178"/>
      <c r="B153" s="10">
        <v>2180808.0</v>
      </c>
      <c r="C153" s="11">
        <v>46157.54408564815</v>
      </c>
      <c r="D153" s="179" t="s">
        <v>50</v>
      </c>
      <c r="E153" s="180" t="s">
        <v>6646</v>
      </c>
      <c r="F153" s="181"/>
      <c r="G153" s="179" t="s">
        <v>1637</v>
      </c>
      <c r="H153" s="190"/>
      <c r="I153" s="190"/>
      <c r="J153" s="187" t="s">
        <v>3467</v>
      </c>
      <c r="K153" s="187"/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IFERROR(__xludf.DUMMYFUNCTION("ifna(VALUE(REGEXEXTRACT(E153,""[0-9.]+[,]+[0-9]+"")))"),15.34)</f>
        <v>15.34</v>
      </c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</row>
    <row r="154" ht="14.25" customHeight="1">
      <c r="A154" s="178"/>
      <c r="B154" s="10">
        <v>2181033.0</v>
      </c>
      <c r="C154" s="11">
        <v>46157.658541666664</v>
      </c>
      <c r="D154" s="179" t="s">
        <v>50</v>
      </c>
      <c r="E154" s="180" t="s">
        <v>8373</v>
      </c>
      <c r="F154" s="181"/>
      <c r="G154" s="179" t="s">
        <v>8374</v>
      </c>
      <c r="H154" s="190"/>
      <c r="I154" s="190"/>
      <c r="J154" s="187" t="s">
        <v>3903</v>
      </c>
      <c r="K154" s="187"/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85">
        <f>IFERROR(__xludf.DUMMYFUNCTION("ifna(VALUE(REGEXEXTRACT(E154,""[0-9.]+[,]+[0-9]+"")))"),114.0)</f>
        <v>114</v>
      </c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</row>
    <row r="155" ht="14.25" customHeight="1">
      <c r="A155" s="178"/>
      <c r="B155" s="10">
        <v>2181112.0</v>
      </c>
      <c r="C155" s="11">
        <v>46157.691030092596</v>
      </c>
      <c r="D155" s="179" t="s">
        <v>50</v>
      </c>
      <c r="E155" s="180" t="s">
        <v>8375</v>
      </c>
      <c r="F155" s="181"/>
      <c r="G155" s="179" t="s">
        <v>8376</v>
      </c>
      <c r="H155" s="190"/>
      <c r="I155" s="190"/>
      <c r="J155" s="187" t="s">
        <v>3903</v>
      </c>
      <c r="K155" s="187"/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"""")"),"Encontrada")</f>
        <v>Encontrada</v>
      </c>
      <c r="N155" s="185">
        <f>IFERROR(__xludf.DUMMYFUNCTION("ifna(VALUE(REGEXEXTRACT(E155,""[0-9.]+[,]+[0-9]+"")))"),296.21)</f>
        <v>296.21</v>
      </c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</row>
    <row r="156" ht="14.25" customHeight="1">
      <c r="A156" s="178"/>
      <c r="B156" s="10">
        <v>2181116.0</v>
      </c>
      <c r="C156" s="11">
        <v>46157.69136574074</v>
      </c>
      <c r="D156" s="179" t="s">
        <v>50</v>
      </c>
      <c r="E156" s="180" t="s">
        <v>8378</v>
      </c>
      <c r="F156" s="181"/>
      <c r="G156" s="179" t="s">
        <v>8379</v>
      </c>
      <c r="H156" s="190"/>
      <c r="I156" s="190"/>
      <c r="J156" s="187" t="s">
        <v>3903</v>
      </c>
      <c r="K156" s="187"/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"""")"),"Encontrada")</f>
        <v>Encontrada</v>
      </c>
      <c r="N156" s="185">
        <f>IFERROR(__xludf.DUMMYFUNCTION("ifna(VALUE(REGEXEXTRACT(E156,""[0-9.]+[,]+[0-9]+"")))"),3.9)</f>
        <v>3.9</v>
      </c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</row>
    <row r="157" ht="14.25" customHeight="1">
      <c r="A157" s="178"/>
      <c r="B157" s="10">
        <v>2181119.0</v>
      </c>
      <c r="C157" s="11">
        <v>46157.691828703704</v>
      </c>
      <c r="D157" s="179" t="s">
        <v>50</v>
      </c>
      <c r="E157" s="180" t="s">
        <v>7177</v>
      </c>
      <c r="F157" s="181"/>
      <c r="G157" s="179" t="s">
        <v>8381</v>
      </c>
      <c r="H157" s="190"/>
      <c r="I157" s="190"/>
      <c r="J157" s="187" t="s">
        <v>3903</v>
      </c>
      <c r="K157" s="187"/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"""")"),"Encontrada")</f>
        <v>Encontrada</v>
      </c>
      <c r="N157" s="185">
        <f>IFERROR(__xludf.DUMMYFUNCTION("ifna(VALUE(REGEXEXTRACT(E157,""[0-9.]+[,]+[0-9]+"")))"),52.0)</f>
        <v>52</v>
      </c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</row>
    <row r="158" ht="19.5" customHeight="1">
      <c r="A158" s="178"/>
      <c r="B158" s="10">
        <v>2182142.0</v>
      </c>
      <c r="C158" s="11">
        <v>46158.58184027778</v>
      </c>
      <c r="D158" s="179" t="s">
        <v>50</v>
      </c>
      <c r="E158" s="180" t="s">
        <v>6479</v>
      </c>
      <c r="F158" s="181"/>
      <c r="G158" s="179" t="s">
        <v>8382</v>
      </c>
      <c r="H158" s="190"/>
      <c r="I158" s="190"/>
      <c r="J158" s="187" t="s">
        <v>3903</v>
      </c>
      <c r="K158" s="187"/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"""")"),"Encontrada")</f>
        <v>Encontrada</v>
      </c>
      <c r="N158" s="185">
        <f>IFERROR(__xludf.DUMMYFUNCTION("ifna(VALUE(REGEXEXTRACT(E158,""[0-9.]+[,]+[0-9]+"")))"),300.0)</f>
        <v>300</v>
      </c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</row>
    <row r="159" ht="18.75" customHeight="1">
      <c r="A159" s="178"/>
      <c r="B159" s="10">
        <v>2182191.0</v>
      </c>
      <c r="C159" s="11">
        <v>46158.605208333334</v>
      </c>
      <c r="D159" s="179" t="s">
        <v>50</v>
      </c>
      <c r="E159" s="180" t="s">
        <v>8384</v>
      </c>
      <c r="F159" s="181"/>
      <c r="G159" s="179" t="s">
        <v>8385</v>
      </c>
      <c r="H159" s="190"/>
      <c r="I159" s="190"/>
      <c r="J159" s="187" t="s">
        <v>3467</v>
      </c>
      <c r="K159" s="187"/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IFERROR(__xludf.DUMMYFUNCTION("ifna(VALUE(REGEXEXTRACT(E159,""[0-9.]+[,]+[0-9]+"")))"),38.21)</f>
        <v>38.21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</row>
    <row r="160" ht="16.5" customHeight="1">
      <c r="A160" s="178"/>
      <c r="B160" s="10">
        <v>2184431.0</v>
      </c>
      <c r="C160" s="11">
        <v>46159.75134259259</v>
      </c>
      <c r="D160" s="179" t="s">
        <v>50</v>
      </c>
      <c r="E160" s="180" t="s">
        <v>6906</v>
      </c>
      <c r="F160" s="181"/>
      <c r="G160" s="179" t="s">
        <v>8386</v>
      </c>
      <c r="H160" s="190"/>
      <c r="I160" s="190"/>
      <c r="J160" s="187" t="s">
        <v>3825</v>
      </c>
      <c r="K160" s="187"/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IFERROR(__xludf.DUMMYFUNCTION("ifna(VALUE(REGEXEXTRACT(E160,""[0-9.]+[,]+[0-9]+"")))"),45.0)</f>
        <v>45</v>
      </c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</row>
    <row r="161" ht="16.5" customHeight="1">
      <c r="A161" s="178"/>
      <c r="B161" s="10">
        <v>2184838.0</v>
      </c>
      <c r="C161" s="11">
        <v>46159.866273148145</v>
      </c>
      <c r="D161" s="179" t="s">
        <v>50</v>
      </c>
      <c r="E161" s="180" t="s">
        <v>8387</v>
      </c>
      <c r="F161" s="181"/>
      <c r="G161" s="179" t="s">
        <v>74</v>
      </c>
      <c r="H161" s="190"/>
      <c r="I161" s="190"/>
      <c r="J161" s="187" t="s">
        <v>3044</v>
      </c>
      <c r="K161" s="187" t="s">
        <v>7058</v>
      </c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IFERROR(__xludf.DUMMYFUNCTION("ifna(VALUE(REGEXEXTRACT(E161,""[0-9.]+[,]+[0-9]+"")))"),18.04)</f>
        <v>18.04</v>
      </c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</row>
    <row r="162" ht="14.25" customHeight="1">
      <c r="A162" s="178"/>
      <c r="B162" s="10">
        <v>2186154.0</v>
      </c>
      <c r="C162" s="11">
        <v>46160.720405092594</v>
      </c>
      <c r="D162" s="179" t="s">
        <v>50</v>
      </c>
      <c r="E162" s="180" t="s">
        <v>8389</v>
      </c>
      <c r="F162" s="181"/>
      <c r="G162" s="179" t="s">
        <v>8390</v>
      </c>
      <c r="H162" s="190"/>
      <c r="I162" s="190"/>
      <c r="J162" s="187" t="s">
        <v>3903</v>
      </c>
      <c r="K162" s="187"/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185">
        <f>IFERROR(__xludf.DUMMYFUNCTION("ifna(VALUE(REGEXEXTRACT(E162,""[0-9.]+[,]+[0-9]+"")))"),345.45)</f>
        <v>345.45</v>
      </c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</row>
    <row r="163" ht="14.25" customHeight="1">
      <c r="A163" s="178"/>
      <c r="B163" s="10">
        <v>2186155.0</v>
      </c>
      <c r="C163" s="11">
        <v>46160.72074074074</v>
      </c>
      <c r="D163" s="179" t="s">
        <v>50</v>
      </c>
      <c r="E163" s="180" t="s">
        <v>8392</v>
      </c>
      <c r="F163" s="181"/>
      <c r="G163" s="179" t="s">
        <v>8393</v>
      </c>
      <c r="H163" s="190"/>
      <c r="I163" s="190"/>
      <c r="J163" s="187" t="s">
        <v>3903</v>
      </c>
      <c r="K163" s="187"/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"""")"),"Encontrada")</f>
        <v>Encontrada</v>
      </c>
      <c r="N163" s="185">
        <f>IFERROR(__xludf.DUMMYFUNCTION("ifna(VALUE(REGEXEXTRACT(E163,""[0-9.]+[,]+[0-9]+"")))"),7.11)</f>
        <v>7.11</v>
      </c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</row>
    <row r="164" ht="14.25" customHeight="1">
      <c r="A164" s="178"/>
      <c r="B164" s="10">
        <v>2186156.0</v>
      </c>
      <c r="C164" s="11">
        <v>46160.72112268519</v>
      </c>
      <c r="D164" s="179" t="s">
        <v>50</v>
      </c>
      <c r="E164" s="180" t="s">
        <v>427</v>
      </c>
      <c r="F164" s="181"/>
      <c r="G164" s="179" t="s">
        <v>8396</v>
      </c>
      <c r="H164" s="190"/>
      <c r="I164" s="190"/>
      <c r="J164" s="187" t="s">
        <v>3903</v>
      </c>
      <c r="K164" s="187"/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185">
        <f>IFERROR(__xludf.DUMMYFUNCTION("ifna(VALUE(REGEXEXTRACT(E164,""[0-9.]+[,]+[0-9]+"")))"),15.0)</f>
        <v>15</v>
      </c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</row>
    <row r="165" ht="14.25" customHeight="1">
      <c r="A165" s="178"/>
      <c r="B165" s="10">
        <v>2186158.0</v>
      </c>
      <c r="C165" s="11">
        <v>46160.72142361111</v>
      </c>
      <c r="D165" s="179" t="s">
        <v>50</v>
      </c>
      <c r="E165" s="180" t="s">
        <v>1600</v>
      </c>
      <c r="F165" s="181"/>
      <c r="G165" s="179" t="s">
        <v>8397</v>
      </c>
      <c r="H165" s="190"/>
      <c r="I165" s="190"/>
      <c r="J165" s="187" t="s">
        <v>3903</v>
      </c>
      <c r="K165" s="187"/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"""")"),"Encontrada")</f>
        <v>Encontrada</v>
      </c>
      <c r="N165" s="185">
        <f>IFERROR(__xludf.DUMMYFUNCTION("ifna(VALUE(REGEXEXTRACT(E165,""[0-9.]+[,]+[0-9]+"")))"),13.5)</f>
        <v>13.5</v>
      </c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</row>
    <row r="166" ht="14.25" customHeight="1">
      <c r="A166" s="178"/>
      <c r="B166" s="10">
        <v>2186268.0</v>
      </c>
      <c r="C166" s="11">
        <v>46160.76871527778</v>
      </c>
      <c r="D166" s="179" t="s">
        <v>50</v>
      </c>
      <c r="E166" s="180" t="s">
        <v>6682</v>
      </c>
      <c r="F166" s="181"/>
      <c r="G166" s="179" t="s">
        <v>8399</v>
      </c>
      <c r="H166" s="190"/>
      <c r="I166" s="190"/>
      <c r="J166" s="187" t="s">
        <v>3903</v>
      </c>
      <c r="K166" s="187"/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"""")"),"Encontrada")</f>
        <v>Encontrada</v>
      </c>
      <c r="N166" s="185">
        <f>IFERROR(__xludf.DUMMYFUNCTION("ifna(VALUE(REGEXEXTRACT(E166,""[0-9.]+[,]+[0-9]+"")))"),280.0)</f>
        <v>280</v>
      </c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</row>
    <row r="167" ht="14.25" customHeight="1">
      <c r="A167" s="178"/>
      <c r="B167" s="10">
        <v>2187454.0</v>
      </c>
      <c r="C167" s="11">
        <v>46161.738657407404</v>
      </c>
      <c r="D167" s="179" t="s">
        <v>50</v>
      </c>
      <c r="E167" s="180" t="s">
        <v>8402</v>
      </c>
      <c r="F167" s="188"/>
      <c r="G167" s="179" t="s">
        <v>8403</v>
      </c>
      <c r="H167" s="190"/>
      <c r="I167" s="190"/>
      <c r="J167" s="187" t="s">
        <v>3903</v>
      </c>
      <c r="K167" s="187"/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185">
        <f>IFERROR(__xludf.DUMMYFUNCTION("ifna(VALUE(REGEXEXTRACT(E167,""[0-9.]+[,]+[0-9]+"")))"),8.8)</f>
        <v>8.8</v>
      </c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</row>
    <row r="168" ht="14.25" customHeight="1">
      <c r="A168" s="178"/>
      <c r="B168" s="10">
        <v>2188284.0</v>
      </c>
      <c r="C168" s="11">
        <v>46162.61329861111</v>
      </c>
      <c r="D168" s="179" t="s">
        <v>50</v>
      </c>
      <c r="E168" s="180" t="s">
        <v>329</v>
      </c>
      <c r="F168" s="181"/>
      <c r="G168" s="179" t="s">
        <v>8405</v>
      </c>
      <c r="H168" s="190"/>
      <c r="I168" s="190"/>
      <c r="J168" s="187" t="s">
        <v>3874</v>
      </c>
      <c r="K168" s="187"/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>
        <f>IFERROR(__xludf.DUMMYFUNCTION("ifna(VALUE(REGEXEXTRACT(E168,""[0-9.]+[,]+[0-9]+"")))"),200.0)</f>
        <v>200</v>
      </c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</row>
    <row r="169" ht="14.25" customHeight="1">
      <c r="A169" s="178"/>
      <c r="B169" s="10">
        <v>2188286.0</v>
      </c>
      <c r="C169" s="11">
        <v>46162.61383101852</v>
      </c>
      <c r="D169" s="179" t="s">
        <v>227</v>
      </c>
      <c r="E169" s="180" t="s">
        <v>494</v>
      </c>
      <c r="F169" s="181"/>
      <c r="G169" s="179" t="s">
        <v>8408</v>
      </c>
      <c r="H169" s="190"/>
      <c r="I169" s="190"/>
      <c r="J169" s="187"/>
      <c r="K169" s="187"/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>
        <f>IFERROR(__xludf.DUMMYFUNCTION("ifna(VALUE(REGEXEXTRACT(E169,""[0-9.]+[,]+[0-9]+"")))"),0.01)</f>
        <v>0.01</v>
      </c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</row>
    <row r="170" ht="14.25" customHeight="1">
      <c r="A170" s="178"/>
      <c r="B170" s="10">
        <v>2188333.0</v>
      </c>
      <c r="C170" s="11">
        <v>46162.63366898148</v>
      </c>
      <c r="D170" s="179" t="s">
        <v>50</v>
      </c>
      <c r="E170" s="180" t="s">
        <v>6897</v>
      </c>
      <c r="F170" s="181"/>
      <c r="G170" s="179" t="s">
        <v>7886</v>
      </c>
      <c r="H170" s="190"/>
      <c r="I170" s="190"/>
      <c r="J170" s="187" t="s">
        <v>3467</v>
      </c>
      <c r="K170" s="187"/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>
        <f>IFERROR(__xludf.DUMMYFUNCTION("ifna(VALUE(REGEXEXTRACT(E170,""[0-9.]+[,]+[0-9]+"")))"),21.47)</f>
        <v>21.47</v>
      </c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</row>
    <row r="171" ht="14.25" customHeight="1">
      <c r="A171" s="178"/>
      <c r="B171" s="10">
        <v>2188390.0</v>
      </c>
      <c r="C171" s="11">
        <v>46162.66101851852</v>
      </c>
      <c r="D171" s="179" t="s">
        <v>50</v>
      </c>
      <c r="E171" s="180" t="s">
        <v>339</v>
      </c>
      <c r="F171" s="181"/>
      <c r="G171" s="179" t="s">
        <v>94</v>
      </c>
      <c r="H171" s="190"/>
      <c r="I171" s="190"/>
      <c r="J171" s="187" t="s">
        <v>3044</v>
      </c>
      <c r="K171" s="187" t="s">
        <v>7058</v>
      </c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IFERROR(__xludf.DUMMYFUNCTION("ifna(VALUE(REGEXEXTRACT(E171,""[0-9.]+[,]+[0-9]+"")))"),4.9)</f>
        <v>4.9</v>
      </c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</row>
    <row r="172" ht="14.25" customHeight="1">
      <c r="A172" s="178"/>
      <c r="B172" s="10">
        <v>2188502.0</v>
      </c>
      <c r="C172" s="11">
        <v>46162.69747685185</v>
      </c>
      <c r="D172" s="179" t="s">
        <v>50</v>
      </c>
      <c r="E172" s="180" t="s">
        <v>4638</v>
      </c>
      <c r="F172" s="181"/>
      <c r="G172" s="179" t="s">
        <v>8411</v>
      </c>
      <c r="H172" s="190"/>
      <c r="I172" s="190"/>
      <c r="J172" s="187" t="s">
        <v>3467</v>
      </c>
      <c r="K172" s="187"/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IFERROR(__xludf.DUMMYFUNCTION("ifna(VALUE(REGEXEXTRACT(E172,""[0-9.]+[,]+[0-9]+"")))"),42.43)</f>
        <v>42.43</v>
      </c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</row>
    <row r="173" ht="14.25" customHeight="1">
      <c r="A173" s="178"/>
      <c r="B173" s="10">
        <v>2188578.0</v>
      </c>
      <c r="C173" s="11">
        <v>46162.72959490741</v>
      </c>
      <c r="D173" s="179" t="s">
        <v>227</v>
      </c>
      <c r="E173" s="180" t="s">
        <v>6731</v>
      </c>
      <c r="F173" s="181"/>
      <c r="G173" s="179" t="s">
        <v>8412</v>
      </c>
      <c r="H173" s="190"/>
      <c r="I173" s="190"/>
      <c r="J173" s="187" t="s">
        <v>4159</v>
      </c>
      <c r="K173" s="187"/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IFERROR(__xludf.DUMMYFUNCTION("ifna(VALUE(REGEXEXTRACT(E173,""[0-9.]+[,]+[0-9]+"")))"),100.0)</f>
        <v>100</v>
      </c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</row>
    <row r="174" ht="14.25" customHeight="1">
      <c r="A174" s="178"/>
      <c r="B174" s="10">
        <v>2188582.0</v>
      </c>
      <c r="C174" s="11">
        <v>46162.73134259259</v>
      </c>
      <c r="D174" s="179" t="s">
        <v>227</v>
      </c>
      <c r="E174" s="180" t="s">
        <v>494</v>
      </c>
      <c r="F174" s="181"/>
      <c r="G174" s="179" t="s">
        <v>8414</v>
      </c>
      <c r="H174" s="190"/>
      <c r="I174" s="190"/>
      <c r="J174" s="187"/>
      <c r="K174" s="187"/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IFERROR(__xludf.DUMMYFUNCTION("ifna(VALUE(REGEXEXTRACT(E174,""[0-9.]+[,]+[0-9]+"")))"),0.01)</f>
        <v>0.01</v>
      </c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</row>
    <row r="175" ht="14.25" customHeight="1">
      <c r="A175" s="178"/>
      <c r="B175" s="10">
        <v>2188612.0</v>
      </c>
      <c r="C175" s="11">
        <v>46162.74423611111</v>
      </c>
      <c r="D175" s="179" t="s">
        <v>50</v>
      </c>
      <c r="E175" s="180" t="s">
        <v>7040</v>
      </c>
      <c r="F175" s="181"/>
      <c r="G175" s="179" t="s">
        <v>8416</v>
      </c>
      <c r="H175" s="190"/>
      <c r="I175" s="190"/>
      <c r="J175" s="187" t="s">
        <v>3903</v>
      </c>
      <c r="K175" s="187"/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"""")"),"Encontrada")</f>
        <v>Encontrada</v>
      </c>
      <c r="N175" s="185">
        <f>IFERROR(__xludf.DUMMYFUNCTION("ifna(VALUE(REGEXEXTRACT(E175,""[0-9.]+[,]+[0-9]+"")))"),290.0)</f>
        <v>290</v>
      </c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</row>
    <row r="176" ht="14.25" customHeight="1">
      <c r="A176" s="178"/>
      <c r="B176" s="10">
        <v>2190824.0</v>
      </c>
      <c r="C176" s="11">
        <v>46164.61677083333</v>
      </c>
      <c r="D176" s="179" t="s">
        <v>227</v>
      </c>
      <c r="E176" s="180" t="s">
        <v>329</v>
      </c>
      <c r="F176" s="181"/>
      <c r="G176" s="179" t="s">
        <v>8419</v>
      </c>
      <c r="H176" s="190"/>
      <c r="I176" s="190"/>
      <c r="J176" s="187" t="s">
        <v>4159</v>
      </c>
      <c r="K176" s="187"/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IFERROR(__xludf.DUMMYFUNCTION("ifna(VALUE(REGEXEXTRACT(E176,""[0-9.]+[,]+[0-9]+"")))"),200.0)</f>
        <v>200</v>
      </c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</row>
    <row r="177" ht="14.25" customHeight="1">
      <c r="A177" s="178"/>
      <c r="B177" s="10">
        <v>2190850.0</v>
      </c>
      <c r="C177" s="11">
        <v>46164.632743055554</v>
      </c>
      <c r="D177" s="179" t="s">
        <v>50</v>
      </c>
      <c r="E177" s="180" t="s">
        <v>6479</v>
      </c>
      <c r="F177" s="181"/>
      <c r="G177" s="179" t="s">
        <v>8420</v>
      </c>
      <c r="H177" s="190"/>
      <c r="I177" s="190"/>
      <c r="J177" s="187" t="s">
        <v>3903</v>
      </c>
      <c r="K177" s="187"/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"""")"),"Encontrada")</f>
        <v>Encontrada</v>
      </c>
      <c r="N177" s="185">
        <f>IFERROR(__xludf.DUMMYFUNCTION("ifna(VALUE(REGEXEXTRACT(E177,""[0-9.]+[,]+[0-9]+"")))"),300.0)</f>
        <v>300</v>
      </c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</row>
    <row r="178" ht="14.25" customHeight="1">
      <c r="A178" s="178"/>
      <c r="B178" s="10">
        <v>2191027.0</v>
      </c>
      <c r="C178" s="11">
        <v>46164.70806712963</v>
      </c>
      <c r="D178" s="179" t="s">
        <v>50</v>
      </c>
      <c r="E178" s="180" t="s">
        <v>494</v>
      </c>
      <c r="F178" s="181"/>
      <c r="G178" s="179" t="s">
        <v>8422</v>
      </c>
      <c r="H178" s="190"/>
      <c r="I178" s="190"/>
      <c r="J178" s="187"/>
      <c r="K178" s="187"/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IFERROR(__xludf.DUMMYFUNCTION("ifna(VALUE(REGEXEXTRACT(E178,""[0-9.]+[,]+[0-9]+"")))"),0.01)</f>
        <v>0.01</v>
      </c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</row>
    <row r="179" ht="14.25" customHeight="1">
      <c r="A179" s="178"/>
      <c r="B179" s="10">
        <v>2191113.0</v>
      </c>
      <c r="C179" s="11">
        <v>46164.73488425926</v>
      </c>
      <c r="D179" s="179" t="s">
        <v>50</v>
      </c>
      <c r="E179" s="180" t="s">
        <v>6545</v>
      </c>
      <c r="F179" s="181"/>
      <c r="G179" s="179" t="s">
        <v>8424</v>
      </c>
      <c r="H179" s="190"/>
      <c r="I179" s="190"/>
      <c r="J179" s="187" t="s">
        <v>3903</v>
      </c>
      <c r="K179" s="187"/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"""")"),"Encontrada")</f>
        <v>Encontrada</v>
      </c>
      <c r="N179" s="185">
        <f>IFERROR(__xludf.DUMMYFUNCTION("ifna(VALUE(REGEXEXTRACT(E179,""[0-9.]+[,]+[0-9]+"")))"),20.0)</f>
        <v>20</v>
      </c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</row>
    <row r="180" ht="14.25" customHeight="1">
      <c r="A180" s="178"/>
      <c r="B180" s="10">
        <v>2193453.0</v>
      </c>
      <c r="C180" s="11">
        <v>46166.63982638889</v>
      </c>
      <c r="D180" s="179" t="s">
        <v>50</v>
      </c>
      <c r="E180" s="180" t="s">
        <v>8428</v>
      </c>
      <c r="F180" s="181"/>
      <c r="G180" s="179" t="s">
        <v>8429</v>
      </c>
      <c r="H180" s="190"/>
      <c r="I180" s="190"/>
      <c r="J180" s="187" t="s">
        <v>3903</v>
      </c>
      <c r="K180" s="187"/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85">
        <f>IFERROR(__xludf.DUMMYFUNCTION("ifna(VALUE(REGEXEXTRACT(E180,""[0-9.]+[,]+[0-9]+"")))"),19.92)</f>
        <v>19.92</v>
      </c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</row>
    <row r="181" ht="14.25" customHeight="1">
      <c r="A181" s="178"/>
      <c r="B181" s="10">
        <v>2193456.0</v>
      </c>
      <c r="C181" s="11">
        <v>46166.64009259259</v>
      </c>
      <c r="D181" s="179" t="s">
        <v>50</v>
      </c>
      <c r="E181" s="180" t="s">
        <v>840</v>
      </c>
      <c r="F181" s="188"/>
      <c r="G181" s="179" t="s">
        <v>8430</v>
      </c>
      <c r="H181" s="190"/>
      <c r="I181" s="190"/>
      <c r="J181" s="187" t="s">
        <v>3903</v>
      </c>
      <c r="K181" s="187"/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185">
        <f>IFERROR(__xludf.DUMMYFUNCTION("ifna(VALUE(REGEXEXTRACT(E181,""[0-9.]+[,]+[0-9]+"")))"),9.99)</f>
        <v>9.99</v>
      </c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</row>
    <row r="182" ht="14.25" customHeight="1">
      <c r="A182" s="178"/>
      <c r="B182" s="10">
        <v>2195675.0</v>
      </c>
      <c r="C182" s="11">
        <v>46167.75530092593</v>
      </c>
      <c r="D182" s="179" t="s">
        <v>50</v>
      </c>
      <c r="E182" s="180" t="s">
        <v>6750</v>
      </c>
      <c r="F182" s="181"/>
      <c r="G182" s="179" t="s">
        <v>8432</v>
      </c>
      <c r="H182" s="190"/>
      <c r="I182" s="190"/>
      <c r="J182" s="187" t="s">
        <v>3903</v>
      </c>
      <c r="K182" s="187"/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"""")"),"Encontrada")</f>
        <v>Encontrada</v>
      </c>
      <c r="N182" s="185">
        <f>IFERROR(__xludf.DUMMYFUNCTION("ifna(VALUE(REGEXEXTRACT(E182,""[0-9.]+[,]+[0-9]+"")))"),225.0)</f>
        <v>225</v>
      </c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</row>
    <row r="183" ht="14.25" customHeight="1">
      <c r="A183" s="178"/>
      <c r="B183" s="10">
        <v>2195676.0</v>
      </c>
      <c r="C183" s="11">
        <v>46167.75568287037</v>
      </c>
      <c r="D183" s="179" t="s">
        <v>50</v>
      </c>
      <c r="E183" s="180" t="s">
        <v>8433</v>
      </c>
      <c r="F183" s="181"/>
      <c r="G183" s="179" t="s">
        <v>8434</v>
      </c>
      <c r="H183" s="190"/>
      <c r="I183" s="190"/>
      <c r="J183" s="187" t="s">
        <v>3903</v>
      </c>
      <c r="K183" s="187"/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"""")"),"Encontrada")</f>
        <v>Encontrada</v>
      </c>
      <c r="N183" s="185">
        <f>IFERROR(__xludf.DUMMYFUNCTION("ifna(VALUE(REGEXEXTRACT(E183,""[0-9.]+[,]+[0-9]+"")))"),5.26)</f>
        <v>5.26</v>
      </c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</row>
    <row r="184" ht="14.25" customHeight="1">
      <c r="A184" s="178"/>
      <c r="B184" s="10">
        <v>2195678.0</v>
      </c>
      <c r="C184" s="11">
        <v>46167.756273148145</v>
      </c>
      <c r="D184" s="179" t="s">
        <v>50</v>
      </c>
      <c r="E184" s="180" t="s">
        <v>8435</v>
      </c>
      <c r="F184" s="188"/>
      <c r="G184" s="179" t="s">
        <v>8436</v>
      </c>
      <c r="H184" s="190"/>
      <c r="I184" s="190"/>
      <c r="J184" s="187" t="s">
        <v>3903</v>
      </c>
      <c r="K184" s="187"/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"""")"),"Encontrada")</f>
        <v>Encontrada</v>
      </c>
      <c r="N184" s="185">
        <f>IFERROR(__xludf.DUMMYFUNCTION("ifna(VALUE(REGEXEXTRACT(E184,""[0-9.]+[,]+[0-9]+"")))"),302.1)</f>
        <v>302.1</v>
      </c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</row>
    <row r="185" ht="14.25" customHeight="1">
      <c r="A185" s="178"/>
      <c r="B185" s="10">
        <v>2195819.0</v>
      </c>
      <c r="C185" s="11">
        <v>46167.816469907404</v>
      </c>
      <c r="D185" s="179" t="s">
        <v>50</v>
      </c>
      <c r="E185" s="180" t="s">
        <v>8438</v>
      </c>
      <c r="F185" s="181"/>
      <c r="G185" s="179" t="s">
        <v>8439</v>
      </c>
      <c r="H185" s="190"/>
      <c r="I185" s="190"/>
      <c r="J185" s="187" t="s">
        <v>3044</v>
      </c>
      <c r="K185" s="187" t="s">
        <v>8093</v>
      </c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>
        <f>IFERROR(__xludf.DUMMYFUNCTION("ifna(VALUE(REGEXEXTRACT(E185,""[0-9.]+[,]+[0-9]+"")))"),43.97)</f>
        <v>43.97</v>
      </c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</row>
    <row r="186" ht="14.25" customHeight="1">
      <c r="A186" s="178"/>
      <c r="B186" s="10">
        <v>2240384.0</v>
      </c>
      <c r="C186" s="11">
        <v>46197.604212962964</v>
      </c>
      <c r="D186" s="179" t="s">
        <v>50</v>
      </c>
      <c r="E186" s="180" t="s">
        <v>7482</v>
      </c>
      <c r="F186" s="181"/>
      <c r="G186" s="179" t="s">
        <v>8441</v>
      </c>
      <c r="H186" s="190"/>
      <c r="I186" s="190"/>
      <c r="J186" s="187" t="s">
        <v>3903</v>
      </c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"""")"),"Encontrada")</f>
        <v>Encontrada</v>
      </c>
      <c r="N186" s="185">
        <f>IFERROR(__xludf.DUMMYFUNCTION("ifna(VALUE(REGEXEXTRACT(E186,""[0-9.]+[,]+[0-9]+"")))"),264.0)</f>
        <v>264</v>
      </c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</row>
    <row r="187" ht="14.25" customHeight="1">
      <c r="A187" s="178"/>
      <c r="B187" s="10">
        <v>2240426.0</v>
      </c>
      <c r="C187" s="11">
        <v>46197.63092592593</v>
      </c>
      <c r="D187" s="179" t="s">
        <v>50</v>
      </c>
      <c r="E187" s="180" t="s">
        <v>6611</v>
      </c>
      <c r="F187" s="181"/>
      <c r="G187" s="179" t="s">
        <v>149</v>
      </c>
      <c r="H187" s="190"/>
      <c r="I187" s="190"/>
      <c r="J187" s="187" t="s">
        <v>3044</v>
      </c>
      <c r="K187" s="187" t="s">
        <v>8093</v>
      </c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IFERROR(__xludf.DUMMYFUNCTION("ifna(VALUE(REGEXEXTRACT(E187,""[0-9.]+[,]+[0-9]+"")))"),25.05)</f>
        <v>25.05</v>
      </c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</row>
    <row r="188" ht="14.25" customHeight="1">
      <c r="A188" s="178"/>
      <c r="B188" s="10"/>
      <c r="C188" s="11"/>
      <c r="D188" s="179"/>
      <c r="E188" s="180"/>
      <c r="F188" s="181"/>
      <c r="G188" s="179"/>
      <c r="H188" s="190"/>
      <c r="I188" s="190"/>
      <c r="J188" s="187"/>
      <c r="K188" s="187"/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</row>
    <row r="189" ht="14.25" customHeight="1">
      <c r="A189" s="178"/>
      <c r="B189" s="10"/>
      <c r="C189" s="11"/>
      <c r="D189" s="179"/>
      <c r="E189" s="180"/>
      <c r="F189" s="181"/>
      <c r="G189" s="179"/>
      <c r="H189" s="190"/>
      <c r="I189" s="190"/>
      <c r="J189" s="187"/>
      <c r="K189" s="187"/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</row>
    <row r="190" ht="14.25" customHeight="1">
      <c r="A190" s="178"/>
      <c r="B190" s="10"/>
      <c r="C190" s="11"/>
      <c r="D190" s="179"/>
      <c r="E190" s="180"/>
      <c r="F190" s="181"/>
      <c r="G190" s="179"/>
      <c r="H190" s="190"/>
      <c r="I190" s="190"/>
      <c r="J190" s="187"/>
      <c r="K190" s="187"/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</row>
    <row r="191" ht="14.25" customHeight="1">
      <c r="A191" s="178"/>
      <c r="B191" s="10"/>
      <c r="C191" s="11"/>
      <c r="D191" s="179"/>
      <c r="E191" s="180"/>
      <c r="F191" s="181"/>
      <c r="G191" s="179"/>
      <c r="H191" s="190"/>
      <c r="I191" s="190"/>
      <c r="J191" s="187"/>
      <c r="K191" s="187"/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</row>
    <row r="192" ht="14.25" customHeight="1">
      <c r="A192" s="178"/>
      <c r="B192" s="10"/>
      <c r="C192" s="11"/>
      <c r="D192" s="179"/>
      <c r="E192" s="180"/>
      <c r="F192" s="181"/>
      <c r="G192" s="179"/>
      <c r="H192" s="190"/>
      <c r="I192" s="190"/>
      <c r="J192" s="187"/>
      <c r="K192" s="187"/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</row>
    <row r="193" ht="14.25" customHeight="1">
      <c r="A193" s="178"/>
      <c r="B193" s="10"/>
      <c r="C193" s="11"/>
      <c r="D193" s="179"/>
      <c r="E193" s="180"/>
      <c r="F193" s="181"/>
      <c r="G193" s="179"/>
      <c r="H193" s="190"/>
      <c r="I193" s="190"/>
      <c r="J193" s="187"/>
      <c r="K193" s="187"/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</row>
    <row r="194" ht="14.25" customHeight="1">
      <c r="A194" s="178"/>
      <c r="B194" s="10"/>
      <c r="C194" s="11"/>
      <c r="D194" s="179"/>
      <c r="E194" s="180"/>
      <c r="F194" s="181"/>
      <c r="G194" s="179"/>
      <c r="H194" s="190"/>
      <c r="I194" s="190"/>
      <c r="J194" s="187"/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</row>
    <row r="195" ht="14.25" customHeight="1">
      <c r="A195" s="178"/>
      <c r="B195" s="10"/>
      <c r="C195" s="11"/>
      <c r="D195" s="179"/>
      <c r="E195" s="180"/>
      <c r="F195" s="181"/>
      <c r="G195" s="179"/>
      <c r="H195" s="190"/>
      <c r="I195" s="190"/>
      <c r="J195" s="187"/>
      <c r="K195" s="187"/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</row>
    <row r="196" ht="14.25" customHeight="1">
      <c r="A196" s="178"/>
      <c r="B196" s="10"/>
      <c r="C196" s="11"/>
      <c r="D196" s="179"/>
      <c r="E196" s="180"/>
      <c r="F196" s="181"/>
      <c r="G196" s="179"/>
      <c r="H196" s="190"/>
      <c r="I196" s="190"/>
      <c r="J196" s="187"/>
      <c r="K196" s="187"/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</row>
    <row r="197" ht="14.25" customHeight="1">
      <c r="A197" s="178"/>
      <c r="B197" s="10"/>
      <c r="C197" s="11"/>
      <c r="D197" s="179"/>
      <c r="E197" s="180"/>
      <c r="F197" s="181"/>
      <c r="G197" s="179"/>
      <c r="H197" s="190"/>
      <c r="I197" s="190"/>
      <c r="J197" s="187"/>
      <c r="K197" s="187"/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</row>
    <row r="198" ht="14.25" customHeight="1">
      <c r="A198" s="178"/>
      <c r="B198" s="10"/>
      <c r="C198" s="11"/>
      <c r="D198" s="179"/>
      <c r="E198" s="180"/>
      <c r="F198" s="181"/>
      <c r="G198" s="179"/>
      <c r="H198" s="190"/>
      <c r="I198" s="190"/>
      <c r="J198" s="187"/>
      <c r="K198" s="187"/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</row>
    <row r="199" ht="14.25" customHeight="1">
      <c r="A199" s="178"/>
      <c r="B199" s="10"/>
      <c r="C199" s="11"/>
      <c r="D199" s="179"/>
      <c r="E199" s="180"/>
      <c r="F199" s="181"/>
      <c r="G199" s="179"/>
      <c r="H199" s="190"/>
      <c r="I199" s="190"/>
      <c r="J199" s="187"/>
      <c r="K199" s="187"/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</row>
    <row r="200" ht="14.25" customHeight="1">
      <c r="A200" s="178"/>
      <c r="B200" s="10"/>
      <c r="C200" s="11"/>
      <c r="D200" s="179"/>
      <c r="E200" s="180"/>
      <c r="F200" s="181"/>
      <c r="G200" s="179"/>
      <c r="H200" s="190"/>
      <c r="I200" s="190"/>
      <c r="J200" s="187"/>
      <c r="K200" s="187"/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</row>
    <row r="201" ht="14.25" customHeight="1">
      <c r="A201" s="178"/>
      <c r="B201" s="10"/>
      <c r="C201" s="11"/>
      <c r="D201" s="179"/>
      <c r="E201" s="180"/>
      <c r="F201" s="181"/>
      <c r="G201" s="179"/>
      <c r="H201" s="190"/>
      <c r="I201" s="190"/>
      <c r="J201" s="187"/>
      <c r="K201" s="187"/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</row>
    <row r="202" ht="14.25" customHeight="1">
      <c r="A202" s="178"/>
      <c r="B202" s="10"/>
      <c r="C202" s="11"/>
      <c r="D202" s="179"/>
      <c r="E202" s="180"/>
      <c r="F202" s="181"/>
      <c r="G202" s="179"/>
      <c r="H202" s="190"/>
      <c r="I202" s="190"/>
      <c r="J202" s="187"/>
      <c r="K202" s="187"/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</row>
    <row r="203" ht="14.25" customHeight="1">
      <c r="A203" s="178"/>
      <c r="B203" s="10"/>
      <c r="C203" s="11"/>
      <c r="D203" s="179"/>
      <c r="E203" s="180"/>
      <c r="F203" s="181"/>
      <c r="G203" s="179"/>
      <c r="H203" s="190"/>
      <c r="I203" s="190"/>
      <c r="J203" s="187"/>
      <c r="K203" s="187"/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</row>
    <row r="204" ht="14.25" customHeight="1">
      <c r="A204" s="178"/>
      <c r="B204" s="10"/>
      <c r="C204" s="11"/>
      <c r="D204" s="179"/>
      <c r="E204" s="180"/>
      <c r="F204" s="181"/>
      <c r="G204" s="179"/>
      <c r="H204" s="190"/>
      <c r="I204" s="190"/>
      <c r="J204" s="187"/>
      <c r="K204" s="187"/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</row>
    <row r="205" ht="14.25" customHeight="1">
      <c r="A205" s="178"/>
      <c r="B205" s="10"/>
      <c r="C205" s="11"/>
      <c r="D205" s="179"/>
      <c r="E205" s="180"/>
      <c r="F205" s="181"/>
      <c r="G205" s="179"/>
      <c r="H205" s="190"/>
      <c r="I205" s="190"/>
      <c r="J205" s="187"/>
      <c r="K205" s="187"/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</row>
    <row r="206" ht="14.25" customHeight="1">
      <c r="A206" s="178"/>
      <c r="B206" s="10"/>
      <c r="C206" s="11"/>
      <c r="D206" s="179"/>
      <c r="E206" s="180"/>
      <c r="F206" s="181"/>
      <c r="G206" s="179"/>
      <c r="H206" s="190"/>
      <c r="I206" s="190"/>
      <c r="J206" s="187"/>
      <c r="K206" s="187"/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</row>
    <row r="207" ht="14.25" customHeight="1">
      <c r="A207" s="178"/>
      <c r="B207" s="10"/>
      <c r="C207" s="11"/>
      <c r="D207" s="179"/>
      <c r="E207" s="180"/>
      <c r="F207" s="181"/>
      <c r="G207" s="179"/>
      <c r="H207" s="190"/>
      <c r="I207" s="190"/>
      <c r="J207" s="187"/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</row>
    <row r="208" ht="14.25" customHeight="1">
      <c r="A208" s="178"/>
      <c r="B208" s="10"/>
      <c r="C208" s="11"/>
      <c r="D208" s="179"/>
      <c r="E208" s="180"/>
      <c r="F208" s="181"/>
      <c r="G208" s="179"/>
      <c r="H208" s="190"/>
      <c r="I208" s="190"/>
      <c r="J208" s="187"/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</row>
    <row r="209" ht="14.25" customHeight="1">
      <c r="A209" s="178"/>
      <c r="B209" s="10"/>
      <c r="C209" s="11"/>
      <c r="D209" s="179"/>
      <c r="E209" s="180"/>
      <c r="F209" s="181"/>
      <c r="G209" s="179"/>
      <c r="H209" s="190"/>
      <c r="I209" s="190"/>
      <c r="J209" s="187"/>
      <c r="K209" s="187"/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</row>
    <row r="210" ht="14.25" customHeight="1">
      <c r="A210" s="178"/>
      <c r="B210" s="10"/>
      <c r="C210" s="11"/>
      <c r="D210" s="179"/>
      <c r="E210" s="180"/>
      <c r="F210" s="181"/>
      <c r="G210" s="179"/>
      <c r="H210" s="190"/>
      <c r="I210" s="190"/>
      <c r="J210" s="187"/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</row>
    <row r="211" ht="14.25" customHeight="1">
      <c r="A211" s="178"/>
      <c r="B211" s="10"/>
      <c r="C211" s="11"/>
      <c r="D211" s="179"/>
      <c r="E211" s="180"/>
      <c r="F211" s="181"/>
      <c r="G211" s="179"/>
      <c r="H211" s="190"/>
      <c r="I211" s="190"/>
      <c r="J211" s="187"/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</row>
    <row r="212" ht="14.25" customHeight="1">
      <c r="A212" s="178"/>
      <c r="B212" s="10"/>
      <c r="C212" s="11"/>
      <c r="D212" s="179"/>
      <c r="E212" s="180"/>
      <c r="F212" s="181"/>
      <c r="G212" s="179"/>
      <c r="H212" s="190"/>
      <c r="I212" s="190"/>
      <c r="J212" s="187"/>
      <c r="K212" s="187"/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</row>
    <row r="213" ht="14.25" customHeight="1">
      <c r="A213" s="178"/>
      <c r="B213" s="10"/>
      <c r="C213" s="11"/>
      <c r="D213" s="179"/>
      <c r="E213" s="180"/>
      <c r="F213" s="181"/>
      <c r="G213" s="179"/>
      <c r="H213" s="190"/>
      <c r="I213" s="190"/>
      <c r="J213" s="187"/>
      <c r="K213" s="187"/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</row>
    <row r="214" ht="14.25" customHeight="1">
      <c r="A214" s="178"/>
      <c r="B214" s="10"/>
      <c r="C214" s="11"/>
      <c r="D214" s="179"/>
      <c r="E214" s="180"/>
      <c r="F214" s="181"/>
      <c r="G214" s="179"/>
      <c r="H214" s="190"/>
      <c r="I214" s="190"/>
      <c r="J214" s="187"/>
      <c r="K214" s="187"/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</row>
    <row r="215" ht="14.25" customHeight="1">
      <c r="A215" s="178"/>
      <c r="B215" s="10"/>
      <c r="C215" s="11"/>
      <c r="D215" s="179"/>
      <c r="E215" s="180"/>
      <c r="F215" s="181"/>
      <c r="G215" s="179"/>
      <c r="H215" s="190"/>
      <c r="I215" s="190"/>
      <c r="J215" s="187"/>
      <c r="K215" s="187"/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</row>
    <row r="216" ht="14.25" customHeight="1">
      <c r="A216" s="178"/>
      <c r="B216" s="10"/>
      <c r="C216" s="11"/>
      <c r="D216" s="179"/>
      <c r="E216" s="180"/>
      <c r="F216" s="181"/>
      <c r="G216" s="179"/>
      <c r="H216" s="190"/>
      <c r="I216" s="190"/>
      <c r="J216" s="187"/>
      <c r="K216" s="187"/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</row>
    <row r="217" ht="14.25" customHeight="1">
      <c r="A217" s="178"/>
      <c r="B217" s="10"/>
      <c r="C217" s="11"/>
      <c r="D217" s="179"/>
      <c r="E217" s="180"/>
      <c r="F217" s="181"/>
      <c r="G217" s="179"/>
      <c r="H217" s="190"/>
      <c r="I217" s="190"/>
      <c r="J217" s="187"/>
      <c r="K217" s="187"/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</row>
    <row r="218" ht="14.25" customHeight="1">
      <c r="A218" s="178"/>
      <c r="B218" s="10"/>
      <c r="C218" s="11"/>
      <c r="D218" s="179"/>
      <c r="E218" s="180"/>
      <c r="F218" s="181"/>
      <c r="G218" s="179"/>
      <c r="H218" s="190"/>
      <c r="I218" s="190"/>
      <c r="J218" s="187"/>
      <c r="K218" s="187"/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</row>
    <row r="219" ht="14.25" customHeight="1">
      <c r="A219" s="178"/>
      <c r="B219" s="10"/>
      <c r="C219" s="11"/>
      <c r="D219" s="179"/>
      <c r="E219" s="180"/>
      <c r="F219" s="181"/>
      <c r="G219" s="179"/>
      <c r="H219" s="190"/>
      <c r="I219" s="190"/>
      <c r="J219" s="187"/>
      <c r="K219" s="187"/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</row>
    <row r="220" ht="14.25" customHeight="1">
      <c r="A220" s="178"/>
      <c r="B220" s="10"/>
      <c r="C220" s="11"/>
      <c r="D220" s="179"/>
      <c r="E220" s="180"/>
      <c r="F220" s="181"/>
      <c r="G220" s="179"/>
      <c r="H220" s="190"/>
      <c r="I220" s="190"/>
      <c r="J220" s="187"/>
      <c r="K220" s="187"/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</row>
    <row r="221" ht="14.25" customHeight="1">
      <c r="A221" s="178"/>
      <c r="B221" s="10"/>
      <c r="C221" s="11"/>
      <c r="D221" s="179"/>
      <c r="E221" s="180"/>
      <c r="F221" s="181"/>
      <c r="G221" s="179"/>
      <c r="H221" s="190"/>
      <c r="I221" s="190"/>
      <c r="J221" s="187"/>
      <c r="K221" s="187"/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</row>
    <row r="222" ht="14.25" customHeight="1">
      <c r="A222" s="178"/>
      <c r="B222" s="10"/>
      <c r="C222" s="11"/>
      <c r="D222" s="179"/>
      <c r="E222" s="180"/>
      <c r="F222" s="181"/>
      <c r="G222" s="179"/>
      <c r="H222" s="190"/>
      <c r="I222" s="190"/>
      <c r="J222" s="187"/>
      <c r="K222" s="187"/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</row>
    <row r="223" ht="14.25" customHeight="1">
      <c r="A223" s="178"/>
      <c r="B223" s="10"/>
      <c r="C223" s="11"/>
      <c r="D223" s="179"/>
      <c r="E223" s="180"/>
      <c r="F223" s="181"/>
      <c r="G223" s="179"/>
      <c r="H223" s="190"/>
      <c r="I223" s="190"/>
      <c r="J223" s="187"/>
      <c r="K223" s="187"/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</row>
    <row r="224" ht="14.25" customHeight="1">
      <c r="A224" s="178"/>
      <c r="B224" s="10"/>
      <c r="C224" s="11"/>
      <c r="D224" s="179"/>
      <c r="E224" s="180"/>
      <c r="F224" s="181"/>
      <c r="G224" s="179"/>
      <c r="H224" s="190"/>
      <c r="I224" s="190"/>
      <c r="J224" s="187"/>
      <c r="K224" s="187"/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</row>
    <row r="225" ht="14.25" customHeight="1">
      <c r="A225" s="178"/>
      <c r="B225" s="10"/>
      <c r="C225" s="11"/>
      <c r="D225" s="179"/>
      <c r="E225" s="180"/>
      <c r="F225" s="181"/>
      <c r="G225" s="179"/>
      <c r="H225" s="190"/>
      <c r="I225" s="190"/>
      <c r="J225" s="187"/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</row>
    <row r="226" ht="14.25" customHeight="1">
      <c r="A226" s="178"/>
      <c r="B226" s="10"/>
      <c r="C226" s="11"/>
      <c r="D226" s="179"/>
      <c r="E226" s="180"/>
      <c r="F226" s="181"/>
      <c r="G226" s="179"/>
      <c r="H226" s="190"/>
      <c r="I226" s="190"/>
      <c r="J226" s="187"/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</row>
    <row r="227" ht="14.25" customHeight="1">
      <c r="A227" s="178"/>
      <c r="B227" s="10"/>
      <c r="C227" s="11"/>
      <c r="D227" s="179"/>
      <c r="E227" s="180"/>
      <c r="F227" s="181"/>
      <c r="G227" s="179"/>
      <c r="H227" s="190"/>
      <c r="I227" s="190"/>
      <c r="J227" s="187"/>
      <c r="K227" s="187"/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</row>
    <row r="228" ht="14.25" customHeight="1">
      <c r="A228" s="178"/>
      <c r="B228" s="10"/>
      <c r="C228" s="11"/>
      <c r="D228" s="179"/>
      <c r="E228" s="180"/>
      <c r="F228" s="181"/>
      <c r="G228" s="179"/>
      <c r="H228" s="190"/>
      <c r="I228" s="190"/>
      <c r="J228" s="187"/>
      <c r="K228" s="187"/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</row>
    <row r="232" ht="14.25" customHeight="1">
      <c r="A232" s="178"/>
      <c r="B232" s="10"/>
      <c r="C232" s="11"/>
      <c r="D232" s="179"/>
      <c r="E232" s="180"/>
      <c r="F232" s="181"/>
      <c r="G232" s="179"/>
      <c r="H232" s="190"/>
      <c r="I232" s="190"/>
      <c r="J232" s="187"/>
      <c r="K232" s="187"/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</row>
    <row r="234" ht="14.25" customHeight="1">
      <c r="A234" s="178"/>
      <c r="B234" s="10"/>
      <c r="C234" s="11"/>
      <c r="D234" s="179"/>
      <c r="E234" s="180"/>
      <c r="F234" s="181"/>
      <c r="G234" s="179"/>
      <c r="H234" s="190"/>
      <c r="I234" s="190"/>
      <c r="J234" s="187"/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</row>
    <row r="235" ht="14.25" customHeight="1">
      <c r="A235" s="178"/>
      <c r="B235" s="10"/>
      <c r="C235" s="11"/>
      <c r="D235" s="179"/>
      <c r="E235" s="180"/>
      <c r="F235" s="181"/>
      <c r="G235" s="179"/>
      <c r="H235" s="190"/>
      <c r="I235" s="190"/>
      <c r="J235" s="187"/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</row>
    <row r="236" ht="14.25" customHeight="1">
      <c r="A236" s="178"/>
      <c r="B236" s="10"/>
      <c r="C236" s="11"/>
      <c r="D236" s="179"/>
      <c r="E236" s="180"/>
      <c r="F236" s="181"/>
      <c r="G236" s="179"/>
      <c r="H236" s="190"/>
      <c r="I236" s="190"/>
      <c r="J236" s="187"/>
      <c r="K236" s="187"/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</row>
    <row r="237" ht="14.25" customHeight="1">
      <c r="A237" s="178"/>
      <c r="B237" s="10"/>
      <c r="C237" s="11"/>
      <c r="D237" s="179"/>
      <c r="E237" s="180"/>
      <c r="F237" s="181"/>
      <c r="G237" s="179"/>
      <c r="H237" s="190"/>
      <c r="I237" s="190"/>
      <c r="J237" s="187"/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</row>
    <row r="238" ht="14.25" customHeight="1">
      <c r="A238" s="178"/>
      <c r="B238" s="10"/>
      <c r="C238" s="11"/>
      <c r="D238" s="179"/>
      <c r="E238" s="180"/>
      <c r="F238" s="188"/>
      <c r="G238" s="179"/>
      <c r="H238" s="190"/>
      <c r="I238" s="190"/>
      <c r="J238" s="187"/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</row>
    <row r="242" ht="14.25" customHeight="1">
      <c r="A242" s="178"/>
      <c r="B242" s="10"/>
      <c r="C242" s="11"/>
      <c r="D242" s="179"/>
      <c r="E242" s="180"/>
      <c r="F242" s="188"/>
      <c r="G242" s="179"/>
      <c r="H242" s="190"/>
      <c r="I242" s="190"/>
      <c r="J242" s="187"/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IFERROR(__xludf.DUMMYFUNCTION("IF(
  AND(D282=""Saída"", J282=""Sangria""),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IFERROR(__xludf.DUMMYFUNCTION("IF(
  AND(D283=""Saída"", J283=""Sangria""),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/>
      <c r="AD283" s="185"/>
      <c r="AE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IFERROR(__xludf.DUMMYFUNCTION("IF(
  AND(D284=""Saída"", J284=""Sangria""),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/>
      <c r="AD284" s="185"/>
      <c r="AE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IFERROR(__xludf.DUMMYFUNCTION("IF(
  AND(D285=""Saída"", J285=""Sangria""),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/>
      <c r="AD285" s="185"/>
      <c r="AE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IFERROR(__xludf.DUMMYFUNCTION("IF(
  AND(D286=""Saída"", J286=""Sangria""),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/>
      <c r="AD286" s="185"/>
      <c r="AE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IFERROR(__xludf.DUMMYFUNCTION("IF(
  AND(D287=""Saída"", J287=""Sangria""),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IFERROR(__xludf.DUMMYFUNCTION("IF(
  AND(D288=""Saída"", J288=""Sangria""),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IFERROR(__xludf.DUMMYFUNCTION("IF(
  AND(D289=""Saída"", J289=""Sangria""),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/>
      <c r="AD289" s="185"/>
      <c r="AE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IFERROR(__xludf.DUMMYFUNCTION("IF(
  AND(D290=""Saída"", J290=""Sangria""),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/>
      <c r="AD290" s="185"/>
      <c r="AE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IFERROR(__xludf.DUMMYFUNCTION("IF(
  AND(D291=""Saída"", J291=""Sangria""),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IFERROR(__xludf.DUMMYFUNCTION("IF(
  AND(D292=""Saída"", J292=""Sangria""),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/>
      <c r="AD292" s="185"/>
      <c r="AE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IFERROR(__xludf.DUMMYFUNCTION("IF(
  AND(D293=""Saída"", J293=""Sangria""),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IFERROR(__xludf.DUMMYFUNCTION("IF(
  AND(D294=""Saída"", J294=""Sangria""),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IFERROR(__xludf.DUMMYFUNCTION("IF(
  AND(D295=""Saída"", J295=""Sangria""),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IFERROR(__xludf.DUMMYFUNCTION("IF(
  AND(D296=""Saída"", J296=""Sangria""),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IFERROR(__xludf.DUMMYFUNCTION("IF(
  AND(D297=""Saída"", J297=""Sangria""),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  <c r="AC297" s="185"/>
      <c r="AD297" s="185"/>
      <c r="AE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IFERROR(__xludf.DUMMYFUNCTION("IF(
  AND(D298=""Saída"", J298=""Sangria""),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  <c r="AC298" s="185"/>
      <c r="AD298" s="185"/>
      <c r="AE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IFERROR(__xludf.DUMMYFUNCTION("IF(
  AND(D299=""Saída"", J299=""Sangria""),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  <c r="AC299" s="185"/>
      <c r="AD299" s="185"/>
      <c r="AE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IFERROR(__xludf.DUMMYFUNCTION("IF(
  AND(D300=""Saída"", J300=""Sangria""),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IFERROR(__xludf.DUMMYFUNCTION("IF(
  AND(D301=""Saída"", J301=""Sangria""),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  <c r="AC301" s="185"/>
      <c r="AD301" s="185"/>
      <c r="AE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IFERROR(__xludf.DUMMYFUNCTION("IF(
  AND(D302=""Saída"", J302=""Sangria""),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  <c r="AC302" s="185"/>
      <c r="AD302" s="185"/>
      <c r="AE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IFERROR(__xludf.DUMMYFUNCTION("IF(
  AND(D303=""Saída"", J303=""Sangria""),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IFERROR(__xludf.DUMMYFUNCTION("IF(
  AND(D304=""Saída"", J304=""Sangria""),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  <c r="AC304" s="185"/>
      <c r="AD304" s="185"/>
      <c r="AE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IFERROR(__xludf.DUMMYFUNCTION("IF(
  AND(D305=""Saída"", J305=""Sangria""),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IFERROR(__xludf.DUMMYFUNCTION("IF(
  AND(D306=""Saída"", J306=""Sangria""),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  <c r="AC306" s="185"/>
      <c r="AD306" s="185"/>
      <c r="AE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IFERROR(__xludf.DUMMYFUNCTION("IF(
  AND(D307=""Saída"", J307=""Sangria""),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  <c r="AC307" s="185"/>
      <c r="AD307" s="185"/>
      <c r="AE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IFERROR(__xludf.DUMMYFUNCTION("IF(
  AND(D308=""Saída"", J308=""Sangria""),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  <c r="AC308" s="185"/>
      <c r="AD308" s="185"/>
      <c r="AE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IFERROR(__xludf.DUMMYFUNCTION("IF(
  AND(D309=""Saída"", J309=""Sangria""),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IFERROR(__xludf.DUMMYFUNCTION("IF(
  AND(D310=""Saída"", J310=""Sangria""),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IFERROR(__xludf.DUMMYFUNCTION("IF(
  AND(D311=""Saída"", J311=""Sangria""),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IFERROR(__xludf.DUMMYFUNCTION("IF(
  AND(D312=""Saída"", J312=""Sangria""),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  <c r="AC312" s="185"/>
      <c r="AD312" s="185"/>
      <c r="AE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IFERROR(__xludf.DUMMYFUNCTION("IF(
  AND(D313=""Saída"", J313=""Sangria""),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  <c r="AC313" s="185"/>
      <c r="AD313" s="185"/>
      <c r="AE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IFERROR(__xludf.DUMMYFUNCTION("IF(
  AND(D314=""Saída"", J314=""Sangria""),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  <c r="AC314" s="185"/>
      <c r="AD314" s="185"/>
      <c r="AE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IFERROR(__xludf.DUMMYFUNCTION("IF(
  AND(D315=""Saída"", J315=""Sangria""),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  <c r="AC315" s="185"/>
      <c r="AD315" s="185"/>
      <c r="AE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IFERROR(__xludf.DUMMYFUNCTION("IF(
  AND(D316=""Saída"", J316=""Sangria""),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IFERROR(__xludf.DUMMYFUNCTION("IF(
  AND(D317=""Saída"", J317=""Sangria""),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IFERROR(__xludf.DUMMYFUNCTION("IF(
  AND(D318=""Saída"", J318=""Sangria""),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IFERROR(__xludf.DUMMYFUNCTION("IF(
  AND(D319=""Saída"", J319=""Sangria""),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IFERROR(__xludf.DUMMYFUNCTION("IF(
  AND(D320=""Saída"", J320=""Sangria""),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  <c r="AC320" s="185"/>
      <c r="AD320" s="185"/>
      <c r="AE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IFERROR(__xludf.DUMMYFUNCTION("IF(
  AND(D321=""Saída"", J321=""Sangria""),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  <c r="AC321" s="185"/>
      <c r="AD321" s="185"/>
      <c r="AE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IFERROR(__xludf.DUMMYFUNCTION("IF(
  AND(D322=""Saída"", J322=""Sangria""),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IFERROR(__xludf.DUMMYFUNCTION("IF(
  AND(D323=""Saída"", J323=""Sangria""),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  <c r="AC323" s="185"/>
      <c r="AD323" s="185"/>
      <c r="AE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IFERROR(__xludf.DUMMYFUNCTION("IF(
  AND(D324=""Saída"", J324=""Sangria""),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  <c r="AC324" s="185"/>
      <c r="AD324" s="185"/>
      <c r="AE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IFERROR(__xludf.DUMMYFUNCTION("IF(
  AND(D325=""Saída"", J325=""Sangria""),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  <c r="AC325" s="185"/>
      <c r="AD325" s="185"/>
      <c r="AE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IFERROR(__xludf.DUMMYFUNCTION("IF(
  AND(D326=""Saída"", J326=""Sangria""),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IFERROR(__xludf.DUMMYFUNCTION("IF(
  AND(D327=""Saída"", J327=""Sangria""),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IFERROR(__xludf.DUMMYFUNCTION("IF(
  AND(D328=""Saída"", J328=""Sangria""),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IFERROR(__xludf.DUMMYFUNCTION("IF(
  AND(D329=""Saída"", J329=""Sangria""),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IFERROR(__xludf.DUMMYFUNCTION("IF(
  AND(D330=""Saída"", J330=""Sangria""),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  <c r="AB330" s="185"/>
      <c r="AC330" s="185"/>
      <c r="AD330" s="185"/>
      <c r="AE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IFERROR(__xludf.DUMMYFUNCTION("IF(
  AND(D331=""Saída"", J331=""Sangria""),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  <c r="AB331" s="185"/>
      <c r="AC331" s="185"/>
      <c r="AD331" s="185"/>
      <c r="AE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IFERROR(__xludf.DUMMYFUNCTION("IF(
  AND(D332=""Saída"", J332=""Sangria""),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  <c r="AB332" s="185"/>
      <c r="AC332" s="185"/>
      <c r="AD332" s="185"/>
      <c r="AE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IFERROR(__xludf.DUMMYFUNCTION("IF(
  AND(D333=""Saída"", J333=""Sangria""),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  <c r="AB333" s="185"/>
      <c r="AC333" s="185"/>
      <c r="AD333" s="185"/>
      <c r="AE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IFERROR(__xludf.DUMMYFUNCTION("IF(
  AND(D334=""Saída"", J334=""Sangria""),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  <c r="AB334" s="185"/>
      <c r="AC334" s="185"/>
      <c r="AD334" s="185"/>
      <c r="AE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IFERROR(__xludf.DUMMYFUNCTION("IF(
  AND(D335=""Saída"", J335=""Sangria""),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  <c r="AC335" s="185"/>
      <c r="AD335" s="185"/>
      <c r="AE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IFERROR(__xludf.DUMMYFUNCTION("IF(
  AND(D336=""Saída"", J336=""Sangria""),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IFERROR(__xludf.DUMMYFUNCTION("IF(
  AND(D337=""Saída"", J337=""Sangria""),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  <c r="AB337" s="185"/>
      <c r="AC337" s="185"/>
      <c r="AD337" s="185"/>
      <c r="AE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IFERROR(__xludf.DUMMYFUNCTION("IF(
  AND(D338=""Saída"", J338=""Sangria""),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IFERROR(__xludf.DUMMYFUNCTION("IF(
  AND(D339=""Saída"", J339=""Sangria""),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  <c r="AB339" s="185"/>
      <c r="AC339" s="185"/>
      <c r="AD339" s="185"/>
      <c r="AE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IFERROR(__xludf.DUMMYFUNCTION("IF(
  AND(D340=""Saída"", J340=""Sangria""),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  <c r="AB340" s="185"/>
      <c r="AC340" s="185"/>
      <c r="AD340" s="185"/>
      <c r="AE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IFERROR(__xludf.DUMMYFUNCTION("IF(
  AND(D341=""Saída"", J341=""Sangria""),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85"/>
      <c r="AC341" s="185"/>
      <c r="AD341" s="185"/>
      <c r="AE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IFERROR(__xludf.DUMMYFUNCTION("IF(
  AND(D342=""Saída"", J342=""Sangria""),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IFERROR(__xludf.DUMMYFUNCTION("IF(
  AND(D343=""Saída"", J343=""Sangria""),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  <c r="AC343" s="185"/>
      <c r="AD343" s="185"/>
      <c r="AE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IFERROR(__xludf.DUMMYFUNCTION("IF(
  AND(D344=""Saída"", J344=""Sangria""),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  <c r="AB344" s="185"/>
      <c r="AC344" s="185"/>
      <c r="AD344" s="185"/>
      <c r="AE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IFERROR(__xludf.DUMMYFUNCTION("IF(
  AND(D345=""Saída"", J345=""Sangria""),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  <c r="AB345" s="185"/>
      <c r="AC345" s="185"/>
      <c r="AD345" s="185"/>
      <c r="AE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IFERROR(__xludf.DUMMYFUNCTION("IF(
  AND(D346=""Saída"", J346=""Sangria""),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  <c r="AC346" s="185"/>
      <c r="AD346" s="185"/>
      <c r="AE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IFERROR(__xludf.DUMMYFUNCTION("IF(
  AND(D347=""Saída"", J347=""Sangria""),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  <c r="AB347" s="185"/>
      <c r="AC347" s="185"/>
      <c r="AD347" s="185"/>
      <c r="AE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IFERROR(__xludf.DUMMYFUNCTION("IF(
  AND(D348=""Saída"", J348=""Sangria""),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IFERROR(__xludf.DUMMYFUNCTION("IF(
  AND(D349=""Saída"", J349=""Sangria""),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  <c r="AC349" s="185"/>
      <c r="AD349" s="185"/>
      <c r="AE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IFERROR(__xludf.DUMMYFUNCTION("IF(
  AND(D350=""Saída"", J350=""Sangria""),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  <c r="AB350" s="185"/>
      <c r="AC350" s="185"/>
      <c r="AD350" s="185"/>
      <c r="AE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IFERROR(__xludf.DUMMYFUNCTION("IF(
  AND(D351=""Saída"", J351=""Sangria""),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IFERROR(__xludf.DUMMYFUNCTION("IF(
  AND(D352=""Saída"", J352=""Sangria""),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  <c r="AB352" s="185"/>
      <c r="AC352" s="185"/>
      <c r="AD352" s="185"/>
      <c r="AE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IFERROR(__xludf.DUMMYFUNCTION("IF(
  AND(D353=""Saída"", J353=""Sangria""),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  <c r="AB353" s="185"/>
      <c r="AC353" s="185"/>
      <c r="AD353" s="185"/>
      <c r="AE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IFERROR(__xludf.DUMMYFUNCTION("IF(
  AND(D354=""Saída"", J354=""Sangria""),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  <c r="AB354" s="185"/>
      <c r="AC354" s="185"/>
      <c r="AD354" s="185"/>
      <c r="AE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IFERROR(__xludf.DUMMYFUNCTION("IF(
  AND(D355=""Saída"", J355=""Sangria""),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  <c r="AC355" s="185"/>
      <c r="AD355" s="185"/>
      <c r="AE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IFERROR(__xludf.DUMMYFUNCTION("IF(
  AND(D356=""Saída"", J356=""Sangria""),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  <c r="AC356" s="185"/>
      <c r="AD356" s="185"/>
      <c r="AE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IFERROR(__xludf.DUMMYFUNCTION("IF(
  AND(D357=""Saída"", J357=""Sangria""),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  <c r="AC357" s="185"/>
      <c r="AD357" s="185"/>
      <c r="AE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IFERROR(__xludf.DUMMYFUNCTION("IF(
  AND(D358=""Saída"", J358=""Sangria""),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  <c r="AB358" s="185"/>
      <c r="AC358" s="185"/>
      <c r="AD358" s="185"/>
      <c r="AE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IFERROR(__xludf.DUMMYFUNCTION("IF(
  AND(D359=""Saída"", J359=""Sangria""),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  <c r="AB359" s="185"/>
      <c r="AC359" s="185"/>
      <c r="AD359" s="185"/>
      <c r="AE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IFERROR(__xludf.DUMMYFUNCTION("IF(
  AND(D360=""Saída"", J360=""Sangria""),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  <c r="AC360" s="185"/>
      <c r="AD360" s="185"/>
      <c r="AE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IFERROR(__xludf.DUMMYFUNCTION("IF(
  AND(D361=""Saída"", J361=""Sangria""),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  <c r="AC361" s="185"/>
      <c r="AD361" s="185"/>
      <c r="AE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IFERROR(__xludf.DUMMYFUNCTION("IF(
  AND(D362=""Saída"", J362=""Sangria""),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IFERROR(__xludf.DUMMYFUNCTION("IF(
  AND(D363=""Saída"", J363=""Sangria""),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  <c r="AB363" s="185"/>
      <c r="AC363" s="185"/>
      <c r="AD363" s="185"/>
      <c r="AE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IFERROR(__xludf.DUMMYFUNCTION("IF(
  AND(D364=""Saída"", J364=""Sangria""),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  <c r="AC364" s="185"/>
      <c r="AD364" s="185"/>
      <c r="AE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IFERROR(__xludf.DUMMYFUNCTION("IF(
  AND(D365=""Saída"", J365=""Sangria""),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  <c r="AC365" s="185"/>
      <c r="AD365" s="185"/>
      <c r="AE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IFERROR(__xludf.DUMMYFUNCTION("IF(
  AND(D366=""Saída"", J366=""Sangria""),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IFERROR(__xludf.DUMMYFUNCTION("IF(
  AND(D367=""Saída"", J367=""Sangria""),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IFERROR(__xludf.DUMMYFUNCTION("IF(
  AND(D368=""Saída"", J368=""Sangria""),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  <c r="AB368" s="185"/>
      <c r="AC368" s="185"/>
      <c r="AD368" s="185"/>
      <c r="AE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IFERROR(__xludf.DUMMYFUNCTION("IF(
  AND(D369=""Saída"", J369=""Sangria""),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  <c r="AC369" s="185"/>
      <c r="AD369" s="185"/>
      <c r="AE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IFERROR(__xludf.DUMMYFUNCTION("IF(
  AND(D370=""Saída"", J370=""Sangria""),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  <c r="AB370" s="185"/>
      <c r="AC370" s="185"/>
      <c r="AD370" s="185"/>
      <c r="AE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IFERROR(__xludf.DUMMYFUNCTION("IF(
  AND(D371=""Saída"", J371=""Sangria""),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  <c r="AB371" s="185"/>
      <c r="AC371" s="185"/>
      <c r="AD371" s="185"/>
      <c r="AE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IFERROR(__xludf.DUMMYFUNCTION("IF(
  AND(D372=""Saída"", J372=""Sangria""),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  <c r="AB372" s="185"/>
      <c r="AC372" s="185"/>
      <c r="AD372" s="185"/>
      <c r="AE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IFERROR(__xludf.DUMMYFUNCTION("IF(
  AND(D373=""Saída"", J373=""Sangria""),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  <c r="AC373" s="185"/>
      <c r="AD373" s="185"/>
      <c r="AE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IFERROR(__xludf.DUMMYFUNCTION("IF(
  AND(D374=""Saída"", J374=""Sangria""),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  <c r="AB374" s="185"/>
      <c r="AC374" s="185"/>
      <c r="AD374" s="185"/>
      <c r="AE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IFERROR(__xludf.DUMMYFUNCTION("IF(
  AND(D375=""Saída"", J375=""Sangria""),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  <c r="AB375" s="185"/>
      <c r="AC375" s="185"/>
      <c r="AD375" s="185"/>
      <c r="AE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IFERROR(__xludf.DUMMYFUNCTION("IF(
  AND(D376=""Saída"", J376=""Sangria""),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  <c r="AC376" s="185"/>
      <c r="AD376" s="185"/>
      <c r="AE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IFERROR(__xludf.DUMMYFUNCTION("IF(
  AND(D377=""Saída"", J377=""Sangria""),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  <c r="AB377" s="185"/>
      <c r="AC377" s="185"/>
      <c r="AD377" s="185"/>
      <c r="AE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IFERROR(__xludf.DUMMYFUNCTION("IF(
  AND(D378=""Saída"", J378=""Sangria""),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185"/>
      <c r="AE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IFERROR(__xludf.DUMMYFUNCTION("IF(
  AND(D379=""Saída"", J379=""Sangria""),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  <c r="AC379" s="185"/>
      <c r="AD379" s="185"/>
      <c r="AE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IFERROR(__xludf.DUMMYFUNCTION("IF(
  AND(D380=""Saída"", J380=""Sangria""),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  <c r="AC380" s="185"/>
      <c r="AD380" s="185"/>
      <c r="AE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IFERROR(__xludf.DUMMYFUNCTION("IF(
  AND(D381=""Saída"", J381=""Sangria""),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  <c r="AC381" s="185"/>
      <c r="AD381" s="185"/>
      <c r="AE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IFERROR(__xludf.DUMMYFUNCTION("IF(
  AND(D382=""Saída"", J382=""Sangria""),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IFERROR(__xludf.DUMMYFUNCTION("IF(
  AND(D383=""Saída"", J383=""Sangria""),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IFERROR(__xludf.DUMMYFUNCTION("IF(
  AND(D384=""Saída"", J384=""Sangria""),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  <c r="AB384" s="185"/>
      <c r="AC384" s="185"/>
      <c r="AD384" s="185"/>
      <c r="AE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IFERROR(__xludf.DUMMYFUNCTION("IF(
  AND(D385=""Saída"", J385=""Sangria""),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  <c r="AB385" s="185"/>
      <c r="AC385" s="185"/>
      <c r="AD385" s="185"/>
      <c r="AE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IFERROR(__xludf.DUMMYFUNCTION("IF(
  AND(D386=""Saída"", J386=""Sangria""),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  <c r="AC386" s="185"/>
      <c r="AD386" s="185"/>
      <c r="AE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IFERROR(__xludf.DUMMYFUNCTION("IF(
  AND(D387=""Saída"", J387=""Sangria""),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IFERROR(__xludf.DUMMYFUNCTION("IF(
  AND(D388=""Saída"", J388=""Sangria""),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  <c r="AB388" s="185"/>
      <c r="AC388" s="185"/>
      <c r="AD388" s="185"/>
      <c r="AE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IFERROR(__xludf.DUMMYFUNCTION("IF(
  AND(D389=""Saída"", J389=""Sangria""),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  <c r="AC389" s="185"/>
      <c r="AD389" s="185"/>
      <c r="AE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IFERROR(__xludf.DUMMYFUNCTION("IF(
  AND(D390=""Saída"", J390=""Sangria""),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  <c r="AB390" s="185"/>
      <c r="AC390" s="185"/>
      <c r="AD390" s="185"/>
      <c r="AE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IFERROR(__xludf.DUMMYFUNCTION("IF(
  AND(D391=""Saída"", J391=""Sangria""),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  <c r="AB391" s="185"/>
      <c r="AC391" s="185"/>
      <c r="AD391" s="185"/>
      <c r="AE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IFERROR(__xludf.DUMMYFUNCTION("IF(
  AND(D392=""Saída"", J392=""Sangria""),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  <c r="AB392" s="185"/>
      <c r="AC392" s="185"/>
      <c r="AD392" s="185"/>
      <c r="AE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IFERROR(__xludf.DUMMYFUNCTION("IF(
  AND(D393=""Saída"", J393=""Sangria""),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  <c r="AC393" s="185"/>
      <c r="AD393" s="185"/>
      <c r="AE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IFERROR(__xludf.DUMMYFUNCTION("IF(
  AND(D394=""Saída"", J394=""Sangria""),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IFERROR(__xludf.DUMMYFUNCTION("IF(
  AND(D395=""Saída"", J395=""Sangria""),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IFERROR(__xludf.DUMMYFUNCTION("IF(
  AND(D396=""Saída"", J396=""Sangria""),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  <c r="AB396" s="185"/>
      <c r="AC396" s="185"/>
      <c r="AD396" s="185"/>
      <c r="AE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IFERROR(__xludf.DUMMYFUNCTION("IF(
  AND(D397=""Saída"", J397=""Sangria""),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  <c r="AB397" s="185"/>
      <c r="AC397" s="185"/>
      <c r="AD397" s="185"/>
      <c r="AE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IFERROR(__xludf.DUMMYFUNCTION("IF(
  AND(D398=""Saída"", J398=""Sangria""),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  <c r="AC398" s="185"/>
      <c r="AD398" s="185"/>
      <c r="AE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IFERROR(__xludf.DUMMYFUNCTION("IF(
  AND(D399=""Saída"", J399=""Sangria""),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IFERROR(__xludf.DUMMYFUNCTION("IF(
  AND(D400=""Saída"", J400=""Sangria""),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IFERROR(__xludf.DUMMYFUNCTION("IF(
  AND(D401=""Saída"", J401=""Sangria""),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  <c r="AB401" s="185"/>
      <c r="AC401" s="185"/>
      <c r="AD401" s="185"/>
      <c r="AE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IFERROR(__xludf.DUMMYFUNCTION("IF(
  AND(D402=""Saída"", J402=""Sangria""),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  <c r="AB402" s="185"/>
      <c r="AC402" s="185"/>
      <c r="AD402" s="185"/>
      <c r="AE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IFERROR(__xludf.DUMMYFUNCTION("IF(
  AND(D403=""Saída"", J403=""Sangria""),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IFERROR(__xludf.DUMMYFUNCTION("IF(
  AND(D404=""Saída"", J404=""Sangria""),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  <c r="AC404" s="185"/>
      <c r="AD404" s="185"/>
      <c r="AE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IFERROR(__xludf.DUMMYFUNCTION("IF(
  AND(D405=""Saída"", J405=""Sangria""),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  <c r="AB405" s="185"/>
      <c r="AC405" s="185"/>
      <c r="AD405" s="185"/>
      <c r="AE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IFERROR(__xludf.DUMMYFUNCTION("IF(
  AND(D406=""Saída"", J406=""Sangria""),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  <c r="AB406" s="185"/>
      <c r="AC406" s="185"/>
      <c r="AD406" s="185"/>
      <c r="AE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IFERROR(__xludf.DUMMYFUNCTION("IF(
  AND(D407=""Saída"", J407=""Sangria""),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  <c r="AC407" s="185"/>
      <c r="AD407" s="185"/>
      <c r="AE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IFERROR(__xludf.DUMMYFUNCTION("IF(
  AND(D408=""Saída"", J408=""Sangria""),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85"/>
      <c r="AC408" s="185"/>
      <c r="AD408" s="185"/>
      <c r="AE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IFERROR(__xludf.DUMMYFUNCTION("IF(
  AND(D409=""Saída"", J409=""Sangria""),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  <c r="AB409" s="185"/>
      <c r="AC409" s="185"/>
      <c r="AD409" s="185"/>
      <c r="AE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IFERROR(__xludf.DUMMYFUNCTION("IF(
  AND(D410=""Saída"", J410=""Sangria""),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  <c r="AB410" s="185"/>
      <c r="AC410" s="185"/>
      <c r="AD410" s="185"/>
      <c r="AE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IFERROR(__xludf.DUMMYFUNCTION("IF(
  AND(D411=""Saída"", J411=""Sangria""),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  <c r="AB411" s="185"/>
      <c r="AC411" s="185"/>
      <c r="AD411" s="185"/>
      <c r="AE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IFERROR(__xludf.DUMMYFUNCTION("IF(
  AND(D412=""Saída"", J412=""Sangria""),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  <c r="AC412" s="185"/>
      <c r="AD412" s="185"/>
      <c r="AE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IFERROR(__xludf.DUMMYFUNCTION("IF(
  AND(D413=""Saída"", J413=""Sangria""),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  <c r="AB413" s="185"/>
      <c r="AC413" s="185"/>
      <c r="AD413" s="185"/>
      <c r="AE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IFERROR(__xludf.DUMMYFUNCTION("IF(
  AND(D414=""Saída"", J414=""Sangria""),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  <c r="AB414" s="185"/>
      <c r="AC414" s="185"/>
      <c r="AD414" s="185"/>
      <c r="AE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IFERROR(__xludf.DUMMYFUNCTION("IF(
  AND(D415=""Saída"", J415=""Sangria""),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  <c r="AC415" s="185"/>
      <c r="AD415" s="185"/>
      <c r="AE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IFERROR(__xludf.DUMMYFUNCTION("IF(
  AND(D416=""Saída"", J416=""Sangria""),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  <c r="AB416" s="185"/>
      <c r="AC416" s="185"/>
      <c r="AD416" s="185"/>
      <c r="AE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IFERROR(__xludf.DUMMYFUNCTION("IF(
  AND(D417=""Saída"", J417=""Sangria""),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  <c r="AB417" s="185"/>
      <c r="AC417" s="185"/>
      <c r="AD417" s="185"/>
      <c r="AE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IFERROR(__xludf.DUMMYFUNCTION("IF(
  AND(D418=""Saída"", J418=""Sangria""),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IFERROR(__xludf.DUMMYFUNCTION("IF(
  AND(D419=""Saída"", J419=""Sangria""),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  <c r="AB419" s="185"/>
      <c r="AC419" s="185"/>
      <c r="AD419" s="185"/>
      <c r="AE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IFERROR(__xludf.DUMMYFUNCTION("IF(
  AND(D420=""Saída"", J420=""Sangria""),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  <c r="AB420" s="185"/>
      <c r="AC420" s="185"/>
      <c r="AD420" s="185"/>
      <c r="AE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IFERROR(__xludf.DUMMYFUNCTION("IF(
  AND(D421=""Saída"", J421=""Sangria""),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  <c r="AB421" s="185"/>
      <c r="AC421" s="185"/>
      <c r="AD421" s="185"/>
      <c r="AE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IFERROR(__xludf.DUMMYFUNCTION("IF(
  AND(D422=""Saída"", J422=""Sangria""),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IFERROR(__xludf.DUMMYFUNCTION("IF(
  AND(D423=""Saída"", J423=""Sangria""),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85"/>
      <c r="AC423" s="185"/>
      <c r="AD423" s="185"/>
      <c r="AE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IFERROR(__xludf.DUMMYFUNCTION("IF(
  AND(D424=""Saída"", J424=""Sangria""),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IFERROR(__xludf.DUMMYFUNCTION("IF(
  AND(D425=""Saída"", J425=""Sangria""),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  <c r="AB425" s="185"/>
      <c r="AC425" s="185"/>
      <c r="AD425" s="185"/>
      <c r="AE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IFERROR(__xludf.DUMMYFUNCTION("IF(
  AND(D426=""Saída"", J426=""Sangria""),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  <c r="AC426" s="185"/>
      <c r="AD426" s="185"/>
      <c r="AE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IFERROR(__xludf.DUMMYFUNCTION("IF(
  AND(D427=""Saída"", J427=""Sangria""),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  <c r="AB427" s="185"/>
      <c r="AC427" s="185"/>
      <c r="AD427" s="185"/>
      <c r="AE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IFERROR(__xludf.DUMMYFUNCTION("IF(
  AND(D428=""Saída"", J428=""Sangria""),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  <c r="AC428" s="185"/>
      <c r="AD428" s="185"/>
      <c r="AE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IFERROR(__xludf.DUMMYFUNCTION("IF(
  AND(D429=""Saída"", J429=""Sangria""),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85"/>
      <c r="AC429" s="185"/>
      <c r="AD429" s="185"/>
      <c r="AE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IFERROR(__xludf.DUMMYFUNCTION("IF(
  AND(D430=""Saída"", J430=""Sangria""),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  <c r="AB430" s="185"/>
      <c r="AC430" s="185"/>
      <c r="AD430" s="185"/>
      <c r="AE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IFERROR(__xludf.DUMMYFUNCTION("IF(
  AND(D431=""Saída"", J431=""Sangria""),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  <c r="AB431" s="185"/>
      <c r="AC431" s="185"/>
      <c r="AD431" s="185"/>
      <c r="AE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IFERROR(__xludf.DUMMYFUNCTION("IF(
  AND(D432=""Saída"", J432=""Sangria""),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  <c r="AB432" s="185"/>
      <c r="AC432" s="185"/>
      <c r="AD432" s="185"/>
      <c r="AE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IFERROR(__xludf.DUMMYFUNCTION("IF(
  AND(D433=""Saída"", J433=""Sangria""),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  <c r="AB433" s="185"/>
      <c r="AC433" s="185"/>
      <c r="AD433" s="185"/>
      <c r="AE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IFERROR(__xludf.DUMMYFUNCTION("IF(
  AND(D434=""Saída"", J434=""Sangria""),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  <c r="AB434" s="185"/>
      <c r="AC434" s="185"/>
      <c r="AD434" s="185"/>
      <c r="AE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IFERROR(__xludf.DUMMYFUNCTION("IF(
  AND(D435=""Saída"", J435=""Sangria""),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  <c r="AB435" s="185"/>
      <c r="AC435" s="185"/>
      <c r="AD435" s="185"/>
      <c r="AE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IFERROR(__xludf.DUMMYFUNCTION("IF(
  AND(D436=""Saída"", J436=""Sangria""),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  <c r="AB436" s="185"/>
      <c r="AC436" s="185"/>
      <c r="AD436" s="185"/>
      <c r="AE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IFERROR(__xludf.DUMMYFUNCTION("IF(
  AND(D437=""Saída"", J437=""Sangria""),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  <c r="AB437" s="185"/>
      <c r="AC437" s="185"/>
      <c r="AD437" s="185"/>
      <c r="AE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IFERROR(__xludf.DUMMYFUNCTION("IF(
  AND(D438=""Saída"", J438=""Sangria""),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  <c r="AC438" s="185"/>
      <c r="AD438" s="185"/>
      <c r="AE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IFERROR(__xludf.DUMMYFUNCTION("IF(
  AND(D439=""Saída"", J439=""Sangria""),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85"/>
      <c r="AC439" s="185"/>
      <c r="AD439" s="185"/>
      <c r="AE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IFERROR(__xludf.DUMMYFUNCTION("IF(
  AND(D440=""Saída"", J440=""Sangria""),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  <c r="AB440" s="185"/>
      <c r="AC440" s="185"/>
      <c r="AD440" s="185"/>
      <c r="AE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IFERROR(__xludf.DUMMYFUNCTION("IF(
  AND(D441=""Saída"", J441=""Sangria""),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  <c r="AB441" s="185"/>
      <c r="AC441" s="185"/>
      <c r="AD441" s="185"/>
      <c r="AE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IFERROR(__xludf.DUMMYFUNCTION("IF(
  AND(D442=""Saída"", J442=""Sangria""),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  <c r="AB442" s="185"/>
      <c r="AC442" s="185"/>
      <c r="AD442" s="185"/>
      <c r="AE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IFERROR(__xludf.DUMMYFUNCTION("IF(
  AND(D443=""Saída"", J443=""Sangria""),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  <c r="AB443" s="185"/>
      <c r="AC443" s="185"/>
      <c r="AD443" s="185"/>
      <c r="AE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IFERROR(__xludf.DUMMYFUNCTION("IF(
  AND(D444=""Saída"", J444=""Sangria""),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  <c r="AB444" s="185"/>
      <c r="AC444" s="185"/>
      <c r="AD444" s="185"/>
      <c r="AE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IFERROR(__xludf.DUMMYFUNCTION("IF(
  AND(D445=""Saída"", J445=""Sangria""),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  <c r="AB445" s="185"/>
      <c r="AC445" s="185"/>
      <c r="AD445" s="185"/>
      <c r="AE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IFERROR(__xludf.DUMMYFUNCTION("IF(
  AND(D446=""Saída"", J446=""Sangria""),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  <c r="AC446" s="185"/>
      <c r="AD446" s="185"/>
      <c r="AE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IFERROR(__xludf.DUMMYFUNCTION("IF(
  AND(D447=""Saída"", J447=""Sangria""),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  <c r="AB447" s="185"/>
      <c r="AC447" s="185"/>
      <c r="AD447" s="185"/>
      <c r="AE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IFERROR(__xludf.DUMMYFUNCTION("IF(
  AND(D448=""Saída"", J448=""Sangria""),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  <c r="AC448" s="185"/>
      <c r="AD448" s="185"/>
      <c r="AE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IFERROR(__xludf.DUMMYFUNCTION("IF(
  AND(D449=""Saída"", J449=""Sangria""),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  <c r="AB449" s="185"/>
      <c r="AC449" s="185"/>
      <c r="AD449" s="185"/>
      <c r="AE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IFERROR(__xludf.DUMMYFUNCTION("IF(
  AND(D450=""Saída"", J450=""Sangria""),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IFERROR(__xludf.DUMMYFUNCTION("IF(
  AND(D451=""Saída"", J451=""Sangria""),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  <c r="AB451" s="185"/>
      <c r="AC451" s="185"/>
      <c r="AD451" s="185"/>
      <c r="AE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IFERROR(__xludf.DUMMYFUNCTION("IF(
  AND(D452=""Saída"", J452=""Sangria""),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  <c r="AB452" s="185"/>
      <c r="AC452" s="185"/>
      <c r="AD452" s="185"/>
      <c r="AE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IFERROR(__xludf.DUMMYFUNCTION("IF(
  AND(D453=""Saída"", J453=""Sangria""),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  <c r="AB453" s="185"/>
      <c r="AC453" s="185"/>
      <c r="AD453" s="185"/>
      <c r="AE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IFERROR(__xludf.DUMMYFUNCTION("IF(
  AND(D454=""Saída"", J454=""Sangria""),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  <c r="AB454" s="185"/>
      <c r="AC454" s="185"/>
      <c r="AD454" s="185"/>
      <c r="AE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IFERROR(__xludf.DUMMYFUNCTION("IF(
  AND(D455=""Saída"", J455=""Sangria""),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  <c r="AB455" s="185"/>
      <c r="AC455" s="185"/>
      <c r="AD455" s="185"/>
      <c r="AE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IFERROR(__xludf.DUMMYFUNCTION("IF(
  AND(D456=""Saída"", J456=""Sangria""),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  <c r="AC456" s="185"/>
      <c r="AD456" s="185"/>
      <c r="AE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IFERROR(__xludf.DUMMYFUNCTION("IF(
  AND(D457=""Saída"", J457=""Sangria""),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85"/>
      <c r="AC457" s="185"/>
      <c r="AD457" s="185"/>
      <c r="AE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IFERROR(__xludf.DUMMYFUNCTION("IF(
  AND(D458=""Saída"", J458=""Sangria""),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  <c r="AB458" s="185"/>
      <c r="AC458" s="185"/>
      <c r="AD458" s="185"/>
      <c r="AE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IFERROR(__xludf.DUMMYFUNCTION("IF(
  AND(D459=""Saída"", J459=""Sangria""),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  <c r="AB459" s="185"/>
      <c r="AC459" s="185"/>
      <c r="AD459" s="185"/>
      <c r="AE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IFERROR(__xludf.DUMMYFUNCTION("IF(
  AND(D460=""Saída"", J460=""Sangria""),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  <c r="AC460" s="185"/>
      <c r="AD460" s="185"/>
      <c r="AE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IFERROR(__xludf.DUMMYFUNCTION("IF(
  AND(D461=""Saída"", J461=""Sangria""),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  <c r="AB461" s="185"/>
      <c r="AC461" s="185"/>
      <c r="AD461" s="185"/>
      <c r="AE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IFERROR(__xludf.DUMMYFUNCTION("IF(
  AND(D462=""Saída"", J462=""Sangria""),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  <c r="AB462" s="185"/>
      <c r="AC462" s="185"/>
      <c r="AD462" s="185"/>
      <c r="AE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IFERROR(__xludf.DUMMYFUNCTION("IF(
  AND(D463=""Saída"", J463=""Sangria""),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  <c r="AB463" s="185"/>
      <c r="AC463" s="185"/>
      <c r="AD463" s="185"/>
      <c r="AE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IFERROR(__xludf.DUMMYFUNCTION("IF(
  AND(D464=""Saída"", J464=""Sangria""),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IFERROR(__xludf.DUMMYFUNCTION("IF(
  AND(D465=""Saída"", J465=""Sangria""),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  <c r="AB465" s="185"/>
      <c r="AC465" s="185"/>
      <c r="AD465" s="185"/>
      <c r="AE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IFERROR(__xludf.DUMMYFUNCTION("IF(
  AND(D466=""Saída"", J466=""Sangria""),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85"/>
      <c r="AC466" s="185"/>
      <c r="AD466" s="185"/>
      <c r="AE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IFERROR(__xludf.DUMMYFUNCTION("IF(
  AND(D467=""Saída"", J467=""Sangria""),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  <c r="AB467" s="185"/>
      <c r="AC467" s="185"/>
      <c r="AD467" s="185"/>
      <c r="AE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IFERROR(__xludf.DUMMYFUNCTION("IF(
  AND(D468=""Saída"", J468=""Sangria""),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  <c r="AB468" s="185"/>
      <c r="AC468" s="185"/>
      <c r="AD468" s="185"/>
      <c r="AE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IFERROR(__xludf.DUMMYFUNCTION("IF(
  AND(D469=""Saída"", J469=""Sangria""),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  <c r="AC469" s="185"/>
      <c r="AD469" s="185"/>
      <c r="AE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IFERROR(__xludf.DUMMYFUNCTION("IF(
  AND(D470=""Saída"", J470=""Sangria""),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  <c r="AB470" s="185"/>
      <c r="AC470" s="185"/>
      <c r="AD470" s="185"/>
      <c r="AE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IFERROR(__xludf.DUMMYFUNCTION("IF(
  AND(D471=""Saída"", J471=""Sangria""),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  <c r="AB471" s="185"/>
      <c r="AC471" s="185"/>
      <c r="AD471" s="185"/>
      <c r="AE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IFERROR(__xludf.DUMMYFUNCTION("IF(
  AND(D472=""Saída"", J472=""Sangria""),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  <c r="AB472" s="185"/>
      <c r="AC472" s="185"/>
      <c r="AD472" s="185"/>
      <c r="AE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IFERROR(__xludf.DUMMYFUNCTION("IF(
  AND(D473=""Saída"", J473=""Sangria""),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  <c r="AB473" s="185"/>
      <c r="AC473" s="185"/>
      <c r="AD473" s="185"/>
      <c r="AE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IFERROR(__xludf.DUMMYFUNCTION("IF(
  AND(D474=""Saída"", J474=""Sangria""),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  <c r="AB474" s="185"/>
      <c r="AC474" s="185"/>
      <c r="AD474" s="185"/>
      <c r="AE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IFERROR(__xludf.DUMMYFUNCTION("IF(
  AND(D475=""Saída"", J475=""Sangria""),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  <c r="AC475" s="185"/>
      <c r="AD475" s="185"/>
      <c r="AE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IFERROR(__xludf.DUMMYFUNCTION("IF(
  AND(D476=""Saída"", J476=""Sangria""),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  <c r="AB476" s="185"/>
      <c r="AC476" s="185"/>
      <c r="AD476" s="185"/>
      <c r="AE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IFERROR(__xludf.DUMMYFUNCTION("IF(
  AND(D477=""Saída"", J477=""Sangria""),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  <c r="AB477" s="185"/>
      <c r="AC477" s="185"/>
      <c r="AD477" s="185"/>
      <c r="AE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IFERROR(__xludf.DUMMYFUNCTION("IF(
  AND(D478=""Saída"", J478=""Sangria""),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  <c r="AC478" s="185"/>
      <c r="AD478" s="185"/>
      <c r="AE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IFERROR(__xludf.DUMMYFUNCTION("IF(
  AND(D479=""Saída"", J479=""Sangria""),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  <c r="AB479" s="185"/>
      <c r="AC479" s="185"/>
      <c r="AD479" s="185"/>
      <c r="AE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IFERROR(__xludf.DUMMYFUNCTION("IF(
  AND(D480=""Saída"", J480=""Sangria""),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  <c r="AC480" s="185"/>
      <c r="AD480" s="185"/>
      <c r="AE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IFERROR(__xludf.DUMMYFUNCTION("IF(
  AND(D481=""Saída"", J481=""Sangria""),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IFERROR(__xludf.DUMMYFUNCTION("IF(
  AND(D482=""Saída"", J482=""Sangria""),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  <c r="AC482" s="185"/>
      <c r="AD482" s="185"/>
      <c r="AE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IFERROR(__xludf.DUMMYFUNCTION("IF(
  AND(D483=""Saída"", J483=""Sangria""),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  <c r="AB483" s="185"/>
      <c r="AC483" s="185"/>
      <c r="AD483" s="185"/>
      <c r="AE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IFERROR(__xludf.DUMMYFUNCTION("IF(
  AND(D484=""Saída"", J484=""Sangria""),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  <c r="AC484" s="185"/>
      <c r="AD484" s="185"/>
      <c r="AE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IFERROR(__xludf.DUMMYFUNCTION("IF(
  AND(D485=""Saída"", J485=""Sangria""),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  <c r="AC485" s="185"/>
      <c r="AD485" s="185"/>
      <c r="AE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IFERROR(__xludf.DUMMYFUNCTION("IF(
  AND(D486=""Saída"", J486=""Sangria""),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  <c r="AB486" s="185"/>
      <c r="AC486" s="185"/>
      <c r="AD486" s="185"/>
      <c r="AE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IFERROR(__xludf.DUMMYFUNCTION("IF(
  AND(D487=""Saída"", J487=""Sangria""),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  <c r="AB487" s="185"/>
      <c r="AC487" s="185"/>
      <c r="AD487" s="185"/>
      <c r="AE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IFERROR(__xludf.DUMMYFUNCTION("IF(
  AND(D488=""Saída"", J488=""Sangria""),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  <c r="AB488" s="185"/>
      <c r="AC488" s="185"/>
      <c r="AD488" s="185"/>
      <c r="AE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IFERROR(__xludf.DUMMYFUNCTION("IF(
  AND(D489=""Saída"", J489=""Sangria""),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IFERROR(__xludf.DUMMYFUNCTION("IF(
  AND(D490=""Saída"", J490=""Sangria""),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  <c r="AB490" s="185"/>
      <c r="AC490" s="185"/>
      <c r="AD490" s="185"/>
      <c r="AE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IFERROR(__xludf.DUMMYFUNCTION("IF(
  AND(D491=""Saída"", J491=""Sangria""),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  <c r="AB491" s="185"/>
      <c r="AC491" s="185"/>
      <c r="AD491" s="185"/>
      <c r="AE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IFERROR(__xludf.DUMMYFUNCTION("IF(
  AND(D492=""Saída"", J492=""Sangria""),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  <c r="AB492" s="185"/>
      <c r="AC492" s="185"/>
      <c r="AD492" s="185"/>
      <c r="AE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IFERROR(__xludf.DUMMYFUNCTION("IF(
  AND(D493=""Saída"", J493=""Sangria""),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85"/>
      <c r="AC493" s="185"/>
      <c r="AD493" s="185"/>
      <c r="AE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IFERROR(__xludf.DUMMYFUNCTION("IF(
  AND(D494=""Saída"", J494=""Sangria""),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  <c r="AB494" s="185"/>
      <c r="AC494" s="185"/>
      <c r="AD494" s="185"/>
      <c r="AE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IFERROR(__xludf.DUMMYFUNCTION("IF(
  AND(D495=""Saída"", J495=""Sangria""),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  <c r="AB495" s="185"/>
      <c r="AC495" s="185"/>
      <c r="AD495" s="185"/>
      <c r="AE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IFERROR(__xludf.DUMMYFUNCTION("IF(
  AND(D496=""Saída"", J496=""Sangria""),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  <c r="AB496" s="185"/>
      <c r="AC496" s="185"/>
      <c r="AD496" s="185"/>
      <c r="AE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IFERROR(__xludf.DUMMYFUNCTION("IF(
  AND(D497=""Saída"", J497=""Sangria""),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  <c r="AC497" s="185"/>
      <c r="AD497" s="185"/>
      <c r="AE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IFERROR(__xludf.DUMMYFUNCTION("IF(
  AND(D498=""Saída"", J498=""Sangria""),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  <c r="AC498" s="185"/>
      <c r="AD498" s="185"/>
      <c r="AE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IFERROR(__xludf.DUMMYFUNCTION("IF(
  AND(D499=""Saída"", J499=""Sangria""),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  <c r="AB499" s="185"/>
      <c r="AC499" s="185"/>
      <c r="AD499" s="185"/>
      <c r="AE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IFERROR(__xludf.DUMMYFUNCTION("IF(
  AND(D500=""Saída"", J500=""Sangria""),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  <c r="AB500" s="185"/>
      <c r="AC500" s="185"/>
      <c r="AD500" s="185"/>
      <c r="AE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IFERROR(__xludf.DUMMYFUNCTION("IF(
  AND(D501=""Saída"", J501=""Sangria""),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  <c r="AB501" s="185"/>
      <c r="AC501" s="185"/>
      <c r="AD501" s="185"/>
      <c r="AE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IFERROR(__xludf.DUMMYFUNCTION("IF(
  AND(D502=""Saída"", J502=""Sangria""),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IFERROR(__xludf.DUMMYFUNCTION("IF(
  AND(D503=""Saída"", J503=""Sangria""),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IFERROR(__xludf.DUMMYFUNCTION("IF(
  AND(D504=""Saída"", J504=""Sangria""),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252" t="str">
        <f>IFERROR(__xludf.DUMMYFUNCTION("IF(
  AND(D505=""Saída"", J505=""Sangria""),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252" t="str">
        <f>IFERROR(__xludf.DUMMYFUNCTION("IF(
  AND(D506=""Saída"", J506=""Sangria""),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7" t="str">
        <f>IFERROR(__xludf.DUMMYFUNCTION("IF(
  AND(D507=""Saída"", J507=""Sangria""),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/>
    </row>
  </sheetData>
  <mergeCells count="99"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33:U133"/>
    <mergeCell ref="S134:U134"/>
    <mergeCell ref="S135:U135"/>
    <mergeCell ref="S136:U136"/>
    <mergeCell ref="S126:U126"/>
    <mergeCell ref="S127:U127"/>
    <mergeCell ref="S128:U128"/>
    <mergeCell ref="S129:U129"/>
    <mergeCell ref="S130:U130"/>
    <mergeCell ref="S131:U131"/>
    <mergeCell ref="S132:U132"/>
    <mergeCell ref="T3:W3"/>
    <mergeCell ref="X3:AA3"/>
    <mergeCell ref="AB3:AE3"/>
    <mergeCell ref="A2:L2"/>
    <mergeCell ref="O2:W2"/>
    <mergeCell ref="A3:B3"/>
    <mergeCell ref="C3:D3"/>
    <mergeCell ref="E3:F3"/>
    <mergeCell ref="G3:H3"/>
    <mergeCell ref="I3:J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C19:D19"/>
    <mergeCell ref="E19:F19"/>
    <mergeCell ref="K18:L18"/>
    <mergeCell ref="K19:L19"/>
    <mergeCell ref="I22:J22"/>
    <mergeCell ref="O39:R39"/>
    <mergeCell ref="T39:W39"/>
    <mergeCell ref="O61:T62"/>
    <mergeCell ref="S63:T63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507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E36:E507">
    <cfRule type="containsText" dxfId="9" priority="19" operator="containsText" text="R$">
      <formula>NOT(ISERROR(SEARCH(("R$"),(E36))))</formula>
    </cfRule>
  </conditionalFormatting>
  <conditionalFormatting sqref="K36:K507">
    <cfRule type="expression" dxfId="10" priority="20">
      <formula>or($J$29:$J$218="Compra Moedas",$J$29:$J$218="Cortesias",$J$29:$J$218="Troco")</formula>
    </cfRule>
  </conditionalFormatting>
  <conditionalFormatting sqref="K36:K507">
    <cfRule type="expression" dxfId="11" priority="21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2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3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4">
      <formula>LEN(TRIM(I43))&gt;0</formula>
    </cfRule>
  </conditionalFormatting>
  <conditionalFormatting sqref="I36:I507">
    <cfRule type="expression" dxfId="8" priority="25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6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27">
      <formula>and($C$29:$C$218="",or($D$29:$D$218="Entrada",$D$29:$D$218="Saída"))</formula>
    </cfRule>
  </conditionalFormatting>
  <conditionalFormatting sqref="I36:I507">
    <cfRule type="expression" dxfId="8" priority="28">
      <formula>and(K36 = "",or(J36="Consumo",J36="Adiantamento"))</formula>
    </cfRule>
  </conditionalFormatting>
  <conditionalFormatting sqref="M29:M507">
    <cfRule type="cellIs" dxfId="8" priority="29" operator="equal">
      <formula>"Não Encontrada"</formula>
    </cfRule>
  </conditionalFormatting>
  <conditionalFormatting sqref="L29:L507">
    <cfRule type="cellIs" dxfId="8" priority="30" operator="equal">
      <formula>"Caixa Sangria"</formula>
    </cfRule>
  </conditionalFormatting>
  <conditionalFormatting sqref="L4 L11">
    <cfRule type="cellIs" dxfId="6" priority="31" operator="greaterThanOrEqual">
      <formula>500</formula>
    </cfRule>
  </conditionalFormatting>
  <conditionalFormatting sqref="L4">
    <cfRule type="cellIs" dxfId="8" priority="32" operator="between">
      <formula>400</formula>
      <formula>500</formula>
    </cfRule>
  </conditionalFormatting>
  <dataValidations>
    <dataValidation type="list" allowBlank="1" showErrorMessage="1" sqref="K29:K507">
      <formula1>'MAIO 2026'!$B$4:$B$16</formula1>
    </dataValidation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hidden="1" min="1" max="1" width="9.63" outlineLevel="1"/>
    <col collapsed="1" customWidth="1" min="2" max="2" width="10.25"/>
    <col customWidth="1" min="3" max="3" width="15.13"/>
    <col customWidth="1" min="4" max="4" width="13.88"/>
    <col customWidth="1" min="5" max="5" width="15.13"/>
    <col customWidth="1" min="6" max="6" width="16.13"/>
    <col customWidth="1" min="7" max="7" width="66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2.13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28.88"/>
    <col customWidth="1" min="22" max="22" width="19.38"/>
    <col customWidth="1" min="23" max="31" width="13.63"/>
  </cols>
  <sheetData>
    <row r="1" ht="8.25" customHeight="1">
      <c r="A1" s="22" t="s">
        <v>7045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26" t="s">
        <v>2876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5"/>
      <c r="N2" s="25"/>
      <c r="O2" s="29" t="s">
        <v>2888</v>
      </c>
      <c r="P2" s="27"/>
      <c r="Q2" s="27"/>
      <c r="R2" s="27"/>
      <c r="S2" s="27"/>
      <c r="T2" s="27"/>
      <c r="U2" s="27"/>
      <c r="V2" s="27"/>
      <c r="W2" s="28"/>
      <c r="X2" s="358"/>
      <c r="Y2" s="359"/>
      <c r="Z2" s="359"/>
      <c r="AA2" s="360"/>
      <c r="AB2" s="361"/>
      <c r="AC2" s="362"/>
      <c r="AD2" s="362"/>
      <c r="AE2" s="363"/>
    </row>
    <row r="3">
      <c r="A3" s="30" t="s">
        <v>2898</v>
      </c>
      <c r="B3" s="31"/>
      <c r="C3" s="32" t="str">
        <f>B4</f>
        <v>Marcos</v>
      </c>
      <c r="D3" s="31"/>
      <c r="E3" s="33" t="str">
        <f>B5</f>
        <v>Rayanna</v>
      </c>
      <c r="F3" s="31"/>
      <c r="G3" s="33" t="str">
        <f>B6</f>
        <v>Jaara</v>
      </c>
      <c r="H3" s="31"/>
      <c r="I3" s="33" t="str">
        <f>B7</f>
        <v>Ana Carolina</v>
      </c>
      <c r="J3" s="31"/>
      <c r="K3" s="33" t="str">
        <f>B8</f>
        <v>Sabrina</v>
      </c>
      <c r="L3" s="34"/>
      <c r="M3" s="35"/>
      <c r="N3" s="35"/>
      <c r="O3" s="364" t="str">
        <f>B4</f>
        <v>Marcos</v>
      </c>
      <c r="P3" s="106"/>
      <c r="Q3" s="106"/>
      <c r="R3" s="107"/>
      <c r="S3" s="37"/>
      <c r="T3" s="38" t="str">
        <f>B5</f>
        <v>Rayanna</v>
      </c>
      <c r="U3" s="27"/>
      <c r="V3" s="27"/>
      <c r="W3" s="28"/>
      <c r="X3" s="365" t="str">
        <f>B8</f>
        <v>Sabrina</v>
      </c>
      <c r="AA3" s="150"/>
      <c r="AB3" s="364" t="str">
        <f>B7</f>
        <v>Ana Carolina</v>
      </c>
      <c r="AC3" s="106"/>
      <c r="AD3" s="106"/>
      <c r="AE3" s="107"/>
    </row>
    <row r="4" ht="15.75" customHeight="1">
      <c r="A4" s="39" t="s">
        <v>727</v>
      </c>
      <c r="B4" s="40" t="s">
        <v>2949</v>
      </c>
      <c r="C4" s="41" t="s">
        <v>1112</v>
      </c>
      <c r="D4" s="42">
        <f>SUMIFS(N29:N504,J29:J504,C4,K29:K504,C3)+SUMIF(Q64:Q106,A4,R64:R106)+D9</f>
        <v>0</v>
      </c>
      <c r="E4" s="43" t="s">
        <v>1112</v>
      </c>
      <c r="F4" s="42">
        <f>SUMIFS(N29:N504,J29:J504,E4,K29:K504,E3)+SUMIF(Q64:Q106,A5,R64:R106)+F9</f>
        <v>500</v>
      </c>
      <c r="G4" s="43" t="s">
        <v>1112</v>
      </c>
      <c r="H4" s="42">
        <f>SUMIFS(N29:N504,J29:J504,G4,K29:K504,G3)+SUMIF(Q64:Q81,A6,R64:R106)+H9</f>
        <v>500</v>
      </c>
      <c r="I4" s="43" t="s">
        <v>1112</v>
      </c>
      <c r="J4" s="42">
        <f>SUMIFS(N29:N504,J29:J504,C4,K29:K504,I3)+SUMIF(Q64:Q106,A7,R64:R106)+J9</f>
        <v>500</v>
      </c>
      <c r="K4" s="43" t="s">
        <v>1112</v>
      </c>
      <c r="L4" s="44">
        <f>SUMIFS(N29:N504,J29:J504,C4,K29:K504,K3)+SUMIF(Q64:Q106,A8,R64:R106)+L9</f>
        <v>500</v>
      </c>
      <c r="M4" s="25"/>
      <c r="N4" s="25"/>
      <c r="O4" s="366" t="str">
        <f>IFERROR(__xludf.DUMMYFUNCTION("query(C28:L507,""select Col1,Col3,Col8,Col9 where (Col8 = 'Adiantamento' or Col8 = 'Consumo') and Col9 = '""&amp;B4&amp;""'"",1)"),"Data")</f>
        <v>Data</v>
      </c>
      <c r="P4" s="46" t="str">
        <f>IFERROR(__xludf.DUMMYFUNCTION("""COMPUTED_VALUE"""),"Valor ")</f>
        <v>Valor </v>
      </c>
      <c r="Q4" s="46" t="str">
        <f>IFERROR(__xludf.DUMMYFUNCTION("""COMPUTED_VALUE"""),"Tipo")</f>
        <v>Tipo</v>
      </c>
      <c r="R4" s="367" t="str">
        <f>IFERROR(__xludf.DUMMYFUNCTION("""COMPUTED_VALUE"""),"Funcionário")</f>
        <v>Funcionário</v>
      </c>
      <c r="S4" s="48"/>
      <c r="T4" s="49" t="str">
        <f>IFERROR(__xludf.DUMMYFUNCTION("query(C28:L507,""select Col1,Col3,Col8,Col9 where (Col8 = 'Adiantamento' or Col8 = 'Consumo') and Col9 = '""&amp;B5&amp;""'"",1)"),"Data")</f>
        <v>Data</v>
      </c>
      <c r="U4" s="49" t="str">
        <f>IFERROR(__xludf.DUMMYFUNCTION("""COMPUTED_VALUE"""),"Valor ")</f>
        <v>Valor </v>
      </c>
      <c r="V4" s="49" t="str">
        <f>IFERROR(__xludf.DUMMYFUNCTION("""COMPUTED_VALUE"""),"Tipo")</f>
        <v>Tipo</v>
      </c>
      <c r="W4" s="49" t="str">
        <f>IFERROR(__xludf.DUMMYFUNCTION("""COMPUTED_VALUE"""),"Funcionário")</f>
        <v>Funcionário</v>
      </c>
      <c r="X4" s="368" t="str">
        <f>IFERROR(__xludf.DUMMYFUNCTION("query(C28:L507,""select Col1,Col3,Col8,Col9 where (Col8 = 'Adiantamento' or Col8 = 'Consumo') and Col9 = '""&amp;B8&amp;""'"",1)"),"Data")</f>
        <v>Data</v>
      </c>
      <c r="Y4" s="49" t="str">
        <f>IFERROR(__xludf.DUMMYFUNCTION("""COMPUTED_VALUE"""),"Valor ")</f>
        <v>Valor </v>
      </c>
      <c r="Z4" s="49" t="str">
        <f>IFERROR(__xludf.DUMMYFUNCTION("""COMPUTED_VALUE"""),"Tipo")</f>
        <v>Tipo</v>
      </c>
      <c r="AA4" s="369" t="str">
        <f>IFERROR(__xludf.DUMMYFUNCTION("""COMPUTED_VALUE"""),"Funcionário")</f>
        <v>Funcionário</v>
      </c>
      <c r="AB4" s="366" t="str">
        <f>IFERROR(__xludf.DUMMYFUNCTION("query(C28:L507,""select Col1,Col3,Col8,Col9 where (Col8 = 'Adiantamento' or Col8 = 'Consumo') and Col9 = '""&amp;B7&amp;""'"",1)"),"Data")</f>
        <v>Data</v>
      </c>
      <c r="AC4" s="46" t="str">
        <f>IFERROR(__xludf.DUMMYFUNCTION("""COMPUTED_VALUE"""),"Valor ")</f>
        <v>Valor </v>
      </c>
      <c r="AD4" s="46" t="str">
        <f>IFERROR(__xludf.DUMMYFUNCTION("""COMPUTED_VALUE"""),"Tipo")</f>
        <v>Tipo</v>
      </c>
      <c r="AE4" s="367" t="str">
        <f>IFERROR(__xludf.DUMMYFUNCTION("""COMPUTED_VALUE"""),"Funcionário")</f>
        <v>Funcionário</v>
      </c>
    </row>
    <row r="5" ht="15.0" customHeight="1">
      <c r="A5" s="39" t="s">
        <v>1183</v>
      </c>
      <c r="B5" s="40" t="s">
        <v>7052</v>
      </c>
      <c r="C5" s="41" t="s">
        <v>3044</v>
      </c>
      <c r="D5" s="42">
        <f>SUMIFS(N29:N504,J29:J504,C5,K29:K504,C3)</f>
        <v>0</v>
      </c>
      <c r="E5" s="43" t="s">
        <v>3044</v>
      </c>
      <c r="F5" s="42">
        <f>SUMIFS(N29:N504,J29:J504,C5,K29:K504,E3)</f>
        <v>269.99</v>
      </c>
      <c r="G5" s="43" t="s">
        <v>3044</v>
      </c>
      <c r="H5" s="42">
        <f>SUMIFS(N29:N504,J29:J504,C5,K29:K504,G3)</f>
        <v>228.43</v>
      </c>
      <c r="I5" s="43" t="s">
        <v>3044</v>
      </c>
      <c r="J5" s="42">
        <f>SUMIFS(N29:N504,J29:J504,C5,K29:K504,I3)</f>
        <v>274.9</v>
      </c>
      <c r="K5" s="43" t="s">
        <v>3044</v>
      </c>
      <c r="L5" s="44">
        <f>SUMIFS(N29:N504,J29:J504,C5,K29:K504,K3)</f>
        <v>286.05</v>
      </c>
      <c r="M5" s="25"/>
      <c r="N5" s="25"/>
      <c r="O5" s="370"/>
      <c r="P5" s="52"/>
      <c r="Q5" s="52"/>
      <c r="R5" s="371"/>
      <c r="S5" s="54"/>
      <c r="T5" s="55">
        <f>IFERROR(__xludf.DUMMYFUNCTION("""COMPUTED_VALUE"""),46168.7652662037)</f>
        <v>46168.76527</v>
      </c>
      <c r="U5" s="52" t="str">
        <f>IFERROR(__xludf.DUMMYFUNCTION("""COMPUTED_VALUE"""),"R$ 12,00")</f>
        <v>R$ 12,00</v>
      </c>
      <c r="V5" s="52" t="str">
        <f>IFERROR(__xludf.DUMMYFUNCTION("""COMPUTED_VALUE"""),"Consumo")</f>
        <v>Consumo</v>
      </c>
      <c r="W5" s="52" t="str">
        <f>IFERROR(__xludf.DUMMYFUNCTION("""COMPUTED_VALUE"""),"Rayanna")</f>
        <v>Rayanna</v>
      </c>
      <c r="X5" s="370">
        <f>IFERROR(__xludf.DUMMYFUNCTION("""COMPUTED_VALUE"""),46168.76484953704)</f>
        <v>46168.76485</v>
      </c>
      <c r="Y5" s="52" t="str">
        <f>IFERROR(__xludf.DUMMYFUNCTION("""COMPUTED_VALUE"""),"R$ 28,25")</f>
        <v>R$ 28,25</v>
      </c>
      <c r="Z5" s="52" t="str">
        <f>IFERROR(__xludf.DUMMYFUNCTION("""COMPUTED_VALUE"""),"Consumo")</f>
        <v>Consumo</v>
      </c>
      <c r="AA5" s="371" t="str">
        <f>IFERROR(__xludf.DUMMYFUNCTION("""COMPUTED_VALUE"""),"Sabrina")</f>
        <v>Sabrina</v>
      </c>
      <c r="AB5" s="370">
        <f>IFERROR(__xludf.DUMMYFUNCTION("""COMPUTED_VALUE"""),46169.57283564815)</f>
        <v>46169.57284</v>
      </c>
      <c r="AC5" s="52" t="str">
        <f>IFERROR(__xludf.DUMMYFUNCTION("""COMPUTED_VALUE"""),"R$ 24,70")</f>
        <v>R$ 24,70</v>
      </c>
      <c r="AD5" s="52" t="str">
        <f>IFERROR(__xludf.DUMMYFUNCTION("""COMPUTED_VALUE"""),"Consumo")</f>
        <v>Consumo</v>
      </c>
      <c r="AE5" s="371" t="str">
        <f>IFERROR(__xludf.DUMMYFUNCTION("""COMPUTED_VALUE"""),"Ana Carolina")</f>
        <v>Ana Carolina</v>
      </c>
    </row>
    <row r="6" ht="16.5" customHeight="1">
      <c r="A6" s="56" t="s">
        <v>152</v>
      </c>
      <c r="B6" s="40" t="s">
        <v>8093</v>
      </c>
      <c r="C6" s="41" t="s">
        <v>3082</v>
      </c>
      <c r="D6" s="42">
        <f>D5*0.8</f>
        <v>0</v>
      </c>
      <c r="E6" s="43" t="s">
        <v>3082</v>
      </c>
      <c r="F6" s="42">
        <f>F5*0.8</f>
        <v>215.992</v>
      </c>
      <c r="G6" s="43" t="s">
        <v>3082</v>
      </c>
      <c r="H6" s="42">
        <f>H5*0.8</f>
        <v>182.744</v>
      </c>
      <c r="I6" s="43" t="s">
        <v>3082</v>
      </c>
      <c r="J6" s="42">
        <f>J5*0.8</f>
        <v>219.92</v>
      </c>
      <c r="K6" s="57" t="s">
        <v>3082</v>
      </c>
      <c r="L6" s="44">
        <f>L5*0.8</f>
        <v>228.84</v>
      </c>
      <c r="M6" s="25"/>
      <c r="N6" s="25"/>
      <c r="O6" s="370"/>
      <c r="P6" s="52"/>
      <c r="Q6" s="52"/>
      <c r="R6" s="371"/>
      <c r="S6" s="54"/>
      <c r="T6" s="55">
        <f>IFERROR(__xludf.DUMMYFUNCTION("""COMPUTED_VALUE"""),46168.773356481484)</f>
        <v>46168.77336</v>
      </c>
      <c r="U6" s="52" t="str">
        <f>IFERROR(__xludf.DUMMYFUNCTION("""COMPUTED_VALUE"""),"R$ 48,29")</f>
        <v>R$ 48,29</v>
      </c>
      <c r="V6" s="52" t="str">
        <f>IFERROR(__xludf.DUMMYFUNCTION("""COMPUTED_VALUE"""),"Consumo")</f>
        <v>Consumo</v>
      </c>
      <c r="W6" s="52" t="str">
        <f>IFERROR(__xludf.DUMMYFUNCTION("""COMPUTED_VALUE"""),"Rayanna")</f>
        <v>Rayanna</v>
      </c>
      <c r="X6" s="370">
        <f>IFERROR(__xludf.DUMMYFUNCTION("""COMPUTED_VALUE"""),46168.78233796296)</f>
        <v>46168.78234</v>
      </c>
      <c r="Y6" s="52" t="str">
        <f>IFERROR(__xludf.DUMMYFUNCTION("""COMPUTED_VALUE"""),"R$ 18,40")</f>
        <v>R$ 18,40</v>
      </c>
      <c r="Z6" s="52" t="str">
        <f>IFERROR(__xludf.DUMMYFUNCTION("""COMPUTED_VALUE"""),"Consumo")</f>
        <v>Consumo</v>
      </c>
      <c r="AA6" s="371" t="str">
        <f>IFERROR(__xludf.DUMMYFUNCTION("""COMPUTED_VALUE"""),"Sabrina")</f>
        <v>Sabrina</v>
      </c>
      <c r="AB6" s="370">
        <f>IFERROR(__xludf.DUMMYFUNCTION("""COMPUTED_VALUE"""),46170.66085648148)</f>
        <v>46170.66086</v>
      </c>
      <c r="AC6" s="52" t="str">
        <f>IFERROR(__xludf.DUMMYFUNCTION("""COMPUTED_VALUE"""),"R$ 4,00")</f>
        <v>R$ 4,00</v>
      </c>
      <c r="AD6" s="52" t="str">
        <f>IFERROR(__xludf.DUMMYFUNCTION("""COMPUTED_VALUE"""),"Consumo")</f>
        <v>Consumo</v>
      </c>
      <c r="AE6" s="371" t="str">
        <f>IFERROR(__xludf.DUMMYFUNCTION("""COMPUTED_VALUE"""),"Ana Carolina")</f>
        <v>Ana Carolina</v>
      </c>
    </row>
    <row r="7" ht="14.25" customHeight="1">
      <c r="A7" s="39" t="s">
        <v>62</v>
      </c>
      <c r="B7" s="40" t="s">
        <v>6664</v>
      </c>
      <c r="C7" s="58" t="s">
        <v>3140</v>
      </c>
      <c r="D7" s="59"/>
      <c r="E7" s="60" t="s">
        <v>3140</v>
      </c>
      <c r="F7" s="59"/>
      <c r="G7" s="60" t="s">
        <v>3140</v>
      </c>
      <c r="H7" s="59"/>
      <c r="I7" s="60" t="s">
        <v>3140</v>
      </c>
      <c r="J7" s="59"/>
      <c r="K7" s="60" t="s">
        <v>3140</v>
      </c>
      <c r="L7" s="61"/>
      <c r="M7" s="62"/>
      <c r="N7" s="62"/>
      <c r="O7" s="370"/>
      <c r="P7" s="52"/>
      <c r="Q7" s="52"/>
      <c r="R7" s="371"/>
      <c r="S7" s="54"/>
      <c r="T7" s="55">
        <f>IFERROR(__xludf.DUMMYFUNCTION("""COMPUTED_VALUE"""),46169.67061342593)</f>
        <v>46169.67061</v>
      </c>
      <c r="U7" s="52" t="str">
        <f>IFERROR(__xludf.DUMMYFUNCTION("""COMPUTED_VALUE"""),"R$ 11,25")</f>
        <v>R$ 11,25</v>
      </c>
      <c r="V7" s="52" t="str">
        <f>IFERROR(__xludf.DUMMYFUNCTION("""COMPUTED_VALUE"""),"Consumo")</f>
        <v>Consumo</v>
      </c>
      <c r="W7" s="52" t="str">
        <f>IFERROR(__xludf.DUMMYFUNCTION("""COMPUTED_VALUE"""),"Rayanna")</f>
        <v>Rayanna</v>
      </c>
      <c r="X7" s="370">
        <f>IFERROR(__xludf.DUMMYFUNCTION("""COMPUTED_VALUE"""),46168.87222222222)</f>
        <v>46168.87222</v>
      </c>
      <c r="Y7" s="52" t="str">
        <f>IFERROR(__xludf.DUMMYFUNCTION("""COMPUTED_VALUE"""),"R$ 37,31")</f>
        <v>R$ 37,31</v>
      </c>
      <c r="Z7" s="52" t="str">
        <f>IFERROR(__xludf.DUMMYFUNCTION("""COMPUTED_VALUE"""),"Consumo")</f>
        <v>Consumo</v>
      </c>
      <c r="AA7" s="371" t="str">
        <f>IFERROR(__xludf.DUMMYFUNCTION("""COMPUTED_VALUE"""),"Sabrina")</f>
        <v>Sabrina</v>
      </c>
      <c r="AB7" s="370">
        <f>IFERROR(__xludf.DUMMYFUNCTION("""COMPUTED_VALUE"""),46171.7391550926)</f>
        <v>46171.73916</v>
      </c>
      <c r="AC7" s="52" t="str">
        <f>IFERROR(__xludf.DUMMYFUNCTION("""COMPUTED_VALUE"""),"R$ 9,00")</f>
        <v>R$ 9,00</v>
      </c>
      <c r="AD7" s="52" t="str">
        <f>IFERROR(__xludf.DUMMYFUNCTION("""COMPUTED_VALUE"""),"Consumo")</f>
        <v>Consumo</v>
      </c>
      <c r="AE7" s="371" t="str">
        <f>IFERROR(__xludf.DUMMYFUNCTION("""COMPUTED_VALUE"""),"Ana Carolina")</f>
        <v>Ana Carolina</v>
      </c>
    </row>
    <row r="8" ht="14.25" customHeight="1">
      <c r="A8" s="12" t="s">
        <v>78</v>
      </c>
      <c r="B8" s="40" t="s">
        <v>7058</v>
      </c>
      <c r="C8" s="63" t="s">
        <v>3170</v>
      </c>
      <c r="D8" s="67"/>
      <c r="E8" s="65" t="s">
        <v>3170</v>
      </c>
      <c r="F8" s="66"/>
      <c r="G8" s="65" t="s">
        <v>3170</v>
      </c>
      <c r="H8" s="64"/>
      <c r="I8" s="65" t="s">
        <v>3170</v>
      </c>
      <c r="J8" s="67"/>
      <c r="K8" s="65" t="s">
        <v>3170</v>
      </c>
      <c r="L8" s="68"/>
      <c r="M8" s="69"/>
      <c r="N8" s="69"/>
      <c r="O8" s="370"/>
      <c r="P8" s="52"/>
      <c r="Q8" s="52"/>
      <c r="R8" s="371"/>
      <c r="S8" s="54"/>
      <c r="T8" s="55">
        <f>IFERROR(__xludf.DUMMYFUNCTION("""COMPUTED_VALUE"""),46169.75782407407)</f>
        <v>46169.75782</v>
      </c>
      <c r="U8" s="52" t="str">
        <f>IFERROR(__xludf.DUMMYFUNCTION("""COMPUTED_VALUE"""),"R$ 33,80")</f>
        <v>R$ 33,80</v>
      </c>
      <c r="V8" s="52" t="str">
        <f>IFERROR(__xludf.DUMMYFUNCTION("""COMPUTED_VALUE"""),"Consumo")</f>
        <v>Consumo</v>
      </c>
      <c r="W8" s="52" t="str">
        <f>IFERROR(__xludf.DUMMYFUNCTION("""COMPUTED_VALUE"""),"Rayanna")</f>
        <v>Rayanna</v>
      </c>
      <c r="X8" s="370">
        <f>IFERROR(__xludf.DUMMYFUNCTION("""COMPUTED_VALUE"""),46169.66327546297)</f>
        <v>46169.66328</v>
      </c>
      <c r="Y8" s="52" t="str">
        <f>IFERROR(__xludf.DUMMYFUNCTION("""COMPUTED_VALUE"""),"R$ 4,90")</f>
        <v>R$ 4,90</v>
      </c>
      <c r="Z8" s="52" t="str">
        <f>IFERROR(__xludf.DUMMYFUNCTION("""COMPUTED_VALUE"""),"Consumo")</f>
        <v>Consumo</v>
      </c>
      <c r="AA8" s="371" t="str">
        <f>IFERROR(__xludf.DUMMYFUNCTION("""COMPUTED_VALUE"""),"Sabrina")</f>
        <v>Sabrina</v>
      </c>
      <c r="AB8" s="370">
        <f>IFERROR(__xludf.DUMMYFUNCTION("""COMPUTED_VALUE"""),46173.57582175926)</f>
        <v>46173.57582</v>
      </c>
      <c r="AC8" s="52" t="str">
        <f>IFERROR(__xludf.DUMMYFUNCTION("""COMPUTED_VALUE"""),"R$ 14,06")</f>
        <v>R$ 14,06</v>
      </c>
      <c r="AD8" s="52" t="str">
        <f>IFERROR(__xludf.DUMMYFUNCTION("""COMPUTED_VALUE"""),"Consumo")</f>
        <v>Consumo</v>
      </c>
      <c r="AE8" s="371" t="str">
        <f>IFERROR(__xludf.DUMMYFUNCTION("""COMPUTED_VALUE"""),"Ana Carolina")</f>
        <v>Ana Carolina</v>
      </c>
    </row>
    <row r="9">
      <c r="A9" s="39"/>
      <c r="B9" s="40"/>
      <c r="C9" s="70" t="s">
        <v>41</v>
      </c>
      <c r="D9" s="71"/>
      <c r="E9" s="72" t="s">
        <v>41</v>
      </c>
      <c r="F9" s="73"/>
      <c r="G9" s="72" t="s">
        <v>41</v>
      </c>
      <c r="H9" s="71"/>
      <c r="I9" s="72" t="s">
        <v>41</v>
      </c>
      <c r="J9" s="71"/>
      <c r="K9" s="72" t="s">
        <v>41</v>
      </c>
      <c r="L9" s="74"/>
      <c r="M9" s="69"/>
      <c r="N9" s="69"/>
      <c r="O9" s="370"/>
      <c r="P9" s="52"/>
      <c r="Q9" s="52"/>
      <c r="R9" s="371"/>
      <c r="S9" s="54"/>
      <c r="T9" s="55">
        <f>IFERROR(__xludf.DUMMYFUNCTION("""COMPUTED_VALUE"""),46169.76467592592)</f>
        <v>46169.76468</v>
      </c>
      <c r="U9" s="52" t="str">
        <f>IFERROR(__xludf.DUMMYFUNCTION("""COMPUTED_VALUE"""),"R$ 17,51")</f>
        <v>R$ 17,51</v>
      </c>
      <c r="V9" s="52" t="str">
        <f>IFERROR(__xludf.DUMMYFUNCTION("""COMPUTED_VALUE"""),"Consumo")</f>
        <v>Consumo</v>
      </c>
      <c r="W9" s="52" t="str">
        <f>IFERROR(__xludf.DUMMYFUNCTION("""COMPUTED_VALUE"""),"Rayanna")</f>
        <v>Rayanna</v>
      </c>
      <c r="X9" s="370">
        <f>IFERROR(__xludf.DUMMYFUNCTION("""COMPUTED_VALUE"""),46170.72746527778)</f>
        <v>46170.72747</v>
      </c>
      <c r="Y9" s="52" t="str">
        <f>IFERROR(__xludf.DUMMYFUNCTION("""COMPUTED_VALUE"""),"R$ 19,81")</f>
        <v>R$ 19,81</v>
      </c>
      <c r="Z9" s="52" t="str">
        <f>IFERROR(__xludf.DUMMYFUNCTION("""COMPUTED_VALUE"""),"Consumo")</f>
        <v>Consumo</v>
      </c>
      <c r="AA9" s="371" t="str">
        <f>IFERROR(__xludf.DUMMYFUNCTION("""COMPUTED_VALUE"""),"Sabrina")</f>
        <v>Sabrina</v>
      </c>
      <c r="AB9" s="370">
        <f>IFERROR(__xludf.DUMMYFUNCTION("""COMPUTED_VALUE"""),46174.782372685186)</f>
        <v>46174.78237</v>
      </c>
      <c r="AC9" s="52" t="str">
        <f>IFERROR(__xludf.DUMMYFUNCTION("""COMPUTED_VALUE"""),"R$ 20,06")</f>
        <v>R$ 20,06</v>
      </c>
      <c r="AD9" s="52" t="str">
        <f>IFERROR(__xludf.DUMMYFUNCTION("""COMPUTED_VALUE"""),"Consumo")</f>
        <v>Consumo</v>
      </c>
      <c r="AE9" s="371" t="str">
        <f>IFERROR(__xludf.DUMMYFUNCTION("""COMPUTED_VALUE"""),"Ana Carolina")</f>
        <v>Ana Carolina</v>
      </c>
    </row>
    <row r="10" ht="21.75" customHeight="1">
      <c r="A10" s="39"/>
      <c r="B10" s="40"/>
      <c r="C10" s="75"/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4"/>
      <c r="N10" s="24"/>
      <c r="O10" s="370"/>
      <c r="P10" s="79"/>
      <c r="Q10" s="79"/>
      <c r="R10" s="372"/>
      <c r="S10" s="81"/>
      <c r="T10" s="55">
        <f>IFERROR(__xludf.DUMMYFUNCTION("""COMPUTED_VALUE"""),46170.66212962963)</f>
        <v>46170.66213</v>
      </c>
      <c r="U10" s="79" t="str">
        <f>IFERROR(__xludf.DUMMYFUNCTION("""COMPUTED_VALUE"""),"R$ 5,00")</f>
        <v>R$ 5,00</v>
      </c>
      <c r="V10" s="79" t="str">
        <f>IFERROR(__xludf.DUMMYFUNCTION("""COMPUTED_VALUE"""),"Consumo")</f>
        <v>Consumo</v>
      </c>
      <c r="W10" s="79" t="str">
        <f>IFERROR(__xludf.DUMMYFUNCTION("""COMPUTED_VALUE"""),"Rayanna")</f>
        <v>Rayanna</v>
      </c>
      <c r="X10" s="370">
        <f>IFERROR(__xludf.DUMMYFUNCTION("""COMPUTED_VALUE"""),46170.73590277778)</f>
        <v>46170.7359</v>
      </c>
      <c r="Y10" s="79" t="str">
        <f>IFERROR(__xludf.DUMMYFUNCTION("""COMPUTED_VALUE"""),"R$ 5,00")</f>
        <v>R$ 5,00</v>
      </c>
      <c r="Z10" s="79" t="str">
        <f>IFERROR(__xludf.DUMMYFUNCTION("""COMPUTED_VALUE"""),"Consumo")</f>
        <v>Consumo</v>
      </c>
      <c r="AA10" s="372" t="str">
        <f>IFERROR(__xludf.DUMMYFUNCTION("""COMPUTED_VALUE"""),"Sabrina")</f>
        <v>Sabrina</v>
      </c>
      <c r="AB10" s="370">
        <f>IFERROR(__xludf.DUMMYFUNCTION("""COMPUTED_VALUE"""),46175.8378125)</f>
        <v>46175.83781</v>
      </c>
      <c r="AC10" s="79" t="str">
        <f>IFERROR(__xludf.DUMMYFUNCTION("""COMPUTED_VALUE"""),"R$ 10,61")</f>
        <v>R$ 10,61</v>
      </c>
      <c r="AD10" s="79" t="str">
        <f>IFERROR(__xludf.DUMMYFUNCTION("""COMPUTED_VALUE"""),"Consumo")</f>
        <v>Consumo</v>
      </c>
      <c r="AE10" s="372" t="str">
        <f>IFERROR(__xludf.DUMMYFUNCTION("""COMPUTED_VALUE"""),"Ana Carolina")</f>
        <v>Ana Carolina</v>
      </c>
    </row>
    <row r="11">
      <c r="A11" s="82"/>
      <c r="B11" s="83"/>
      <c r="C11" s="84" t="s">
        <v>1112</v>
      </c>
      <c r="D11" s="85">
        <f>SUMIFS(N29:N514,J29:J514,C11,K29:K514,C10)+SUMIF(Q64:Q106,A9,R64:R106)+D16</f>
        <v>0</v>
      </c>
      <c r="E11" s="86" t="s">
        <v>1112</v>
      </c>
      <c r="F11" s="85">
        <f>SUMIFS(N29:N514,J29:J514,E11,K29:K514,E10)+SUMIF(Q64:Q106,A10,R64:R106)+F16</f>
        <v>0</v>
      </c>
      <c r="G11" s="86" t="s">
        <v>1112</v>
      </c>
      <c r="H11" s="85">
        <f>SUMIFS(N29:N514,J29:J514,C11,K29:K514,G10)+SUMIF(Q64:Q106,A11,R64:R106)+H16</f>
        <v>0</v>
      </c>
      <c r="I11" s="86" t="s">
        <v>1112</v>
      </c>
      <c r="J11" s="85">
        <f>SUMIFS(N29:N514,J29:J514,C11,K29:K514,I10)+SUMIF(Q64:Q106,A11,R64:R106)+J16</f>
        <v>0</v>
      </c>
      <c r="K11" s="86" t="s">
        <v>1112</v>
      </c>
      <c r="L11" s="87">
        <f>SUMIFS(N29:N514,J29:J514,C11,K29:K514,K10)+SUMIF(Q64:Q106,A13,R64:R106)+L16</f>
        <v>0</v>
      </c>
      <c r="M11" s="24"/>
      <c r="N11" s="24"/>
      <c r="O11" s="373"/>
      <c r="P11" s="89"/>
      <c r="Q11" s="89"/>
      <c r="R11" s="374"/>
      <c r="S11" s="91"/>
      <c r="T11" s="236">
        <f>IFERROR(__xludf.DUMMYFUNCTION("""COMPUTED_VALUE"""),46170.74900462963)</f>
        <v>46170.749</v>
      </c>
      <c r="U11" s="89" t="str">
        <f>IFERROR(__xludf.DUMMYFUNCTION("""COMPUTED_VALUE"""),"R$ 16,61")</f>
        <v>R$ 16,61</v>
      </c>
      <c r="V11" s="89" t="str">
        <f>IFERROR(__xludf.DUMMYFUNCTION("""COMPUTED_VALUE"""),"Consumo")</f>
        <v>Consumo</v>
      </c>
      <c r="W11" s="89" t="str">
        <f>IFERROR(__xludf.DUMMYFUNCTION("""COMPUTED_VALUE"""),"Rayanna")</f>
        <v>Rayanna</v>
      </c>
      <c r="X11" s="375">
        <f>IFERROR(__xludf.DUMMYFUNCTION("""COMPUTED_VALUE"""),46170.86597222222)</f>
        <v>46170.86597</v>
      </c>
      <c r="Y11" s="89" t="str">
        <f>IFERROR(__xludf.DUMMYFUNCTION("""COMPUTED_VALUE"""),"R$ 43,20")</f>
        <v>R$ 43,20</v>
      </c>
      <c r="Z11" s="89" t="str">
        <f>IFERROR(__xludf.DUMMYFUNCTION("""COMPUTED_VALUE"""),"Consumo")</f>
        <v>Consumo</v>
      </c>
      <c r="AA11" s="374" t="str">
        <f>IFERROR(__xludf.DUMMYFUNCTION("""COMPUTED_VALUE"""),"Sabrina")</f>
        <v>Sabrina</v>
      </c>
      <c r="AB11" s="375">
        <f>IFERROR(__xludf.DUMMYFUNCTION("""COMPUTED_VALUE"""),46176.71072916666)</f>
        <v>46176.71073</v>
      </c>
      <c r="AC11" s="89" t="str">
        <f>IFERROR(__xludf.DUMMYFUNCTION("""COMPUTED_VALUE"""),"R$ 8,56")</f>
        <v>R$ 8,56</v>
      </c>
      <c r="AD11" s="89" t="str">
        <f>IFERROR(__xludf.DUMMYFUNCTION("""COMPUTED_VALUE"""),"Consumo")</f>
        <v>Consumo</v>
      </c>
      <c r="AE11" s="374" t="str">
        <f>IFERROR(__xludf.DUMMYFUNCTION("""COMPUTED_VALUE"""),"Ana Carolina")</f>
        <v>Ana Carolina</v>
      </c>
    </row>
    <row r="12">
      <c r="A12" s="82"/>
      <c r="B12" s="83"/>
      <c r="C12" s="84" t="s">
        <v>3044</v>
      </c>
      <c r="D12" s="85">
        <f>SUMIFS(N36:N514,J36:J514,C12,K36:K514,C10)</f>
        <v>0</v>
      </c>
      <c r="E12" s="86" t="s">
        <v>3044</v>
      </c>
      <c r="F12" s="85">
        <f>SUMIFS(N29:N514,J29:J514,C12,K29:K514,E10)</f>
        <v>0</v>
      </c>
      <c r="G12" s="86" t="s">
        <v>3044</v>
      </c>
      <c r="H12" s="85">
        <f>SUMIFS(N36:N514,J36:J514,C12,K36:K514,G10)</f>
        <v>0</v>
      </c>
      <c r="I12" s="86" t="s">
        <v>3044</v>
      </c>
      <c r="J12" s="85">
        <f>SUMIFS(N29:N514,J29:J514,C12,K29:K514,I10)</f>
        <v>0</v>
      </c>
      <c r="K12" s="86" t="s">
        <v>3044</v>
      </c>
      <c r="L12" s="87">
        <f>SUMIFS(N29:N514,J29:J514,C12,K29:K514,K10)</f>
        <v>0</v>
      </c>
      <c r="M12" s="24"/>
      <c r="N12" s="24"/>
      <c r="O12" s="373"/>
      <c r="P12" s="89"/>
      <c r="Q12" s="89"/>
      <c r="R12" s="374"/>
      <c r="S12" s="91"/>
      <c r="T12" s="236">
        <f>IFERROR(__xludf.DUMMYFUNCTION("""COMPUTED_VALUE"""),46170.749560185184)</f>
        <v>46170.74956</v>
      </c>
      <c r="U12" s="89" t="str">
        <f>IFERROR(__xludf.DUMMYFUNCTION("""COMPUTED_VALUE"""),"R$ 12,90")</f>
        <v>R$ 12,90</v>
      </c>
      <c r="V12" s="89" t="str">
        <f>IFERROR(__xludf.DUMMYFUNCTION("""COMPUTED_VALUE"""),"Consumo")</f>
        <v>Consumo</v>
      </c>
      <c r="W12" s="89" t="str">
        <f>IFERROR(__xludf.DUMMYFUNCTION("""COMPUTED_VALUE"""),"Rayanna")</f>
        <v>Rayanna</v>
      </c>
      <c r="X12" s="375">
        <f>IFERROR(__xludf.DUMMYFUNCTION("""COMPUTED_VALUE"""),46171.73866898148)</f>
        <v>46171.73867</v>
      </c>
      <c r="Y12" s="89" t="str">
        <f>IFERROR(__xludf.DUMMYFUNCTION("""COMPUTED_VALUE"""),"R$ 17,76")</f>
        <v>R$ 17,76</v>
      </c>
      <c r="Z12" s="89" t="str">
        <f>IFERROR(__xludf.DUMMYFUNCTION("""COMPUTED_VALUE"""),"Consumo")</f>
        <v>Consumo</v>
      </c>
      <c r="AA12" s="374" t="str">
        <f>IFERROR(__xludf.DUMMYFUNCTION("""COMPUTED_VALUE"""),"Sabrina")</f>
        <v>Sabrina</v>
      </c>
      <c r="AB12" s="375">
        <f>IFERROR(__xludf.DUMMYFUNCTION("""COMPUTED_VALUE"""),46177.78271990741)</f>
        <v>46177.78272</v>
      </c>
      <c r="AC12" s="89" t="str">
        <f>IFERROR(__xludf.DUMMYFUNCTION("""COMPUTED_VALUE"""),"R$ 13,00")</f>
        <v>R$ 13,00</v>
      </c>
      <c r="AD12" s="89" t="str">
        <f>IFERROR(__xludf.DUMMYFUNCTION("""COMPUTED_VALUE"""),"Consumo")</f>
        <v>Consumo</v>
      </c>
      <c r="AE12" s="374" t="str">
        <f>IFERROR(__xludf.DUMMYFUNCTION("""COMPUTED_VALUE"""),"Ana Carolina")</f>
        <v>Ana Carolina</v>
      </c>
    </row>
    <row r="13">
      <c r="A13" s="82"/>
      <c r="B13" s="93"/>
      <c r="C13" s="84" t="s">
        <v>3082</v>
      </c>
      <c r="D13" s="85">
        <f>D12*0.8</f>
        <v>0</v>
      </c>
      <c r="E13" s="86" t="s">
        <v>3082</v>
      </c>
      <c r="F13" s="85">
        <f>F12*0.8</f>
        <v>0</v>
      </c>
      <c r="G13" s="86" t="s">
        <v>3082</v>
      </c>
      <c r="H13" s="85">
        <f>H12*0.8</f>
        <v>0</v>
      </c>
      <c r="I13" s="86" t="s">
        <v>3082</v>
      </c>
      <c r="J13" s="85">
        <f>J12*0.8</f>
        <v>0</v>
      </c>
      <c r="K13" s="94" t="s">
        <v>3082</v>
      </c>
      <c r="L13" s="87">
        <f>L12*0.8</f>
        <v>0</v>
      </c>
      <c r="M13" s="24"/>
      <c r="N13" s="24"/>
      <c r="O13" s="373"/>
      <c r="P13" s="89"/>
      <c r="Q13" s="89"/>
      <c r="R13" s="374"/>
      <c r="S13" s="91"/>
      <c r="T13" s="236">
        <f>IFERROR(__xludf.DUMMYFUNCTION("""COMPUTED_VALUE"""),46171.581608796296)</f>
        <v>46171.58161</v>
      </c>
      <c r="U13" s="89" t="str">
        <f>IFERROR(__xludf.DUMMYFUNCTION("""COMPUTED_VALUE"""),"R$ 20,08")</f>
        <v>R$ 20,08</v>
      </c>
      <c r="V13" s="89" t="str">
        <f>IFERROR(__xludf.DUMMYFUNCTION("""COMPUTED_VALUE"""),"Consumo")</f>
        <v>Consumo</v>
      </c>
      <c r="W13" s="89" t="str">
        <f>IFERROR(__xludf.DUMMYFUNCTION("""COMPUTED_VALUE"""),"Rayanna")</f>
        <v>Rayanna</v>
      </c>
      <c r="X13" s="375">
        <f>IFERROR(__xludf.DUMMYFUNCTION("""COMPUTED_VALUE"""),46172.73030092593)</f>
        <v>46172.7303</v>
      </c>
      <c r="Y13" s="89" t="str">
        <f>IFERROR(__xludf.DUMMYFUNCTION("""COMPUTED_VALUE"""),"R$ 19,55")</f>
        <v>R$ 19,55</v>
      </c>
      <c r="Z13" s="89" t="str">
        <f>IFERROR(__xludf.DUMMYFUNCTION("""COMPUTED_VALUE"""),"Consumo")</f>
        <v>Consumo</v>
      </c>
      <c r="AA13" s="374" t="str">
        <f>IFERROR(__xludf.DUMMYFUNCTION("""COMPUTED_VALUE"""),"Sabrina")</f>
        <v>Sabrina</v>
      </c>
      <c r="AB13" s="375">
        <f>IFERROR(__xludf.DUMMYFUNCTION("""COMPUTED_VALUE"""),46178.77012731481)</f>
        <v>46178.77013</v>
      </c>
      <c r="AC13" s="89" t="str">
        <f>IFERROR(__xludf.DUMMYFUNCTION("""COMPUTED_VALUE"""),"R$ 10,00")</f>
        <v>R$ 10,00</v>
      </c>
      <c r="AD13" s="89" t="str">
        <f>IFERROR(__xludf.DUMMYFUNCTION("""COMPUTED_VALUE"""),"Consumo")</f>
        <v>Consumo</v>
      </c>
      <c r="AE13" s="374" t="str">
        <f>IFERROR(__xludf.DUMMYFUNCTION("""COMPUTED_VALUE"""),"Ana Carolina")</f>
        <v>Ana Carolina</v>
      </c>
    </row>
    <row r="14">
      <c r="A14" s="92"/>
      <c r="B14" s="93"/>
      <c r="C14" s="58" t="s">
        <v>3140</v>
      </c>
      <c r="D14" s="59"/>
      <c r="E14" s="60" t="s">
        <v>3140</v>
      </c>
      <c r="F14" s="59"/>
      <c r="G14" s="60" t="s">
        <v>3140</v>
      </c>
      <c r="H14" s="59"/>
      <c r="I14" s="60" t="s">
        <v>3140</v>
      </c>
      <c r="J14" s="59"/>
      <c r="K14" s="60" t="s">
        <v>3140</v>
      </c>
      <c r="L14" s="61"/>
      <c r="M14" s="24"/>
      <c r="N14" s="24"/>
      <c r="O14" s="373"/>
      <c r="P14" s="89"/>
      <c r="Q14" s="89"/>
      <c r="R14" s="374"/>
      <c r="S14" s="91"/>
      <c r="T14" s="236">
        <f>IFERROR(__xludf.DUMMYFUNCTION("""COMPUTED_VALUE"""),46173.907071759255)</f>
        <v>46173.90707</v>
      </c>
      <c r="U14" s="89" t="str">
        <f>IFERROR(__xludf.DUMMYFUNCTION("""COMPUTED_VALUE"""),"R$ 56,37")</f>
        <v>R$ 56,37</v>
      </c>
      <c r="V14" s="89" t="str">
        <f>IFERROR(__xludf.DUMMYFUNCTION("""COMPUTED_VALUE"""),"Consumo")</f>
        <v>Consumo</v>
      </c>
      <c r="W14" s="89" t="str">
        <f>IFERROR(__xludf.DUMMYFUNCTION("""COMPUTED_VALUE"""),"Rayanna")</f>
        <v>Rayanna</v>
      </c>
      <c r="X14" s="376">
        <f>IFERROR(__xludf.DUMMYFUNCTION("""COMPUTED_VALUE"""),46173.573495370365)</f>
        <v>46173.5735</v>
      </c>
      <c r="Y14" s="377" t="str">
        <f>IFERROR(__xludf.DUMMYFUNCTION("""COMPUTED_VALUE"""),"R$ 22,75")</f>
        <v>R$ 22,75</v>
      </c>
      <c r="Z14" s="377" t="str">
        <f>IFERROR(__xludf.DUMMYFUNCTION("""COMPUTED_VALUE"""),"Consumo")</f>
        <v>Consumo</v>
      </c>
      <c r="AA14" s="378" t="str">
        <f>IFERROR(__xludf.DUMMYFUNCTION("""COMPUTED_VALUE"""),"Sabrina")</f>
        <v>Sabrina</v>
      </c>
      <c r="AB14" s="375">
        <f>IFERROR(__xludf.DUMMYFUNCTION("""COMPUTED_VALUE"""),46181.72002314815)</f>
        <v>46181.72002</v>
      </c>
      <c r="AC14" s="89" t="str">
        <f>IFERROR(__xludf.DUMMYFUNCTION("""COMPUTED_VALUE"""),"R$ 23,00")</f>
        <v>R$ 23,00</v>
      </c>
      <c r="AD14" s="89" t="str">
        <f>IFERROR(__xludf.DUMMYFUNCTION("""COMPUTED_VALUE"""),"Consumo")</f>
        <v>Consumo</v>
      </c>
      <c r="AE14" s="374" t="str">
        <f>IFERROR(__xludf.DUMMYFUNCTION("""COMPUTED_VALUE"""),"Ana Carolina")</f>
        <v>Ana Carolina</v>
      </c>
    </row>
    <row r="15">
      <c r="A15" s="92"/>
      <c r="B15" s="93"/>
      <c r="C15" s="63" t="s">
        <v>3170</v>
      </c>
      <c r="D15" s="64"/>
      <c r="E15" s="65" t="s">
        <v>3170</v>
      </c>
      <c r="F15" s="66"/>
      <c r="G15" s="65" t="s">
        <v>3170</v>
      </c>
      <c r="H15" s="67"/>
      <c r="I15" s="65" t="s">
        <v>3170</v>
      </c>
      <c r="J15" s="67"/>
      <c r="K15" s="65" t="s">
        <v>3170</v>
      </c>
      <c r="L15" s="68"/>
      <c r="M15" s="24"/>
      <c r="N15" s="24"/>
      <c r="O15" s="373"/>
      <c r="P15" s="89"/>
      <c r="Q15" s="89"/>
      <c r="R15" s="374"/>
      <c r="S15" s="91"/>
      <c r="T15" s="236">
        <f>IFERROR(__xludf.DUMMYFUNCTION("""COMPUTED_VALUE"""),46174.67509259259)</f>
        <v>46174.67509</v>
      </c>
      <c r="U15" s="89" t="str">
        <f>IFERROR(__xludf.DUMMYFUNCTION("""COMPUTED_VALUE"""),"R$ 17,90")</f>
        <v>R$ 17,90</v>
      </c>
      <c r="V15" s="89" t="str">
        <f>IFERROR(__xludf.DUMMYFUNCTION("""COMPUTED_VALUE"""),"Consumo")</f>
        <v>Consumo</v>
      </c>
      <c r="W15" s="89" t="str">
        <f>IFERROR(__xludf.DUMMYFUNCTION("""COMPUTED_VALUE"""),"Rayanna")</f>
        <v>Rayanna</v>
      </c>
      <c r="X15" s="376">
        <f>IFERROR(__xludf.DUMMYFUNCTION("""COMPUTED_VALUE"""),46173.5783912037)</f>
        <v>46173.57839</v>
      </c>
      <c r="Y15" s="377" t="str">
        <f>IFERROR(__xludf.DUMMYFUNCTION("""COMPUTED_VALUE"""),"R$ 11,89")</f>
        <v>R$ 11,89</v>
      </c>
      <c r="Z15" s="377" t="str">
        <f>IFERROR(__xludf.DUMMYFUNCTION("""COMPUTED_VALUE"""),"Consumo")</f>
        <v>Consumo</v>
      </c>
      <c r="AA15" s="378" t="str">
        <f>IFERROR(__xludf.DUMMYFUNCTION("""COMPUTED_VALUE"""),"Sabrina")</f>
        <v>Sabrina</v>
      </c>
      <c r="AB15" s="379">
        <f>IFERROR(__xludf.DUMMYFUNCTION("""COMPUTED_VALUE"""),46182.78947916666)</f>
        <v>46182.78948</v>
      </c>
      <c r="AC15" s="193" t="str">
        <f>IFERROR(__xludf.DUMMYFUNCTION("""COMPUTED_VALUE"""),"R$ 20,74")</f>
        <v>R$ 20,74</v>
      </c>
      <c r="AD15" s="194" t="str">
        <f>IFERROR(__xludf.DUMMYFUNCTION("""COMPUTED_VALUE"""),"Consumo")</f>
        <v>Consumo</v>
      </c>
      <c r="AE15" s="380" t="str">
        <f>IFERROR(__xludf.DUMMYFUNCTION("""COMPUTED_VALUE"""),"Ana Carolina")</f>
        <v>Ana Carolina</v>
      </c>
    </row>
    <row r="16">
      <c r="A16" s="95"/>
      <c r="B16" s="96"/>
      <c r="C16" s="97" t="s">
        <v>41</v>
      </c>
      <c r="D16" s="98"/>
      <c r="E16" s="99" t="s">
        <v>41</v>
      </c>
      <c r="F16" s="100"/>
      <c r="G16" s="99" t="s">
        <v>41</v>
      </c>
      <c r="H16" s="98"/>
      <c r="I16" s="99" t="s">
        <v>41</v>
      </c>
      <c r="J16" s="98"/>
      <c r="K16" s="99" t="s">
        <v>41</v>
      </c>
      <c r="L16" s="101"/>
      <c r="M16" s="24"/>
      <c r="N16" s="24"/>
      <c r="O16" s="373"/>
      <c r="P16" s="89"/>
      <c r="Q16" s="89"/>
      <c r="R16" s="374"/>
      <c r="S16" s="91"/>
      <c r="T16" s="236">
        <f>IFERROR(__xludf.DUMMYFUNCTION("""COMPUTED_VALUE"""),46175.76498842593)</f>
        <v>46175.76499</v>
      </c>
      <c r="U16" s="89" t="str">
        <f>IFERROR(__xludf.DUMMYFUNCTION("""COMPUTED_VALUE"""),"R$ 18,28")</f>
        <v>R$ 18,28</v>
      </c>
      <c r="V16" s="89" t="str">
        <f>IFERROR(__xludf.DUMMYFUNCTION("""COMPUTED_VALUE"""),"Consumo")</f>
        <v>Consumo</v>
      </c>
      <c r="W16" s="89" t="str">
        <f>IFERROR(__xludf.DUMMYFUNCTION("""COMPUTED_VALUE"""),"Rayanna")</f>
        <v>Rayanna</v>
      </c>
      <c r="X16" s="376">
        <f>IFERROR(__xludf.DUMMYFUNCTION("""COMPUTED_VALUE"""),46174.69537037037)</f>
        <v>46174.69537</v>
      </c>
      <c r="Y16" s="377" t="str">
        <f>IFERROR(__xludf.DUMMYFUNCTION("""COMPUTED_VALUE"""),"R$ 9,00")</f>
        <v>R$ 9,00</v>
      </c>
      <c r="Z16" s="377" t="str">
        <f>IFERROR(__xludf.DUMMYFUNCTION("""COMPUTED_VALUE"""),"Consumo")</f>
        <v>Consumo</v>
      </c>
      <c r="AA16" s="378" t="str">
        <f>IFERROR(__xludf.DUMMYFUNCTION("""COMPUTED_VALUE"""),"Sabrina")</f>
        <v>Sabrina</v>
      </c>
      <c r="AB16" s="375">
        <f>IFERROR(__xludf.DUMMYFUNCTION("""COMPUTED_VALUE"""),46182.80407407407)</f>
        <v>46182.80407</v>
      </c>
      <c r="AC16" s="89" t="str">
        <f>IFERROR(__xludf.DUMMYFUNCTION("""COMPUTED_VALUE"""),"R$ 5,70")</f>
        <v>R$ 5,70</v>
      </c>
      <c r="AD16" s="89" t="str">
        <f>IFERROR(__xludf.DUMMYFUNCTION("""COMPUTED_VALUE"""),"Consumo")</f>
        <v>Consumo</v>
      </c>
      <c r="AE16" s="374" t="str">
        <f>IFERROR(__xludf.DUMMYFUNCTION("""COMPUTED_VALUE"""),"Ana Carolina")</f>
        <v>Ana Carolina</v>
      </c>
    </row>
    <row r="17">
      <c r="A17" s="81"/>
      <c r="B17" s="81"/>
      <c r="C17" s="24"/>
      <c r="D17" s="24"/>
      <c r="E17" s="102"/>
      <c r="F17" s="102"/>
      <c r="G17" s="102"/>
      <c r="H17" s="102"/>
      <c r="I17" s="102"/>
      <c r="J17" s="102"/>
      <c r="K17" s="102"/>
      <c r="L17" s="102"/>
      <c r="M17" s="24"/>
      <c r="N17" s="24"/>
      <c r="O17" s="373"/>
      <c r="P17" s="89"/>
      <c r="Q17" s="89"/>
      <c r="R17" s="374"/>
      <c r="S17" s="91"/>
      <c r="T17" s="89"/>
      <c r="U17" s="89"/>
      <c r="V17" s="89"/>
      <c r="W17" s="89"/>
      <c r="X17" s="376">
        <f>IFERROR(__xludf.DUMMYFUNCTION("""COMPUTED_VALUE"""),46176.67329861112)</f>
        <v>46176.6733</v>
      </c>
      <c r="Y17" s="377" t="str">
        <f>IFERROR(__xludf.DUMMYFUNCTION("""COMPUTED_VALUE"""),"R$ 4,00")</f>
        <v>R$ 4,00</v>
      </c>
      <c r="Z17" s="377" t="str">
        <f>IFERROR(__xludf.DUMMYFUNCTION("""COMPUTED_VALUE"""),"Consumo")</f>
        <v>Consumo</v>
      </c>
      <c r="AA17" s="378" t="str">
        <f>IFERROR(__xludf.DUMMYFUNCTION("""COMPUTED_VALUE"""),"Sabrina")</f>
        <v>Sabrina</v>
      </c>
      <c r="AB17" s="375">
        <f>IFERROR(__xludf.DUMMYFUNCTION("""COMPUTED_VALUE"""),46183.742986111116)</f>
        <v>46183.74299</v>
      </c>
      <c r="AC17" s="89" t="str">
        <f>IFERROR(__xludf.DUMMYFUNCTION("""COMPUTED_VALUE"""),"R$ 12,92")</f>
        <v>R$ 12,92</v>
      </c>
      <c r="AD17" s="89" t="str">
        <f>IFERROR(__xludf.DUMMYFUNCTION("""COMPUTED_VALUE"""),"Consumo")</f>
        <v>Consumo</v>
      </c>
      <c r="AE17" s="374" t="str">
        <f>IFERROR(__xludf.DUMMYFUNCTION("""COMPUTED_VALUE"""),"Ana Carolina")</f>
        <v>Ana Carolina</v>
      </c>
    </row>
    <row r="18">
      <c r="A18" s="81"/>
      <c r="B18" s="81"/>
      <c r="C18" s="103"/>
      <c r="D18" s="104"/>
      <c r="E18" s="105" t="s">
        <v>3431</v>
      </c>
      <c r="F18" s="106"/>
      <c r="G18" s="106"/>
      <c r="H18" s="107"/>
      <c r="I18" s="105" t="s">
        <v>3435</v>
      </c>
      <c r="J18" s="107"/>
      <c r="K18" s="105" t="s">
        <v>3438</v>
      </c>
      <c r="L18" s="107"/>
      <c r="M18" s="24"/>
      <c r="N18" s="24"/>
      <c r="O18" s="381"/>
      <c r="P18" s="109"/>
      <c r="Q18" s="109"/>
      <c r="R18" s="382"/>
      <c r="S18" s="110"/>
      <c r="T18" s="109"/>
      <c r="U18" s="109"/>
      <c r="V18" s="109"/>
      <c r="W18" s="109"/>
      <c r="X18" s="376">
        <f>IFERROR(__xludf.DUMMYFUNCTION("""COMPUTED_VALUE"""),46176.85122685185)</f>
        <v>46176.85123</v>
      </c>
      <c r="Y18" s="383" t="str">
        <f>IFERROR(__xludf.DUMMYFUNCTION("""COMPUTED_VALUE"""),"R$ 21,47")</f>
        <v>R$ 21,47</v>
      </c>
      <c r="Z18" s="383" t="str">
        <f>IFERROR(__xludf.DUMMYFUNCTION("""COMPUTED_VALUE"""),"Consumo")</f>
        <v>Consumo</v>
      </c>
      <c r="AA18" s="384" t="str">
        <f>IFERROR(__xludf.DUMMYFUNCTION("""COMPUTED_VALUE"""),"Sabrina")</f>
        <v>Sabrina</v>
      </c>
      <c r="AB18" s="375">
        <f>IFERROR(__xludf.DUMMYFUNCTION("""COMPUTED_VALUE"""),46183.790509259255)</f>
        <v>46183.79051</v>
      </c>
      <c r="AC18" s="109" t="str">
        <f>IFERROR(__xludf.DUMMYFUNCTION("""COMPUTED_VALUE"""),"R$ 6,65")</f>
        <v>R$ 6,65</v>
      </c>
      <c r="AD18" s="109" t="str">
        <f>IFERROR(__xludf.DUMMYFUNCTION("""COMPUTED_VALUE"""),"Consumo")</f>
        <v>Consumo</v>
      </c>
      <c r="AE18" s="382" t="str">
        <f>IFERROR(__xludf.DUMMYFUNCTION("""COMPUTED_VALUE"""),"Ana Carolina")</f>
        <v>Ana Carolina</v>
      </c>
    </row>
    <row r="19">
      <c r="A19" s="23"/>
      <c r="B19" s="23"/>
      <c r="C19" s="112"/>
      <c r="D19" s="113"/>
      <c r="E19" s="112"/>
      <c r="F19" s="114"/>
      <c r="G19" s="273" t="s">
        <v>7076</v>
      </c>
      <c r="H19" s="116">
        <f>SUMIF(L29:L499,G19,N29:N499)</f>
        <v>3450</v>
      </c>
      <c r="I19" s="117" t="s">
        <v>3466</v>
      </c>
      <c r="J19" s="118" t="s">
        <v>3467</v>
      </c>
      <c r="K19" s="119" t="s">
        <v>3472</v>
      </c>
      <c r="L19" s="113"/>
      <c r="M19" s="24"/>
      <c r="N19" s="24"/>
      <c r="O19" s="385"/>
      <c r="P19" s="386"/>
      <c r="Q19" s="386"/>
      <c r="R19" s="387"/>
      <c r="S19" s="110"/>
      <c r="X19" s="388">
        <f>IFERROR(__xludf.DUMMYFUNCTION("""COMPUTED_VALUE"""),46199.63685185185)</f>
        <v>46199.63685</v>
      </c>
      <c r="Y19" s="389" t="str">
        <f>IFERROR(__xludf.DUMMYFUNCTION("""COMPUTED_VALUE"""),"R$ 10,99")</f>
        <v>R$ 10,99</v>
      </c>
      <c r="Z19" s="389" t="str">
        <f>IFERROR(__xludf.DUMMYFUNCTION("""COMPUTED_VALUE"""),"Consumo")</f>
        <v>Consumo</v>
      </c>
      <c r="AA19" s="390" t="str">
        <f>IFERROR(__xludf.DUMMYFUNCTION("""COMPUTED_VALUE"""),"Sabrina")</f>
        <v>Sabrina</v>
      </c>
      <c r="AB19" s="391">
        <f>IFERROR(__xludf.DUMMYFUNCTION("""COMPUTED_VALUE"""),46184.87918981482)</f>
        <v>46184.87919</v>
      </c>
      <c r="AC19" s="239" t="str">
        <f>IFERROR(__xludf.DUMMYFUNCTION("""COMPUTED_VALUE"""),"R$ 3,96")</f>
        <v>R$ 3,96</v>
      </c>
      <c r="AD19" s="239" t="str">
        <f>IFERROR(__xludf.DUMMYFUNCTION("""COMPUTED_VALUE"""),"Consumo")</f>
        <v>Consumo</v>
      </c>
      <c r="AE19" s="392" t="str">
        <f>IFERROR(__xludf.DUMMYFUNCTION("""COMPUTED_VALUE"""),"Ana Carolina")</f>
        <v>Ana Carolina</v>
      </c>
    </row>
    <row r="20">
      <c r="A20" s="125"/>
      <c r="B20" s="125"/>
      <c r="C20" s="126" t="s">
        <v>1112</v>
      </c>
      <c r="D20" s="127">
        <f>SUMIFS(N29:N504,J29:J504,C20,K29:K504,C19)+SUMIF(Q70:Q106,A9,R70:R106)+D25</f>
        <v>0</v>
      </c>
      <c r="E20" s="126" t="s">
        <v>1112</v>
      </c>
      <c r="F20" s="128">
        <f>SUMIFS(N29:N504,J29:J504,C20,K29:K504,E19)+SUMIF(Q70:Q106,A10,R70:R106)+F25</f>
        <v>0</v>
      </c>
      <c r="G20" s="129" t="s">
        <v>3505</v>
      </c>
      <c r="H20" s="130">
        <v>0.0</v>
      </c>
      <c r="I20" s="131">
        <f>SUMIF(J29:J504,I19,N29:N504)</f>
        <v>0</v>
      </c>
      <c r="J20" s="132">
        <f>SUMIF(J29:J504,J19,N29:N504)</f>
        <v>325.37</v>
      </c>
      <c r="K20" s="133" t="s">
        <v>3520</v>
      </c>
      <c r="L20" s="134"/>
      <c r="M20" s="24"/>
      <c r="N20" s="24"/>
      <c r="O20" s="393"/>
      <c r="P20" s="394"/>
      <c r="Q20" s="394"/>
      <c r="R20" s="395"/>
      <c r="S20" s="48"/>
      <c r="T20" s="402"/>
      <c r="U20" s="397"/>
      <c r="V20" s="397"/>
      <c r="W20" s="397"/>
      <c r="X20" s="398">
        <f>IFERROR(__xludf.DUMMYFUNCTION("""COMPUTED_VALUE"""),46199.65991898148)</f>
        <v>46199.65992</v>
      </c>
      <c r="Y20" s="399" t="str">
        <f>IFERROR(__xludf.DUMMYFUNCTION("""COMPUTED_VALUE"""),"R$ 11,77")</f>
        <v>R$ 11,77</v>
      </c>
      <c r="Z20" s="399" t="str">
        <f>IFERROR(__xludf.DUMMYFUNCTION("""COMPUTED_VALUE"""),"Consumo")</f>
        <v>Consumo</v>
      </c>
      <c r="AA20" s="400" t="str">
        <f>IFERROR(__xludf.DUMMYFUNCTION("""COMPUTED_VALUE"""),"Sabrina")</f>
        <v>Sabrina</v>
      </c>
      <c r="AB20" s="401">
        <f>IFERROR(__xludf.DUMMYFUNCTION("""COMPUTED_VALUE"""),46185.87305555555)</f>
        <v>46185.87306</v>
      </c>
      <c r="AC20" s="402" t="str">
        <f>IFERROR(__xludf.DUMMYFUNCTION("""COMPUTED_VALUE"""),"R$ 10,24")</f>
        <v>R$ 10,24</v>
      </c>
      <c r="AD20" s="402" t="str">
        <f>IFERROR(__xludf.DUMMYFUNCTION("""COMPUTED_VALUE"""),"Consumo")</f>
        <v>Consumo</v>
      </c>
      <c r="AE20" s="403" t="str">
        <f>IFERROR(__xludf.DUMMYFUNCTION("""COMPUTED_VALUE"""),"Ana Carolina")</f>
        <v>Ana Carolina</v>
      </c>
    </row>
    <row r="21" ht="19.5" customHeight="1">
      <c r="A21" s="137"/>
      <c r="B21" s="137"/>
      <c r="C21" s="126" t="s">
        <v>3044</v>
      </c>
      <c r="D21" s="127">
        <f>SUMIFS(N29:N504,J29:J504,C21,K29:K504,C19)</f>
        <v>0</v>
      </c>
      <c r="E21" s="126" t="s">
        <v>3044</v>
      </c>
      <c r="F21" s="128">
        <f>SUMIFS(N29:N504,J29:J504,E21,K29:K504,E19)</f>
        <v>0</v>
      </c>
      <c r="G21" s="86" t="s">
        <v>3560</v>
      </c>
      <c r="H21" s="127">
        <f>SUMIFS(N29:N504,D29:D504,"Saída",J29:J504,"Sangria")</f>
        <v>5150</v>
      </c>
      <c r="I21" s="138"/>
      <c r="J21" s="139"/>
      <c r="K21" s="133" t="s">
        <v>3570</v>
      </c>
      <c r="L21" s="134"/>
      <c r="M21" s="24"/>
      <c r="N21" s="24"/>
      <c r="O21" s="370"/>
      <c r="P21" s="52"/>
      <c r="Q21" s="52"/>
      <c r="R21" s="371"/>
      <c r="S21" s="54"/>
      <c r="T21" s="52"/>
      <c r="U21" s="52"/>
      <c r="V21" s="52"/>
      <c r="W21" s="52"/>
      <c r="X21" s="416"/>
      <c r="Y21" s="405"/>
      <c r="Z21" s="405"/>
      <c r="AA21" s="406"/>
      <c r="AB21" s="391">
        <f>IFERROR(__xludf.DUMMYFUNCTION("""COMPUTED_VALUE"""),46186.66222222222)</f>
        <v>46186.66222</v>
      </c>
      <c r="AC21" s="239" t="str">
        <f>IFERROR(__xludf.DUMMYFUNCTION("""COMPUTED_VALUE"""),"R$ 4,00")</f>
        <v>R$ 4,00</v>
      </c>
      <c r="AD21" s="239" t="str">
        <f>IFERROR(__xludf.DUMMYFUNCTION("""COMPUTED_VALUE"""),"Consumo")</f>
        <v>Consumo</v>
      </c>
      <c r="AE21" s="392" t="str">
        <f>IFERROR(__xludf.DUMMYFUNCTION("""COMPUTED_VALUE"""),"Ana Carolina")</f>
        <v>Ana Carolina</v>
      </c>
    </row>
    <row r="22">
      <c r="A22" s="137"/>
      <c r="B22" s="137"/>
      <c r="C22" s="140" t="s">
        <v>3082</v>
      </c>
      <c r="D22" s="127">
        <f>D21*0.8</f>
        <v>0</v>
      </c>
      <c r="E22" s="140" t="s">
        <v>3082</v>
      </c>
      <c r="F22" s="141">
        <f>F21*0.8</f>
        <v>0</v>
      </c>
      <c r="G22" s="142" t="s">
        <v>3592</v>
      </c>
      <c r="H22" s="143">
        <f>SUMIFS(N29:N504,D29:D504,"Entrada",J29:J504,"Sangria")</f>
        <v>0</v>
      </c>
      <c r="I22" s="144" t="s">
        <v>3602</v>
      </c>
      <c r="J22" s="145"/>
      <c r="K22" s="133" t="s">
        <v>3606</v>
      </c>
      <c r="L22" s="134"/>
      <c r="M22" s="24"/>
      <c r="N22" s="24"/>
      <c r="O22" s="370"/>
      <c r="P22" s="52"/>
      <c r="Q22" s="52"/>
      <c r="R22" s="371"/>
      <c r="S22" s="54"/>
      <c r="T22" s="52"/>
      <c r="U22" s="52"/>
      <c r="V22" s="52"/>
      <c r="W22" s="52"/>
      <c r="X22" s="416"/>
      <c r="Y22" s="405"/>
      <c r="Z22" s="405"/>
      <c r="AA22" s="406"/>
      <c r="AB22" s="391">
        <f>IFERROR(__xludf.DUMMYFUNCTION("""COMPUTED_VALUE"""),46187.64984953703)</f>
        <v>46187.64985</v>
      </c>
      <c r="AC22" s="239" t="str">
        <f>IFERROR(__xludf.DUMMYFUNCTION("""COMPUTED_VALUE"""),"R$ 7,28")</f>
        <v>R$ 7,28</v>
      </c>
      <c r="AD22" s="239" t="str">
        <f>IFERROR(__xludf.DUMMYFUNCTION("""COMPUTED_VALUE"""),"Consumo")</f>
        <v>Consumo</v>
      </c>
      <c r="AE22" s="392" t="str">
        <f>IFERROR(__xludf.DUMMYFUNCTION("""COMPUTED_VALUE"""),"Ana Carolina")</f>
        <v>Ana Carolina</v>
      </c>
    </row>
    <row r="23">
      <c r="A23" s="146"/>
      <c r="B23" s="146"/>
      <c r="C23" s="147" t="s">
        <v>3140</v>
      </c>
      <c r="D23" s="148"/>
      <c r="E23" s="147" t="s">
        <v>3140</v>
      </c>
      <c r="F23" s="148"/>
      <c r="G23" s="149" t="s">
        <v>3623</v>
      </c>
      <c r="H23" s="150"/>
      <c r="I23" s="151">
        <f>SUMIF(J29:J504,I22,N29:N504)</f>
        <v>0</v>
      </c>
      <c r="J23" s="152"/>
      <c r="K23" s="133" t="s">
        <v>3630</v>
      </c>
      <c r="L23" s="134"/>
      <c r="M23" s="24"/>
      <c r="N23" s="24"/>
      <c r="O23" s="370"/>
      <c r="P23" s="52"/>
      <c r="Q23" s="52"/>
      <c r="R23" s="371"/>
      <c r="S23" s="54"/>
      <c r="T23" s="52"/>
      <c r="U23" s="52"/>
      <c r="V23" s="52"/>
      <c r="W23" s="52"/>
      <c r="X23" s="407"/>
      <c r="Y23" s="52"/>
      <c r="Z23" s="52"/>
      <c r="AA23" s="371"/>
      <c r="AB23" s="370">
        <f>IFERROR(__xludf.DUMMYFUNCTION("""COMPUTED_VALUE"""),46188.8190625)</f>
        <v>46188.81906</v>
      </c>
      <c r="AC23" s="52" t="str">
        <f>IFERROR(__xludf.DUMMYFUNCTION("""COMPUTED_VALUE"""),"R$ 11,65")</f>
        <v>R$ 11,65</v>
      </c>
      <c r="AD23" s="52" t="str">
        <f>IFERROR(__xludf.DUMMYFUNCTION("""COMPUTED_VALUE"""),"Consumo")</f>
        <v>Consumo</v>
      </c>
      <c r="AE23" s="371" t="str">
        <f>IFERROR(__xludf.DUMMYFUNCTION("""COMPUTED_VALUE"""),"Ana Carolina")</f>
        <v>Ana Carolina</v>
      </c>
    </row>
    <row r="24">
      <c r="A24" s="153"/>
      <c r="B24" s="153"/>
      <c r="C24" s="154" t="s">
        <v>3170</v>
      </c>
      <c r="D24" s="155"/>
      <c r="E24" s="154" t="s">
        <v>3170</v>
      </c>
      <c r="F24" s="155"/>
      <c r="G24" s="86" t="s">
        <v>3646</v>
      </c>
      <c r="H24" s="156">
        <f>SUMIF(L29:L504,G24,N29:N504)</f>
        <v>0</v>
      </c>
      <c r="I24" s="157" t="s">
        <v>3653</v>
      </c>
      <c r="J24" s="150"/>
      <c r="K24" s="133" t="s">
        <v>3656</v>
      </c>
      <c r="L24" s="134"/>
      <c r="M24" s="24"/>
      <c r="N24" s="24"/>
      <c r="O24" s="370"/>
      <c r="P24" s="52"/>
      <c r="Q24" s="52"/>
      <c r="R24" s="371"/>
      <c r="S24" s="54"/>
      <c r="T24" s="52"/>
      <c r="U24" s="52"/>
      <c r="V24" s="52"/>
      <c r="W24" s="52"/>
      <c r="X24" s="407"/>
      <c r="Y24" s="52"/>
      <c r="Z24" s="52"/>
      <c r="AA24" s="371"/>
      <c r="AB24" s="370">
        <f>IFERROR(__xludf.DUMMYFUNCTION("""COMPUTED_VALUE"""),46189.74636574074)</f>
        <v>46189.74637</v>
      </c>
      <c r="AC24" s="52" t="str">
        <f>IFERROR(__xludf.DUMMYFUNCTION("""COMPUTED_VALUE"""),"R$ 5,00")</f>
        <v>R$ 5,00</v>
      </c>
      <c r="AD24" s="52" t="str">
        <f>IFERROR(__xludf.DUMMYFUNCTION("""COMPUTED_VALUE"""),"Consumo")</f>
        <v>Consumo</v>
      </c>
      <c r="AE24" s="371" t="str">
        <f>IFERROR(__xludf.DUMMYFUNCTION("""COMPUTED_VALUE"""),"Ana Carolina")</f>
        <v>Ana Carolina</v>
      </c>
    </row>
    <row r="25" ht="14.25" customHeight="1">
      <c r="A25" s="153"/>
      <c r="B25" s="153"/>
      <c r="C25" s="158" t="s">
        <v>41</v>
      </c>
      <c r="D25" s="159"/>
      <c r="E25" s="158" t="s">
        <v>41</v>
      </c>
      <c r="F25" s="159"/>
      <c r="G25" s="160" t="s">
        <v>3665</v>
      </c>
      <c r="H25" s="161">
        <f>SUMIF(L29:L504,G25,N29:N504)</f>
        <v>1700</v>
      </c>
      <c r="I25" s="151">
        <f>SUMIF(J29:J504,I24,N29:N504)</f>
        <v>0</v>
      </c>
      <c r="J25" s="152"/>
      <c r="K25" s="162"/>
      <c r="L25" s="163"/>
      <c r="M25" s="25"/>
      <c r="N25" s="25"/>
      <c r="O25" s="370"/>
      <c r="P25" s="52"/>
      <c r="Q25" s="52"/>
      <c r="R25" s="371"/>
      <c r="S25" s="54"/>
      <c r="T25" s="52"/>
      <c r="U25" s="52"/>
      <c r="V25" s="52"/>
      <c r="W25" s="52"/>
      <c r="X25" s="407"/>
      <c r="Y25" s="52"/>
      <c r="Z25" s="52"/>
      <c r="AA25" s="371"/>
      <c r="AB25" s="370">
        <f>IFERROR(__xludf.DUMMYFUNCTION("""COMPUTED_VALUE"""),46190.63747685185)</f>
        <v>46190.63748</v>
      </c>
      <c r="AC25" s="52" t="str">
        <f>IFERROR(__xludf.DUMMYFUNCTION("""COMPUTED_VALUE"""),"R$ 5,00")</f>
        <v>R$ 5,00</v>
      </c>
      <c r="AD25" s="52" t="str">
        <f>IFERROR(__xludf.DUMMYFUNCTION("""COMPUTED_VALUE"""),"Consumo")</f>
        <v>Consumo</v>
      </c>
      <c r="AE25" s="371" t="str">
        <f>IFERROR(__xludf.DUMMYFUNCTION("""COMPUTED_VALUE"""),"Ana Carolina")</f>
        <v>Ana Carolina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370"/>
      <c r="P26" s="79"/>
      <c r="Q26" s="79"/>
      <c r="R26" s="372"/>
      <c r="S26" s="81"/>
      <c r="T26" s="79"/>
      <c r="U26" s="79"/>
      <c r="V26" s="79"/>
      <c r="W26" s="79"/>
      <c r="X26" s="408"/>
      <c r="Y26" s="79"/>
      <c r="Z26" s="79"/>
      <c r="AA26" s="372"/>
      <c r="AB26" s="370">
        <f>IFERROR(__xludf.DUMMYFUNCTION("""COMPUTED_VALUE"""),46190.742847222224)</f>
        <v>46190.74285</v>
      </c>
      <c r="AC26" s="79" t="str">
        <f>IFERROR(__xludf.DUMMYFUNCTION("""COMPUTED_VALUE"""),"R$ 2,17")</f>
        <v>R$ 2,17</v>
      </c>
      <c r="AD26" s="79" t="str">
        <f>IFERROR(__xludf.DUMMYFUNCTION("""COMPUTED_VALUE"""),"Consumo")</f>
        <v>Consumo</v>
      </c>
      <c r="AE26" s="372" t="str">
        <f>IFERROR(__xludf.DUMMYFUNCTION("""COMPUTED_VALUE"""),"Ana Carolina")</f>
        <v>Ana Carolina</v>
      </c>
    </row>
    <row r="27">
      <c r="A27" s="168"/>
      <c r="B27" s="251" t="s">
        <v>3702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67"/>
      <c r="O27" s="373"/>
      <c r="P27" s="89"/>
      <c r="Q27" s="89"/>
      <c r="R27" s="374"/>
      <c r="S27" s="91"/>
      <c r="T27" s="89"/>
      <c r="U27" s="89"/>
      <c r="V27" s="89"/>
      <c r="W27" s="89"/>
      <c r="X27" s="373"/>
      <c r="Y27" s="89"/>
      <c r="Z27" s="89"/>
      <c r="AA27" s="374"/>
      <c r="AB27" s="375">
        <f>IFERROR(__xludf.DUMMYFUNCTION("""COMPUTED_VALUE"""),46191.705092592594)</f>
        <v>46191.70509</v>
      </c>
      <c r="AC27" s="89" t="str">
        <f>IFERROR(__xludf.DUMMYFUNCTION("""COMPUTED_VALUE"""),"R$ 7,41")</f>
        <v>R$ 7,41</v>
      </c>
      <c r="AD27" s="89" t="str">
        <f>IFERROR(__xludf.DUMMYFUNCTION("""COMPUTED_VALUE"""),"Consumo")</f>
        <v>Consumo</v>
      </c>
      <c r="AE27" s="374" t="str">
        <f>IFERROR(__xludf.DUMMYFUNCTION("""COMPUTED_VALUE"""),"Ana Carolina")</f>
        <v>Ana Carolina</v>
      </c>
    </row>
    <row r="28">
      <c r="A28" s="171"/>
      <c r="B28" s="172" t="s">
        <v>4</v>
      </c>
      <c r="C28" s="173" t="s">
        <v>1</v>
      </c>
      <c r="D28" s="174" t="s">
        <v>2</v>
      </c>
      <c r="E28" s="173" t="s">
        <v>3</v>
      </c>
      <c r="F28" s="174"/>
      <c r="G28" s="174" t="s">
        <v>6</v>
      </c>
      <c r="H28" s="175"/>
      <c r="I28" s="176" t="s">
        <v>13</v>
      </c>
      <c r="J28" s="174" t="s">
        <v>14</v>
      </c>
      <c r="K28" s="173" t="s">
        <v>17</v>
      </c>
      <c r="L28" s="340" t="s">
        <v>3724</v>
      </c>
      <c r="M28" s="274" t="s">
        <v>12</v>
      </c>
      <c r="N28" s="167"/>
      <c r="O28" s="373"/>
      <c r="P28" s="89"/>
      <c r="Q28" s="89"/>
      <c r="R28" s="374"/>
      <c r="S28" s="91"/>
      <c r="T28" s="89"/>
      <c r="U28" s="89"/>
      <c r="V28" s="89"/>
      <c r="W28" s="89"/>
      <c r="X28" s="373"/>
      <c r="Y28" s="89"/>
      <c r="Z28" s="89"/>
      <c r="AA28" s="374"/>
      <c r="AB28" s="375">
        <f>IFERROR(__xludf.DUMMYFUNCTION("""COMPUTED_VALUE"""),46191.70534722222)</f>
        <v>46191.70535</v>
      </c>
      <c r="AC28" s="89" t="str">
        <f>IFERROR(__xludf.DUMMYFUNCTION("""COMPUTED_VALUE"""),"R$ 4,00")</f>
        <v>R$ 4,00</v>
      </c>
      <c r="AD28" s="89" t="str">
        <f>IFERROR(__xludf.DUMMYFUNCTION("""COMPUTED_VALUE"""),"Consumo")</f>
        <v>Consumo</v>
      </c>
      <c r="AE28" s="374" t="str">
        <f>IFERROR(__xludf.DUMMYFUNCTION("""COMPUTED_VALUE"""),"Ana Carolina")</f>
        <v>Ana Carolina</v>
      </c>
    </row>
    <row r="29" ht="14.25" customHeight="1">
      <c r="A29" s="178"/>
      <c r="B29" s="10">
        <v>2196908.0</v>
      </c>
      <c r="C29" s="11">
        <v>46168.71840277778</v>
      </c>
      <c r="D29" s="179" t="s">
        <v>50</v>
      </c>
      <c r="E29" s="180" t="s">
        <v>8313</v>
      </c>
      <c r="F29" s="181"/>
      <c r="G29" s="179" t="s">
        <v>8314</v>
      </c>
      <c r="H29" s="190"/>
      <c r="I29" s="190"/>
      <c r="J29" s="187" t="s">
        <v>3903</v>
      </c>
      <c r="K29" s="187"/>
      <c r="L29" s="252" t="str">
        <f>IFERROR(__xludf.DUMMYFUNCTION("IF(
  AND(D29=""Saída"", J29=""Sangria""),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5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85">
        <f>IFERROR(__xludf.DUMMYFUNCTION("ifna(VALUE(REGEXEXTRACT(E29,""[0-9.]+[,]+[0-9]+"")))"),168.0)</f>
        <v>168</v>
      </c>
      <c r="O29" s="373"/>
      <c r="P29" s="89"/>
      <c r="Q29" s="89"/>
      <c r="R29" s="374"/>
      <c r="S29" s="91"/>
      <c r="T29" s="89"/>
      <c r="U29" s="89"/>
      <c r="V29" s="89"/>
      <c r="W29" s="89"/>
      <c r="X29" s="373"/>
      <c r="Y29" s="89"/>
      <c r="Z29" s="89"/>
      <c r="AA29" s="374"/>
      <c r="AB29" s="375">
        <f>IFERROR(__xludf.DUMMYFUNCTION("""COMPUTED_VALUE"""),46192.56547453704)</f>
        <v>46192.56547</v>
      </c>
      <c r="AC29" s="89" t="str">
        <f>IFERROR(__xludf.DUMMYFUNCTION("""COMPUTED_VALUE"""),"R$ 9,71")</f>
        <v>R$ 9,71</v>
      </c>
      <c r="AD29" s="89" t="str">
        <f>IFERROR(__xludf.DUMMYFUNCTION("""COMPUTED_VALUE"""),"Consumo")</f>
        <v>Consumo</v>
      </c>
      <c r="AE29" s="374" t="str">
        <f>IFERROR(__xludf.DUMMYFUNCTION("""COMPUTED_VALUE"""),"Ana Carolina")</f>
        <v>Ana Carolina</v>
      </c>
    </row>
    <row r="30">
      <c r="A30" s="178"/>
      <c r="B30" s="10">
        <v>2197022.0</v>
      </c>
      <c r="C30" s="11">
        <v>46168.75818287037</v>
      </c>
      <c r="D30" s="179" t="s">
        <v>50</v>
      </c>
      <c r="E30" s="180" t="s">
        <v>236</v>
      </c>
      <c r="F30" s="181"/>
      <c r="G30" s="179" t="s">
        <v>8319</v>
      </c>
      <c r="H30" s="190"/>
      <c r="I30" s="190"/>
      <c r="J30" s="187" t="s">
        <v>3903</v>
      </c>
      <c r="K30" s="187"/>
      <c r="L30" s="252" t="str">
        <f>IFERROR(__xludf.DUMMYFUNCTION("IF(
  AND(D30=""Saída"", J30=""Sangria""),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6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85">
        <f>IFERROR(__xludf.DUMMYFUNCTION("ifna(VALUE(REGEXEXTRACT(E30,""[0-9.]+[,]+[0-9]+"")))"),30.0)</f>
        <v>30</v>
      </c>
      <c r="O30" s="373"/>
      <c r="P30" s="89"/>
      <c r="Q30" s="89"/>
      <c r="R30" s="374"/>
      <c r="S30" s="91"/>
      <c r="T30" s="89"/>
      <c r="U30" s="89"/>
      <c r="V30" s="89"/>
      <c r="W30" s="89"/>
      <c r="X30" s="373"/>
      <c r="Y30" s="89"/>
      <c r="Z30" s="89"/>
      <c r="AA30" s="374"/>
      <c r="AB30" s="375">
        <f>IFERROR(__xludf.DUMMYFUNCTION("""COMPUTED_VALUE"""),46192.67127314815)</f>
        <v>46192.67127</v>
      </c>
      <c r="AC30" s="89" t="str">
        <f>IFERROR(__xludf.DUMMYFUNCTION("""COMPUTED_VALUE"""),"R$ 7,67")</f>
        <v>R$ 7,67</v>
      </c>
      <c r="AD30" s="89" t="str">
        <f>IFERROR(__xludf.DUMMYFUNCTION("""COMPUTED_VALUE"""),"Consumo")</f>
        <v>Consumo</v>
      </c>
      <c r="AE30" s="374" t="str">
        <f>IFERROR(__xludf.DUMMYFUNCTION("""COMPUTED_VALUE"""),"Ana Carolina")</f>
        <v>Ana Carolina</v>
      </c>
    </row>
    <row r="31" ht="14.25" customHeight="1">
      <c r="A31" s="178"/>
      <c r="B31" s="10">
        <v>2197046.0</v>
      </c>
      <c r="C31" s="11">
        <v>46168.76484953704</v>
      </c>
      <c r="D31" s="179" t="s">
        <v>50</v>
      </c>
      <c r="E31" s="180" t="s">
        <v>8324</v>
      </c>
      <c r="F31" s="181"/>
      <c r="G31" s="10" t="s">
        <v>94</v>
      </c>
      <c r="H31" s="190"/>
      <c r="I31" s="190"/>
      <c r="J31" s="187" t="s">
        <v>3044</v>
      </c>
      <c r="K31" s="187" t="s">
        <v>7058</v>
      </c>
      <c r="L31" s="252" t="str">
        <f>IFERROR(__xludf.DUMMYFUNCTION("IF(
  AND(D31=""Saída"", J31=""Sangria""),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7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IFERROR(__xludf.DUMMYFUNCTION("ifna(VALUE(REGEXEXTRACT(E31,""[0-9.]+[,]+[0-9]+"")))"),28.25)</f>
        <v>28.25</v>
      </c>
      <c r="O31" s="409"/>
      <c r="P31" s="193"/>
      <c r="Q31" s="194"/>
      <c r="R31" s="380"/>
      <c r="S31" s="91"/>
      <c r="T31" s="89"/>
      <c r="U31" s="89"/>
      <c r="V31" s="89"/>
      <c r="W31" s="89"/>
      <c r="X31" s="373"/>
      <c r="Y31" s="89"/>
      <c r="Z31" s="89"/>
      <c r="AA31" s="374"/>
      <c r="AB31" s="375">
        <f>IFERROR(__xludf.DUMMYFUNCTION("""COMPUTED_VALUE"""),46192.744259259256)</f>
        <v>46192.74426</v>
      </c>
      <c r="AC31" s="89" t="str">
        <f>IFERROR(__xludf.DUMMYFUNCTION("""COMPUTED_VALUE"""),"R$ 8,95")</f>
        <v>R$ 8,95</v>
      </c>
      <c r="AD31" s="89" t="str">
        <f>IFERROR(__xludf.DUMMYFUNCTION("""COMPUTED_VALUE"""),"Consumo")</f>
        <v>Consumo</v>
      </c>
      <c r="AE31" s="374" t="str">
        <f>IFERROR(__xludf.DUMMYFUNCTION("""COMPUTED_VALUE"""),"Ana Carolina")</f>
        <v>Ana Carolina</v>
      </c>
    </row>
    <row r="32" ht="14.25" customHeight="1">
      <c r="A32" s="178"/>
      <c r="B32" s="10">
        <v>2197051.0</v>
      </c>
      <c r="C32" s="11">
        <v>46168.76526620371</v>
      </c>
      <c r="D32" s="179" t="s">
        <v>50</v>
      </c>
      <c r="E32" s="180" t="s">
        <v>943</v>
      </c>
      <c r="F32" s="181"/>
      <c r="G32" s="179" t="s">
        <v>7666</v>
      </c>
      <c r="H32" s="190"/>
      <c r="I32" s="190"/>
      <c r="J32" s="187" t="s">
        <v>3044</v>
      </c>
      <c r="K32" s="187" t="s">
        <v>7052</v>
      </c>
      <c r="L32" s="252" t="str">
        <f>IFERROR(__xludf.DUMMYFUNCTION("IF(
  AND(D32=""Saída"", J32=""Sangria""),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7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IFERROR(__xludf.DUMMYFUNCTION("ifna(VALUE(REGEXEXTRACT(E32,""[0-9.]+[,]+[0-9]+"")))"),12.0)</f>
        <v>12</v>
      </c>
      <c r="O32" s="373"/>
      <c r="P32" s="89"/>
      <c r="Q32" s="89"/>
      <c r="R32" s="374"/>
      <c r="S32" s="91"/>
      <c r="T32" s="89"/>
      <c r="U32" s="89"/>
      <c r="V32" s="89"/>
      <c r="W32" s="89"/>
      <c r="X32" s="373"/>
      <c r="Y32" s="89"/>
      <c r="Z32" s="89"/>
      <c r="AA32" s="374"/>
      <c r="AB32" s="375">
        <f>IFERROR(__xludf.DUMMYFUNCTION("""COMPUTED_VALUE"""),46199.6265625)</f>
        <v>46199.62656</v>
      </c>
      <c r="AC32" s="89" t="str">
        <f>IFERROR(__xludf.DUMMYFUNCTION("""COMPUTED_VALUE"""),"R$ 4,86")</f>
        <v>R$ 4,86</v>
      </c>
      <c r="AD32" s="89" t="str">
        <f>IFERROR(__xludf.DUMMYFUNCTION("""COMPUTED_VALUE"""),"Consumo")</f>
        <v>Consumo</v>
      </c>
      <c r="AE32" s="374" t="str">
        <f>IFERROR(__xludf.DUMMYFUNCTION("""COMPUTED_VALUE"""),"Ana Carolina")</f>
        <v>Ana Carolina</v>
      </c>
    </row>
    <row r="33" ht="14.25" customHeight="1">
      <c r="A33" s="178"/>
      <c r="B33" s="10">
        <v>2197069.0</v>
      </c>
      <c r="C33" s="11">
        <v>46168.773356481484</v>
      </c>
      <c r="D33" s="179" t="s">
        <v>50</v>
      </c>
      <c r="E33" s="180" t="s">
        <v>8329</v>
      </c>
      <c r="F33" s="181"/>
      <c r="G33" s="179" t="s">
        <v>8330</v>
      </c>
      <c r="H33" s="190"/>
      <c r="I33" s="190"/>
      <c r="J33" s="187" t="s">
        <v>3044</v>
      </c>
      <c r="K33" s="187" t="s">
        <v>7052</v>
      </c>
      <c r="L33" s="252" t="str">
        <f>IFERROR(__xludf.DUMMYFUNCTION("IF(
  AND(D33=""Saída"", J33=""Sangria""),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7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IFERROR(__xludf.DUMMYFUNCTION("ifna(VALUE(REGEXEXTRACT(E33,""[0-9.]+[,]+[0-9]+"")))"),48.29)</f>
        <v>48.29</v>
      </c>
      <c r="O33" s="373"/>
      <c r="P33" s="89"/>
      <c r="Q33" s="89"/>
      <c r="R33" s="374"/>
      <c r="S33" s="91"/>
      <c r="T33" s="89"/>
      <c r="U33" s="89"/>
      <c r="V33" s="89"/>
      <c r="W33" s="89"/>
      <c r="X33" s="373"/>
      <c r="Y33" s="89"/>
      <c r="Z33" s="89"/>
      <c r="AA33" s="374"/>
      <c r="AB33" s="373"/>
      <c r="AC33" s="89"/>
      <c r="AD33" s="89"/>
      <c r="AE33" s="374"/>
    </row>
    <row r="34" ht="14.25" customHeight="1">
      <c r="A34" s="178"/>
      <c r="B34" s="10">
        <v>2197084.0</v>
      </c>
      <c r="C34" s="11">
        <v>46168.78233796296</v>
      </c>
      <c r="D34" s="179" t="s">
        <v>50</v>
      </c>
      <c r="E34" s="180" t="s">
        <v>7541</v>
      </c>
      <c r="F34" s="181"/>
      <c r="G34" s="179" t="s">
        <v>74</v>
      </c>
      <c r="H34" s="190"/>
      <c r="I34" s="190"/>
      <c r="J34" s="187" t="s">
        <v>3044</v>
      </c>
      <c r="K34" s="187" t="s">
        <v>7058</v>
      </c>
      <c r="L34" s="252" t="str">
        <f>IFERROR(__xludf.DUMMYFUNCTION("IF(
  AND(D34=""Saída"", J34=""Sangria""),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9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IFERROR(__xludf.DUMMYFUNCTION("ifna(VALUE(REGEXEXTRACT(E34,""[0-9.]+[,]+[0-9]+"")))"),18.4)</f>
        <v>18.4</v>
      </c>
      <c r="O34" s="381"/>
      <c r="P34" s="109"/>
      <c r="Q34" s="109"/>
      <c r="R34" s="382"/>
      <c r="S34" s="110"/>
      <c r="T34" s="109"/>
      <c r="U34" s="109"/>
      <c r="V34" s="109"/>
      <c r="W34" s="109"/>
      <c r="X34" s="381"/>
      <c r="Y34" s="109"/>
      <c r="Z34" s="109"/>
      <c r="AA34" s="382"/>
      <c r="AB34" s="381"/>
      <c r="AC34" s="109"/>
      <c r="AD34" s="109"/>
      <c r="AE34" s="382"/>
    </row>
    <row r="35" ht="18.75" customHeight="1">
      <c r="A35" s="178"/>
      <c r="B35" s="10">
        <v>2197273.0</v>
      </c>
      <c r="C35" s="11">
        <v>46168.87222222222</v>
      </c>
      <c r="D35" s="179" t="s">
        <v>50</v>
      </c>
      <c r="E35" s="180" t="s">
        <v>8335</v>
      </c>
      <c r="F35" s="181"/>
      <c r="G35" s="179" t="s">
        <v>74</v>
      </c>
      <c r="H35" s="190"/>
      <c r="I35" s="190"/>
      <c r="J35" s="187" t="s">
        <v>3044</v>
      </c>
      <c r="K35" s="187" t="s">
        <v>7058</v>
      </c>
      <c r="L35" s="252" t="str">
        <f>IFERROR(__xludf.DUMMYFUNCTION("IF(
  AND(D35=""Saída"", J35=""Sangria""),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80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IFERROR(__xludf.DUMMYFUNCTION("ifna(VALUE(REGEXEXTRACT(E35,""[0-9.]+[,]+[0-9]+"")))"),37.31)</f>
        <v>37.31</v>
      </c>
      <c r="O35" s="410"/>
      <c r="R35" s="392"/>
      <c r="S35" s="24"/>
      <c r="X35" s="410"/>
      <c r="AA35" s="392"/>
      <c r="AB35" s="410"/>
      <c r="AE35" s="392"/>
    </row>
    <row r="36" ht="14.25" customHeight="1">
      <c r="A36" s="178"/>
      <c r="B36" s="10">
        <v>2197941.0</v>
      </c>
      <c r="C36" s="11">
        <v>46169.57283564815</v>
      </c>
      <c r="D36" s="179" t="s">
        <v>50</v>
      </c>
      <c r="E36" s="180" t="s">
        <v>8338</v>
      </c>
      <c r="F36" s="181"/>
      <c r="G36" s="179" t="s">
        <v>122</v>
      </c>
      <c r="H36" s="186"/>
      <c r="I36" s="186"/>
      <c r="J36" s="187" t="s">
        <v>3044</v>
      </c>
      <c r="K36" s="187" t="s">
        <v>6664</v>
      </c>
      <c r="L36" s="252" t="str">
        <f>IFERROR(__xludf.DUMMYFUNCTION("IF(
  AND(D36=""Saída"", J36=""Sangria""),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9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IFERROR(__xludf.DUMMYFUNCTION("ifna(VALUE(REGEXEXTRACT(E36,""[0-9.]+[,]+[0-9]+"")))"),24.7)</f>
        <v>24.7</v>
      </c>
      <c r="O36" s="410"/>
      <c r="R36" s="392"/>
      <c r="S36" s="24"/>
      <c r="X36" s="410"/>
      <c r="AA36" s="392"/>
      <c r="AB36" s="410"/>
      <c r="AE36" s="392"/>
    </row>
    <row r="37" ht="14.25" customHeight="1">
      <c r="A37" s="178"/>
      <c r="B37" s="10">
        <v>2198133.0</v>
      </c>
      <c r="C37" s="11">
        <v>46169.66327546296</v>
      </c>
      <c r="D37" s="179" t="s">
        <v>50</v>
      </c>
      <c r="E37" s="180" t="s">
        <v>339</v>
      </c>
      <c r="F37" s="181"/>
      <c r="G37" s="179" t="s">
        <v>8341</v>
      </c>
      <c r="H37" s="186"/>
      <c r="I37" s="186"/>
      <c r="J37" s="187" t="s">
        <v>3044</v>
      </c>
      <c r="K37" s="187" t="s">
        <v>7058</v>
      </c>
      <c r="L37" s="252" t="str">
        <f>IFERROR(__xludf.DUMMYFUNCTION("IF(
  AND(D37=""Saída"", J37=""Sangria""),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8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IFERROR(__xludf.DUMMYFUNCTION("ifna(VALUE(REGEXEXTRACT(E37,""[0-9.]+[,]+[0-9]+"")))"),4.9)</f>
        <v>4.9</v>
      </c>
      <c r="O37" s="410"/>
      <c r="R37" s="392"/>
      <c r="S37" s="24"/>
      <c r="X37" s="410"/>
      <c r="AA37" s="392"/>
      <c r="AB37" s="410"/>
      <c r="AE37" s="392"/>
    </row>
    <row r="38" ht="14.25" customHeight="1">
      <c r="A38" s="178"/>
      <c r="B38" s="10">
        <v>2198153.0</v>
      </c>
      <c r="C38" s="11">
        <v>46169.67061342593</v>
      </c>
      <c r="D38" s="179" t="s">
        <v>50</v>
      </c>
      <c r="E38" s="180" t="s">
        <v>6780</v>
      </c>
      <c r="F38" s="181"/>
      <c r="G38" s="179" t="s">
        <v>7666</v>
      </c>
      <c r="H38" s="186"/>
      <c r="I38" s="186"/>
      <c r="J38" s="187" t="s">
        <v>3044</v>
      </c>
      <c r="K38" s="187" t="s">
        <v>7052</v>
      </c>
      <c r="L38" s="252" t="str">
        <f>IFERROR(__xludf.DUMMYFUNCTION("IF(
  AND(D38=""Saída"", J38=""Sangria""),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9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IFERROR(__xludf.DUMMYFUNCTION("ifna(VALUE(REGEXEXTRACT(E38,""[0-9.]+[,]+[0-9]+"")))"),11.25)</f>
        <v>11.25</v>
      </c>
      <c r="O38" s="411"/>
      <c r="P38" s="412"/>
      <c r="Q38" s="412"/>
      <c r="R38" s="413"/>
      <c r="S38" s="24"/>
      <c r="X38" s="411"/>
      <c r="Y38" s="412"/>
      <c r="Z38" s="412"/>
      <c r="AA38" s="413"/>
      <c r="AB38" s="411"/>
      <c r="AC38" s="412"/>
      <c r="AD38" s="412"/>
      <c r="AE38" s="413"/>
    </row>
    <row r="39" ht="21.75" customHeight="1">
      <c r="A39" s="178"/>
      <c r="B39" s="10">
        <v>2198258.0</v>
      </c>
      <c r="C39" s="11">
        <v>46169.70863425926</v>
      </c>
      <c r="D39" s="179" t="s">
        <v>50</v>
      </c>
      <c r="E39" s="180" t="s">
        <v>8345</v>
      </c>
      <c r="F39" s="181"/>
      <c r="G39" s="179" t="s">
        <v>8346</v>
      </c>
      <c r="H39" s="186"/>
      <c r="I39" s="186"/>
      <c r="J39" s="187" t="s">
        <v>3467</v>
      </c>
      <c r="K39" s="187"/>
      <c r="L39" s="252" t="str">
        <f>IFERROR(__xludf.DUMMYFUNCTION("IF(
  AND(D39=""Saída"", J39=""Sangria""),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8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IFERROR(__xludf.DUMMYFUNCTION("ifna(VALUE(REGEXEXTRACT(E39,""[0-9.]+[,]+[0-9]+"")))"),45.75)</f>
        <v>45.75</v>
      </c>
      <c r="O39" s="191" t="str">
        <f>B9</f>
        <v/>
      </c>
      <c r="P39" s="106"/>
      <c r="Q39" s="106"/>
      <c r="R39" s="106"/>
      <c r="S39" s="122"/>
      <c r="T39" s="123" t="str">
        <f>B11</f>
        <v/>
      </c>
      <c r="U39" s="106"/>
      <c r="V39" s="106"/>
      <c r="W39" s="124"/>
      <c r="X39" s="414"/>
      <c r="Y39" s="414"/>
      <c r="Z39" s="414"/>
      <c r="AA39" s="414"/>
      <c r="AB39" s="414"/>
      <c r="AC39" s="414"/>
      <c r="AD39" s="414"/>
      <c r="AE39" s="414"/>
    </row>
    <row r="40" ht="14.25" customHeight="1">
      <c r="A40" s="178"/>
      <c r="B40" s="10">
        <v>2198299.0</v>
      </c>
      <c r="C40" s="11">
        <v>46169.71802083333</v>
      </c>
      <c r="D40" s="179" t="s">
        <v>50</v>
      </c>
      <c r="E40" s="180" t="s">
        <v>8347</v>
      </c>
      <c r="F40" s="188"/>
      <c r="G40" s="179" t="s">
        <v>8348</v>
      </c>
      <c r="H40" s="186"/>
      <c r="I40" s="186"/>
      <c r="J40" s="187" t="s">
        <v>3903</v>
      </c>
      <c r="K40" s="187"/>
      <c r="L40" s="252" t="str">
        <f>IFERROR(__xludf.DUMMYFUNCTION("IF(
  AND(D40=""Saída"", J40=""Sangria""),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9" t="str">
        <f>IFERROR(__xludf.DUMMYFUNCTION("IF(J40=""Compra de Mercadorias"",
   IF(
      COUNTIF(ARRAYFORMULA(TRIM(CLEAN(TO_TEXT(Notas!BS:BS)))), TRIM(CLEAN(TO_TEXT(B40)))) &gt; 0,
      ""Encontrada"",
      ""Não Encontrada""
   ),
"""")"),"Não Encontrada")</f>
        <v>Não Encontrada</v>
      </c>
      <c r="N40" s="185">
        <f>IFERROR(__xludf.DUMMYFUNCTION("ifna(VALUE(REGEXEXTRACT(E40,""[0-9.]+[,]+[0-9]+"")))"),83.39)</f>
        <v>83.39</v>
      </c>
      <c r="O40" s="45" t="str">
        <f>IFERROR(__xludf.DUMMYFUNCTION("query(C28:L507,""select Col1,Col3,Col8,Col9 where (Col8 = 'Adiantamento' or Col8 = 'Consumo') and Col9 = '""&amp;B9&amp;""'"",1)"),"Data")</f>
        <v>Data</v>
      </c>
      <c r="P40" s="46" t="str">
        <f>IFERROR(__xludf.DUMMYFUNCTION("""COMPUTED_VALUE"""),"Valor ")</f>
        <v>Valor </v>
      </c>
      <c r="Q40" s="46" t="str">
        <f>IFERROR(__xludf.DUMMYFUNCTION("""COMPUTED_VALUE"""),"Tipo")</f>
        <v>Tipo</v>
      </c>
      <c r="R40" s="46" t="str">
        <f>IFERROR(__xludf.DUMMYFUNCTION("""COMPUTED_VALUE"""),"Funcionário")</f>
        <v>Funcionário</v>
      </c>
      <c r="S40" s="48"/>
      <c r="T40" s="49" t="str">
        <f>IFERROR(__xludf.DUMMYFUNCTION("query(C28:L507,""select Col1,Col3,Col8,Col9 where (Col8 = 'Adiantamento' or Col8 = 'Consumo') and Col9 = '""&amp;AB10&amp;""'"",1)"),"Data")</f>
        <v>Data</v>
      </c>
      <c r="U40" s="49" t="str">
        <f>IFERROR(__xludf.DUMMYFUNCTION("""COMPUTED_VALUE"""),"Valor ")</f>
        <v>Valor </v>
      </c>
      <c r="V40" s="49" t="str">
        <f>IFERROR(__xludf.DUMMYFUNCTION("""COMPUTED_VALUE"""),"Tipo")</f>
        <v>Tipo</v>
      </c>
      <c r="W40" s="50" t="str">
        <f>IFERROR(__xludf.DUMMYFUNCTION("""COMPUTED_VALUE"""),"Funcionário")</f>
        <v>Funcionário</v>
      </c>
      <c r="X40" s="49"/>
      <c r="Y40" s="49"/>
      <c r="Z40" s="49"/>
      <c r="AA40" s="49"/>
      <c r="AB40" s="49"/>
      <c r="AC40" s="49"/>
      <c r="AD40" s="49"/>
      <c r="AE40" s="49"/>
    </row>
    <row r="41" ht="27.0" customHeight="1">
      <c r="A41" s="178"/>
      <c r="B41" s="10">
        <v>2198361.0</v>
      </c>
      <c r="C41" s="11">
        <v>46169.73564814815</v>
      </c>
      <c r="D41" s="179" t="s">
        <v>50</v>
      </c>
      <c r="E41" s="180" t="s">
        <v>8350</v>
      </c>
      <c r="F41" s="181"/>
      <c r="G41" s="179" t="s">
        <v>8351</v>
      </c>
      <c r="H41" s="186"/>
      <c r="I41" s="186"/>
      <c r="J41" s="187" t="s">
        <v>3903</v>
      </c>
      <c r="K41" s="187"/>
      <c r="L41" s="252" t="str">
        <f>IFERROR(__xludf.DUMMYFUNCTION("IF(
  AND(D41=""Saída"", J41=""Sangria""),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81" t="str">
        <f>IFERROR(__xludf.DUMMYFUNCTION("IF(J41=""Compra de Mercadorias"",
   IF(
      COUNTIF(ARRAYFORMULA(TRIM(CLEAN(TO_TEXT(Notas!BS:BS)))), TRIM(CLEAN(TO_TEXT(B41)))) &gt; 0,
      ""Encontrada"",
      ""Não Encontrada""
   ),
"""")"),"Encontrada")</f>
        <v>Encontrada</v>
      </c>
      <c r="N41" s="185">
        <f>IFERROR(__xludf.DUMMYFUNCTION("ifna(VALUE(REGEXEXTRACT(E41,""[0-9.]+[,]+[0-9]+"")))"),45.8)</f>
        <v>45.8</v>
      </c>
      <c r="O41" s="51"/>
      <c r="P41" s="52"/>
      <c r="Q41" s="52"/>
      <c r="R41" s="52"/>
      <c r="S41" s="54"/>
      <c r="T41" s="52"/>
      <c r="U41" s="52"/>
      <c r="V41" s="52"/>
      <c r="W41" s="53"/>
      <c r="X41" s="52"/>
      <c r="Y41" s="52"/>
      <c r="Z41" s="52"/>
      <c r="AA41" s="52"/>
      <c r="AB41" s="52"/>
      <c r="AC41" s="52"/>
      <c r="AD41" s="52"/>
      <c r="AE41" s="52"/>
    </row>
    <row r="42" ht="14.25" customHeight="1">
      <c r="A42" s="178"/>
      <c r="B42" s="10">
        <v>2198367.0</v>
      </c>
      <c r="C42" s="11">
        <v>46169.736909722225</v>
      </c>
      <c r="D42" s="179" t="s">
        <v>50</v>
      </c>
      <c r="E42" s="180" t="s">
        <v>8352</v>
      </c>
      <c r="F42" s="181"/>
      <c r="G42" s="179" t="s">
        <v>8354</v>
      </c>
      <c r="H42" s="186"/>
      <c r="I42" s="186"/>
      <c r="J42" s="187" t="s">
        <v>3903</v>
      </c>
      <c r="K42" s="187"/>
      <c r="L42" s="252" t="str">
        <f>IFERROR(__xludf.DUMMYFUNCTION("IF(
  AND(D42=""Saída"", J42=""Sangria""),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82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85">
        <f>IFERROR(__xludf.DUMMYFUNCTION("ifna(VALUE(REGEXEXTRACT(E42,""[0-9.]+[,]+[0-9]+"")))"),1.9)</f>
        <v>1.9</v>
      </c>
      <c r="O42" s="51"/>
      <c r="P42" s="52"/>
      <c r="Q42" s="52"/>
      <c r="R42" s="52"/>
      <c r="S42" s="54"/>
      <c r="T42" s="52"/>
      <c r="U42" s="52"/>
      <c r="V42" s="52"/>
      <c r="W42" s="53"/>
      <c r="X42" s="52"/>
      <c r="Y42" s="52"/>
      <c r="Z42" s="52"/>
      <c r="AA42" s="52"/>
      <c r="AB42" s="52"/>
      <c r="AC42" s="52"/>
      <c r="AD42" s="52"/>
      <c r="AE42" s="52"/>
    </row>
    <row r="43" ht="14.25" customHeight="1">
      <c r="A43" s="178"/>
      <c r="B43" s="10">
        <v>2198369.0</v>
      </c>
      <c r="C43" s="11">
        <v>46169.737395833334</v>
      </c>
      <c r="D43" s="179" t="s">
        <v>50</v>
      </c>
      <c r="E43" s="180" t="s">
        <v>8358</v>
      </c>
      <c r="F43" s="181"/>
      <c r="G43" s="179" t="s">
        <v>8359</v>
      </c>
      <c r="H43" s="189"/>
      <c r="I43" s="189"/>
      <c r="J43" s="187" t="s">
        <v>3903</v>
      </c>
      <c r="K43" s="187"/>
      <c r="L43" s="252" t="str">
        <f>IFERROR(__xludf.DUMMYFUNCTION("IF(
  AND(D43=""Saída"", J43=""Sangria""),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80" t="str">
        <f>IFERROR(__xludf.DUMMYFUNCTION("IF(J43=""Compra de Mercadorias"",
   IF(
      COUNTIF(ARRAYFORMULA(TRIM(CLEAN(TO_TEXT(Notas!BS:BS)))), TRIM(CLEAN(TO_TEXT(B43)))) &gt; 0,
      ""Encontrada"",
      ""Não Encontrada""
   ),
"""")"),"Encontrada")</f>
        <v>Encontrada</v>
      </c>
      <c r="N43" s="185">
        <f>IFERROR(__xludf.DUMMYFUNCTION("ifna(VALUE(REGEXEXTRACT(E43,""[0-9.]+[,]+[0-9]+"")))"),27.5)</f>
        <v>27.5</v>
      </c>
      <c r="O43" s="51"/>
      <c r="P43" s="52"/>
      <c r="Q43" s="52"/>
      <c r="R43" s="52"/>
      <c r="S43" s="54"/>
      <c r="T43" s="52"/>
      <c r="U43" s="52"/>
      <c r="V43" s="52"/>
      <c r="W43" s="53"/>
      <c r="X43" s="52"/>
      <c r="Y43" s="52"/>
      <c r="Z43" s="52"/>
      <c r="AA43" s="52"/>
      <c r="AB43" s="52"/>
      <c r="AC43" s="52"/>
      <c r="AD43" s="52"/>
      <c r="AE43" s="52"/>
    </row>
    <row r="44" ht="14.25" customHeight="1">
      <c r="A44" s="178"/>
      <c r="B44" s="10">
        <v>2198429.0</v>
      </c>
      <c r="C44" s="11">
        <v>46169.75782407408</v>
      </c>
      <c r="D44" s="179" t="s">
        <v>50</v>
      </c>
      <c r="E44" s="180" t="s">
        <v>8362</v>
      </c>
      <c r="F44" s="181"/>
      <c r="G44" s="179" t="s">
        <v>7666</v>
      </c>
      <c r="H44" s="189"/>
      <c r="I44" s="189"/>
      <c r="J44" s="187" t="s">
        <v>3044</v>
      </c>
      <c r="K44" s="187" t="s">
        <v>7052</v>
      </c>
      <c r="L44" s="252" t="str">
        <f>IFERROR(__xludf.DUMMYFUNCTION("IF(
  AND(D44=""Saída"", J44=""Sangria""),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6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IFERROR(__xludf.DUMMYFUNCTION("ifna(VALUE(REGEXEXTRACT(E44,""[0-9.]+[,]+[0-9]+"")))"),33.8)</f>
        <v>33.8</v>
      </c>
      <c r="O44" s="51"/>
      <c r="P44" s="52"/>
      <c r="Q44" s="52"/>
      <c r="R44" s="52"/>
      <c r="S44" s="54"/>
      <c r="T44" s="52"/>
      <c r="U44" s="52"/>
      <c r="V44" s="52"/>
      <c r="W44" s="53"/>
      <c r="X44" s="52"/>
      <c r="Y44" s="52"/>
      <c r="Z44" s="52"/>
      <c r="AA44" s="52"/>
      <c r="AB44" s="52"/>
      <c r="AC44" s="52"/>
      <c r="AD44" s="52"/>
      <c r="AE44" s="52"/>
    </row>
    <row r="45" ht="14.25" customHeight="1">
      <c r="A45" s="178"/>
      <c r="B45" s="10">
        <v>2198441.0</v>
      </c>
      <c r="C45" s="11">
        <v>46169.76467592592</v>
      </c>
      <c r="D45" s="179" t="s">
        <v>50</v>
      </c>
      <c r="E45" s="180" t="s">
        <v>7144</v>
      </c>
      <c r="F45" s="181"/>
      <c r="G45" s="179" t="s">
        <v>74</v>
      </c>
      <c r="H45" s="190"/>
      <c r="I45" s="190"/>
      <c r="J45" s="187" t="s">
        <v>3044</v>
      </c>
      <c r="K45" s="187" t="s">
        <v>7052</v>
      </c>
      <c r="L45" s="252" t="str">
        <f>IFERROR(__xludf.DUMMYFUNCTION("IF(
  AND(D45=""Saída"", J45=""Sangria""),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7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IFERROR(__xludf.DUMMYFUNCTION("ifna(VALUE(REGEXEXTRACT(E45,""[0-9.]+[,]+[0-9]+"")))"),17.51)</f>
        <v>17.51</v>
      </c>
      <c r="O45" s="51"/>
      <c r="P45" s="52"/>
      <c r="Q45" s="52"/>
      <c r="R45" s="52"/>
      <c r="S45" s="54"/>
      <c r="T45" s="52"/>
      <c r="U45" s="52"/>
      <c r="V45" s="52"/>
      <c r="W45" s="53"/>
      <c r="X45" s="52"/>
      <c r="Y45" s="52"/>
      <c r="Z45" s="52"/>
      <c r="AA45" s="52"/>
      <c r="AB45" s="52"/>
      <c r="AC45" s="52"/>
      <c r="AD45" s="52"/>
      <c r="AE45" s="52"/>
    </row>
    <row r="46" ht="18.75" customHeight="1">
      <c r="A46" s="178"/>
      <c r="B46" s="10">
        <v>2198477.0</v>
      </c>
      <c r="C46" s="11">
        <v>46169.78283564815</v>
      </c>
      <c r="D46" s="179" t="s">
        <v>50</v>
      </c>
      <c r="E46" s="180" t="s">
        <v>8366</v>
      </c>
      <c r="F46" s="181"/>
      <c r="G46" s="179" t="s">
        <v>8367</v>
      </c>
      <c r="H46" s="190"/>
      <c r="I46" s="190"/>
      <c r="J46" s="187" t="s">
        <v>3903</v>
      </c>
      <c r="K46" s="187"/>
      <c r="L46" s="252" t="str">
        <f>IFERROR(__xludf.DUMMYFUNCTION("IF(
  AND(D46=""Saída"", J46=""Sangria""),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9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85">
        <f>IFERROR(__xludf.DUMMYFUNCTION("ifna(VALUE(REGEXEXTRACT(E46,""[0-9.]+[,]+[0-9]+"")))"),28.97)</f>
        <v>28.97</v>
      </c>
      <c r="O46" s="51"/>
      <c r="P46" s="79"/>
      <c r="Q46" s="79"/>
      <c r="R46" s="79"/>
      <c r="S46" s="81"/>
      <c r="T46" s="79"/>
      <c r="U46" s="79"/>
      <c r="V46" s="79"/>
      <c r="W46" s="80"/>
      <c r="X46" s="79"/>
      <c r="Y46" s="79"/>
      <c r="Z46" s="79"/>
      <c r="AA46" s="79"/>
      <c r="AB46" s="79"/>
      <c r="AC46" s="79"/>
      <c r="AD46" s="79"/>
      <c r="AE46" s="79"/>
    </row>
    <row r="47" ht="14.25" customHeight="1">
      <c r="A47" s="178"/>
      <c r="B47" s="10">
        <v>2199270.0</v>
      </c>
      <c r="C47" s="11">
        <v>46170.54924768519</v>
      </c>
      <c r="D47" s="179" t="s">
        <v>50</v>
      </c>
      <c r="E47" s="180" t="s">
        <v>6479</v>
      </c>
      <c r="F47" s="181"/>
      <c r="G47" s="179" t="s">
        <v>8370</v>
      </c>
      <c r="H47" s="354"/>
      <c r="I47" s="190"/>
      <c r="J47" s="187" t="s">
        <v>3903</v>
      </c>
      <c r="K47" s="187"/>
      <c r="L47" s="252" t="str">
        <f>IFERROR(__xludf.DUMMYFUNCTION("IF(
  AND(D47=""Saída"", J47=""Sangria""),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81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85">
        <f>IFERROR(__xludf.DUMMYFUNCTION("ifna(VALUE(REGEXEXTRACT(E47,""[0-9.]+[,]+[0-9]+"")))"),300.0)</f>
        <v>300</v>
      </c>
      <c r="O47" s="88"/>
      <c r="P47" s="89"/>
      <c r="Q47" s="89"/>
      <c r="R47" s="89"/>
      <c r="S47" s="91"/>
      <c r="T47" s="89"/>
      <c r="U47" s="89"/>
      <c r="V47" s="89"/>
      <c r="W47" s="90"/>
      <c r="X47" s="89"/>
      <c r="Y47" s="89"/>
      <c r="Z47" s="89"/>
      <c r="AA47" s="89"/>
      <c r="AB47" s="89"/>
      <c r="AC47" s="89"/>
      <c r="AD47" s="89"/>
      <c r="AE47" s="89"/>
    </row>
    <row r="48">
      <c r="A48" s="178"/>
      <c r="B48" s="10">
        <v>2199451.0</v>
      </c>
      <c r="C48" s="11">
        <v>46170.64939814815</v>
      </c>
      <c r="D48" s="179" t="s">
        <v>50</v>
      </c>
      <c r="E48" s="180" t="s">
        <v>382</v>
      </c>
      <c r="F48" s="181"/>
      <c r="G48" s="179" t="s">
        <v>149</v>
      </c>
      <c r="H48" s="355"/>
      <c r="I48" s="190"/>
      <c r="J48" s="187" t="s">
        <v>3044</v>
      </c>
      <c r="K48" s="187" t="s">
        <v>8093</v>
      </c>
      <c r="L48" s="252" t="str">
        <f>IFERROR(__xludf.DUMMYFUNCTION("IF(
  AND(D48=""Saída"", J48=""Sangria""),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9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IFERROR(__xludf.DUMMYFUNCTION("ifna(VALUE(REGEXEXTRACT(E48,""[0-9.]+[,]+[0-9]+"")))"),12.9)</f>
        <v>12.9</v>
      </c>
      <c r="O48" s="192"/>
      <c r="P48" s="193"/>
      <c r="Q48" s="194"/>
      <c r="R48" s="195"/>
      <c r="S48" s="91"/>
      <c r="T48" s="89"/>
      <c r="U48" s="89"/>
      <c r="V48" s="89"/>
      <c r="W48" s="90"/>
      <c r="X48" s="89"/>
      <c r="Y48" s="89"/>
      <c r="Z48" s="89"/>
      <c r="AA48" s="89"/>
      <c r="AB48" s="89"/>
      <c r="AC48" s="89"/>
      <c r="AD48" s="89"/>
      <c r="AE48" s="89"/>
    </row>
    <row r="49" ht="21.0" customHeight="1">
      <c r="A49" s="178"/>
      <c r="B49" s="10">
        <v>2199474.0</v>
      </c>
      <c r="C49" s="11">
        <v>46170.66085648148</v>
      </c>
      <c r="D49" s="179" t="s">
        <v>50</v>
      </c>
      <c r="E49" s="180" t="s">
        <v>246</v>
      </c>
      <c r="F49" s="181"/>
      <c r="G49" s="179" t="s">
        <v>57</v>
      </c>
      <c r="H49" s="190"/>
      <c r="I49" s="190"/>
      <c r="J49" s="187" t="s">
        <v>3044</v>
      </c>
      <c r="K49" s="187" t="s">
        <v>6664</v>
      </c>
      <c r="L49" s="252" t="str">
        <f>IFERROR(__xludf.DUMMYFUNCTION("IF(
  AND(D49=""Saída"", J49=""Sangria""),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8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IFERROR(__xludf.DUMMYFUNCTION("ifna(VALUE(REGEXEXTRACT(E49,""[0-9.]+[,]+[0-9]+"")))"),4.0)</f>
        <v>4</v>
      </c>
      <c r="O49" s="192"/>
      <c r="P49" s="193"/>
      <c r="Q49" s="194"/>
      <c r="R49" s="195"/>
      <c r="S49" s="91"/>
      <c r="T49" s="89"/>
      <c r="U49" s="89"/>
      <c r="V49" s="89"/>
      <c r="W49" s="90"/>
      <c r="X49" s="89"/>
      <c r="Y49" s="89"/>
      <c r="Z49" s="89"/>
      <c r="AA49" s="89"/>
      <c r="AB49" s="89"/>
      <c r="AC49" s="89"/>
      <c r="AD49" s="89"/>
      <c r="AE49" s="89"/>
    </row>
    <row r="50" ht="14.25" customHeight="1">
      <c r="A50" s="178"/>
      <c r="B50" s="10">
        <v>2199477.0</v>
      </c>
      <c r="C50" s="11">
        <v>46170.66212962963</v>
      </c>
      <c r="D50" s="179" t="s">
        <v>50</v>
      </c>
      <c r="E50" s="180" t="s">
        <v>157</v>
      </c>
      <c r="F50" s="181"/>
      <c r="G50" s="179" t="s">
        <v>8377</v>
      </c>
      <c r="H50" s="190"/>
      <c r="I50" s="190"/>
      <c r="J50" s="187" t="s">
        <v>3044</v>
      </c>
      <c r="K50" s="187" t="s">
        <v>7052</v>
      </c>
      <c r="L50" s="252" t="str">
        <f>IFERROR(__xludf.DUMMYFUNCTION("IF(
  AND(D50=""Saída"", J50=""Sangria""),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9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IFERROR(__xludf.DUMMYFUNCTION("ifna(VALUE(REGEXEXTRACT(E50,""[0-9.]+[,]+[0-9]+"")))"),5.0)</f>
        <v>5</v>
      </c>
      <c r="O50" s="192"/>
      <c r="P50" s="193"/>
      <c r="Q50" s="194"/>
      <c r="R50" s="195"/>
      <c r="S50" s="91"/>
      <c r="T50" s="89"/>
      <c r="U50" s="89"/>
      <c r="V50" s="89"/>
      <c r="W50" s="90"/>
      <c r="X50" s="89"/>
      <c r="Y50" s="89"/>
      <c r="Z50" s="89"/>
      <c r="AA50" s="89"/>
      <c r="AB50" s="89"/>
      <c r="AC50" s="89"/>
      <c r="AD50" s="89"/>
      <c r="AE50" s="89"/>
    </row>
    <row r="51" ht="24.75" customHeight="1">
      <c r="A51" s="178"/>
      <c r="B51" s="10">
        <v>2199681.0</v>
      </c>
      <c r="C51" s="11">
        <v>46170.72746527778</v>
      </c>
      <c r="D51" s="179" t="s">
        <v>50</v>
      </c>
      <c r="E51" s="180" t="s">
        <v>8383</v>
      </c>
      <c r="F51" s="181"/>
      <c r="G51" s="179" t="s">
        <v>94</v>
      </c>
      <c r="H51" s="190"/>
      <c r="I51" s="190"/>
      <c r="J51" s="187" t="s">
        <v>3044</v>
      </c>
      <c r="K51" s="187" t="s">
        <v>7058</v>
      </c>
      <c r="L51" s="252" t="str">
        <f>IFERROR(__xludf.DUMMYFUNCTION("IF(
  AND(D51=""Saída"", J51=""Sangria""),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8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IFERROR(__xludf.DUMMYFUNCTION("ifna(VALUE(REGEXEXTRACT(E51,""[0-9.]+[,]+[0-9]+"")))"),19.81)</f>
        <v>19.81</v>
      </c>
      <c r="O51" s="192"/>
      <c r="P51" s="193"/>
      <c r="Q51" s="194"/>
      <c r="R51" s="195"/>
      <c r="S51" s="91"/>
      <c r="T51" s="89"/>
      <c r="U51" s="89"/>
      <c r="V51" s="89"/>
      <c r="W51" s="90"/>
      <c r="X51" s="89"/>
      <c r="Y51" s="89"/>
      <c r="Z51" s="89"/>
      <c r="AA51" s="89"/>
      <c r="AB51" s="89"/>
      <c r="AC51" s="89"/>
      <c r="AD51" s="89"/>
      <c r="AE51" s="89"/>
    </row>
    <row r="52" ht="14.25" customHeight="1">
      <c r="A52" s="178"/>
      <c r="B52" s="10">
        <v>2199707.0</v>
      </c>
      <c r="C52" s="11">
        <v>46170.73590277778</v>
      </c>
      <c r="D52" s="179" t="s">
        <v>50</v>
      </c>
      <c r="E52" s="180" t="s">
        <v>157</v>
      </c>
      <c r="F52" s="181"/>
      <c r="G52" s="179" t="s">
        <v>94</v>
      </c>
      <c r="H52" s="190"/>
      <c r="I52" s="190"/>
      <c r="J52" s="187" t="s">
        <v>3044</v>
      </c>
      <c r="K52" s="187" t="s">
        <v>7058</v>
      </c>
      <c r="L52" s="252" t="str">
        <f>IFERROR(__xludf.DUMMYFUNCTION("IF(
  AND(D52=""Saída"", J52=""Sangria""),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9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IFERROR(__xludf.DUMMYFUNCTION("ifna(VALUE(REGEXEXTRACT(E52,""[0-9.]+[,]+[0-9]+"")))"),5.0)</f>
        <v>5</v>
      </c>
      <c r="O52" s="88"/>
      <c r="P52" s="89"/>
      <c r="Q52" s="89"/>
      <c r="R52" s="89"/>
      <c r="S52" s="91"/>
      <c r="T52" s="89"/>
      <c r="U52" s="89"/>
      <c r="V52" s="89"/>
      <c r="W52" s="90"/>
      <c r="X52" s="89"/>
      <c r="Y52" s="89"/>
      <c r="Z52" s="89"/>
      <c r="AA52" s="89"/>
      <c r="AB52" s="89"/>
      <c r="AC52" s="89"/>
      <c r="AD52" s="89"/>
      <c r="AE52" s="89"/>
    </row>
    <row r="53" ht="14.25" customHeight="1">
      <c r="A53" s="178"/>
      <c r="B53" s="10">
        <v>2199748.0</v>
      </c>
      <c r="C53" s="11">
        <v>46170.74900462963</v>
      </c>
      <c r="D53" s="179" t="s">
        <v>50</v>
      </c>
      <c r="E53" s="180" t="s">
        <v>1294</v>
      </c>
      <c r="F53" s="181"/>
      <c r="G53" s="179" t="s">
        <v>7666</v>
      </c>
      <c r="H53" s="190"/>
      <c r="I53" s="190"/>
      <c r="J53" s="187" t="s">
        <v>3044</v>
      </c>
      <c r="K53" s="187" t="s">
        <v>7052</v>
      </c>
      <c r="L53" s="252" t="str">
        <f>IFERROR(__xludf.DUMMYFUNCTION("IF(
  AND(D53=""Saída"", J53=""Sangria""),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8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IFERROR(__xludf.DUMMYFUNCTION("ifna(VALUE(REGEXEXTRACT(E53,""[0-9.]+[,]+[0-9]+"")))"),16.61)</f>
        <v>16.61</v>
      </c>
      <c r="O53" s="88"/>
      <c r="P53" s="89"/>
      <c r="Q53" s="89"/>
      <c r="R53" s="89"/>
      <c r="S53" s="91"/>
      <c r="T53" s="89"/>
      <c r="U53" s="89"/>
      <c r="V53" s="89"/>
      <c r="W53" s="90"/>
      <c r="X53" s="89"/>
      <c r="Y53" s="89"/>
      <c r="Z53" s="89"/>
      <c r="AA53" s="89"/>
      <c r="AB53" s="89"/>
      <c r="AC53" s="89"/>
      <c r="AD53" s="89"/>
      <c r="AE53" s="89"/>
    </row>
    <row r="54" ht="14.25" customHeight="1">
      <c r="A54" s="178"/>
      <c r="B54" s="10">
        <v>2199752.0</v>
      </c>
      <c r="C54" s="11">
        <v>46170.749560185184</v>
      </c>
      <c r="D54" s="179" t="s">
        <v>50</v>
      </c>
      <c r="E54" s="180" t="s">
        <v>382</v>
      </c>
      <c r="F54" s="181"/>
      <c r="G54" s="179" t="s">
        <v>7666</v>
      </c>
      <c r="H54" s="190"/>
      <c r="I54" s="190"/>
      <c r="J54" s="187" t="s">
        <v>3044</v>
      </c>
      <c r="K54" s="187" t="s">
        <v>7052</v>
      </c>
      <c r="L54" s="252" t="str">
        <f>IFERROR(__xludf.DUMMYFUNCTION("IF(
  AND(D54=""Saída"", J54=""Sangria""),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9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IFERROR(__xludf.DUMMYFUNCTION("ifna(VALUE(REGEXEXTRACT(E54,""[0-9.]+[,]+[0-9]+"")))"),12.9)</f>
        <v>12.9</v>
      </c>
      <c r="O54" s="108"/>
      <c r="P54" s="109"/>
      <c r="Q54" s="109"/>
      <c r="R54" s="109"/>
      <c r="S54" s="91"/>
      <c r="T54" s="109"/>
      <c r="U54" s="109"/>
      <c r="V54" s="109"/>
      <c r="W54" s="111"/>
      <c r="X54" s="109"/>
      <c r="Y54" s="109"/>
      <c r="Z54" s="109"/>
      <c r="AA54" s="109"/>
      <c r="AB54" s="109"/>
      <c r="AC54" s="109"/>
      <c r="AD54" s="109"/>
      <c r="AE54" s="109"/>
    </row>
    <row r="55" ht="14.25" customHeight="1">
      <c r="A55" s="178"/>
      <c r="B55" s="10">
        <v>2199906.0</v>
      </c>
      <c r="C55" s="11">
        <v>46170.822175925925</v>
      </c>
      <c r="D55" s="179" t="s">
        <v>50</v>
      </c>
      <c r="E55" s="180" t="s">
        <v>7889</v>
      </c>
      <c r="F55" s="181"/>
      <c r="G55" s="179" t="s">
        <v>8395</v>
      </c>
      <c r="H55" s="190"/>
      <c r="I55" s="190"/>
      <c r="J55" s="187" t="s">
        <v>3467</v>
      </c>
      <c r="K55" s="187"/>
      <c r="L55" s="252" t="str">
        <f>IFERROR(__xludf.DUMMYFUNCTION("IF(
  AND(D55=""Saída"", J55=""Sangria""),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8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IFERROR(__xludf.DUMMYFUNCTION("ifna(VALUE(REGEXEXTRACT(E55,""[0-9.]+[,]+[0-9]+"")))"),24.67)</f>
        <v>24.67</v>
      </c>
      <c r="O55" s="197"/>
      <c r="P55" s="198"/>
      <c r="Q55" s="198"/>
      <c r="R55" s="198"/>
      <c r="S55" s="91"/>
      <c r="T55" s="198"/>
      <c r="U55" s="198"/>
      <c r="V55" s="198"/>
      <c r="W55" s="199"/>
      <c r="X55" s="198"/>
      <c r="Y55" s="198"/>
      <c r="Z55" s="198"/>
      <c r="AA55" s="198"/>
      <c r="AB55" s="198"/>
      <c r="AC55" s="198"/>
      <c r="AD55" s="198"/>
      <c r="AE55" s="198"/>
    </row>
    <row r="56" ht="14.25" customHeight="1">
      <c r="A56" s="178"/>
      <c r="B56" s="10">
        <v>2199997.0</v>
      </c>
      <c r="C56" s="11">
        <v>46170.86597222222</v>
      </c>
      <c r="D56" s="179" t="s">
        <v>50</v>
      </c>
      <c r="E56" s="180" t="s">
        <v>7141</v>
      </c>
      <c r="F56" s="181"/>
      <c r="G56" s="179" t="s">
        <v>74</v>
      </c>
      <c r="H56" s="190"/>
      <c r="I56" s="190"/>
      <c r="J56" s="187" t="s">
        <v>3044</v>
      </c>
      <c r="K56" s="187" t="s">
        <v>7058</v>
      </c>
      <c r="L56" s="252" t="str">
        <f>IFERROR(__xludf.DUMMYFUNCTION("IF(
  AND(D56=""Saída"", J56=""Sangria""),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9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IFERROR(__xludf.DUMMYFUNCTION("ifna(VALUE(REGEXEXTRACT(E56,""[0-9.]+[,]+[0-9]+"")))"),43.2)</f>
        <v>43.2</v>
      </c>
      <c r="O56" s="197"/>
      <c r="P56" s="198"/>
      <c r="Q56" s="198"/>
      <c r="R56" s="198"/>
      <c r="S56" s="91"/>
      <c r="T56" s="198"/>
      <c r="U56" s="198"/>
      <c r="V56" s="198"/>
      <c r="W56" s="199"/>
      <c r="X56" s="198"/>
      <c r="Y56" s="198"/>
      <c r="Z56" s="198"/>
      <c r="AA56" s="198"/>
      <c r="AB56" s="198"/>
      <c r="AC56" s="198"/>
      <c r="AD56" s="198"/>
      <c r="AE56" s="198"/>
    </row>
    <row r="57" ht="17.25" customHeight="1">
      <c r="A57" s="178"/>
      <c r="B57" s="10">
        <v>2200656.0</v>
      </c>
      <c r="C57" s="11">
        <v>46171.55189814815</v>
      </c>
      <c r="D57" s="179" t="s">
        <v>50</v>
      </c>
      <c r="E57" s="180" t="s">
        <v>8400</v>
      </c>
      <c r="F57" s="181"/>
      <c r="G57" s="179" t="s">
        <v>8401</v>
      </c>
      <c r="H57" s="190"/>
      <c r="I57" s="190"/>
      <c r="J57" s="187" t="s">
        <v>3903</v>
      </c>
      <c r="K57" s="187"/>
      <c r="L57" s="252" t="str">
        <f>IFERROR(__xludf.DUMMYFUNCTION("IF(
  AND(D57=""Saída"", J57=""Sangria""),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81" t="str">
        <f>IFERROR(__xludf.DUMMYFUNCTION("IF(J57=""Compra de Mercadorias"",
   IF(
      COUNTIF(ARRAYFORMULA(TRIM(CLEAN(TO_TEXT(Notas!BS:BS)))), TRIM(CLEAN(TO_TEXT(B57)))) &gt; 0,
      ""Encontrada"",
      ""Não Encontrada""
   ),
"""")"),"Encontrada")</f>
        <v>Encontrada</v>
      </c>
      <c r="N57" s="185">
        <f>IFERROR(__xludf.DUMMYFUNCTION("ifna(VALUE(REGEXEXTRACT(E57,""[0-9.]+[,]+[0-9]+"")))"),216.2)</f>
        <v>216.2</v>
      </c>
      <c r="O57" s="197"/>
      <c r="P57" s="198"/>
      <c r="Q57" s="198"/>
      <c r="R57" s="198"/>
      <c r="S57" s="91"/>
      <c r="T57" s="198"/>
      <c r="U57" s="198"/>
      <c r="V57" s="198"/>
      <c r="W57" s="199"/>
      <c r="X57" s="198"/>
      <c r="Y57" s="198"/>
      <c r="Z57" s="198"/>
      <c r="AA57" s="198"/>
      <c r="AB57" s="198"/>
      <c r="AC57" s="198"/>
      <c r="AD57" s="198"/>
      <c r="AE57" s="198"/>
    </row>
    <row r="58" ht="14.25" customHeight="1">
      <c r="A58" s="178"/>
      <c r="B58" s="10">
        <v>2200713.0</v>
      </c>
      <c r="C58" s="11">
        <v>46171.581608796296</v>
      </c>
      <c r="D58" s="179" t="s">
        <v>50</v>
      </c>
      <c r="E58" s="180" t="s">
        <v>8406</v>
      </c>
      <c r="F58" s="181"/>
      <c r="G58" s="179" t="s">
        <v>7666</v>
      </c>
      <c r="H58" s="190"/>
      <c r="I58" s="190"/>
      <c r="J58" s="187" t="s">
        <v>3044</v>
      </c>
      <c r="K58" s="187" t="s">
        <v>7052</v>
      </c>
      <c r="L58" s="252" t="str">
        <f>IFERROR(__xludf.DUMMYFUNCTION("IF(
  AND(D58=""Saída"", J58=""Sangria""),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9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IFERROR(__xludf.DUMMYFUNCTION("ifna(VALUE(REGEXEXTRACT(E58,""[0-9.]+[,]+[0-9]+"")))"),20.08)</f>
        <v>20.08</v>
      </c>
      <c r="O58" s="197"/>
      <c r="P58" s="198"/>
      <c r="Q58" s="198"/>
      <c r="R58" s="198"/>
      <c r="S58" s="91"/>
      <c r="T58" s="198"/>
      <c r="U58" s="198"/>
      <c r="V58" s="198"/>
      <c r="W58" s="199"/>
      <c r="X58" s="198"/>
      <c r="Y58" s="198"/>
      <c r="Z58" s="198"/>
      <c r="AA58" s="198"/>
      <c r="AB58" s="198"/>
      <c r="AC58" s="198"/>
      <c r="AD58" s="198"/>
      <c r="AE58" s="198"/>
    </row>
    <row r="59" ht="14.25" customHeight="1">
      <c r="A59" s="178"/>
      <c r="B59" s="10">
        <v>2201125.0</v>
      </c>
      <c r="C59" s="11">
        <v>46171.73866898148</v>
      </c>
      <c r="D59" s="10" t="s">
        <v>50</v>
      </c>
      <c r="E59" s="10" t="s">
        <v>7784</v>
      </c>
      <c r="F59" s="13"/>
      <c r="G59" s="10" t="s">
        <v>94</v>
      </c>
      <c r="H59" s="190"/>
      <c r="I59" s="190"/>
      <c r="J59" s="187" t="s">
        <v>3044</v>
      </c>
      <c r="K59" s="187" t="s">
        <v>7058</v>
      </c>
      <c r="L59" s="252" t="str">
        <f>IFERROR(__xludf.DUMMYFUNCTION("IF(
  AND(D59=""Saída"", J59=""Sangria""),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8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IFERROR(__xludf.DUMMYFUNCTION("ifna(VALUE(REGEXEXTRACT(E59,""[0-9.]+[,]+[0-9]+"")))"),17.76)</f>
        <v>17.76</v>
      </c>
      <c r="O59" s="200"/>
      <c r="P59" s="201"/>
      <c r="Q59" s="201"/>
      <c r="R59" s="201"/>
      <c r="S59" s="202"/>
      <c r="T59" s="201"/>
      <c r="U59" s="201"/>
      <c r="V59" s="201"/>
      <c r="W59" s="203"/>
      <c r="X59" s="198"/>
      <c r="Y59" s="198"/>
      <c r="Z59" s="198"/>
      <c r="AA59" s="198"/>
      <c r="AB59" s="198"/>
      <c r="AC59" s="198"/>
      <c r="AD59" s="198"/>
      <c r="AE59" s="198"/>
    </row>
    <row r="60" ht="14.25" customHeight="1">
      <c r="A60" s="178"/>
      <c r="B60" s="10">
        <v>2201127.0</v>
      </c>
      <c r="C60" s="11">
        <v>46171.73915509259</v>
      </c>
      <c r="D60" s="179" t="s">
        <v>50</v>
      </c>
      <c r="E60" s="180" t="s">
        <v>871</v>
      </c>
      <c r="F60" s="188"/>
      <c r="G60" s="179" t="s">
        <v>57</v>
      </c>
      <c r="H60" s="190"/>
      <c r="I60" s="190"/>
      <c r="J60" s="187" t="s">
        <v>3044</v>
      </c>
      <c r="K60" s="187" t="s">
        <v>6664</v>
      </c>
      <c r="L60" s="252" t="str">
        <f>IFERROR(__xludf.DUMMYFUNCTION("IF(
  AND(D60=""Saída"", J60=""Sangria""),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9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IFERROR(__xludf.DUMMYFUNCTION("ifna(VALUE(REGEXEXTRACT(E60,""[0-9.]+[,]+[0-9]+"")))"),9.0)</f>
        <v>9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178"/>
      <c r="B61" s="10">
        <v>2201150.0</v>
      </c>
      <c r="C61" s="11">
        <v>46171.7475462963</v>
      </c>
      <c r="D61" s="179" t="s">
        <v>50</v>
      </c>
      <c r="E61" s="180" t="s">
        <v>205</v>
      </c>
      <c r="F61" s="181"/>
      <c r="G61" s="179" t="s">
        <v>8410</v>
      </c>
      <c r="H61" s="190"/>
      <c r="I61" s="190"/>
      <c r="J61" s="187" t="s">
        <v>3903</v>
      </c>
      <c r="K61" s="187"/>
      <c r="L61" s="252" t="str">
        <f>IFERROR(__xludf.DUMMYFUNCTION("IF(
  AND(D61=""Saída"", J61=""Sangria""),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81" t="str">
        <f>IFERROR(__xludf.DUMMYFUNCTION("IF(J61=""Compra de Mercadorias"",
   IF(
      COUNTIF(ARRAYFORMULA(TRIM(CLEAN(TO_TEXT(Notas!BS:BS)))), TRIM(CLEAN(TO_TEXT(B61)))) &gt; 0,
      ""Encontrada"",
      ""Não Encontrada""
   ),
"""")"),"Encontrada")</f>
        <v>Encontrada</v>
      </c>
      <c r="N61" s="185">
        <f>IFERROR(__xludf.DUMMYFUNCTION("ifna(VALUE(REGEXEXTRACT(E61,""[0-9.]+[,]+[0-9]+"")))"),10.0)</f>
        <v>10</v>
      </c>
      <c r="O61" s="204" t="s">
        <v>5033</v>
      </c>
      <c r="P61" s="205"/>
      <c r="Q61" s="205"/>
      <c r="R61" s="205"/>
      <c r="S61" s="205"/>
      <c r="T61" s="59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 ht="14.25" customHeight="1">
      <c r="A62" s="178"/>
      <c r="B62" s="10">
        <v>2202414.0</v>
      </c>
      <c r="C62" s="11">
        <v>46172.69133101852</v>
      </c>
      <c r="D62" s="179" t="s">
        <v>50</v>
      </c>
      <c r="E62" s="180" t="s">
        <v>8246</v>
      </c>
      <c r="F62" s="181"/>
      <c r="G62" s="179" t="s">
        <v>8413</v>
      </c>
      <c r="H62" s="190"/>
      <c r="I62" s="190"/>
      <c r="J62" s="187" t="s">
        <v>3467</v>
      </c>
      <c r="K62" s="187"/>
      <c r="L62" s="252" t="str">
        <f>IFERROR(__xludf.DUMMYFUNCTION("IF(
  AND(D62=""Saída"", J62=""Sangria""),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9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IFERROR(__xludf.DUMMYFUNCTION("ifna(VALUE(REGEXEXTRACT(E62,""[0-9.]+[,]+[0-9]+"")))"),30.29)</f>
        <v>30.29</v>
      </c>
      <c r="O62" s="206"/>
      <c r="T62" s="207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ht="14.25" customHeight="1">
      <c r="A63" s="178"/>
      <c r="B63" s="10">
        <v>2202584.0</v>
      </c>
      <c r="C63" s="11">
        <v>46172.73030092593</v>
      </c>
      <c r="D63" s="179" t="s">
        <v>50</v>
      </c>
      <c r="E63" s="180" t="s">
        <v>4980</v>
      </c>
      <c r="F63" s="181"/>
      <c r="G63" s="179" t="s">
        <v>94</v>
      </c>
      <c r="H63" s="190"/>
      <c r="I63" s="190"/>
      <c r="J63" s="187" t="s">
        <v>3044</v>
      </c>
      <c r="K63" s="187" t="s">
        <v>7058</v>
      </c>
      <c r="L63" s="252" t="str">
        <f>IFERROR(__xludf.DUMMYFUNCTION("IF(
  AND(D63=""Saída"", J63=""Sangria""),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8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IFERROR(__xludf.DUMMYFUNCTION("ifna(VALUE(REGEXEXTRACT(E63,""[0-9.]+[,]+[0-9]+"")))"),19.55)</f>
        <v>19.55</v>
      </c>
      <c r="O63" s="208" t="s">
        <v>4</v>
      </c>
      <c r="P63" s="209" t="s">
        <v>1</v>
      </c>
      <c r="Q63" s="209" t="s">
        <v>5084</v>
      </c>
      <c r="R63" s="209" t="s">
        <v>41</v>
      </c>
      <c r="S63" s="210" t="s">
        <v>17</v>
      </c>
      <c r="T63" s="207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 ht="14.25" customHeight="1">
      <c r="A64" s="178"/>
      <c r="B64" s="10">
        <v>2203058.0</v>
      </c>
      <c r="C64" s="11">
        <v>46172.874375</v>
      </c>
      <c r="D64" s="179" t="s">
        <v>50</v>
      </c>
      <c r="E64" s="180" t="s">
        <v>8417</v>
      </c>
      <c r="F64" s="181"/>
      <c r="G64" s="179" t="s">
        <v>8418</v>
      </c>
      <c r="H64" s="190"/>
      <c r="I64" s="190"/>
      <c r="J64" s="187" t="s">
        <v>3903</v>
      </c>
      <c r="K64" s="187"/>
      <c r="L64" s="252" t="str">
        <f>IFERROR(__xludf.DUMMYFUNCTION("IF(
  AND(D64=""Saída"", J64=""Sangria""),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9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185">
        <f>IFERROR(__xludf.DUMMYFUNCTION("ifna(VALUE(REGEXEXTRACT(E64,""[0-9.]+[,]+[0-9]+"")))"),396.31)</f>
        <v>396.31</v>
      </c>
      <c r="O64" s="283" t="s">
        <v>2824</v>
      </c>
      <c r="P64" s="284">
        <v>46183.0</v>
      </c>
      <c r="Q64" s="415" t="s">
        <v>62</v>
      </c>
      <c r="R64" s="286">
        <v>500.0</v>
      </c>
      <c r="S64" s="287"/>
      <c r="T64" s="288" t="str">
        <f t="shared" ref="T64:T82" si="1">IFERROR(VLOOKUP(Q64, $A$4:$B$11, 2, FALSE), "")</f>
        <v>Ana Carolina</v>
      </c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 ht="14.25" customHeight="1">
      <c r="A65" s="178"/>
      <c r="B65" s="10">
        <v>2203061.0</v>
      </c>
      <c r="C65" s="11">
        <v>46172.87469907408</v>
      </c>
      <c r="D65" s="179" t="s">
        <v>50</v>
      </c>
      <c r="E65" s="180" t="s">
        <v>8421</v>
      </c>
      <c r="F65" s="181"/>
      <c r="G65" s="179" t="s">
        <v>8423</v>
      </c>
      <c r="H65" s="190"/>
      <c r="I65" s="190"/>
      <c r="J65" s="187" t="s">
        <v>3903</v>
      </c>
      <c r="K65" s="187"/>
      <c r="L65" s="252" t="str">
        <f>IFERROR(__xludf.DUMMYFUNCTION("IF(
  AND(D65=""Saída"", J65=""Sangria""),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81" t="str">
        <f>IFERROR(__xludf.DUMMYFUNCTION("IF(J65=""Compra de Mercadorias"",
   IF(
      COUNTIF(ARRAYFORMULA(TRIM(CLEAN(TO_TEXT(Notas!BS:BS)))), TRIM(CLEAN(TO_TEXT(B65)))) &gt; 0,
      ""Encontrada"",
      ""Não Encontrada""
   ),
"""")"),"Encontrada")</f>
        <v>Encontrada</v>
      </c>
      <c r="N65" s="185">
        <f>IFERROR(__xludf.DUMMYFUNCTION("ifna(VALUE(REGEXEXTRACT(E65,""[0-9.]+[,]+[0-9]+"")))"),86.7)</f>
        <v>86.7</v>
      </c>
      <c r="O65" s="289" t="s">
        <v>2827</v>
      </c>
      <c r="P65" s="290">
        <v>46183.0</v>
      </c>
      <c r="Q65" s="291" t="s">
        <v>78</v>
      </c>
      <c r="R65" s="292">
        <v>500.0</v>
      </c>
      <c r="S65" s="293"/>
      <c r="T65" s="294" t="str">
        <f t="shared" si="1"/>
        <v>Sabrina</v>
      </c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ht="14.25" customHeight="1">
      <c r="A66" s="178"/>
      <c r="B66" s="10">
        <v>2203071.0</v>
      </c>
      <c r="C66" s="11">
        <v>46172.87671296296</v>
      </c>
      <c r="D66" s="179" t="s">
        <v>227</v>
      </c>
      <c r="E66" s="180" t="s">
        <v>8425</v>
      </c>
      <c r="F66" s="181"/>
      <c r="G66" s="179" t="s">
        <v>8426</v>
      </c>
      <c r="H66" s="190"/>
      <c r="I66" s="190"/>
      <c r="J66" s="187" t="s">
        <v>4159</v>
      </c>
      <c r="K66" s="187"/>
      <c r="L66" s="252" t="str">
        <f>IFERROR(__xludf.DUMMYFUNCTION("IF(
  AND(D66=""Saída"", J66=""Sangria""),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9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IFERROR(__xludf.DUMMYFUNCTION("ifna(VALUE(REGEXEXTRACT(E66,""[0-9.]+[,]+[0-9]+"")))"),4.7)</f>
        <v>4.7</v>
      </c>
      <c r="O66" s="283" t="s">
        <v>2832</v>
      </c>
      <c r="P66" s="284">
        <v>46183.0</v>
      </c>
      <c r="Q66" s="295" t="s">
        <v>1183</v>
      </c>
      <c r="R66" s="286">
        <v>500.0</v>
      </c>
      <c r="S66" s="296"/>
      <c r="T66" s="288" t="str">
        <f t="shared" si="1"/>
        <v>Rayanna</v>
      </c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ht="14.25" customHeight="1">
      <c r="A67" s="178"/>
      <c r="B67" s="10">
        <v>2203998.0</v>
      </c>
      <c r="C67" s="11">
        <v>46173.57349537037</v>
      </c>
      <c r="D67" s="179" t="s">
        <v>50</v>
      </c>
      <c r="E67" s="180" t="s">
        <v>6647</v>
      </c>
      <c r="F67" s="181"/>
      <c r="G67" s="179" t="s">
        <v>8341</v>
      </c>
      <c r="H67" s="190"/>
      <c r="I67" s="190"/>
      <c r="J67" s="187" t="s">
        <v>3044</v>
      </c>
      <c r="K67" s="187" t="s">
        <v>7058</v>
      </c>
      <c r="L67" s="252" t="str">
        <f>IFERROR(__xludf.DUMMYFUNCTION("IF(
  AND(D67=""Saída"", J67=""Sangria""),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8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IFERROR(__xludf.DUMMYFUNCTION("ifna(VALUE(REGEXEXTRACT(E67,""[0-9.]+[,]+[0-9]+"")))"),22.75)</f>
        <v>22.75</v>
      </c>
      <c r="O67" s="289" t="s">
        <v>2835</v>
      </c>
      <c r="P67" s="290">
        <v>46183.0</v>
      </c>
      <c r="Q67" s="291" t="s">
        <v>152</v>
      </c>
      <c r="R67" s="292">
        <v>500.0</v>
      </c>
      <c r="S67" s="297"/>
      <c r="T67" s="294" t="str">
        <f t="shared" si="1"/>
        <v>Jaara</v>
      </c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178"/>
      <c r="B68" s="10">
        <v>2204002.0</v>
      </c>
      <c r="C68" s="11">
        <v>46173.57582175926</v>
      </c>
      <c r="D68" s="179" t="s">
        <v>50</v>
      </c>
      <c r="E68" s="180" t="s">
        <v>7055</v>
      </c>
      <c r="F68" s="181"/>
      <c r="G68" s="179" t="s">
        <v>7917</v>
      </c>
      <c r="H68" s="190"/>
      <c r="I68" s="190"/>
      <c r="J68" s="187" t="s">
        <v>3044</v>
      </c>
      <c r="K68" s="187" t="s">
        <v>6664</v>
      </c>
      <c r="L68" s="252" t="str">
        <f>IFERROR(__xludf.DUMMYFUNCTION("IF(
  AND(D68=""Saída"", J68=""Sangria""),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9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IFERROR(__xludf.DUMMYFUNCTION("ifna(VALUE(REGEXEXTRACT(E68,""[0-9.]+[,]+[0-9]+"")))"),14.06)</f>
        <v>14.06</v>
      </c>
      <c r="O68" s="283"/>
      <c r="P68" s="284"/>
      <c r="Q68" s="295"/>
      <c r="R68" s="286"/>
      <c r="S68" s="296"/>
      <c r="T68" s="288" t="str">
        <f t="shared" si="1"/>
        <v/>
      </c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 ht="14.25" customHeight="1">
      <c r="A69" s="178"/>
      <c r="B69" s="10">
        <v>2204006.0</v>
      </c>
      <c r="C69" s="11">
        <v>46173.5783912037</v>
      </c>
      <c r="D69" s="179" t="s">
        <v>50</v>
      </c>
      <c r="E69" s="180" t="s">
        <v>391</v>
      </c>
      <c r="F69" s="181"/>
      <c r="G69" s="179" t="s">
        <v>94</v>
      </c>
      <c r="H69" s="190"/>
      <c r="I69" s="190"/>
      <c r="J69" s="187" t="s">
        <v>3044</v>
      </c>
      <c r="K69" s="187" t="s">
        <v>7058</v>
      </c>
      <c r="L69" s="252" t="str">
        <f>IFERROR(__xludf.DUMMYFUNCTION("IF(
  AND(D69=""Saída"", J69=""Sangria""),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8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IFERROR(__xludf.DUMMYFUNCTION("ifna(VALUE(REGEXEXTRACT(E69,""[0-9.]+[,]+[0-9]+"")))"),11.89)</f>
        <v>11.89</v>
      </c>
      <c r="O69" s="289"/>
      <c r="P69" s="290"/>
      <c r="Q69" s="291"/>
      <c r="R69" s="292"/>
      <c r="S69" s="297"/>
      <c r="T69" s="294" t="str">
        <f t="shared" si="1"/>
        <v/>
      </c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178"/>
      <c r="B70" s="10">
        <v>2204142.0</v>
      </c>
      <c r="C70" s="11">
        <v>46173.63997685185</v>
      </c>
      <c r="D70" s="179" t="s">
        <v>50</v>
      </c>
      <c r="E70" s="180" t="s">
        <v>205</v>
      </c>
      <c r="F70" s="181"/>
      <c r="G70" s="179" t="s">
        <v>8437</v>
      </c>
      <c r="H70" s="190"/>
      <c r="I70" s="190"/>
      <c r="J70" s="187" t="s">
        <v>3903</v>
      </c>
      <c r="K70" s="187"/>
      <c r="L70" s="252" t="str">
        <f>IFERROR(__xludf.DUMMYFUNCTION("IF(
  AND(D70=""Saída"", J70=""Sangria""),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9" t="str">
        <f>IFERROR(__xludf.DUMMYFUNCTION("IF(J70=""Compra de Mercadorias"",
   IF(
      COUNTIF(ARRAYFORMULA(TRIM(CLEAN(TO_TEXT(Notas!BS:BS)))), TRIM(CLEAN(TO_TEXT(B70)))) &gt; 0,
      ""Encontrada"",
      ""Não Encontrada""
   ),
"""")"),"Não Encontrada")</f>
        <v>Não Encontrada</v>
      </c>
      <c r="N70" s="185">
        <f>IFERROR(__xludf.DUMMYFUNCTION("ifna(VALUE(REGEXEXTRACT(E70,""[0-9.]+[,]+[0-9]+"")))"),10.0)</f>
        <v>10</v>
      </c>
      <c r="O70" s="283"/>
      <c r="P70" s="284"/>
      <c r="Q70" s="295"/>
      <c r="R70" s="286"/>
      <c r="S70" s="296" t="str">
        <f t="shared" ref="S70:S82" si="2">IFERROR(VLOOKUP(Q70, $A$4:$B$18, 2, FALSE), "")</f>
        <v/>
      </c>
      <c r="T70" s="288" t="str">
        <f t="shared" si="1"/>
        <v/>
      </c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 ht="14.25" customHeight="1">
      <c r="A71" s="178"/>
      <c r="B71" s="10">
        <v>2204231.0</v>
      </c>
      <c r="C71" s="11">
        <v>46173.66798611111</v>
      </c>
      <c r="D71" s="179" t="s">
        <v>50</v>
      </c>
      <c r="E71" s="180" t="s">
        <v>8442</v>
      </c>
      <c r="F71" s="181"/>
      <c r="G71" s="179" t="s">
        <v>8443</v>
      </c>
      <c r="H71" s="190"/>
      <c r="I71" s="190"/>
      <c r="J71" s="187" t="s">
        <v>3467</v>
      </c>
      <c r="K71" s="187"/>
      <c r="L71" s="252" t="str">
        <f>IFERROR(__xludf.DUMMYFUNCTION("IF(
  AND(D71=""Saída"", J71=""Sangria""),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8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IFERROR(__xludf.DUMMYFUNCTION("ifna(VALUE(REGEXEXTRACT(E71,""[0-9.]+[,]+[0-9]+"")))"),54.57)</f>
        <v>54.57</v>
      </c>
      <c r="O71" s="289"/>
      <c r="P71" s="290"/>
      <c r="Q71" s="291"/>
      <c r="R71" s="292"/>
      <c r="S71" s="297" t="str">
        <f t="shared" si="2"/>
        <v/>
      </c>
      <c r="T71" s="294" t="str">
        <f t="shared" si="1"/>
        <v/>
      </c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 ht="14.25" customHeight="1">
      <c r="A72" s="178"/>
      <c r="B72" s="10">
        <v>2204741.0</v>
      </c>
      <c r="C72" s="11">
        <v>46173.79150462963</v>
      </c>
      <c r="D72" s="179" t="s">
        <v>50</v>
      </c>
      <c r="E72" s="180" t="s">
        <v>8445</v>
      </c>
      <c r="F72" s="181"/>
      <c r="G72" s="179" t="s">
        <v>8446</v>
      </c>
      <c r="H72" s="190"/>
      <c r="I72" s="190"/>
      <c r="J72" s="187" t="s">
        <v>3825</v>
      </c>
      <c r="K72" s="187"/>
      <c r="L72" s="252" t="str">
        <f>IFERROR(__xludf.DUMMYFUNCTION("IF(
  AND(D72=""Saída"", J72=""Sangria""),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9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IFERROR(__xludf.DUMMYFUNCTION("ifna(VALUE(REGEXEXTRACT(E72,""[0-9.]+[,]+[0-9]+"")))"),82.5)</f>
        <v>82.5</v>
      </c>
      <c r="O72" s="283"/>
      <c r="P72" s="284"/>
      <c r="Q72" s="295"/>
      <c r="R72" s="286"/>
      <c r="S72" s="296" t="str">
        <f t="shared" si="2"/>
        <v/>
      </c>
      <c r="T72" s="288" t="str">
        <f t="shared" si="1"/>
        <v/>
      </c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178"/>
      <c r="B73" s="10">
        <v>2205369.0</v>
      </c>
      <c r="C73" s="11">
        <v>46173.90494212963</v>
      </c>
      <c r="D73" s="179" t="s">
        <v>50</v>
      </c>
      <c r="E73" s="180" t="s">
        <v>1107</v>
      </c>
      <c r="F73" s="181"/>
      <c r="G73" s="179" t="s">
        <v>8447</v>
      </c>
      <c r="H73" s="190"/>
      <c r="I73" s="190"/>
      <c r="J73" s="187" t="s">
        <v>3746</v>
      </c>
      <c r="K73" s="187" t="s">
        <v>7052</v>
      </c>
      <c r="L73" s="252" t="str">
        <f>IFERROR(__xludf.DUMMYFUNCTION("IF(
  AND(D73=""Saída"", J73=""Sangria""),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"),"Caixa Sangria")</f>
        <v>Caixa Sangria</v>
      </c>
      <c r="M73" s="28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IFERROR(__xludf.DUMMYFUNCTION("ifna(VALUE(REGEXEXTRACT(E73,""[0-9.]+[,]+[0-9]+"")))"),1100.0)</f>
        <v>1100</v>
      </c>
      <c r="O73" s="289"/>
      <c r="P73" s="290"/>
      <c r="Q73" s="291"/>
      <c r="R73" s="292"/>
      <c r="S73" s="297" t="str">
        <f t="shared" si="2"/>
        <v/>
      </c>
      <c r="T73" s="294" t="str">
        <f t="shared" si="1"/>
        <v/>
      </c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 ht="14.25" customHeight="1">
      <c r="A74" s="178"/>
      <c r="B74" s="10">
        <v>2205386.0</v>
      </c>
      <c r="C74" s="11">
        <v>46173.90707175926</v>
      </c>
      <c r="D74" s="179" t="s">
        <v>50</v>
      </c>
      <c r="E74" s="180" t="s">
        <v>8448</v>
      </c>
      <c r="F74" s="181"/>
      <c r="G74" s="179" t="s">
        <v>7666</v>
      </c>
      <c r="H74" s="190"/>
      <c r="I74" s="190"/>
      <c r="J74" s="187" t="s">
        <v>3044</v>
      </c>
      <c r="K74" s="187" t="s">
        <v>7052</v>
      </c>
      <c r="L74" s="252" t="str">
        <f>IFERROR(__xludf.DUMMYFUNCTION("IF(
  AND(D74=""Saída"", J74=""Sangria""),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9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IFERROR(__xludf.DUMMYFUNCTION("ifna(VALUE(REGEXEXTRACT(E74,""[0-9.]+[,]+[0-9]+"")))"),56.37)</f>
        <v>56.37</v>
      </c>
      <c r="O74" s="299"/>
      <c r="P74" s="300"/>
      <c r="Q74" s="301"/>
      <c r="R74" s="302" t="str">
        <f t="shared" ref="R74:R82" si="3">IFERROR(VLOOKUP(Q74, $B$4:$C$18, 2, FALSE), "")</f>
        <v/>
      </c>
      <c r="S74" s="296" t="str">
        <f t="shared" si="2"/>
        <v/>
      </c>
      <c r="T74" s="288" t="str">
        <f t="shared" si="1"/>
        <v/>
      </c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 ht="14.25" customHeight="1">
      <c r="A75" s="178"/>
      <c r="B75" s="10">
        <v>2206377.0</v>
      </c>
      <c r="C75" s="11">
        <v>46174.641805555555</v>
      </c>
      <c r="D75" s="179" t="s">
        <v>50</v>
      </c>
      <c r="E75" s="180" t="s">
        <v>8450</v>
      </c>
      <c r="F75" s="181"/>
      <c r="G75" s="179" t="s">
        <v>8451</v>
      </c>
      <c r="H75" s="190"/>
      <c r="I75" s="190"/>
      <c r="J75" s="187" t="s">
        <v>3467</v>
      </c>
      <c r="K75" s="187"/>
      <c r="L75" s="343" t="s">
        <v>8452</v>
      </c>
      <c r="M75" s="344" t="s">
        <v>7462</v>
      </c>
      <c r="N75" s="185">
        <f>IFERROR(__xludf.DUMMYFUNCTION("ifna(VALUE(REGEXEXTRACT(E75,""[0-9.]+[,]+[0-9]+"")))"),59.81)</f>
        <v>59.81</v>
      </c>
      <c r="O75" s="303"/>
      <c r="P75" s="121"/>
      <c r="Q75" s="121"/>
      <c r="R75" s="304" t="str">
        <f t="shared" si="3"/>
        <v/>
      </c>
      <c r="S75" s="297" t="str">
        <f t="shared" si="2"/>
        <v/>
      </c>
      <c r="T75" s="294" t="str">
        <f t="shared" si="1"/>
        <v/>
      </c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 ht="14.25" customHeight="1">
      <c r="A76" s="178"/>
      <c r="B76" s="10">
        <v>2206492.0</v>
      </c>
      <c r="C76" s="11">
        <v>46174.675092592595</v>
      </c>
      <c r="D76" s="179" t="s">
        <v>50</v>
      </c>
      <c r="E76" s="180" t="s">
        <v>1655</v>
      </c>
      <c r="F76" s="181"/>
      <c r="G76" s="179" t="s">
        <v>7666</v>
      </c>
      <c r="H76" s="190"/>
      <c r="I76" s="190"/>
      <c r="J76" s="187" t="s">
        <v>3044</v>
      </c>
      <c r="K76" s="187" t="s">
        <v>7052</v>
      </c>
      <c r="L76" s="252" t="str">
        <f>IFERROR(__xludf.DUMMYFUNCTION("IF(
  AND(D76=""Saída"", J75=""Sangria""),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9" t="str">
        <f>IFERROR(__xludf.DUMMYFUNCTION("IF(J75=""Compra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IFERROR(__xludf.DUMMYFUNCTION("ifna(VALUE(REGEXEXTRACT(E76,""[0-9.]+[,]+[0-9]+"")))"),17.9)</f>
        <v>17.9</v>
      </c>
      <c r="O76" s="299"/>
      <c r="P76" s="301"/>
      <c r="Q76" s="301"/>
      <c r="R76" s="302" t="str">
        <f t="shared" si="3"/>
        <v/>
      </c>
      <c r="S76" s="296" t="str">
        <f t="shared" si="2"/>
        <v/>
      </c>
      <c r="T76" s="288" t="str">
        <f t="shared" si="1"/>
        <v/>
      </c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 ht="14.25" customHeight="1">
      <c r="A77" s="178"/>
      <c r="B77" s="10">
        <v>2206558.0</v>
      </c>
      <c r="C77" s="11">
        <v>46174.69537037037</v>
      </c>
      <c r="D77" s="179" t="s">
        <v>50</v>
      </c>
      <c r="E77" s="180" t="s">
        <v>871</v>
      </c>
      <c r="F77" s="181"/>
      <c r="G77" s="179" t="s">
        <v>94</v>
      </c>
      <c r="H77" s="190"/>
      <c r="I77" s="190"/>
      <c r="J77" s="187" t="s">
        <v>3044</v>
      </c>
      <c r="K77" s="187" t="s">
        <v>7058</v>
      </c>
      <c r="L77" s="252" t="str">
        <f>IFERROR(__xludf.DUMMYFUNCTION("IF(
  AND(D77=""Saída"", J77=""Sangria""),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8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IFERROR(__xludf.DUMMYFUNCTION("ifna(VALUE(REGEXEXTRACT(E77,""[0-9.]+[,]+[0-9]+"")))"),9.0)</f>
        <v>9</v>
      </c>
      <c r="O77" s="303"/>
      <c r="P77" s="121"/>
      <c r="Q77" s="121"/>
      <c r="R77" s="304" t="str">
        <f t="shared" si="3"/>
        <v/>
      </c>
      <c r="S77" s="297" t="str">
        <f t="shared" si="2"/>
        <v/>
      </c>
      <c r="T77" s="294" t="str">
        <f t="shared" si="1"/>
        <v/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178"/>
      <c r="B78" s="10">
        <v>2206592.0</v>
      </c>
      <c r="C78" s="11">
        <v>46174.70508101852</v>
      </c>
      <c r="D78" s="179" t="s">
        <v>50</v>
      </c>
      <c r="E78" s="180" t="s">
        <v>8454</v>
      </c>
      <c r="F78" s="181"/>
      <c r="G78" s="179" t="s">
        <v>8455</v>
      </c>
      <c r="H78" s="190"/>
      <c r="I78" s="190"/>
      <c r="J78" s="187" t="s">
        <v>3903</v>
      </c>
      <c r="K78" s="187"/>
      <c r="L78" s="252" t="str">
        <f>IFERROR(__xludf.DUMMYFUNCTION("IF(
  AND(D78=""Saída"", J78=""Sangria""),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9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85">
        <f>IFERROR(__xludf.DUMMYFUNCTION("ifna(VALUE(REGEXEXTRACT(E78,""[0-9.]+[,]+[0-9]+"")))"),55.2)</f>
        <v>55.2</v>
      </c>
      <c r="O78" s="299"/>
      <c r="P78" s="301"/>
      <c r="Q78" s="301"/>
      <c r="R78" s="302" t="str">
        <f t="shared" si="3"/>
        <v/>
      </c>
      <c r="S78" s="296" t="str">
        <f t="shared" si="2"/>
        <v/>
      </c>
      <c r="T78" s="288" t="str">
        <f t="shared" si="1"/>
        <v/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 ht="14.25" customHeight="1">
      <c r="A79" s="178"/>
      <c r="B79" s="10">
        <v>2206781.0</v>
      </c>
      <c r="C79" s="11">
        <v>46174.75533564815</v>
      </c>
      <c r="D79" s="179" t="s">
        <v>50</v>
      </c>
      <c r="E79" s="180" t="s">
        <v>8456</v>
      </c>
      <c r="F79" s="181"/>
      <c r="G79" s="179" t="s">
        <v>8457</v>
      </c>
      <c r="H79" s="190"/>
      <c r="I79" s="190"/>
      <c r="J79" s="187" t="s">
        <v>3903</v>
      </c>
      <c r="K79" s="187"/>
      <c r="L79" s="252" t="str">
        <f>IFERROR(__xludf.DUMMYFUNCTION("IF(
  AND(D79=""Saída"", J79=""Sangria""),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81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85">
        <f>IFERROR(__xludf.DUMMYFUNCTION("ifna(VALUE(REGEXEXTRACT(E79,""[0-9.]+[,]+[0-9]+"")))"),44.52)</f>
        <v>44.52</v>
      </c>
      <c r="O79" s="303"/>
      <c r="P79" s="121"/>
      <c r="Q79" s="121"/>
      <c r="R79" s="304" t="str">
        <f t="shared" si="3"/>
        <v/>
      </c>
      <c r="S79" s="297" t="str">
        <f t="shared" si="2"/>
        <v/>
      </c>
      <c r="T79" s="294" t="str">
        <f t="shared" si="1"/>
        <v/>
      </c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 ht="14.25" customHeight="1">
      <c r="A80" s="178"/>
      <c r="B80" s="10">
        <v>2206782.0</v>
      </c>
      <c r="C80" s="11">
        <v>46174.75644675926</v>
      </c>
      <c r="D80" s="179" t="s">
        <v>50</v>
      </c>
      <c r="E80" s="180" t="s">
        <v>3983</v>
      </c>
      <c r="F80" s="181"/>
      <c r="G80" s="179" t="s">
        <v>8458</v>
      </c>
      <c r="H80" s="190"/>
      <c r="I80" s="190"/>
      <c r="J80" s="187" t="s">
        <v>4159</v>
      </c>
      <c r="K80" s="187"/>
      <c r="L80" s="252" t="str">
        <f>IFERROR(__xludf.DUMMYFUNCTION("IF(
  AND(D80=""Saída"", J80=""Sangria""),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9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IFERROR(__xludf.DUMMYFUNCTION("ifna(VALUE(REGEXEXTRACT(E80,""[0-9.]+[,]+[0-9]+"")))"),150.0)</f>
        <v>150</v>
      </c>
      <c r="O80" s="299"/>
      <c r="P80" s="301"/>
      <c r="Q80" s="301"/>
      <c r="R80" s="302" t="str">
        <f t="shared" si="3"/>
        <v/>
      </c>
      <c r="S80" s="296" t="str">
        <f t="shared" si="2"/>
        <v/>
      </c>
      <c r="T80" s="288" t="str">
        <f t="shared" si="1"/>
        <v/>
      </c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 ht="14.25" customHeight="1">
      <c r="A81" s="178"/>
      <c r="B81" s="10">
        <v>2206803.0</v>
      </c>
      <c r="C81" s="11">
        <v>46174.761967592596</v>
      </c>
      <c r="D81" s="179" t="s">
        <v>50</v>
      </c>
      <c r="E81" s="180" t="s">
        <v>1304</v>
      </c>
      <c r="F81" s="181"/>
      <c r="G81" s="179" t="s">
        <v>149</v>
      </c>
      <c r="H81" s="190"/>
      <c r="I81" s="190"/>
      <c r="J81" s="187" t="s">
        <v>3044</v>
      </c>
      <c r="K81" s="187" t="s">
        <v>8093</v>
      </c>
      <c r="L81" s="252" t="str">
        <f>IFERROR(__xludf.DUMMYFUNCTION("IF(
  AND(D81=""Saída"", J81=""Sangria""),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8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IFERROR(__xludf.DUMMYFUNCTION("ifna(VALUE(REGEXEXTRACT(E81,""[0-9.]+[,]+[0-9]+"")))"),15.97)</f>
        <v>15.97</v>
      </c>
      <c r="O81" s="303"/>
      <c r="P81" s="121"/>
      <c r="Q81" s="121"/>
      <c r="R81" s="304" t="str">
        <f t="shared" si="3"/>
        <v/>
      </c>
      <c r="S81" s="297" t="str">
        <f t="shared" si="2"/>
        <v/>
      </c>
      <c r="T81" s="294" t="str">
        <f t="shared" si="1"/>
        <v/>
      </c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 ht="14.25" customHeight="1">
      <c r="A82" s="178"/>
      <c r="B82" s="10">
        <v>2206869.0</v>
      </c>
      <c r="C82" s="11">
        <v>46174.782372685186</v>
      </c>
      <c r="D82" s="179" t="s">
        <v>50</v>
      </c>
      <c r="E82" s="180" t="s">
        <v>6456</v>
      </c>
      <c r="F82" s="181"/>
      <c r="G82" s="179" t="s">
        <v>122</v>
      </c>
      <c r="H82" s="190"/>
      <c r="I82" s="190"/>
      <c r="J82" s="187" t="s">
        <v>3044</v>
      </c>
      <c r="K82" s="187" t="s">
        <v>6664</v>
      </c>
      <c r="L82" s="252" t="str">
        <f>IFERROR(__xludf.DUMMYFUNCTION("IF(
  AND(D82=""Saída"", J82=""Sangria""),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9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IFERROR(__xludf.DUMMYFUNCTION("ifna(VALUE(REGEXEXTRACT(E82,""[0-9.]+[,]+[0-9]+"")))"),20.06)</f>
        <v>20.06</v>
      </c>
      <c r="O82" s="299"/>
      <c r="P82" s="301"/>
      <c r="Q82" s="301"/>
      <c r="R82" s="302" t="str">
        <f t="shared" si="3"/>
        <v/>
      </c>
      <c r="S82" s="296" t="str">
        <f t="shared" si="2"/>
        <v/>
      </c>
      <c r="T82" s="288" t="str">
        <f t="shared" si="1"/>
        <v/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 ht="14.25" customHeight="1">
      <c r="A83" s="178"/>
      <c r="B83" s="10">
        <v>2207842.0</v>
      </c>
      <c r="C83" s="11">
        <v>46175.63138888889</v>
      </c>
      <c r="D83" s="179" t="s">
        <v>50</v>
      </c>
      <c r="E83" s="180" t="s">
        <v>8459</v>
      </c>
      <c r="F83" s="181"/>
      <c r="G83" s="179" t="s">
        <v>8460</v>
      </c>
      <c r="H83" s="190"/>
      <c r="I83" s="190"/>
      <c r="J83" s="187" t="s">
        <v>3903</v>
      </c>
      <c r="K83" s="187"/>
      <c r="L83" s="252" t="str">
        <f>IFERROR(__xludf.DUMMYFUNCTION("IF(
  AND(D83=""Saída"", J83=""Sangria""),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81" t="str">
        <f>IFERROR(__xludf.DUMMYFUNCTION("IF(J83=""Compra de Mercadorias"",
   IF(
      COUNTIF(ARRAYFORMULA(TRIM(CLEAN(TO_TEXT(Notas!BS:BS)))), TRIM(CLEAN(TO_TEXT(B83)))) &gt; 0,
      ""Encontrada"",
      ""Não Encontrada""
   ),
"""")"),"Não Encontrada")</f>
        <v>Não Encontrada</v>
      </c>
      <c r="N83" s="185">
        <f>IFERROR(__xludf.DUMMYFUNCTION("ifna(VALUE(REGEXEXTRACT(E83,""[0-9.]+[,]+[0-9]+"")))"),139.51)</f>
        <v>139.51</v>
      </c>
      <c r="O83" s="305"/>
      <c r="P83" s="305"/>
      <c r="Q83" s="305"/>
      <c r="R83" s="306"/>
      <c r="S83" s="305"/>
      <c r="T83" s="91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 ht="14.25" customHeight="1">
      <c r="A84" s="178"/>
      <c r="B84" s="10">
        <v>2207853.0</v>
      </c>
      <c r="C84" s="11">
        <v>46175.633888888886</v>
      </c>
      <c r="D84" s="179" t="s">
        <v>50</v>
      </c>
      <c r="E84" s="180" t="s">
        <v>494</v>
      </c>
      <c r="F84" s="181"/>
      <c r="G84" s="179" t="s">
        <v>8462</v>
      </c>
      <c r="H84" s="190"/>
      <c r="I84" s="190"/>
      <c r="J84" s="187"/>
      <c r="K84" s="187"/>
      <c r="L84" s="252" t="str">
        <f>IFERROR(__xludf.DUMMYFUNCTION("IF(
  AND(D84=""Saída"", J84=""Sangria""),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9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IFERROR(__xludf.DUMMYFUNCTION("ifna(VALUE(REGEXEXTRACT(E84,""[0-9.]+[,]+[0-9]+"")))"),0.01)</f>
        <v>0.01</v>
      </c>
      <c r="O84" s="307" t="s">
        <v>7170</v>
      </c>
      <c r="W84" s="24"/>
      <c r="X84" s="24"/>
      <c r="Y84" s="24"/>
      <c r="Z84" s="24"/>
      <c r="AA84" s="24"/>
      <c r="AB84" s="24"/>
      <c r="AC84" s="24"/>
      <c r="AD84" s="24"/>
      <c r="AE84" s="24"/>
    </row>
    <row r="85" ht="14.25" customHeight="1">
      <c r="A85" s="178"/>
      <c r="B85" s="10">
        <v>2207855.0</v>
      </c>
      <c r="C85" s="11">
        <v>46175.63422453704</v>
      </c>
      <c r="D85" s="179" t="s">
        <v>50</v>
      </c>
      <c r="E85" s="180" t="s">
        <v>6731</v>
      </c>
      <c r="F85" s="181"/>
      <c r="G85" s="179" t="s">
        <v>8464</v>
      </c>
      <c r="H85" s="190"/>
      <c r="I85" s="190"/>
      <c r="J85" s="187" t="s">
        <v>3903</v>
      </c>
      <c r="K85" s="187"/>
      <c r="L85" s="252" t="str">
        <f>IFERROR(__xludf.DUMMYFUNCTION("IF(
  AND(D85=""Saída"", J85=""Sangria""),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81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85">
        <f>IFERROR(__xludf.DUMMYFUNCTION("ifna(VALUE(REGEXEXTRACT(E85,""[0-9.]+[,]+[0-9]+"")))"),100.0)</f>
        <v>100</v>
      </c>
      <c r="O85" s="308" t="str">
        <f>IFERROR(__xludf.DUMMYFUNCTION("QUERY(B28:M507,""Select B,C,D,E,G,H,I,M where M = 'Não Encontrada'"",1)"),"ID")</f>
        <v>ID</v>
      </c>
      <c r="P85" s="308" t="str">
        <f>IFERROR(__xludf.DUMMYFUNCTION("""COMPUTED_VALUE"""),"Data")</f>
        <v>Data</v>
      </c>
      <c r="Q85" s="308" t="str">
        <f>IFERROR(__xludf.DUMMYFUNCTION("""COMPUTED_VALUE"""),"Entrada/Saída")</f>
        <v>Entrada/Saída</v>
      </c>
      <c r="R85" s="309" t="str">
        <f>IFERROR(__xludf.DUMMYFUNCTION("""COMPUTED_VALUE"""),"Valor ")</f>
        <v>Valor </v>
      </c>
      <c r="S85" s="308" t="str">
        <f>IFERROR(__xludf.DUMMYFUNCTION("""COMPUTED_VALUE"""),"Descrição")</f>
        <v>Descrição</v>
      </c>
      <c r="V85" s="310" t="str">
        <f>IFERROR(__xludf.DUMMYFUNCTION("""COMPUTED_VALUE"""),"Nota")</f>
        <v>Nota</v>
      </c>
      <c r="W85" s="24"/>
      <c r="X85" s="24"/>
      <c r="Y85" s="24"/>
      <c r="Z85" s="24"/>
      <c r="AA85" s="24"/>
      <c r="AB85" s="24"/>
      <c r="AC85" s="24"/>
      <c r="AD85" s="24"/>
      <c r="AE85" s="24"/>
    </row>
    <row r="86" ht="14.25" customHeight="1">
      <c r="A86" s="178"/>
      <c r="B86" s="10">
        <v>2208077.0</v>
      </c>
      <c r="C86" s="11">
        <v>46175.71461805556</v>
      </c>
      <c r="D86" s="179" t="s">
        <v>227</v>
      </c>
      <c r="E86" s="180" t="s">
        <v>6479</v>
      </c>
      <c r="F86" s="181"/>
      <c r="G86" s="179" t="s">
        <v>8467</v>
      </c>
      <c r="H86" s="190"/>
      <c r="I86" s="190"/>
      <c r="J86" s="187" t="s">
        <v>4159</v>
      </c>
      <c r="K86" s="187"/>
      <c r="L86" s="252" t="str">
        <f>IFERROR(__xludf.DUMMYFUNCTION("IF(
  AND(D86=""Saída"", J86=""Sangria""),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9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IFERROR(__xludf.DUMMYFUNCTION("ifna(VALUE(REGEXEXTRACT(E86,""[0-9.]+[,]+[0-9]+"")))"),300.0)</f>
        <v>300</v>
      </c>
      <c r="O86" s="356">
        <f>IFERROR(__xludf.DUMMYFUNCTION("""COMPUTED_VALUE"""),2198299.0)</f>
        <v>2198299</v>
      </c>
      <c r="P86" s="312">
        <f>IFERROR(__xludf.DUMMYFUNCTION("""COMPUTED_VALUE"""),46169.71802083333)</f>
        <v>46169.71802</v>
      </c>
      <c r="Q86" s="311" t="str">
        <f>IFERROR(__xludf.DUMMYFUNCTION("""COMPUTED_VALUE"""),"Saída")</f>
        <v>Saída</v>
      </c>
      <c r="R86" s="313" t="str">
        <f>IFERROR(__xludf.DUMMYFUNCTION("""COMPUTED_VALUE"""),"R$ 83,39")</f>
        <v>R$ 83,39</v>
      </c>
      <c r="S86" s="311" t="str">
        <f>IFERROR(__xludf.DUMMYFUNCTION("""COMPUTED_VALUE"""),"Saida Outros: compra de panos perflex e suporte acrílico para loja, compra pela internet 27/05")</f>
        <v>Saida Outros: compra de panos perflex e suporte acrílico para loja, compra pela internet 27/05</v>
      </c>
      <c r="V86" s="314" t="str">
        <f>IFERROR(__xludf.DUMMYFUNCTION("""COMPUTED_VALUE"""),"Não Encontrada")</f>
        <v>Não Encontrada</v>
      </c>
      <c r="W86" s="24"/>
      <c r="X86" s="24"/>
      <c r="Y86" s="24"/>
      <c r="Z86" s="24"/>
      <c r="AA86" s="24"/>
      <c r="AB86" s="24"/>
      <c r="AC86" s="24"/>
      <c r="AD86" s="24"/>
      <c r="AE86" s="24"/>
    </row>
    <row r="87" ht="14.25" customHeight="1">
      <c r="A87" s="178"/>
      <c r="B87" s="10">
        <v>2208078.0</v>
      </c>
      <c r="C87" s="11">
        <v>46175.714895833335</v>
      </c>
      <c r="D87" s="179" t="s">
        <v>50</v>
      </c>
      <c r="E87" s="180" t="s">
        <v>1279</v>
      </c>
      <c r="F87" s="181"/>
      <c r="G87" s="179" t="s">
        <v>8470</v>
      </c>
      <c r="H87" s="190"/>
      <c r="I87" s="190"/>
      <c r="J87" s="187" t="s">
        <v>3903</v>
      </c>
      <c r="K87" s="187"/>
      <c r="L87" s="252" t="str">
        <f>IFERROR(__xludf.DUMMYFUNCTION("IF(
  AND(D87=""Saída"", J87=""Sangria""),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81" t="str">
        <f>IFERROR(__xludf.DUMMYFUNCTION("IF(J87=""Compra de Mercadorias"",
   IF(
      COUNTIF(ARRAYFORMULA(TRIM(CLEAN(TO_TEXT(Notas!BS:BS)))), TRIM(CLEAN(TO_TEXT(B87)))) &gt; 0,
      ""Encontrada"",
      ""Não Encontrada""
   ),
"""")"),"Encontrada")</f>
        <v>Encontrada</v>
      </c>
      <c r="N87" s="185">
        <f>IFERROR(__xludf.DUMMYFUNCTION("ifna(VALUE(REGEXEXTRACT(E87,""[0-9.]+[,]+[0-9]+"")))"),600.0)</f>
        <v>600</v>
      </c>
      <c r="O87" s="315">
        <f>IFERROR(__xludf.DUMMYFUNCTION("""COMPUTED_VALUE"""),2204142.0)</f>
        <v>2204142</v>
      </c>
      <c r="P87" s="316">
        <f>IFERROR(__xludf.DUMMYFUNCTION("""COMPUTED_VALUE"""),46173.63997685185)</f>
        <v>46173.63998</v>
      </c>
      <c r="Q87" s="315" t="str">
        <f>IFERROR(__xludf.DUMMYFUNCTION("""COMPUTED_VALUE"""),"Saída")</f>
        <v>Saída</v>
      </c>
      <c r="R87" s="317" t="str">
        <f>IFERROR(__xludf.DUMMYFUNCTION("""COMPUTED_VALUE"""),"R$ 10,00")</f>
        <v>R$ 10,00</v>
      </c>
      <c r="S87" s="315" t="str">
        <f>IFERROR(__xludf.DUMMYFUNCTION("""COMPUTED_VALUE"""),"Saida Outros: saida refrente a caixa de alho que o moço trouce para o seu daniel. ]31/05/2026.")</f>
        <v>Saida Outros: saida refrente a caixa de alho que o moço trouce para o seu daniel. ]31/05/2026.</v>
      </c>
      <c r="V87" s="318" t="str">
        <f>IFERROR(__xludf.DUMMYFUNCTION("""COMPUTED_VALUE"""),"Não Encontrada")</f>
        <v>Não Encontrada</v>
      </c>
      <c r="W87" s="24"/>
      <c r="X87" s="24"/>
      <c r="Y87" s="24"/>
      <c r="Z87" s="24"/>
      <c r="AA87" s="24"/>
      <c r="AB87" s="24"/>
      <c r="AC87" s="24"/>
      <c r="AD87" s="24"/>
      <c r="AE87" s="24"/>
    </row>
    <row r="88" ht="14.25" customHeight="1">
      <c r="A88" s="178"/>
      <c r="B88" s="10">
        <v>2208148.0</v>
      </c>
      <c r="C88" s="11">
        <v>46175.74290509259</v>
      </c>
      <c r="D88" s="179" t="s">
        <v>50</v>
      </c>
      <c r="E88" s="180" t="s">
        <v>8473</v>
      </c>
      <c r="F88" s="181"/>
      <c r="G88" s="179" t="s">
        <v>8474</v>
      </c>
      <c r="H88" s="190"/>
      <c r="I88" s="190"/>
      <c r="J88" s="187" t="s">
        <v>3903</v>
      </c>
      <c r="K88" s="187"/>
      <c r="L88" s="252" t="str">
        <f>IFERROR(__xludf.DUMMYFUNCTION("IF(
  AND(D88=""Saída"", J88=""Sangria""),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9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85">
        <f>IFERROR(__xludf.DUMMYFUNCTION("ifna(VALUE(REGEXEXTRACT(E88,""[0-9.]+[,]+[0-9]+"")))"),9.92)</f>
        <v>9.92</v>
      </c>
      <c r="O88" s="319">
        <f>IFERROR(__xludf.DUMMYFUNCTION("""COMPUTED_VALUE"""),2207842.0)</f>
        <v>2207842</v>
      </c>
      <c r="P88" s="320">
        <f>IFERROR(__xludf.DUMMYFUNCTION("""COMPUTED_VALUE"""),46175.63138888888)</f>
        <v>46175.63139</v>
      </c>
      <c r="Q88" s="319" t="str">
        <f>IFERROR(__xludf.DUMMYFUNCTION("""COMPUTED_VALUE"""),"Saída")</f>
        <v>Saída</v>
      </c>
      <c r="R88" s="321" t="str">
        <f>IFERROR(__xludf.DUMMYFUNCTION("""COMPUTED_VALUE"""),"R$ 139,51")</f>
        <v>R$ 139,51</v>
      </c>
      <c r="S88" s="319" t="str">
        <f>IFERROR(__xludf.DUMMYFUNCTION("""COMPUTED_VALUE"""),"Saida Outros: PRODUTS PARA LOJA. 02/06/2026.")</f>
        <v>Saida Outros: PRODUTS PARA LOJA. 02/06/2026.</v>
      </c>
      <c r="V88" s="322" t="str">
        <f>IFERROR(__xludf.DUMMYFUNCTION("""COMPUTED_VALUE"""),"Não Encontrada")</f>
        <v>Não Encontrada</v>
      </c>
      <c r="W88" s="24"/>
      <c r="X88" s="24"/>
      <c r="Y88" s="24"/>
      <c r="Z88" s="24"/>
      <c r="AA88" s="24"/>
      <c r="AB88" s="24"/>
      <c r="AC88" s="24"/>
      <c r="AD88" s="24"/>
      <c r="AE88" s="24"/>
    </row>
    <row r="89" ht="14.25" customHeight="1">
      <c r="A89" s="178"/>
      <c r="B89" s="10">
        <v>2208206.0</v>
      </c>
      <c r="C89" s="11">
        <v>46175.76498842592</v>
      </c>
      <c r="D89" s="179" t="s">
        <v>50</v>
      </c>
      <c r="E89" s="180" t="s">
        <v>1635</v>
      </c>
      <c r="F89" s="181"/>
      <c r="G89" s="179" t="s">
        <v>7666</v>
      </c>
      <c r="H89" s="323"/>
      <c r="I89" s="190"/>
      <c r="J89" s="187" t="s">
        <v>3044</v>
      </c>
      <c r="K89" s="187" t="s">
        <v>7052</v>
      </c>
      <c r="L89" s="252" t="str">
        <f>IFERROR(__xludf.DUMMYFUNCTION("IF(
  AND(D89=""Saída"", J89=""Sangria""),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8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IFERROR(__xludf.DUMMYFUNCTION("ifna(VALUE(REGEXEXTRACT(E89,""[0-9.]+[,]+[0-9]+"")))"),18.28)</f>
        <v>18.28</v>
      </c>
      <c r="O89" s="315">
        <f>IFERROR(__xludf.DUMMYFUNCTION("""COMPUTED_VALUE"""),2213543.0)</f>
        <v>2213543</v>
      </c>
      <c r="P89" s="316">
        <f>IFERROR(__xludf.DUMMYFUNCTION("""COMPUTED_VALUE"""),46178.880011574074)</f>
        <v>46178.88001</v>
      </c>
      <c r="Q89" s="315" t="str">
        <f>IFERROR(__xludf.DUMMYFUNCTION("""COMPUTED_VALUE"""),"Entrada")</f>
        <v>Entrada</v>
      </c>
      <c r="R89" s="317" t="str">
        <f>IFERROR(__xludf.DUMMYFUNCTION("""COMPUTED_VALUE"""),"R$ 280,44")</f>
        <v>R$ 280,44</v>
      </c>
      <c r="S89" s="315" t="str">
        <f>IFERROR(__xludf.DUMMYFUNCTION("""COMPUTED_VALUE"""),"Entrada Outros: dinheiro pego do armário para compras de hoje para loja")</f>
        <v>Entrada Outros: dinheiro pego do armário para compras de hoje para loja</v>
      </c>
      <c r="V89" s="318" t="str">
        <f>IFERROR(__xludf.DUMMYFUNCTION("""COMPUTED_VALUE"""),"Não Encontrada")</f>
        <v>Não Encontrada</v>
      </c>
      <c r="W89" s="24"/>
      <c r="X89" s="24"/>
      <c r="Y89" s="24"/>
      <c r="Z89" s="24"/>
      <c r="AA89" s="24"/>
      <c r="AB89" s="24"/>
      <c r="AC89" s="24"/>
      <c r="AD89" s="24"/>
      <c r="AE89" s="24"/>
    </row>
    <row r="90" ht="14.25" customHeight="1">
      <c r="A90" s="178"/>
      <c r="B90" s="10">
        <v>2208356.0</v>
      </c>
      <c r="C90" s="11">
        <v>46175.8378125</v>
      </c>
      <c r="D90" s="179" t="s">
        <v>50</v>
      </c>
      <c r="E90" s="180" t="s">
        <v>8476</v>
      </c>
      <c r="F90" s="181"/>
      <c r="G90" s="179" t="s">
        <v>122</v>
      </c>
      <c r="H90" s="190"/>
      <c r="I90" s="190"/>
      <c r="J90" s="187" t="s">
        <v>3044</v>
      </c>
      <c r="K90" s="187" t="s">
        <v>6664</v>
      </c>
      <c r="L90" s="252" t="str">
        <f>IFERROR(__xludf.DUMMYFUNCTION("IF(
  AND(D90=""Saída"", J90=""Sangria""),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9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IFERROR(__xludf.DUMMYFUNCTION("ifna(VALUE(REGEXEXTRACT(E90,""[0-9.]+[,]+[0-9]+"")))"),10.61)</f>
        <v>10.61</v>
      </c>
      <c r="O90" s="319">
        <f>IFERROR(__xludf.DUMMYFUNCTION("""COMPUTED_VALUE"""),2216296.0)</f>
        <v>2216296</v>
      </c>
      <c r="P90" s="320">
        <f>IFERROR(__xludf.DUMMYFUNCTION("""COMPUTED_VALUE"""),46180.58143518519)</f>
        <v>46180.58144</v>
      </c>
      <c r="Q90" s="319" t="str">
        <f>IFERROR(__xludf.DUMMYFUNCTION("""COMPUTED_VALUE"""),"Saída")</f>
        <v>Saída</v>
      </c>
      <c r="R90" s="321" t="str">
        <f>IFERROR(__xludf.DUMMYFUNCTION("""COMPUTED_VALUE"""),"R$ 4,95")</f>
        <v>R$ 4,95</v>
      </c>
      <c r="S90" s="319" t="str">
        <f>IFERROR(__xludf.DUMMYFUNCTION("""COMPUTED_VALUE"""),"Saida Outros: COMPRA DE MASCARAS. 03/06/2026.")</f>
        <v>Saida Outros: COMPRA DE MASCARAS. 03/06/2026.</v>
      </c>
      <c r="V90" s="322" t="str">
        <f>IFERROR(__xludf.DUMMYFUNCTION("""COMPUTED_VALUE"""),"Não Encontrada")</f>
        <v>Não Encontrada</v>
      </c>
      <c r="W90" s="24"/>
      <c r="X90" s="24"/>
      <c r="Y90" s="24"/>
      <c r="Z90" s="24"/>
      <c r="AA90" s="24"/>
      <c r="AB90" s="24"/>
      <c r="AC90" s="24"/>
      <c r="AD90" s="24"/>
      <c r="AE90" s="24"/>
    </row>
    <row r="91" ht="14.25" customHeight="1">
      <c r="A91" s="178"/>
      <c r="B91" s="10">
        <v>2209324.0</v>
      </c>
      <c r="C91" s="11">
        <v>46176.67329861111</v>
      </c>
      <c r="D91" s="179" t="s">
        <v>50</v>
      </c>
      <c r="E91" s="180" t="s">
        <v>246</v>
      </c>
      <c r="F91" s="181"/>
      <c r="G91" s="179" t="s">
        <v>94</v>
      </c>
      <c r="H91" s="190"/>
      <c r="I91" s="190"/>
      <c r="J91" s="187" t="s">
        <v>3044</v>
      </c>
      <c r="K91" s="187" t="s">
        <v>7058</v>
      </c>
      <c r="L91" s="252" t="str">
        <f>IFERROR(__xludf.DUMMYFUNCTION("IF(
  AND(D91=""Saída"", J91=""Sangria""),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8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IFERROR(__xludf.DUMMYFUNCTION("ifna(VALUE(REGEXEXTRACT(E91,""[0-9.]+[,]+[0-9]+"")))"),4.0)</f>
        <v>4</v>
      </c>
      <c r="O91" s="315">
        <f>IFERROR(__xludf.DUMMYFUNCTION("""COMPUTED_VALUE"""),2223255.0)</f>
        <v>2223255</v>
      </c>
      <c r="P91" s="316">
        <f>IFERROR(__xludf.DUMMYFUNCTION("""COMPUTED_VALUE"""),46184.89853009259)</f>
        <v>46184.89853</v>
      </c>
      <c r="Q91" s="315" t="str">
        <f>IFERROR(__xludf.DUMMYFUNCTION("""COMPUTED_VALUE"""),"Saída")</f>
        <v>Saída</v>
      </c>
      <c r="R91" s="317" t="str">
        <f>IFERROR(__xludf.DUMMYFUNCTION("""COMPUTED_VALUE"""),"R$ 20,00")</f>
        <v>R$ 20,00</v>
      </c>
      <c r="S91" s="315" t="str">
        <f>IFERROR(__xludf.DUMMYFUNCTION("""COMPUTED_VALUE"""),"Saida Outros: compra de decorações para loja 11/06")</f>
        <v>Saida Outros: compra de decorações para loja 11/06</v>
      </c>
      <c r="V91" s="318" t="str">
        <f>IFERROR(__xludf.DUMMYFUNCTION("""COMPUTED_VALUE"""),"Não Encontrada")</f>
        <v>Não Encontrada</v>
      </c>
      <c r="W91" s="24"/>
      <c r="X91" s="24"/>
      <c r="Y91" s="24"/>
      <c r="Z91" s="24"/>
      <c r="AA91" s="24"/>
      <c r="AB91" s="24"/>
      <c r="AC91" s="24"/>
      <c r="AD91" s="24"/>
      <c r="AE91" s="24"/>
    </row>
    <row r="92" ht="14.25" customHeight="1">
      <c r="A92" s="178"/>
      <c r="B92" s="10">
        <v>2209443.0</v>
      </c>
      <c r="C92" s="11">
        <v>46176.71072916667</v>
      </c>
      <c r="D92" s="179" t="s">
        <v>50</v>
      </c>
      <c r="E92" s="180" t="s">
        <v>8478</v>
      </c>
      <c r="F92" s="181"/>
      <c r="G92" s="179" t="s">
        <v>122</v>
      </c>
      <c r="H92" s="190"/>
      <c r="I92" s="190"/>
      <c r="J92" s="187" t="s">
        <v>3044</v>
      </c>
      <c r="K92" s="187" t="s">
        <v>6664</v>
      </c>
      <c r="L92" s="252" t="str">
        <f>IFERROR(__xludf.DUMMYFUNCTION("IF(
  AND(D92=""Saída"", J92=""Sangria""),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9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IFERROR(__xludf.DUMMYFUNCTION("ifna(VALUE(REGEXEXTRACT(E92,""[0-9.]+[,]+[0-9]+"")))"),8.56)</f>
        <v>8.56</v>
      </c>
      <c r="O92" s="319">
        <f>IFERROR(__xludf.DUMMYFUNCTION("""COMPUTED_VALUE"""),2223979.0)</f>
        <v>2223979</v>
      </c>
      <c r="P92" s="320">
        <f>IFERROR(__xludf.DUMMYFUNCTION("""COMPUTED_VALUE"""),46185.663194444445)</f>
        <v>46185.66319</v>
      </c>
      <c r="Q92" s="319" t="str">
        <f>IFERROR(__xludf.DUMMYFUNCTION("""COMPUTED_VALUE"""),"Saída")</f>
        <v>Saída</v>
      </c>
      <c r="R92" s="321" t="str">
        <f>IFERROR(__xludf.DUMMYFUNCTION("""COMPUTED_VALUE"""),"R$ 75,00")</f>
        <v>R$ 75,00</v>
      </c>
      <c r="S92" s="319" t="str">
        <f>IFERROR(__xludf.DUMMYFUNCTION("""COMPUTED_VALUE"""),"Saida Outros: pagamento para combustivel pra compras para loja autorizado pela dona joice 12/06/2026")</f>
        <v>Saida Outros: pagamento para combustivel pra compras para loja autorizado pela dona joice 12/06/2026</v>
      </c>
      <c r="V92" s="281" t="str">
        <f>IFERROR(__xludf.DUMMYFUNCTION("""COMPUTED_VALUE"""),"Não Encontrada")</f>
        <v>Não Encontrada</v>
      </c>
      <c r="W92" s="185"/>
      <c r="X92" s="185"/>
      <c r="Y92" s="185"/>
      <c r="Z92" s="185"/>
      <c r="AA92" s="185"/>
      <c r="AB92" s="185"/>
      <c r="AC92" s="185"/>
      <c r="AD92" s="185"/>
      <c r="AE92" s="185"/>
    </row>
    <row r="93" ht="14.25" customHeight="1">
      <c r="A93" s="178"/>
      <c r="B93" s="10">
        <v>2209814.0</v>
      </c>
      <c r="C93" s="11">
        <v>46176.85122685185</v>
      </c>
      <c r="D93" s="179" t="s">
        <v>50</v>
      </c>
      <c r="E93" s="180" t="s">
        <v>6897</v>
      </c>
      <c r="F93" s="181"/>
      <c r="G93" s="179" t="s">
        <v>74</v>
      </c>
      <c r="H93" s="190"/>
      <c r="I93" s="190"/>
      <c r="J93" s="187" t="s">
        <v>3044</v>
      </c>
      <c r="K93" s="187" t="s">
        <v>7058</v>
      </c>
      <c r="L93" s="252" t="str">
        <f>IFERROR(__xludf.DUMMYFUNCTION("IF(
  AND(D93=""Saída"", J93=""Sangria""),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81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IFERROR(__xludf.DUMMYFUNCTION("ifna(VALUE(REGEXEXTRACT(E93,""[0-9.]+[,]+[0-9]+"")))"),21.47)</f>
        <v>21.47</v>
      </c>
      <c r="O93" s="315">
        <f>IFERROR(__xludf.DUMMYFUNCTION("""COMPUTED_VALUE"""),2233624.0)</f>
        <v>2233624</v>
      </c>
      <c r="P93" s="316">
        <f>IFERROR(__xludf.DUMMYFUNCTION("""COMPUTED_VALUE"""),46192.638715277775)</f>
        <v>46192.63872</v>
      </c>
      <c r="Q93" s="315" t="str">
        <f>IFERROR(__xludf.DUMMYFUNCTION("""COMPUTED_VALUE"""),"Saída")</f>
        <v>Saída</v>
      </c>
      <c r="R93" s="317" t="str">
        <f>IFERROR(__xludf.DUMMYFUNCTION("""COMPUTED_VALUE"""),"R$ 25,00")</f>
        <v>R$ 25,00</v>
      </c>
      <c r="S93" s="315" t="str">
        <f>IFERROR(__xludf.DUMMYFUNCTION("""COMPUTED_VALUE"""),"Saida Outros: pagamento do uber autorizado pela Joice")</f>
        <v>Saida Outros: pagamento do uber autorizado pela Joice</v>
      </c>
      <c r="V93" s="279" t="str">
        <f>IFERROR(__xludf.DUMMYFUNCTION("""COMPUTED_VALUE"""),"Não Encontrada")</f>
        <v>Não Encontrada</v>
      </c>
      <c r="W93" s="185"/>
      <c r="X93" s="185"/>
      <c r="Y93" s="185"/>
      <c r="Z93" s="185"/>
      <c r="AA93" s="185"/>
      <c r="AB93" s="185"/>
      <c r="AC93" s="185"/>
      <c r="AD93" s="185"/>
      <c r="AE93" s="185"/>
    </row>
    <row r="94" ht="14.25" customHeight="1">
      <c r="A94" s="178"/>
      <c r="B94" s="10">
        <v>2210745.0</v>
      </c>
      <c r="C94" s="11">
        <v>46177.65723379629</v>
      </c>
      <c r="D94" s="179" t="s">
        <v>50</v>
      </c>
      <c r="E94" s="180" t="s">
        <v>8481</v>
      </c>
      <c r="F94" s="181"/>
      <c r="G94" s="179" t="s">
        <v>8482</v>
      </c>
      <c r="H94" s="190"/>
      <c r="I94" s="190"/>
      <c r="J94" s="187" t="s">
        <v>3467</v>
      </c>
      <c r="K94" s="187"/>
      <c r="L94" s="252" t="str">
        <f>IFERROR(__xludf.DUMMYFUNCTION("IF(
  AND(D94=""Saída"", J94=""Sangria""),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9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IFERROR(__xludf.DUMMYFUNCTION("ifna(VALUE(REGEXEXTRACT(E94,""[0-9.]+[,]+[0-9]+"")))"),32.33)</f>
        <v>32.33</v>
      </c>
      <c r="O94" s="319">
        <f>IFERROR(__xludf.DUMMYFUNCTION("""COMPUTED_VALUE"""),2241837.0)</f>
        <v>2241837</v>
      </c>
      <c r="P94" s="320">
        <f>IFERROR(__xludf.DUMMYFUNCTION("""COMPUTED_VALUE"""),46198.85561342593)</f>
        <v>46198.85561</v>
      </c>
      <c r="Q94" s="319" t="str">
        <f>IFERROR(__xludf.DUMMYFUNCTION("""COMPUTED_VALUE"""),"Saída")</f>
        <v>Saída</v>
      </c>
      <c r="R94" s="321" t="str">
        <f>IFERROR(__xludf.DUMMYFUNCTION("""COMPUTED_VALUE"""),"R$ 43,20")</f>
        <v>R$ 43,20</v>
      </c>
      <c r="S94" s="319" t="str">
        <f>IFERROR(__xludf.DUMMYFUNCTION("""COMPUTED_VALUE"""),"Saida Outros: pagamento de uber autorizado pela dona Joice para compras da loja 25/06")</f>
        <v>Saida Outros: pagamento de uber autorizado pela dona Joice para compras da loja 25/06</v>
      </c>
      <c r="V94" s="281" t="str">
        <f>IFERROR(__xludf.DUMMYFUNCTION("""COMPUTED_VALUE"""),"Não Encontrada")</f>
        <v>Não Encontrada</v>
      </c>
      <c r="W94" s="185"/>
      <c r="X94" s="185"/>
      <c r="Y94" s="185"/>
      <c r="Z94" s="185"/>
      <c r="AA94" s="185"/>
      <c r="AB94" s="185"/>
      <c r="AC94" s="185"/>
      <c r="AD94" s="185"/>
      <c r="AE94" s="185"/>
    </row>
    <row r="95" ht="14.25" customHeight="1">
      <c r="A95" s="178"/>
      <c r="B95" s="10">
        <v>2211177.0</v>
      </c>
      <c r="C95" s="11">
        <v>46177.78271990741</v>
      </c>
      <c r="D95" s="179" t="s">
        <v>50</v>
      </c>
      <c r="E95" s="180" t="s">
        <v>6846</v>
      </c>
      <c r="F95" s="181"/>
      <c r="G95" s="179" t="s">
        <v>122</v>
      </c>
      <c r="H95" s="190"/>
      <c r="I95" s="190"/>
      <c r="J95" s="187" t="s">
        <v>3044</v>
      </c>
      <c r="K95" s="187" t="s">
        <v>6664</v>
      </c>
      <c r="L95" s="252" t="str">
        <f>IFERROR(__xludf.DUMMYFUNCTION("IF(
  AND(D95=""Saída"", J95=""Sangria""),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8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IFERROR(__xludf.DUMMYFUNCTION("ifna(VALUE(REGEXEXTRACT(E95,""[0-9.]+[,]+[0-9]+"")))"),13.0)</f>
        <v>13</v>
      </c>
      <c r="O95" s="315"/>
      <c r="P95" s="316"/>
      <c r="Q95" s="315"/>
      <c r="R95" s="317"/>
      <c r="S95" s="315"/>
      <c r="V95" s="279"/>
      <c r="W95" s="185"/>
      <c r="X95" s="185"/>
      <c r="Y95" s="185"/>
      <c r="Z95" s="185"/>
      <c r="AA95" s="185"/>
      <c r="AB95" s="185"/>
      <c r="AC95" s="185"/>
      <c r="AD95" s="185"/>
      <c r="AE95" s="185"/>
    </row>
    <row r="96" ht="14.25" customHeight="1">
      <c r="A96" s="178"/>
      <c r="B96" s="10">
        <v>2213187.0</v>
      </c>
      <c r="C96" s="11">
        <v>46178.77012731481</v>
      </c>
      <c r="D96" s="179" t="s">
        <v>50</v>
      </c>
      <c r="E96" s="180" t="s">
        <v>205</v>
      </c>
      <c r="F96" s="181"/>
      <c r="G96" s="179" t="s">
        <v>122</v>
      </c>
      <c r="H96" s="190"/>
      <c r="I96" s="190"/>
      <c r="J96" s="187" t="s">
        <v>3044</v>
      </c>
      <c r="K96" s="187" t="s">
        <v>6664</v>
      </c>
      <c r="L96" s="252" t="str">
        <f>IFERROR(__xludf.DUMMYFUNCTION("IF(
  AND(D96=""Saída"", J96=""Sangria""),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9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IFERROR(__xludf.DUMMYFUNCTION("ifna(VALUE(REGEXEXTRACT(E96,""[0-9.]+[,]+[0-9]+"")))"),10.0)</f>
        <v>10</v>
      </c>
      <c r="O96" s="325"/>
      <c r="P96" s="326"/>
      <c r="Q96" s="326"/>
      <c r="R96" s="321"/>
      <c r="S96" s="319"/>
      <c r="V96" s="281"/>
      <c r="W96" s="185"/>
      <c r="X96" s="185"/>
      <c r="Y96" s="185"/>
      <c r="Z96" s="185"/>
      <c r="AA96" s="185"/>
      <c r="AB96" s="185"/>
      <c r="AC96" s="185"/>
      <c r="AD96" s="185"/>
      <c r="AE96" s="185"/>
    </row>
    <row r="97" ht="14.25" customHeight="1">
      <c r="A97" s="178"/>
      <c r="B97" s="10">
        <v>2213528.0</v>
      </c>
      <c r="C97" s="11">
        <v>46178.87804398148</v>
      </c>
      <c r="D97" s="179" t="s">
        <v>50</v>
      </c>
      <c r="E97" s="180" t="s">
        <v>8484</v>
      </c>
      <c r="F97" s="181"/>
      <c r="G97" s="179" t="s">
        <v>8485</v>
      </c>
      <c r="H97" s="190"/>
      <c r="I97" s="190"/>
      <c r="J97" s="187" t="s">
        <v>3903</v>
      </c>
      <c r="K97" s="187"/>
      <c r="L97" s="252" t="str">
        <f>IFERROR(__xludf.DUMMYFUNCTION("IF(
  AND(D97=""Saída"", J97=""Sangria""),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81" t="str">
        <f>IFERROR(__xludf.DUMMYFUNCTION("IF(J97=""Compra de Mercadorias"",
   IF(
      COUNTIF(ARRAYFORMULA(TRIM(CLEAN(TO_TEXT(Notas!BS:BS)))), TRIM(CLEAN(TO_TEXT(B97)))) &gt; 0,
      ""Encontrada"",
      ""Não Encontrada""
   ),
"""")"),"Encontrada")</f>
        <v>Encontrada</v>
      </c>
      <c r="N97" s="185">
        <f>IFERROR(__xludf.DUMMYFUNCTION("ifna(VALUE(REGEXEXTRACT(E97,""[0-9.]+[,]+[0-9]+"")))"),26.82)</f>
        <v>26.82</v>
      </c>
      <c r="O97" s="315"/>
      <c r="P97" s="316"/>
      <c r="Q97" s="315"/>
      <c r="R97" s="317"/>
      <c r="S97" s="315"/>
      <c r="V97" s="279"/>
      <c r="W97" s="185"/>
      <c r="X97" s="185"/>
      <c r="Y97" s="185"/>
      <c r="Z97" s="185"/>
      <c r="AA97" s="185"/>
      <c r="AB97" s="185"/>
      <c r="AC97" s="185"/>
      <c r="AD97" s="185"/>
      <c r="AE97" s="185"/>
    </row>
    <row r="98" ht="14.25" customHeight="1">
      <c r="A98" s="178"/>
      <c r="B98" s="10">
        <v>2213534.0</v>
      </c>
      <c r="C98" s="11">
        <v>46178.8783912037</v>
      </c>
      <c r="D98" s="179" t="s">
        <v>50</v>
      </c>
      <c r="E98" s="180" t="s">
        <v>8486</v>
      </c>
      <c r="F98" s="181"/>
      <c r="G98" s="179" t="s">
        <v>8487</v>
      </c>
      <c r="H98" s="190"/>
      <c r="I98" s="190"/>
      <c r="J98" s="187" t="s">
        <v>3903</v>
      </c>
      <c r="K98" s="187"/>
      <c r="L98" s="252" t="str">
        <f>IFERROR(__xludf.DUMMYFUNCTION("IF(
  AND(D98=""Saída"", J98=""Sangria""),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9" t="str">
        <f>IFERROR(__xludf.DUMMYFUNCTION("IF(J98=""Compra de Mercadorias"",
   IF(
      COUNTIF(ARRAYFORMULA(TRIM(CLEAN(TO_TEXT(Notas!BS:BS)))), TRIM(CLEAN(TO_TEXT(B98)))) &gt; 0,
      ""Encontrada"",
      ""Não Encontrada""
   ),
"""")"),"Encontrada")</f>
        <v>Encontrada</v>
      </c>
      <c r="N98" s="185">
        <f>IFERROR(__xludf.DUMMYFUNCTION("ifna(VALUE(REGEXEXTRACT(E98,""[0-9.]+[,]+[0-9]+"")))"),253.62)</f>
        <v>253.62</v>
      </c>
      <c r="O98" s="319"/>
      <c r="P98" s="320"/>
      <c r="Q98" s="319"/>
      <c r="R98" s="321"/>
      <c r="S98" s="319"/>
      <c r="V98" s="281"/>
      <c r="W98" s="185"/>
      <c r="X98" s="185"/>
      <c r="Y98" s="185"/>
      <c r="Z98" s="185"/>
      <c r="AA98" s="185"/>
      <c r="AB98" s="185"/>
      <c r="AC98" s="185"/>
      <c r="AD98" s="185"/>
      <c r="AE98" s="185"/>
    </row>
    <row r="99" ht="14.25" customHeight="1">
      <c r="A99" s="178"/>
      <c r="B99" s="10">
        <v>2213543.0</v>
      </c>
      <c r="C99" s="11">
        <v>46178.880011574074</v>
      </c>
      <c r="D99" s="179" t="s">
        <v>227</v>
      </c>
      <c r="E99" s="180" t="s">
        <v>8489</v>
      </c>
      <c r="F99" s="181"/>
      <c r="G99" s="179" t="s">
        <v>8490</v>
      </c>
      <c r="H99" s="190"/>
      <c r="I99" s="190"/>
      <c r="J99" s="187" t="s">
        <v>3903</v>
      </c>
      <c r="K99" s="187"/>
      <c r="L99" s="252" t="str">
        <f>IFERROR(__xludf.DUMMYFUNCTION("IF(
  AND(D99=""Saída"", J99=""Sangria""),
  IFNA(
    IF(
      SUM(
        QUERY(
          IMPORTRANGE(""https://docs.google.com/spreadsheets/d/1wBSFbIXYswW2S5SMKo44LPsdTG4P4kfP5VRdAS5E_4o"",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IMPORTRANGE(""https://docs.google.com/spreadsheets/d/1wBSFbIXYswW2S5SMKo44LPsdTG4P4kfP5VRdAS5E_4o"",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IMPORT"&amp;"RANGE(""https://docs.google.com/spreadsheets/d/1wBSFbIXYswW2S5SMKo44LPsdTG4P4kfP5VRdAS5E_4o"",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81" t="str">
        <f>IFERROR(__xludf.DUMMYFUNCTION("IF(J99=""Compra de Mercadorias"",
   IF(
      COUNTIF(ARRAYFORMULA(TRIM(CLEAN(TO_TEXT(Notas!BS:BS)))), TRIM(CLEAN(TO_TEXT(B99)))) &gt; 0,
      ""Encontrada"",
      ""Não Encontrada""
   ),
"""")"),"Não Encontrada")</f>
        <v>Não Encontrada</v>
      </c>
      <c r="N99" s="185">
        <f>IFERROR(__xludf.DUMMYFUNCTION("ifna(VALUE(REGEXEXTRACT(E99,""[0-9.]+[,]+[0-9]+"")))"),280.44)</f>
        <v>280.44</v>
      </c>
      <c r="O99" s="315"/>
      <c r="P99" s="316"/>
      <c r="Q99" s="315"/>
      <c r="R99" s="317"/>
      <c r="S99" s="315"/>
      <c r="V99" s="279"/>
      <c r="W99" s="185"/>
      <c r="X99" s="185"/>
      <c r="Y99" s="185"/>
      <c r="Z99" s="185"/>
      <c r="AA99" s="185"/>
      <c r="AB99" s="185"/>
      <c r="AC99" s="185"/>
      <c r="AD99" s="185"/>
      <c r="AE99" s="185"/>
    </row>
    <row r="100" ht="14.25" customHeight="1">
      <c r="A100" s="178"/>
      <c r="B100" s="10">
        <v>2215353.0</v>
      </c>
      <c r="C100" s="11">
        <v>46179.87167824074</v>
      </c>
      <c r="D100" s="179" t="s">
        <v>50</v>
      </c>
      <c r="E100" s="180" t="s">
        <v>3899</v>
      </c>
      <c r="F100" s="181"/>
      <c r="G100" s="179" t="s">
        <v>8492</v>
      </c>
      <c r="H100" s="190"/>
      <c r="I100" s="190"/>
      <c r="J100" s="187" t="s">
        <v>3746</v>
      </c>
      <c r="K100" s="187" t="s">
        <v>7058</v>
      </c>
      <c r="L100" s="252" t="str">
        <f>IFERROR(__xludf.DUMMYFUNCTION("IF(
  AND(D100=""Saída"", J100=""Sangria""),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"),"Caixa Sangria")</f>
        <v>Caixa Sangria</v>
      </c>
      <c r="M100" s="279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IFERROR(__xludf.DUMMYFUNCTION("ifna(VALUE(REGEXEXTRACT(E100,""[0-9.]+[,]+[0-9]+"")))"),1000.0)</f>
        <v>1000</v>
      </c>
      <c r="O100" s="319"/>
      <c r="P100" s="320"/>
      <c r="Q100" s="319"/>
      <c r="R100" s="321"/>
      <c r="S100" s="319"/>
      <c r="V100" s="281"/>
      <c r="W100" s="185"/>
      <c r="X100" s="185"/>
      <c r="Y100" s="185"/>
      <c r="Z100" s="185"/>
      <c r="AA100" s="185"/>
      <c r="AB100" s="185"/>
      <c r="AC100" s="185"/>
      <c r="AD100" s="185"/>
      <c r="AE100" s="185"/>
    </row>
    <row r="101" ht="14.25" customHeight="1">
      <c r="A101" s="178"/>
      <c r="B101" s="10">
        <v>2215398.0</v>
      </c>
      <c r="C101" s="11">
        <v>46179.881006944444</v>
      </c>
      <c r="D101" s="179" t="s">
        <v>50</v>
      </c>
      <c r="E101" s="180" t="s">
        <v>3794</v>
      </c>
      <c r="F101" s="181"/>
      <c r="G101" s="179" t="s">
        <v>8493</v>
      </c>
      <c r="H101" s="190"/>
      <c r="I101" s="190"/>
      <c r="J101" s="187" t="s">
        <v>3825</v>
      </c>
      <c r="K101" s="187"/>
      <c r="L101" s="252" t="str">
        <f>IFERROR(__xludf.DUMMYFUNCTION("IF(
  AND(D101=""Saída"", J101=""Sangria""),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8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IFERROR(__xludf.DUMMYFUNCTION("ifna(VALUE(REGEXEXTRACT(E101,""[0-9.]+[,]+[0-9]+"")))"),82.0)</f>
        <v>82</v>
      </c>
      <c r="O101" s="315"/>
      <c r="P101" s="316"/>
      <c r="Q101" s="315"/>
      <c r="R101" s="317"/>
      <c r="S101" s="315"/>
      <c r="V101" s="279"/>
      <c r="W101" s="185"/>
      <c r="X101" s="185"/>
      <c r="Y101" s="185"/>
      <c r="Z101" s="185"/>
      <c r="AA101" s="185"/>
      <c r="AB101" s="185"/>
      <c r="AC101" s="185"/>
      <c r="AD101" s="185"/>
      <c r="AE101" s="185"/>
    </row>
    <row r="102" ht="17.25" customHeight="1">
      <c r="A102" s="178"/>
      <c r="B102" s="10">
        <v>2216295.0</v>
      </c>
      <c r="C102" s="11">
        <v>46180.58113425926</v>
      </c>
      <c r="D102" s="179" t="s">
        <v>50</v>
      </c>
      <c r="E102" s="180" t="s">
        <v>8495</v>
      </c>
      <c r="F102" s="181"/>
      <c r="G102" s="179" t="s">
        <v>8496</v>
      </c>
      <c r="H102" s="190"/>
      <c r="I102" s="190"/>
      <c r="J102" s="187" t="s">
        <v>3903</v>
      </c>
      <c r="K102" s="187"/>
      <c r="L102" s="252" t="str">
        <f>IFERROR(__xludf.DUMMYFUNCTION("IF(
  AND(D102=""Saída"", J102=""Sangria""),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9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85">
        <f>IFERROR(__xludf.DUMMYFUNCTION("ifna(VALUE(REGEXEXTRACT(E102,""[0-9.]+[,]+[0-9]+"")))"),8.81)</f>
        <v>8.81</v>
      </c>
      <c r="O102" s="319"/>
      <c r="P102" s="320"/>
      <c r="Q102" s="319"/>
      <c r="R102" s="321"/>
      <c r="S102" s="319"/>
      <c r="V102" s="281"/>
      <c r="W102" s="185"/>
      <c r="X102" s="185"/>
      <c r="Y102" s="185"/>
      <c r="Z102" s="185"/>
      <c r="AA102" s="185"/>
      <c r="AB102" s="185"/>
      <c r="AC102" s="185"/>
      <c r="AD102" s="185"/>
      <c r="AE102" s="185"/>
    </row>
    <row r="103" ht="14.25" customHeight="1">
      <c r="A103" s="178"/>
      <c r="B103" s="10">
        <v>2216296.0</v>
      </c>
      <c r="C103" s="11">
        <v>46180.58143518519</v>
      </c>
      <c r="D103" s="179" t="s">
        <v>50</v>
      </c>
      <c r="E103" s="180" t="s">
        <v>8498</v>
      </c>
      <c r="F103" s="181"/>
      <c r="G103" s="179" t="s">
        <v>8499</v>
      </c>
      <c r="H103" s="190"/>
      <c r="I103" s="190"/>
      <c r="J103" s="187" t="s">
        <v>3903</v>
      </c>
      <c r="K103" s="187"/>
      <c r="L103" s="252" t="str">
        <f>IFERROR(__xludf.DUMMYFUNCTION("IF(
  AND(D103=""Saída"", J103=""Sangria""),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81" t="str">
        <f>IFERROR(__xludf.DUMMYFUNCTION("IF(J103=""Compra de Mercadorias"",
   IF(
      COUNTIF(ARRAYFORMULA(TRIM(CLEAN(TO_TEXT(Notas!BS:BS)))), TRIM(CLEAN(TO_TEXT(#REF!)))) &gt; 0,
      ""Encontrada"",
      ""Não Encontrada""
   ),
"""")"),"Não Encontrada")</f>
        <v>Não Encontrada</v>
      </c>
      <c r="N103" s="185">
        <f>IFERROR(__xludf.DUMMYFUNCTION("ifna(VALUE(REGEXEXTRACT(E103,""[0-9.]+[,]+[0-9]+"")))"),4.95)</f>
        <v>4.95</v>
      </c>
      <c r="O103" s="315"/>
      <c r="P103" s="316"/>
      <c r="Q103" s="315"/>
      <c r="R103" s="317"/>
      <c r="S103" s="315"/>
      <c r="V103" s="279"/>
      <c r="W103" s="185"/>
      <c r="X103" s="185"/>
      <c r="Y103" s="185"/>
      <c r="Z103" s="185"/>
      <c r="AA103" s="185"/>
      <c r="AB103" s="185"/>
      <c r="AC103" s="185"/>
      <c r="AD103" s="185"/>
      <c r="AE103" s="185"/>
    </row>
    <row r="104" ht="14.25" customHeight="1">
      <c r="A104" s="178"/>
      <c r="B104" s="10">
        <v>2217493.0</v>
      </c>
      <c r="C104" s="11">
        <v>46180.88783564815</v>
      </c>
      <c r="D104" s="10" t="s">
        <v>50</v>
      </c>
      <c r="E104" s="10" t="s">
        <v>8500</v>
      </c>
      <c r="F104" s="13"/>
      <c r="G104" s="10" t="s">
        <v>8501</v>
      </c>
      <c r="H104" s="190"/>
      <c r="I104" s="190"/>
      <c r="J104" s="187" t="s">
        <v>3044</v>
      </c>
      <c r="K104" s="187" t="s">
        <v>8093</v>
      </c>
      <c r="L104" s="252" t="str">
        <f>IFERROR(__xludf.DUMMYFUNCTION("IF(
  AND(D104=""Saída"", J104=""Sangria""),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9" t="str">
        <f>IFERROR(__xludf.DUMMYFUNCTION("IF(J104=""Compra de Mercadorias"",
   IF(
      COUNTIF(ARRAYFORMULA(TRIM(CLEAN(TO_TEXT(Notas!BS:BS)))), TRIM(CLEAN(TO_TEXT(B103)))) &gt; 0,
      ""Encontrada"",
      ""Não Encontrada""
   ),
"""")"),"")</f>
        <v/>
      </c>
      <c r="N104" s="185">
        <f>IFERROR(__xludf.DUMMYFUNCTION("ifna(VALUE(REGEXEXTRACT(E104,""[0-9.]+[,]+[0-9]+"")))"),76.94)</f>
        <v>76.94</v>
      </c>
      <c r="O104" s="319"/>
      <c r="P104" s="320"/>
      <c r="Q104" s="319"/>
      <c r="R104" s="321"/>
      <c r="S104" s="319"/>
      <c r="V104" s="281"/>
      <c r="W104" s="185"/>
      <c r="X104" s="185"/>
      <c r="Y104" s="185"/>
      <c r="Z104" s="185"/>
      <c r="AA104" s="185"/>
      <c r="AB104" s="185"/>
      <c r="AC104" s="185"/>
      <c r="AD104" s="185"/>
      <c r="AE104" s="185"/>
    </row>
    <row r="105" ht="14.25" customHeight="1">
      <c r="A105" s="178"/>
      <c r="B105" s="10">
        <v>2217500.0</v>
      </c>
      <c r="C105" s="11">
        <v>46180.88909722222</v>
      </c>
      <c r="D105" s="179" t="s">
        <v>50</v>
      </c>
      <c r="E105" s="180" t="s">
        <v>1238</v>
      </c>
      <c r="F105" s="181"/>
      <c r="G105" s="179" t="s">
        <v>8503</v>
      </c>
      <c r="H105" s="190"/>
      <c r="I105" s="190"/>
      <c r="J105" s="187" t="s">
        <v>3825</v>
      </c>
      <c r="K105" s="187"/>
      <c r="L105" s="252" t="str">
        <f>IFERROR(__xludf.DUMMYFUNCTION("IF(
  AND(D105=""Saída"", J105=""Sangria""),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8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IFERROR(__xludf.DUMMYFUNCTION("ifna(VALUE(REGEXEXTRACT(E105,""[0-9.]+[,]+[0-9]+"")))"),105.0)</f>
        <v>105</v>
      </c>
      <c r="O105" s="315"/>
      <c r="P105" s="315"/>
      <c r="Q105" s="315"/>
      <c r="R105" s="317"/>
      <c r="S105" s="315"/>
      <c r="V105" s="279"/>
      <c r="W105" s="185"/>
      <c r="X105" s="185"/>
      <c r="Y105" s="185"/>
      <c r="Z105" s="185"/>
      <c r="AA105" s="185"/>
      <c r="AB105" s="185"/>
      <c r="AC105" s="185"/>
      <c r="AD105" s="185"/>
      <c r="AE105" s="185"/>
    </row>
    <row r="106" ht="14.25" customHeight="1">
      <c r="A106" s="178"/>
      <c r="B106" s="10">
        <v>2217564.0</v>
      </c>
      <c r="C106" s="11">
        <v>46180.89685185185</v>
      </c>
      <c r="D106" s="179" t="s">
        <v>50</v>
      </c>
      <c r="E106" s="180" t="s">
        <v>7486</v>
      </c>
      <c r="F106" s="188"/>
      <c r="G106" s="179" t="s">
        <v>8505</v>
      </c>
      <c r="H106" s="190"/>
      <c r="I106" s="190"/>
      <c r="J106" s="187" t="s">
        <v>3746</v>
      </c>
      <c r="K106" s="187" t="s">
        <v>7052</v>
      </c>
      <c r="L106" s="252" t="str">
        <f>IFERROR(__xludf.DUMMYFUNCTION("IF(
  AND(D106=""Saída"", J106=""Sangria""),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"),"Depositada")</f>
        <v>Depositada</v>
      </c>
      <c r="M106" s="279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IFERROR(__xludf.DUMMYFUNCTION("ifna(VALUE(REGEXEXTRACT(E106,""[0-9.]+[,]+[0-9]+"")))"),1700.0)</f>
        <v>1700</v>
      </c>
      <c r="O106" s="319"/>
      <c r="P106" s="319"/>
      <c r="Q106" s="319"/>
      <c r="R106" s="321"/>
      <c r="S106" s="319"/>
      <c r="V106" s="281"/>
      <c r="W106" s="185"/>
      <c r="X106" s="185"/>
      <c r="Y106" s="185"/>
      <c r="Z106" s="185"/>
      <c r="AA106" s="185"/>
      <c r="AB106" s="185"/>
      <c r="AC106" s="185"/>
      <c r="AD106" s="185"/>
      <c r="AE106" s="185"/>
    </row>
    <row r="107" ht="18.75" customHeight="1">
      <c r="A107" s="178"/>
      <c r="B107" s="10">
        <v>2218860.0</v>
      </c>
      <c r="C107" s="11">
        <v>46181.6925</v>
      </c>
      <c r="D107" s="179" t="s">
        <v>227</v>
      </c>
      <c r="E107" s="180" t="s">
        <v>719</v>
      </c>
      <c r="F107" s="181"/>
      <c r="G107" s="179" t="s">
        <v>8506</v>
      </c>
      <c r="H107" s="190"/>
      <c r="I107" s="190"/>
      <c r="J107" s="187" t="s">
        <v>3874</v>
      </c>
      <c r="K107" s="187"/>
      <c r="L107" s="252" t="str">
        <f>IFERROR(__xludf.DUMMYFUNCTION("IF(
  AND(D107=""Saída"", J107=""Sangria""),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8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IFERROR(__xludf.DUMMYFUNCTION("ifna(VALUE(REGEXEXTRACT(E107,""[0-9.]+[,]+[0-9]+"")))"),500.0)</f>
        <v>500</v>
      </c>
      <c r="O107" s="331"/>
      <c r="P107" s="331"/>
      <c r="Q107" s="331"/>
      <c r="R107" s="317"/>
      <c r="S107" s="331"/>
      <c r="V107" s="279"/>
      <c r="W107" s="185"/>
      <c r="X107" s="185"/>
      <c r="Y107" s="185"/>
      <c r="Z107" s="185"/>
      <c r="AA107" s="185"/>
      <c r="AB107" s="185"/>
      <c r="AC107" s="185"/>
      <c r="AD107" s="185"/>
      <c r="AE107" s="185"/>
    </row>
    <row r="108" ht="14.25" customHeight="1">
      <c r="A108" s="178"/>
      <c r="B108" s="10">
        <v>2218865.0</v>
      </c>
      <c r="C108" s="11">
        <v>46181.692777777775</v>
      </c>
      <c r="D108" s="179" t="s">
        <v>50</v>
      </c>
      <c r="E108" s="180" t="s">
        <v>8509</v>
      </c>
      <c r="F108" s="181"/>
      <c r="G108" s="179" t="s">
        <v>8510</v>
      </c>
      <c r="H108" s="190"/>
      <c r="I108" s="190"/>
      <c r="J108" s="187" t="s">
        <v>3903</v>
      </c>
      <c r="K108" s="187"/>
      <c r="L108" s="252" t="str">
        <f>IFERROR(__xludf.DUMMYFUNCTION("IF(
  AND(D108=""Saída"", J108=""Sangria""),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9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85">
        <f>IFERROR(__xludf.DUMMYFUNCTION("ifna(VALUE(REGEXEXTRACT(E108,""[0-9.]+[,]+[0-9]+"")))"),257.8)</f>
        <v>257.8</v>
      </c>
      <c r="O108" s="332"/>
      <c r="P108" s="332"/>
      <c r="Q108" s="332"/>
      <c r="R108" s="321"/>
      <c r="S108" s="332"/>
      <c r="V108" s="281"/>
      <c r="W108" s="185"/>
      <c r="X108" s="185"/>
      <c r="Y108" s="185"/>
      <c r="Z108" s="185"/>
      <c r="AA108" s="185"/>
      <c r="AB108" s="185"/>
      <c r="AC108" s="185"/>
      <c r="AD108" s="185"/>
      <c r="AE108" s="185"/>
    </row>
    <row r="109" ht="15.75" customHeight="1">
      <c r="A109" s="178"/>
      <c r="B109" s="10">
        <v>2218869.0</v>
      </c>
      <c r="C109" s="11">
        <v>46181.693761574075</v>
      </c>
      <c r="D109" s="179" t="s">
        <v>227</v>
      </c>
      <c r="E109" s="180" t="s">
        <v>494</v>
      </c>
      <c r="F109" s="181"/>
      <c r="G109" s="179" t="s">
        <v>8512</v>
      </c>
      <c r="H109" s="190"/>
      <c r="I109" s="190"/>
      <c r="J109" s="187"/>
      <c r="K109" s="187"/>
      <c r="L109" s="252" t="str">
        <f>IFERROR(__xludf.DUMMYFUNCTION("IF(
  AND(D109=""Saída"", J109=""Sangria""),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8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IFERROR(__xludf.DUMMYFUNCTION("ifna(VALUE(REGEXEXTRACT(E109,""[0-9.]+[,]+[0-9]+"")))"),0.01)</f>
        <v>0.01</v>
      </c>
      <c r="O109" s="333"/>
      <c r="P109" s="331"/>
      <c r="Q109" s="331"/>
      <c r="R109" s="317"/>
      <c r="S109" s="331"/>
      <c r="V109" s="279"/>
      <c r="W109" s="185"/>
      <c r="X109" s="185"/>
      <c r="Y109" s="185"/>
      <c r="Z109" s="185"/>
      <c r="AA109" s="185"/>
      <c r="AB109" s="185"/>
      <c r="AC109" s="185"/>
      <c r="AD109" s="185"/>
      <c r="AE109" s="185"/>
    </row>
    <row r="110" ht="14.25" customHeight="1">
      <c r="A110" s="178"/>
      <c r="B110" s="10">
        <v>2218872.0</v>
      </c>
      <c r="C110" s="11">
        <v>46181.69509259259</v>
      </c>
      <c r="D110" s="179" t="s">
        <v>227</v>
      </c>
      <c r="E110" s="180" t="s">
        <v>494</v>
      </c>
      <c r="F110" s="181"/>
      <c r="G110" s="179" t="s">
        <v>8513</v>
      </c>
      <c r="H110" s="190"/>
      <c r="I110" s="190"/>
      <c r="J110" s="187"/>
      <c r="K110" s="187"/>
      <c r="L110" s="252" t="str">
        <f>IFERROR(__xludf.DUMMYFUNCTION("IF(
  AND(D110=""Saída"", J110=""Sangria""),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9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IFERROR(__xludf.DUMMYFUNCTION("ifna(VALUE(REGEXEXTRACT(E110,""[0-9.]+[,]+[0-9]+"")))"),0.01)</f>
        <v>0.01</v>
      </c>
      <c r="O110" s="332"/>
      <c r="P110" s="332"/>
      <c r="Q110" s="332"/>
      <c r="R110" s="321"/>
      <c r="S110" s="332"/>
      <c r="V110" s="281"/>
      <c r="W110" s="185"/>
      <c r="X110" s="185"/>
      <c r="Y110" s="185"/>
      <c r="Z110" s="185"/>
      <c r="AA110" s="185"/>
      <c r="AB110" s="185"/>
      <c r="AC110" s="185"/>
      <c r="AD110" s="185"/>
      <c r="AE110" s="185"/>
    </row>
    <row r="111" ht="17.25" customHeight="1">
      <c r="A111" s="178"/>
      <c r="B111" s="10">
        <v>2218874.0</v>
      </c>
      <c r="C111" s="11">
        <v>46181.695439814815</v>
      </c>
      <c r="D111" s="179" t="s">
        <v>50</v>
      </c>
      <c r="E111" s="180" t="s">
        <v>329</v>
      </c>
      <c r="F111" s="181"/>
      <c r="G111" s="179" t="s">
        <v>8516</v>
      </c>
      <c r="H111" s="190"/>
      <c r="I111" s="190"/>
      <c r="J111" s="187" t="s">
        <v>3874</v>
      </c>
      <c r="K111" s="187"/>
      <c r="L111" s="252" t="str">
        <f>IFERROR(__xludf.DUMMYFUNCTION("IF(
  AND(D111=""Saída"", J111=""Sangria""),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81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IFERROR(__xludf.DUMMYFUNCTION("ifna(VALUE(REGEXEXTRACT(E111,""[0-9.]+[,]+[0-9]+"")))"),200.0)</f>
        <v>200</v>
      </c>
      <c r="O111" s="331"/>
      <c r="P111" s="331"/>
      <c r="Q111" s="331"/>
      <c r="R111" s="317"/>
      <c r="S111" s="331"/>
      <c r="V111" s="279"/>
      <c r="W111" s="185"/>
      <c r="X111" s="185"/>
      <c r="Y111" s="185"/>
      <c r="Z111" s="185"/>
      <c r="AA111" s="185"/>
      <c r="AB111" s="185"/>
      <c r="AC111" s="185"/>
      <c r="AD111" s="185"/>
      <c r="AE111" s="185"/>
    </row>
    <row r="112" ht="14.25" customHeight="1">
      <c r="A112" s="178"/>
      <c r="B112" s="10">
        <v>2218953.0</v>
      </c>
      <c r="C112" s="11">
        <v>46181.72002314815</v>
      </c>
      <c r="D112" s="179" t="s">
        <v>50</v>
      </c>
      <c r="E112" s="180" t="s">
        <v>7364</v>
      </c>
      <c r="F112" s="181"/>
      <c r="G112" s="179" t="s">
        <v>7917</v>
      </c>
      <c r="H112" s="190"/>
      <c r="I112" s="190"/>
      <c r="J112" s="187" t="s">
        <v>3044</v>
      </c>
      <c r="K112" s="187" t="s">
        <v>6664</v>
      </c>
      <c r="L112" s="252" t="str">
        <f>IFERROR(__xludf.DUMMYFUNCTION("IF(
  AND(D112=""Saída"", J112=""Sangria""),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9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IFERROR(__xludf.DUMMYFUNCTION("ifna(VALUE(REGEXEXTRACT(E112,""[0-9.]+[,]+[0-9]+"")))"),23.0)</f>
        <v>23</v>
      </c>
      <c r="O112" s="332"/>
      <c r="P112" s="332"/>
      <c r="Q112" s="332"/>
      <c r="R112" s="321"/>
      <c r="S112" s="332"/>
      <c r="V112" s="281"/>
      <c r="W112" s="185"/>
      <c r="X112" s="185"/>
      <c r="Y112" s="185"/>
      <c r="Z112" s="185"/>
      <c r="AA112" s="185"/>
      <c r="AB112" s="185"/>
      <c r="AC112" s="185"/>
      <c r="AD112" s="185"/>
      <c r="AE112" s="185"/>
    </row>
    <row r="113" ht="14.25" customHeight="1">
      <c r="A113" s="178"/>
      <c r="B113" s="10">
        <v>2219053.0</v>
      </c>
      <c r="C113" s="11">
        <v>46181.75237268519</v>
      </c>
      <c r="D113" s="179" t="s">
        <v>50</v>
      </c>
      <c r="E113" s="180" t="s">
        <v>6657</v>
      </c>
      <c r="F113" s="181"/>
      <c r="G113" s="179" t="s">
        <v>149</v>
      </c>
      <c r="H113" s="190"/>
      <c r="I113" s="190"/>
      <c r="J113" s="187" t="s">
        <v>3044</v>
      </c>
      <c r="K113" s="187" t="s">
        <v>8093</v>
      </c>
      <c r="L113" s="252" t="str">
        <f>IFERROR(__xludf.DUMMYFUNCTION("IF(
  AND(D113=""Saída"", J113=""Sangria""),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8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IFERROR(__xludf.DUMMYFUNCTION("ifna(VALUE(REGEXEXTRACT(E113,""[0-9.]+[,]+[0-9]+"")))"),10.74)</f>
        <v>10.74</v>
      </c>
      <c r="O113" s="331"/>
      <c r="P113" s="331"/>
      <c r="Q113" s="331"/>
      <c r="R113" s="331"/>
      <c r="S113" s="331"/>
      <c r="V113" s="279"/>
      <c r="W113" s="185"/>
      <c r="X113" s="185"/>
      <c r="Y113" s="185"/>
      <c r="Z113" s="185"/>
      <c r="AA113" s="185"/>
      <c r="AB113" s="185"/>
      <c r="AC113" s="185"/>
      <c r="AD113" s="185"/>
      <c r="AE113" s="185"/>
    </row>
    <row r="114" ht="14.25" customHeight="1">
      <c r="A114" s="178"/>
      <c r="B114" s="10">
        <v>2220535.0</v>
      </c>
      <c r="C114" s="11">
        <v>46182.78947916667</v>
      </c>
      <c r="D114" s="179" t="s">
        <v>50</v>
      </c>
      <c r="E114" s="180" t="s">
        <v>8520</v>
      </c>
      <c r="F114" s="181"/>
      <c r="G114" s="179" t="s">
        <v>122</v>
      </c>
      <c r="H114" s="190"/>
      <c r="I114" s="190"/>
      <c r="J114" s="187" t="s">
        <v>3044</v>
      </c>
      <c r="K114" s="187" t="s">
        <v>6664</v>
      </c>
      <c r="L114" s="252" t="str">
        <f>IFERROR(__xludf.DUMMYFUNCTION("IF(
  AND(D114=""Saída"", J114=""Sangria""),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9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IFERROR(__xludf.DUMMYFUNCTION("ifna(VALUE(REGEXEXTRACT(E114,""[0-9.]+[,]+[0-9]+"")))"),20.74)</f>
        <v>20.74</v>
      </c>
      <c r="O114" s="332"/>
      <c r="P114" s="332"/>
      <c r="Q114" s="332"/>
      <c r="R114" s="332"/>
      <c r="S114" s="332"/>
      <c r="V114" s="281"/>
      <c r="W114" s="185"/>
      <c r="X114" s="185"/>
      <c r="Y114" s="185"/>
      <c r="Z114" s="185"/>
      <c r="AA114" s="185"/>
      <c r="AB114" s="185"/>
      <c r="AC114" s="185"/>
      <c r="AD114" s="185"/>
      <c r="AE114" s="185"/>
    </row>
    <row r="115" ht="14.25" customHeight="1">
      <c r="A115" s="178"/>
      <c r="B115" s="10">
        <v>2220559.0</v>
      </c>
      <c r="C115" s="11">
        <v>46182.804074074076</v>
      </c>
      <c r="D115" s="179" t="s">
        <v>50</v>
      </c>
      <c r="E115" s="180" t="s">
        <v>7425</v>
      </c>
      <c r="F115" s="181"/>
      <c r="G115" s="179" t="s">
        <v>57</v>
      </c>
      <c r="H115" s="190"/>
      <c r="I115" s="190"/>
      <c r="J115" s="187" t="s">
        <v>3044</v>
      </c>
      <c r="K115" s="187" t="s">
        <v>6664</v>
      </c>
      <c r="L115" s="252" t="str">
        <f>IFERROR(__xludf.DUMMYFUNCTION("IF(
  AND(D115=""Saída"", J115=""Sangria""),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8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IFERROR(__xludf.DUMMYFUNCTION("ifna(VALUE(REGEXEXTRACT(E115,""[0-9.]+[,]+[0-9]+"")))"),5.7)</f>
        <v>5.7</v>
      </c>
      <c r="O115" s="331"/>
      <c r="P115" s="331"/>
      <c r="Q115" s="331"/>
      <c r="R115" s="331"/>
      <c r="S115" s="331"/>
      <c r="V115" s="279"/>
      <c r="W115" s="185"/>
      <c r="X115" s="185"/>
      <c r="Y115" s="185"/>
      <c r="Z115" s="185"/>
      <c r="AA115" s="185"/>
      <c r="AB115" s="185"/>
      <c r="AC115" s="185"/>
      <c r="AD115" s="185"/>
      <c r="AE115" s="185"/>
    </row>
    <row r="116" ht="14.25" customHeight="1">
      <c r="A116" s="178"/>
      <c r="B116" s="10">
        <v>2221365.0</v>
      </c>
      <c r="C116" s="11">
        <v>46183.56694444444</v>
      </c>
      <c r="D116" s="179" t="s">
        <v>50</v>
      </c>
      <c r="E116" s="180" t="s">
        <v>7154</v>
      </c>
      <c r="F116" s="188"/>
      <c r="G116" s="179" t="s">
        <v>8521</v>
      </c>
      <c r="H116" s="190"/>
      <c r="I116" s="190"/>
      <c r="J116" s="187" t="s">
        <v>3467</v>
      </c>
      <c r="K116" s="187"/>
      <c r="L116" s="252" t="str">
        <f>IFERROR(__xludf.DUMMYFUNCTION("IF(
  AND(D116=""Saída"", J116=""Sangria""),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9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IFERROR(__xludf.DUMMYFUNCTION("ifna(VALUE(REGEXEXTRACT(E116,""[0-9.]+[,]+[0-9]+"")))"),21.34)</f>
        <v>21.34</v>
      </c>
      <c r="O116" s="332"/>
      <c r="P116" s="332"/>
      <c r="Q116" s="332"/>
      <c r="R116" s="332"/>
      <c r="S116" s="332"/>
      <c r="V116" s="281"/>
      <c r="W116" s="185"/>
      <c r="X116" s="185"/>
      <c r="Y116" s="185"/>
      <c r="Z116" s="185"/>
      <c r="AA116" s="185"/>
      <c r="AB116" s="185"/>
      <c r="AC116" s="185"/>
      <c r="AD116" s="185"/>
      <c r="AE116" s="185"/>
    </row>
    <row r="117" ht="14.25" customHeight="1">
      <c r="A117" s="178"/>
      <c r="B117" s="10">
        <v>2221729.0</v>
      </c>
      <c r="C117" s="11">
        <v>46183.74298611111</v>
      </c>
      <c r="D117" s="179" t="s">
        <v>50</v>
      </c>
      <c r="E117" s="180" t="s">
        <v>8523</v>
      </c>
      <c r="F117" s="181"/>
      <c r="G117" s="179" t="s">
        <v>57</v>
      </c>
      <c r="H117" s="190"/>
      <c r="I117" s="190"/>
      <c r="J117" s="187" t="s">
        <v>3044</v>
      </c>
      <c r="K117" s="187" t="s">
        <v>6664</v>
      </c>
      <c r="L117" s="252" t="str">
        <f>IFERROR(__xludf.DUMMYFUNCTION("IF(
  AND(D117=""Saída"", J117=""Sangria""),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8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IFERROR(__xludf.DUMMYFUNCTION("ifna(VALUE(REGEXEXTRACT(E117,""[0-9.]+[,]+[0-9]+"")))"),12.92)</f>
        <v>12.92</v>
      </c>
      <c r="O117" s="334"/>
      <c r="P117" s="335"/>
      <c r="Q117" s="336"/>
      <c r="R117" s="331"/>
      <c r="S117" s="331"/>
      <c r="V117" s="279"/>
      <c r="W117" s="185"/>
      <c r="X117" s="185"/>
      <c r="Y117" s="185"/>
      <c r="Z117" s="185"/>
      <c r="AA117" s="185"/>
      <c r="AB117" s="185"/>
      <c r="AC117" s="185"/>
      <c r="AD117" s="185"/>
      <c r="AE117" s="185"/>
    </row>
    <row r="118" ht="14.25" customHeight="1">
      <c r="A118" s="178"/>
      <c r="B118" s="10">
        <v>2221826.0</v>
      </c>
      <c r="C118" s="11">
        <v>46183.780752314815</v>
      </c>
      <c r="D118" s="179" t="s">
        <v>50</v>
      </c>
      <c r="E118" s="180" t="s">
        <v>8524</v>
      </c>
      <c r="F118" s="181"/>
      <c r="G118" s="179" t="s">
        <v>8525</v>
      </c>
      <c r="H118" s="190"/>
      <c r="I118" s="190"/>
      <c r="J118" s="187" t="s">
        <v>3903</v>
      </c>
      <c r="K118" s="187"/>
      <c r="L118" s="252" t="str">
        <f>IFERROR(__xludf.DUMMYFUNCTION("IF(
  AND(D118=""Saída"", J118=""Sangria""),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9" t="str">
        <f>IFERROR(__xludf.DUMMYFUNCTION("IF(J118=""Compra de Mercadorias"",
   IF(
      COUNTIF(ARRAYFORMULA(TRIM(CLEAN(TO_TEXT(Notas!BS:BS)))), TRIM(CLEAN(TO_TEXT(B118)))) &gt; 0,
      ""Encontrada"",
      ""Não Encontrada""
   ),
"""")"),"Encontrada")</f>
        <v>Encontrada</v>
      </c>
      <c r="N118" s="185">
        <f>IFERROR(__xludf.DUMMYFUNCTION("ifna(VALUE(REGEXEXTRACT(E118,""[0-9.]+[,]+[0-9]+"")))"),32.0)</f>
        <v>32</v>
      </c>
      <c r="O118" s="325"/>
      <c r="P118" s="326"/>
      <c r="Q118" s="337"/>
      <c r="R118" s="332"/>
      <c r="S118" s="332"/>
      <c r="V118" s="281"/>
      <c r="W118" s="185"/>
      <c r="X118" s="185"/>
      <c r="Y118" s="185"/>
      <c r="Z118" s="185"/>
      <c r="AA118" s="185"/>
      <c r="AB118" s="185"/>
      <c r="AC118" s="185"/>
      <c r="AD118" s="185"/>
      <c r="AE118" s="185"/>
    </row>
    <row r="119" ht="14.25" customHeight="1">
      <c r="A119" s="178"/>
      <c r="B119" s="10">
        <v>2221841.0</v>
      </c>
      <c r="C119" s="11">
        <v>46183.79050925926</v>
      </c>
      <c r="D119" s="179" t="s">
        <v>50</v>
      </c>
      <c r="E119" s="180" t="s">
        <v>8527</v>
      </c>
      <c r="F119" s="181"/>
      <c r="G119" s="179" t="s">
        <v>122</v>
      </c>
      <c r="H119" s="190"/>
      <c r="I119" s="190"/>
      <c r="J119" s="187" t="s">
        <v>3044</v>
      </c>
      <c r="K119" s="187" t="s">
        <v>6664</v>
      </c>
      <c r="L119" s="252" t="str">
        <f>IFERROR(__xludf.DUMMYFUNCTION("IF(
  AND(D119=""Saída"", J119=""Sangria""),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8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IFERROR(__xludf.DUMMYFUNCTION("ifna(VALUE(REGEXEXTRACT(E119,""[0-9.]+[,]+[0-9]+"")))"),6.65)</f>
        <v>6.65</v>
      </c>
      <c r="O119" s="331"/>
      <c r="P119" s="331"/>
      <c r="Q119" s="331"/>
      <c r="R119" s="331"/>
      <c r="S119" s="331"/>
      <c r="V119" s="279"/>
      <c r="W119" s="185"/>
      <c r="X119" s="185"/>
      <c r="Y119" s="185"/>
      <c r="Z119" s="185"/>
      <c r="AA119" s="185"/>
      <c r="AB119" s="185"/>
      <c r="AC119" s="185"/>
      <c r="AD119" s="185"/>
      <c r="AE119" s="185"/>
    </row>
    <row r="120" ht="14.25" customHeight="1">
      <c r="A120" s="178"/>
      <c r="B120" s="10">
        <v>2221942.0</v>
      </c>
      <c r="C120" s="11">
        <v>46183.84349537037</v>
      </c>
      <c r="D120" s="179" t="s">
        <v>50</v>
      </c>
      <c r="E120" s="180" t="s">
        <v>8528</v>
      </c>
      <c r="F120" s="188"/>
      <c r="G120" s="179" t="s">
        <v>149</v>
      </c>
      <c r="H120" s="190"/>
      <c r="I120" s="190"/>
      <c r="J120" s="187" t="s">
        <v>3044</v>
      </c>
      <c r="K120" s="187" t="s">
        <v>8093</v>
      </c>
      <c r="L120" s="252" t="str">
        <f>IFERROR(__xludf.DUMMYFUNCTION("IF(
  AND(D120=""Saída"", J120=""Sangria""),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9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IFERROR(__xludf.DUMMYFUNCTION("ifna(VALUE(REGEXEXTRACT(E120,""[0-9.]+[,]+[0-9]+"")))"),4.22)</f>
        <v>4.22</v>
      </c>
      <c r="O120" s="332"/>
      <c r="P120" s="332"/>
      <c r="Q120" s="332"/>
      <c r="R120" s="332"/>
      <c r="S120" s="332"/>
      <c r="V120" s="281"/>
      <c r="W120" s="185"/>
      <c r="X120" s="185"/>
      <c r="Y120" s="185"/>
      <c r="Z120" s="185"/>
      <c r="AA120" s="185"/>
      <c r="AB120" s="185"/>
      <c r="AC120" s="185"/>
      <c r="AD120" s="185"/>
      <c r="AE120" s="185"/>
    </row>
    <row r="121" ht="14.25" customHeight="1">
      <c r="A121" s="178"/>
      <c r="B121" s="10">
        <v>2222848.0</v>
      </c>
      <c r="C121" s="11">
        <v>46184.71644675926</v>
      </c>
      <c r="D121" s="179" t="s">
        <v>50</v>
      </c>
      <c r="E121" s="180" t="s">
        <v>7862</v>
      </c>
      <c r="F121" s="181"/>
      <c r="G121" s="179" t="s">
        <v>8530</v>
      </c>
      <c r="H121" s="190"/>
      <c r="I121" s="190"/>
      <c r="J121" s="187" t="s">
        <v>3903</v>
      </c>
      <c r="K121" s="187"/>
      <c r="L121" s="252" t="str">
        <f>IFERROR(__xludf.DUMMYFUNCTION("IF(
  AND(D121=""Saída"", J121=""Sangria""),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81" t="str">
        <f>IFERROR(__xludf.DUMMYFUNCTION("IF(J121=""Compra de Mercadorias"",
   IF(
      COUNTIF(ARRAYFORMULA(TRIM(CLEAN(TO_TEXT(Notas!BS:BS)))), TRIM(CLEAN(TO_TEXT(B121)))) &gt; 0,
      ""Encontrada"",
      ""Não Encontrada""
   ),
"""")"),"Encontrada")</f>
        <v>Encontrada</v>
      </c>
      <c r="N121" s="185">
        <f>IFERROR(__xludf.DUMMYFUNCTION("ifna(VALUE(REGEXEXTRACT(E121,""[0-9.]+[,]+[0-9]+"")))"),37.0)</f>
        <v>37</v>
      </c>
      <c r="O121" s="331"/>
      <c r="P121" s="331"/>
      <c r="Q121" s="331"/>
      <c r="R121" s="331"/>
      <c r="S121" s="331"/>
      <c r="V121" s="279"/>
      <c r="W121" s="185"/>
      <c r="X121" s="185"/>
      <c r="Y121" s="185"/>
      <c r="Z121" s="185"/>
      <c r="AA121" s="185"/>
      <c r="AB121" s="185"/>
      <c r="AC121" s="185"/>
      <c r="AD121" s="185"/>
      <c r="AE121" s="185"/>
    </row>
    <row r="122" ht="14.25" customHeight="1">
      <c r="A122" s="178"/>
      <c r="B122" s="10">
        <v>2222850.0</v>
      </c>
      <c r="C122" s="11">
        <v>46184.716782407406</v>
      </c>
      <c r="D122" s="179" t="s">
        <v>50</v>
      </c>
      <c r="E122" s="180" t="s">
        <v>205</v>
      </c>
      <c r="F122" s="181"/>
      <c r="G122" s="179" t="s">
        <v>8532</v>
      </c>
      <c r="H122" s="190"/>
      <c r="I122" s="190"/>
      <c r="J122" s="187" t="s">
        <v>3903</v>
      </c>
      <c r="K122" s="187"/>
      <c r="L122" s="252" t="str">
        <f>IFERROR(__xludf.DUMMYFUNCTION("IF(
  AND(D122=""Saída"", J122=""Sangria""),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9" t="str">
        <f>IFERROR(__xludf.DUMMYFUNCTION("IF(J122=""Compra de Mercadorias"",
   IF(
      COUNTIF(ARRAYFORMULA(TRIM(CLEAN(TO_TEXT(Notas!BS:BS)))), TRIM(CLEAN(TO_TEXT(B122)))) &gt; 0,
      ""Encontrada"",
      ""Não Encontrada""
   ),
"""")"),"Encontrada")</f>
        <v>Encontrada</v>
      </c>
      <c r="N122" s="185">
        <f>IFERROR(__xludf.DUMMYFUNCTION("ifna(VALUE(REGEXEXTRACT(E122,""[0-9.]+[,]+[0-9]+"")))"),10.0)</f>
        <v>10</v>
      </c>
      <c r="O122" s="332"/>
      <c r="P122" s="332"/>
      <c r="Q122" s="332"/>
      <c r="R122" s="332"/>
      <c r="S122" s="332"/>
      <c r="V122" s="281"/>
      <c r="W122" s="185"/>
      <c r="X122" s="185"/>
      <c r="Y122" s="185"/>
      <c r="Z122" s="185"/>
      <c r="AA122" s="185"/>
      <c r="AB122" s="185"/>
      <c r="AC122" s="185"/>
      <c r="AD122" s="185"/>
      <c r="AE122" s="185"/>
    </row>
    <row r="123" ht="14.25" customHeight="1">
      <c r="A123" s="178"/>
      <c r="B123" s="10">
        <v>2222852.0</v>
      </c>
      <c r="C123" s="11">
        <v>46184.71773148148</v>
      </c>
      <c r="D123" s="179" t="s">
        <v>50</v>
      </c>
      <c r="E123" s="180" t="s">
        <v>8533</v>
      </c>
      <c r="F123" s="181"/>
      <c r="G123" s="179" t="s">
        <v>8534</v>
      </c>
      <c r="H123" s="190"/>
      <c r="I123" s="190"/>
      <c r="J123" s="187" t="s">
        <v>3903</v>
      </c>
      <c r="K123" s="187"/>
      <c r="L123" s="252" t="str">
        <f>IFERROR(__xludf.DUMMYFUNCTION("IF(
  AND(D123=""Saída"", J123=""Sangria""),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81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185">
        <f>IFERROR(__xludf.DUMMYFUNCTION("ifna(VALUE(REGEXEXTRACT(E123,""[0-9.]+[,]+[0-9]+"")))"),76.9)</f>
        <v>76.9</v>
      </c>
      <c r="O123" s="331"/>
      <c r="P123" s="331"/>
      <c r="Q123" s="331"/>
      <c r="R123" s="331"/>
      <c r="S123" s="331"/>
      <c r="V123" s="279"/>
      <c r="W123" s="185"/>
      <c r="X123" s="185"/>
      <c r="Y123" s="185"/>
      <c r="Z123" s="185"/>
      <c r="AA123" s="185"/>
      <c r="AB123" s="185"/>
      <c r="AC123" s="185"/>
      <c r="AD123" s="185"/>
      <c r="AE123" s="185"/>
    </row>
    <row r="124" ht="14.25" customHeight="1">
      <c r="A124" s="178"/>
      <c r="B124" s="10">
        <v>2222902.0</v>
      </c>
      <c r="C124" s="11">
        <v>46184.74217592592</v>
      </c>
      <c r="D124" s="179" t="s">
        <v>227</v>
      </c>
      <c r="E124" s="180" t="s">
        <v>3983</v>
      </c>
      <c r="F124" s="181"/>
      <c r="G124" s="179" t="s">
        <v>8536</v>
      </c>
      <c r="H124" s="190"/>
      <c r="I124" s="190"/>
      <c r="J124" s="187" t="s">
        <v>3874</v>
      </c>
      <c r="K124" s="187"/>
      <c r="L124" s="252" t="str">
        <f>IFERROR(__xludf.DUMMYFUNCTION("IF(
  AND(D124=""Saída"", J124=""Sangria""),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9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IFERROR(__xludf.DUMMYFUNCTION("ifna(VALUE(REGEXEXTRACT(E124,""[0-9.]+[,]+[0-9]+"")))"),150.0)</f>
        <v>150</v>
      </c>
      <c r="O124" s="332"/>
      <c r="P124" s="332"/>
      <c r="Q124" s="332"/>
      <c r="R124" s="332"/>
      <c r="S124" s="332"/>
      <c r="V124" s="281"/>
      <c r="W124" s="185"/>
      <c r="X124" s="185"/>
      <c r="Y124" s="185"/>
      <c r="Z124" s="185"/>
      <c r="AA124" s="185"/>
      <c r="AB124" s="185"/>
      <c r="AC124" s="185"/>
      <c r="AD124" s="185"/>
      <c r="AE124" s="185"/>
    </row>
    <row r="125" ht="14.25" customHeight="1">
      <c r="A125" s="178"/>
      <c r="B125" s="10">
        <v>2223188.0</v>
      </c>
      <c r="C125" s="11">
        <v>46184.87918981481</v>
      </c>
      <c r="D125" s="179" t="s">
        <v>50</v>
      </c>
      <c r="E125" s="180" t="s">
        <v>7778</v>
      </c>
      <c r="F125" s="181"/>
      <c r="G125" s="179" t="s">
        <v>122</v>
      </c>
      <c r="H125" s="190"/>
      <c r="I125" s="190"/>
      <c r="J125" s="187" t="s">
        <v>3044</v>
      </c>
      <c r="K125" s="187" t="s">
        <v>6664</v>
      </c>
      <c r="L125" s="252" t="str">
        <f>IFERROR(__xludf.DUMMYFUNCTION("IF(
  AND(D125=""Saída"", J125=""Sangria""),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8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IFERROR(__xludf.DUMMYFUNCTION("ifna(VALUE(REGEXEXTRACT(E125,""[0-9.]+[,]+[0-9]+"")))"),3.96)</f>
        <v>3.96</v>
      </c>
      <c r="O125" s="331"/>
      <c r="P125" s="331"/>
      <c r="Q125" s="331"/>
      <c r="R125" s="331"/>
      <c r="S125" s="331"/>
      <c r="V125" s="279"/>
      <c r="W125" s="185"/>
      <c r="X125" s="185"/>
      <c r="Y125" s="185"/>
      <c r="Z125" s="185"/>
      <c r="AA125" s="185"/>
      <c r="AB125" s="185"/>
      <c r="AC125" s="185"/>
      <c r="AD125" s="185"/>
      <c r="AE125" s="185"/>
    </row>
    <row r="126" ht="16.5" customHeight="1">
      <c r="A126" s="178"/>
      <c r="B126" s="10">
        <v>2223252.0</v>
      </c>
      <c r="C126" s="11">
        <v>46184.89807870371</v>
      </c>
      <c r="D126" s="179" t="s">
        <v>50</v>
      </c>
      <c r="E126" s="180" t="s">
        <v>8008</v>
      </c>
      <c r="F126" s="188"/>
      <c r="G126" s="179" t="s">
        <v>8538</v>
      </c>
      <c r="H126" s="190"/>
      <c r="I126" s="190"/>
      <c r="J126" s="187" t="s">
        <v>3903</v>
      </c>
      <c r="K126" s="187"/>
      <c r="L126" s="252" t="str">
        <f>IFERROR(__xludf.DUMMYFUNCTION("IF(
  AND(D126=""Saída"", J126=""Sangria""),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9" t="str">
        <f>IFERROR(__xludf.DUMMYFUNCTION("IF(J126=""Compra de Mercadorias"",
   IF(
      COUNTIF(ARRAYFORMULA(TRIM(CLEAN(TO_TEXT(Notas!BS:BS)))), TRIM(CLEAN(TO_TEXT(B126)))) &gt; 0,
      ""Encontrada"",
      ""Não Encontrada""
   ),
"""")"),"Encontrada")</f>
        <v>Encontrada</v>
      </c>
      <c r="N126" s="185">
        <f>IFERROR(__xludf.DUMMYFUNCTION("ifna(VALUE(REGEXEXTRACT(E126,""[0-9.]+[,]+[0-9]+"")))"),36.0)</f>
        <v>36</v>
      </c>
      <c r="O126" s="332"/>
      <c r="P126" s="332"/>
      <c r="Q126" s="332"/>
      <c r="R126" s="332"/>
      <c r="S126" s="332"/>
      <c r="V126" s="281"/>
      <c r="W126" s="185"/>
      <c r="X126" s="185"/>
      <c r="Y126" s="185"/>
      <c r="Z126" s="185"/>
      <c r="AA126" s="185"/>
      <c r="AB126" s="185"/>
      <c r="AC126" s="185"/>
      <c r="AD126" s="185"/>
      <c r="AE126" s="185"/>
    </row>
    <row r="127" ht="18.75" customHeight="1">
      <c r="A127" s="178"/>
      <c r="B127" s="10">
        <v>2223253.0</v>
      </c>
      <c r="C127" s="11">
        <v>46184.89829861111</v>
      </c>
      <c r="D127" s="179" t="s">
        <v>50</v>
      </c>
      <c r="E127" s="180" t="s">
        <v>8540</v>
      </c>
      <c r="F127" s="181"/>
      <c r="G127" s="179" t="s">
        <v>8538</v>
      </c>
      <c r="H127" s="190"/>
      <c r="I127" s="190"/>
      <c r="J127" s="187" t="s">
        <v>3903</v>
      </c>
      <c r="K127" s="187"/>
      <c r="L127" s="252" t="str">
        <f>IFERROR(__xludf.DUMMYFUNCTION("IF(
  AND(D127=""Saída"", J127=""Sangria""),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81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85">
        <f>IFERROR(__xludf.DUMMYFUNCTION("ifna(VALUE(REGEXEXTRACT(E127,""[0-9.]+[,]+[0-9]+"")))"),63.3)</f>
        <v>63.3</v>
      </c>
      <c r="O127" s="331"/>
      <c r="P127" s="331"/>
      <c r="Q127" s="331"/>
      <c r="R127" s="331"/>
      <c r="S127" s="331"/>
      <c r="V127" s="279"/>
      <c r="W127" s="185"/>
      <c r="X127" s="185"/>
      <c r="Y127" s="185"/>
      <c r="Z127" s="185"/>
      <c r="AA127" s="185"/>
      <c r="AB127" s="185"/>
      <c r="AC127" s="185"/>
      <c r="AD127" s="185"/>
      <c r="AE127" s="185"/>
    </row>
    <row r="128" ht="17.25" customHeight="1">
      <c r="A128" s="178"/>
      <c r="B128" s="10">
        <v>2223255.0</v>
      </c>
      <c r="C128" s="11">
        <v>46184.89853009259</v>
      </c>
      <c r="D128" s="179" t="s">
        <v>50</v>
      </c>
      <c r="E128" s="180" t="s">
        <v>6545</v>
      </c>
      <c r="F128" s="181"/>
      <c r="G128" s="179" t="s">
        <v>8538</v>
      </c>
      <c r="H128" s="190"/>
      <c r="I128" s="190"/>
      <c r="J128" s="187" t="s">
        <v>3903</v>
      </c>
      <c r="K128" s="187"/>
      <c r="L128" s="252" t="str">
        <f>IFERROR(__xludf.DUMMYFUNCTION("IF(
  AND(D128=""Saída"", J128=""Sangria""),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9" t="str">
        <f>IFERROR(__xludf.DUMMYFUNCTION("IF(J128=""Compra de Mercadorias"",
   IF(
      COUNTIF(ARRAYFORMULA(TRIM(CLEAN(TO_TEXT(Notas!BS:BS)))), TRIM(CLEAN(TO_TEXT(B128)))) &gt; 0,
      ""Encontrada"",
      ""Não Encontrada""
   ),
"""")"),"Não Encontrada")</f>
        <v>Não Encontrada</v>
      </c>
      <c r="N128" s="185">
        <f>IFERROR(__xludf.DUMMYFUNCTION("ifna(VALUE(REGEXEXTRACT(E128,""[0-9.]+[,]+[0-9]+"")))"),20.0)</f>
        <v>20</v>
      </c>
      <c r="O128" s="332"/>
      <c r="P128" s="332"/>
      <c r="Q128" s="332"/>
      <c r="R128" s="332"/>
      <c r="S128" s="332"/>
      <c r="V128" s="281"/>
      <c r="W128" s="185"/>
      <c r="X128" s="185"/>
      <c r="Y128" s="185"/>
      <c r="Z128" s="185"/>
      <c r="AA128" s="185"/>
      <c r="AB128" s="185"/>
      <c r="AC128" s="185"/>
      <c r="AD128" s="185"/>
      <c r="AE128" s="185"/>
    </row>
    <row r="129" ht="17.25" customHeight="1">
      <c r="A129" s="178"/>
      <c r="B129" s="10">
        <v>2223979.0</v>
      </c>
      <c r="C129" s="11">
        <v>46185.663194444445</v>
      </c>
      <c r="D129" s="179" t="s">
        <v>50</v>
      </c>
      <c r="E129" s="180" t="s">
        <v>6909</v>
      </c>
      <c r="F129" s="181"/>
      <c r="G129" s="179" t="s">
        <v>8542</v>
      </c>
      <c r="H129" s="190"/>
      <c r="I129" s="190"/>
      <c r="J129" s="187" t="s">
        <v>3903</v>
      </c>
      <c r="K129" s="187"/>
      <c r="L129" s="252" t="str">
        <f>IFERROR(__xludf.DUMMYFUNCTION("IF(
  AND(D129=""Saída"", J129=""Sangria""),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81" t="str">
        <f>IFERROR(__xludf.DUMMYFUNCTION("IF(J129=""Compra de Mercadorias"",
   IF(
      COUNTIF(ARRAYFORMULA(TRIM(CLEAN(TO_TEXT(Notas!BS:BS)))), TRIM(CLEAN(TO_TEXT(B129)))) &gt; 0,
      ""Encontrada"",
      ""Não Encontrada""
   ),
"""")"),"Não Encontrada")</f>
        <v>Não Encontrada</v>
      </c>
      <c r="N129" s="185">
        <f>IFERROR(__xludf.DUMMYFUNCTION("ifna(VALUE(REGEXEXTRACT(E129,""[0-9.]+[,]+[0-9]+"")))"),75.0)</f>
        <v>75</v>
      </c>
      <c r="O129" s="331"/>
      <c r="P129" s="331"/>
      <c r="Q129" s="331"/>
      <c r="R129" s="331"/>
      <c r="S129" s="331"/>
      <c r="V129" s="279"/>
      <c r="W129" s="185"/>
      <c r="X129" s="185"/>
      <c r="Y129" s="185"/>
      <c r="Z129" s="185"/>
      <c r="AA129" s="185"/>
      <c r="AB129" s="185"/>
      <c r="AC129" s="185"/>
      <c r="AD129" s="185"/>
      <c r="AE129" s="185"/>
    </row>
    <row r="130" ht="14.25" customHeight="1">
      <c r="A130" s="178"/>
      <c r="B130" s="10">
        <v>2223989.0</v>
      </c>
      <c r="C130" s="11">
        <v>46185.66710648148</v>
      </c>
      <c r="D130" s="179" t="s">
        <v>50</v>
      </c>
      <c r="E130" s="180" t="s">
        <v>8544</v>
      </c>
      <c r="F130" s="181"/>
      <c r="G130" s="179" t="s">
        <v>8545</v>
      </c>
      <c r="H130" s="190"/>
      <c r="I130" s="190"/>
      <c r="J130" s="187" t="s">
        <v>3903</v>
      </c>
      <c r="K130" s="187"/>
      <c r="L130" s="252" t="str">
        <f>IFERROR(__xludf.DUMMYFUNCTION("IF(
  AND(D130=""Saída"", J130=""Sangria""),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9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85">
        <f>IFERROR(__xludf.DUMMYFUNCTION("ifna(VALUE(REGEXEXTRACT(E130,""[0-9.]+[,]+[0-9]+"")))"),336.84)</f>
        <v>336.84</v>
      </c>
      <c r="O130" s="332"/>
      <c r="P130" s="332"/>
      <c r="Q130" s="332"/>
      <c r="R130" s="332"/>
      <c r="S130" s="332"/>
      <c r="V130" s="281"/>
      <c r="W130" s="185"/>
      <c r="X130" s="185"/>
      <c r="Y130" s="185"/>
      <c r="Z130" s="185"/>
      <c r="AA130" s="185"/>
      <c r="AB130" s="185"/>
      <c r="AC130" s="185"/>
      <c r="AD130" s="185"/>
      <c r="AE130" s="185"/>
    </row>
    <row r="131" ht="14.25" customHeight="1">
      <c r="A131" s="178"/>
      <c r="B131" s="10">
        <v>2223990.0</v>
      </c>
      <c r="C131" s="11">
        <v>46185.66747685185</v>
      </c>
      <c r="D131" s="179" t="s">
        <v>50</v>
      </c>
      <c r="E131" s="180" t="s">
        <v>8546</v>
      </c>
      <c r="F131" s="181"/>
      <c r="G131" s="179" t="s">
        <v>8547</v>
      </c>
      <c r="H131" s="190"/>
      <c r="I131" s="190"/>
      <c r="J131" s="187" t="s">
        <v>3903</v>
      </c>
      <c r="K131" s="187"/>
      <c r="L131" s="252" t="str">
        <f>IFERROR(__xludf.DUMMYFUNCTION("IF(
  AND(D131=""Saída"", J131=""Sangria""),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81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85">
        <f>IFERROR(__xludf.DUMMYFUNCTION("ifna(VALUE(REGEXEXTRACT(E131,""[0-9.]+[,]+[0-9]+"")))"),87.67)</f>
        <v>87.67</v>
      </c>
      <c r="O131" s="331"/>
      <c r="P131" s="331"/>
      <c r="Q131" s="331"/>
      <c r="R131" s="331"/>
      <c r="S131" s="331"/>
      <c r="V131" s="279"/>
      <c r="W131" s="185"/>
      <c r="X131" s="185"/>
      <c r="Y131" s="185"/>
      <c r="Z131" s="185"/>
      <c r="AA131" s="185"/>
      <c r="AB131" s="185"/>
      <c r="AC131" s="185"/>
      <c r="AD131" s="185"/>
      <c r="AE131" s="185"/>
    </row>
    <row r="132" ht="14.25" customHeight="1">
      <c r="A132" s="178"/>
      <c r="B132" s="10">
        <v>2223991.0</v>
      </c>
      <c r="C132" s="11">
        <v>46185.66787037037</v>
      </c>
      <c r="D132" s="179" t="s">
        <v>50</v>
      </c>
      <c r="E132" s="180" t="s">
        <v>8550</v>
      </c>
      <c r="F132" s="181"/>
      <c r="G132" s="179" t="s">
        <v>8551</v>
      </c>
      <c r="H132" s="190"/>
      <c r="I132" s="190"/>
      <c r="J132" s="187" t="s">
        <v>3903</v>
      </c>
      <c r="K132" s="187"/>
      <c r="L132" s="252" t="str">
        <f>IFERROR(__xludf.DUMMYFUNCTION("IF(
  AND(D132=""Saída"", J132=""Sangria""),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9" t="str">
        <f>IFERROR(__xludf.DUMMYFUNCTION("IF(J132=""Compra de Mercadorias"",
   IF(
      COUNTIF(ARRAYFORMULA(TRIM(CLEAN(TO_TEXT(Notas!BS:BS)))), TRIM(CLEAN(TO_TEXT(B132)))) &gt; 0,
      ""Encontrada"",
      ""Não Encontrada""
   ),
"""")"),"Encontrada")</f>
        <v>Encontrada</v>
      </c>
      <c r="N132" s="185">
        <f>IFERROR(__xludf.DUMMYFUNCTION("ifna(VALUE(REGEXEXTRACT(E132,""[0-9.]+[,]+[0-9]+"")))"),364.89)</f>
        <v>364.89</v>
      </c>
      <c r="O132" s="332"/>
      <c r="P132" s="332"/>
      <c r="Q132" s="332"/>
      <c r="R132" s="332"/>
      <c r="S132" s="332"/>
      <c r="V132" s="281"/>
      <c r="W132" s="185"/>
      <c r="X132" s="185"/>
      <c r="Y132" s="185"/>
      <c r="Z132" s="185"/>
      <c r="AA132" s="185"/>
      <c r="AB132" s="185"/>
      <c r="AC132" s="185"/>
      <c r="AD132" s="185"/>
      <c r="AE132" s="185"/>
    </row>
    <row r="133" ht="14.25" customHeight="1">
      <c r="A133" s="178"/>
      <c r="B133" s="10">
        <v>2223993.0</v>
      </c>
      <c r="C133" s="11">
        <v>46185.66815972222</v>
      </c>
      <c r="D133" s="179" t="s">
        <v>50</v>
      </c>
      <c r="E133" s="180" t="s">
        <v>8554</v>
      </c>
      <c r="F133" s="181"/>
      <c r="G133" s="179" t="s">
        <v>8555</v>
      </c>
      <c r="H133" s="190"/>
      <c r="I133" s="190"/>
      <c r="J133" s="187" t="s">
        <v>3903</v>
      </c>
      <c r="K133" s="187"/>
      <c r="L133" s="252" t="str">
        <f>IFERROR(__xludf.DUMMYFUNCTION("IF(
  AND(D133=""Saída"", J133=""Sangria""),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81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185">
        <f>IFERROR(__xludf.DUMMYFUNCTION("ifna(VALUE(REGEXEXTRACT(E133,""[0-9.]+[,]+[0-9]+"")))"),149.9)</f>
        <v>149.9</v>
      </c>
      <c r="O133" s="331"/>
      <c r="P133" s="331"/>
      <c r="Q133" s="331"/>
      <c r="R133" s="331"/>
      <c r="S133" s="331"/>
      <c r="V133" s="279"/>
      <c r="W133" s="185"/>
      <c r="X133" s="185"/>
      <c r="Y133" s="185"/>
      <c r="Z133" s="185"/>
      <c r="AA133" s="185"/>
      <c r="AB133" s="185"/>
      <c r="AC133" s="185"/>
      <c r="AD133" s="185"/>
      <c r="AE133" s="185"/>
    </row>
    <row r="134" ht="14.25" customHeight="1">
      <c r="A134" s="178"/>
      <c r="B134" s="10">
        <v>2224171.0</v>
      </c>
      <c r="C134" s="11">
        <v>46185.73153935185</v>
      </c>
      <c r="D134" s="179" t="s">
        <v>227</v>
      </c>
      <c r="E134" s="180" t="s">
        <v>8556</v>
      </c>
      <c r="F134" s="181"/>
      <c r="G134" s="179" t="s">
        <v>8558</v>
      </c>
      <c r="H134" s="190"/>
      <c r="I134" s="190"/>
      <c r="J134" s="187" t="s">
        <v>3874</v>
      </c>
      <c r="K134" s="187"/>
      <c r="L134" s="252" t="str">
        <f>IFERROR(__xludf.DUMMYFUNCTION("IF(
  AND(D134=""Saída"", J134=""Sangria""),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9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IFERROR(__xludf.DUMMYFUNCTION("ifna(VALUE(REGEXEXTRACT(E134,""[0-9.]+[,]+[0-9]+"")))"),285.0)</f>
        <v>285</v>
      </c>
      <c r="O134" s="332"/>
      <c r="P134" s="332"/>
      <c r="Q134" s="332"/>
      <c r="R134" s="332"/>
      <c r="S134" s="332"/>
      <c r="V134" s="281"/>
      <c r="W134" s="185"/>
      <c r="X134" s="185"/>
      <c r="Y134" s="185"/>
      <c r="Z134" s="185"/>
      <c r="AA134" s="185"/>
      <c r="AB134" s="185"/>
      <c r="AC134" s="185"/>
      <c r="AD134" s="185"/>
      <c r="AE134" s="185"/>
    </row>
    <row r="135" ht="14.25" customHeight="1">
      <c r="A135" s="178"/>
      <c r="B135" s="10">
        <v>2224407.0</v>
      </c>
      <c r="C135" s="11">
        <v>46185.814675925925</v>
      </c>
      <c r="D135" s="179" t="s">
        <v>50</v>
      </c>
      <c r="E135" s="180" t="s">
        <v>520</v>
      </c>
      <c r="F135" s="181"/>
      <c r="G135" s="179" t="s">
        <v>149</v>
      </c>
      <c r="H135" s="190"/>
      <c r="I135" s="190"/>
      <c r="J135" s="187" t="s">
        <v>3044</v>
      </c>
      <c r="K135" s="187" t="s">
        <v>8093</v>
      </c>
      <c r="L135" s="252" t="str">
        <f>IFERROR(__xludf.DUMMYFUNCTION("IF(
  AND(D135=""Saída"", J135=""Sangria""),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8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IFERROR(__xludf.DUMMYFUNCTION("ifna(VALUE(REGEXEXTRACT(E135,""[0-9.]+[,]+[0-9]+"")))"),5.62)</f>
        <v>5.62</v>
      </c>
      <c r="O135" s="331"/>
      <c r="P135" s="331"/>
      <c r="Q135" s="331"/>
      <c r="R135" s="331"/>
      <c r="S135" s="331"/>
      <c r="V135" s="279"/>
      <c r="W135" s="185"/>
      <c r="X135" s="185"/>
      <c r="Y135" s="185"/>
      <c r="Z135" s="185"/>
      <c r="AA135" s="185"/>
      <c r="AB135" s="185"/>
      <c r="AC135" s="185"/>
      <c r="AD135" s="185"/>
      <c r="AE135" s="185"/>
    </row>
    <row r="136" ht="14.25" customHeight="1">
      <c r="A136" s="178"/>
      <c r="B136" s="10">
        <v>2224552.0</v>
      </c>
      <c r="C136" s="11">
        <v>46185.87305555555</v>
      </c>
      <c r="D136" s="179" t="s">
        <v>50</v>
      </c>
      <c r="E136" s="180" t="s">
        <v>8219</v>
      </c>
      <c r="F136" s="181"/>
      <c r="G136" s="179" t="s">
        <v>122</v>
      </c>
      <c r="H136" s="190"/>
      <c r="I136" s="190"/>
      <c r="J136" s="187" t="s">
        <v>3044</v>
      </c>
      <c r="K136" s="187" t="s">
        <v>6664</v>
      </c>
      <c r="L136" s="252" t="str">
        <f>IFERROR(__xludf.DUMMYFUNCTION("IF(
  AND(D136=""Saída"", J136=""Sangria""),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9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IFERROR(__xludf.DUMMYFUNCTION("ifna(VALUE(REGEXEXTRACT(E136,""[0-9.]+[,]+[0-9]+"")))"),10.24)</f>
        <v>10.24</v>
      </c>
      <c r="O136" s="332"/>
      <c r="P136" s="332"/>
      <c r="Q136" s="332"/>
      <c r="R136" s="332"/>
      <c r="S136" s="332"/>
      <c r="V136" s="281"/>
      <c r="W136" s="185"/>
      <c r="X136" s="185"/>
      <c r="Y136" s="185"/>
      <c r="Z136" s="185"/>
      <c r="AA136" s="185"/>
      <c r="AB136" s="185"/>
      <c r="AC136" s="185"/>
      <c r="AD136" s="185"/>
      <c r="AE136" s="185"/>
    </row>
    <row r="137" ht="14.25" customHeight="1">
      <c r="A137" s="178"/>
      <c r="B137" s="10">
        <v>2224619.0</v>
      </c>
      <c r="C137" s="11">
        <v>46185.892488425925</v>
      </c>
      <c r="D137" s="179" t="s">
        <v>227</v>
      </c>
      <c r="E137" s="180" t="s">
        <v>8561</v>
      </c>
      <c r="F137" s="181"/>
      <c r="G137" s="179" t="s">
        <v>8562</v>
      </c>
      <c r="H137" s="190"/>
      <c r="I137" s="190"/>
      <c r="J137" s="187" t="s">
        <v>4159</v>
      </c>
      <c r="K137" s="187"/>
      <c r="L137" s="252" t="str">
        <f>IFERROR(__xludf.DUMMYFUNCTION("IF(
  AND(D137=""Saída"", J137=""Sangria""),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8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IFERROR(__xludf.DUMMYFUNCTION("ifna(VALUE(REGEXEXTRACT(E137,""[0-9.]+[,]+[0-9]+"")))"),602.46)</f>
        <v>602.46</v>
      </c>
      <c r="O137" s="24"/>
      <c r="P137" s="24"/>
      <c r="Q137" s="24"/>
      <c r="R137" s="24"/>
      <c r="S137" s="24"/>
      <c r="T137" s="24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</row>
    <row r="138" ht="14.25" customHeight="1">
      <c r="A138" s="178"/>
      <c r="B138" s="10">
        <v>2225200.0</v>
      </c>
      <c r="C138" s="11">
        <v>46186.56019675926</v>
      </c>
      <c r="D138" s="179" t="s">
        <v>50</v>
      </c>
      <c r="E138" s="180" t="s">
        <v>8564</v>
      </c>
      <c r="F138" s="181"/>
      <c r="G138" s="179" t="s">
        <v>8565</v>
      </c>
      <c r="H138" s="190"/>
      <c r="I138" s="190"/>
      <c r="J138" s="187" t="s">
        <v>3903</v>
      </c>
      <c r="K138" s="187"/>
      <c r="L138" s="252" t="str">
        <f>IFERROR(__xludf.DUMMYFUNCTION("IF(
  AND(D138=""Saída"", J138=""Sangria""),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9" t="str">
        <f>IFERROR(__xludf.DUMMYFUNCTION("IF(J138=""Compra de Mercadorias"",
   IF(
      COUNTIF(ARRAYFORMULA(TRIM(CLEAN(TO_TEXT(Notas!BS:BS)))), TRIM(CLEAN(TO_TEXT(B138)))) &gt; 0,
      ""Encontrada"",
      ""Não Encontrada""
   ),
"""")"),"Encontrada")</f>
        <v>Encontrada</v>
      </c>
      <c r="N138" s="185">
        <f>IFERROR(__xludf.DUMMYFUNCTION("ifna(VALUE(REGEXEXTRACT(E138,""[0-9.]+[,]+[0-9]+"")))"),11.99)</f>
        <v>11.99</v>
      </c>
      <c r="O138" s="24"/>
      <c r="P138" s="24"/>
      <c r="Q138" s="24"/>
      <c r="R138" s="24"/>
      <c r="S138" s="24"/>
      <c r="T138" s="24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</row>
    <row r="139" ht="14.25" customHeight="1">
      <c r="A139" s="178"/>
      <c r="B139" s="10">
        <v>2225432.0</v>
      </c>
      <c r="C139" s="11">
        <v>46186.66222222222</v>
      </c>
      <c r="D139" s="179" t="s">
        <v>50</v>
      </c>
      <c r="E139" s="180" t="s">
        <v>246</v>
      </c>
      <c r="F139" s="181"/>
      <c r="G139" s="179" t="s">
        <v>57</v>
      </c>
      <c r="H139" s="190"/>
      <c r="I139" s="190"/>
      <c r="J139" s="187" t="s">
        <v>3044</v>
      </c>
      <c r="K139" s="187" t="s">
        <v>6664</v>
      </c>
      <c r="L139" s="252" t="str">
        <f>IFERROR(__xludf.DUMMYFUNCTION("IF(
  AND(D139=""Saída"", J139=""Sangria""),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8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IFERROR(__xludf.DUMMYFUNCTION("ifna(VALUE(REGEXEXTRACT(E139,""[0-9.]+[,]+[0-9]+"")))"),4.0)</f>
        <v>4</v>
      </c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</row>
    <row r="140" ht="14.25" customHeight="1">
      <c r="A140" s="178"/>
      <c r="B140" s="10">
        <v>2225890.0</v>
      </c>
      <c r="C140" s="11">
        <v>46186.80909722222</v>
      </c>
      <c r="D140" s="179" t="s">
        <v>50</v>
      </c>
      <c r="E140" s="180" t="s">
        <v>6909</v>
      </c>
      <c r="F140" s="181"/>
      <c r="G140" s="179" t="s">
        <v>8567</v>
      </c>
      <c r="H140" s="190"/>
      <c r="I140" s="190"/>
      <c r="J140" s="187" t="s">
        <v>3825</v>
      </c>
      <c r="K140" s="187"/>
      <c r="L140" s="252" t="str">
        <f>IFERROR(__xludf.DUMMYFUNCTION("IF(
  AND(D140=""Saída"", J140=""Sangria""),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9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IFERROR(__xludf.DUMMYFUNCTION("ifna(VALUE(REGEXEXTRACT(E140,""[0-9.]+[,]+[0-9]+"")))"),75.0)</f>
        <v>75</v>
      </c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</row>
    <row r="141" ht="14.25" customHeight="1">
      <c r="A141" s="178"/>
      <c r="B141" s="10">
        <v>2226018.0</v>
      </c>
      <c r="C141" s="11">
        <v>46186.88149305555</v>
      </c>
      <c r="D141" s="179" t="s">
        <v>50</v>
      </c>
      <c r="E141" s="180" t="s">
        <v>8569</v>
      </c>
      <c r="F141" s="181"/>
      <c r="G141" s="179" t="s">
        <v>149</v>
      </c>
      <c r="H141" s="190"/>
      <c r="I141" s="190"/>
      <c r="J141" s="187" t="s">
        <v>3044</v>
      </c>
      <c r="K141" s="187" t="s">
        <v>8093</v>
      </c>
      <c r="L141" s="252" t="str">
        <f>IFERROR(__xludf.DUMMYFUNCTION("IF(
  AND(D141=""Saída"", J141=""Sangria""),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8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IFERROR(__xludf.DUMMYFUNCTION("ifna(VALUE(REGEXEXTRACT(E141,""[0-9.]+[,]+[0-9]+"")))"),82.94)</f>
        <v>82.94</v>
      </c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</row>
    <row r="142" ht="14.25" customHeight="1">
      <c r="A142" s="178"/>
      <c r="B142" s="10">
        <v>2226799.0</v>
      </c>
      <c r="C142" s="11">
        <v>46187.64953703704</v>
      </c>
      <c r="D142" s="179" t="s">
        <v>50</v>
      </c>
      <c r="E142" s="180" t="s">
        <v>8029</v>
      </c>
      <c r="F142" s="181"/>
      <c r="G142" s="179" t="s">
        <v>8570</v>
      </c>
      <c r="H142" s="190"/>
      <c r="I142" s="190"/>
      <c r="J142" s="187" t="s">
        <v>3467</v>
      </c>
      <c r="K142" s="187"/>
      <c r="L142" s="252" t="str">
        <f>IFERROR(__xludf.DUMMYFUNCTION("IF(
  AND(D142=""Saída"", J142=""Sangria""),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9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IFERROR(__xludf.DUMMYFUNCTION("ifna(VALUE(REGEXEXTRACT(E142,""[0-9.]+[,]+[0-9]+"")))"),17.89)</f>
        <v>17.89</v>
      </c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</row>
    <row r="143" ht="14.25" customHeight="1">
      <c r="A143" s="178"/>
      <c r="B143" s="10">
        <v>2226800.0</v>
      </c>
      <c r="C143" s="11">
        <v>46187.64984953704</v>
      </c>
      <c r="D143" s="179" t="s">
        <v>50</v>
      </c>
      <c r="E143" s="180" t="s">
        <v>681</v>
      </c>
      <c r="F143" s="181"/>
      <c r="G143" s="179" t="s">
        <v>122</v>
      </c>
      <c r="H143" s="190"/>
      <c r="I143" s="190"/>
      <c r="J143" s="187" t="s">
        <v>3044</v>
      </c>
      <c r="K143" s="187" t="s">
        <v>6664</v>
      </c>
      <c r="L143" s="252" t="str">
        <f>IFERROR(__xludf.DUMMYFUNCTION("IF(
  AND(D143=""Saída"", J143=""Sangria""),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8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IFERROR(__xludf.DUMMYFUNCTION("ifna(VALUE(REGEXEXTRACT(E143,""[0-9.]+[,]+[0-9]+"")))"),7.28)</f>
        <v>7.28</v>
      </c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</row>
    <row r="144" ht="14.25" customHeight="1">
      <c r="A144" s="178"/>
      <c r="B144" s="10">
        <v>2227162.0</v>
      </c>
      <c r="C144" s="11">
        <v>46187.757199074076</v>
      </c>
      <c r="D144" s="179" t="s">
        <v>50</v>
      </c>
      <c r="E144" s="180" t="s">
        <v>7921</v>
      </c>
      <c r="F144" s="181"/>
      <c r="G144" s="179" t="s">
        <v>8574</v>
      </c>
      <c r="H144" s="190"/>
      <c r="I144" s="190"/>
      <c r="J144" s="187" t="s">
        <v>3903</v>
      </c>
      <c r="K144" s="187"/>
      <c r="L144" s="252" t="str">
        <f>IFERROR(__xludf.DUMMYFUNCTION("IF(
  AND(D144=""Saída"", J144=""Sangria""),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9" t="str">
        <f>IFERROR(__xludf.DUMMYFUNCTION("IF(J144=""Compra de Mercadorias"",
   IF(
      COUNTIF(ARRAYFORMULA(TRIM(CLEAN(TO_TEXT(Notas!BS:BS)))), TRIM(CLEAN(TO_TEXT(B144)))) &gt; 0,
      ""Encontrada"",
      ""Não Encontrada""
   ),
"""")"),"Encontrada")</f>
        <v>Encontrada</v>
      </c>
      <c r="N144" s="185">
        <f>IFERROR(__xludf.DUMMYFUNCTION("ifna(VALUE(REGEXEXTRACT(E144,""[0-9.]+[,]+[0-9]+"")))"),6.24)</f>
        <v>6.24</v>
      </c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</row>
    <row r="145" ht="14.25" customHeight="1">
      <c r="A145" s="178"/>
      <c r="B145" s="10">
        <v>2229055.0</v>
      </c>
      <c r="C145" s="11">
        <v>46188.81883101852</v>
      </c>
      <c r="D145" s="179" t="s">
        <v>50</v>
      </c>
      <c r="E145" s="180" t="s">
        <v>6877</v>
      </c>
      <c r="F145" s="181"/>
      <c r="G145" s="179" t="s">
        <v>8575</v>
      </c>
      <c r="H145" s="190"/>
      <c r="I145" s="190"/>
      <c r="J145" s="187" t="s">
        <v>3467</v>
      </c>
      <c r="K145" s="187"/>
      <c r="L145" s="252" t="str">
        <f>IFERROR(__xludf.DUMMYFUNCTION("IF(
  AND(D145=""Saída"", J145=""Sangria""),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8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IFERROR(__xludf.DUMMYFUNCTION("ifna(VALUE(REGEXEXTRACT(E145,""[0-9.]+[,]+[0-9]+"")))"),17.38)</f>
        <v>17.38</v>
      </c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</row>
    <row r="146" ht="16.5" customHeight="1">
      <c r="A146" s="178"/>
      <c r="B146" s="10">
        <v>2229058.0</v>
      </c>
      <c r="C146" s="11">
        <v>46188.8190625</v>
      </c>
      <c r="D146" s="179" t="s">
        <v>50</v>
      </c>
      <c r="E146" s="180" t="s">
        <v>8577</v>
      </c>
      <c r="F146" s="181"/>
      <c r="G146" s="179" t="s">
        <v>122</v>
      </c>
      <c r="H146" s="190"/>
      <c r="I146" s="190"/>
      <c r="J146" s="187" t="s">
        <v>3044</v>
      </c>
      <c r="K146" s="187" t="s">
        <v>6664</v>
      </c>
      <c r="L146" s="252" t="str">
        <f>IFERROR(__xludf.DUMMYFUNCTION("IF(
  AND(D146=""Saída"", J146=""Sangria""),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9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IFERROR(__xludf.DUMMYFUNCTION("ifna(VALUE(REGEXEXTRACT(E146,""[0-9.]+[,]+[0-9]+"")))"),11.65)</f>
        <v>11.65</v>
      </c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</row>
    <row r="147" ht="15.0" customHeight="1">
      <c r="A147" s="178"/>
      <c r="B147" s="10">
        <v>2229156.0</v>
      </c>
      <c r="C147" s="11">
        <v>46188.873402777775</v>
      </c>
      <c r="D147" s="179" t="s">
        <v>50</v>
      </c>
      <c r="E147" s="180" t="s">
        <v>6731</v>
      </c>
      <c r="F147" s="181"/>
      <c r="G147" s="179" t="s">
        <v>8579</v>
      </c>
      <c r="H147" s="190"/>
      <c r="I147" s="190"/>
      <c r="J147" s="187" t="s">
        <v>4159</v>
      </c>
      <c r="K147" s="187"/>
      <c r="L147" s="252" t="str">
        <f>IFERROR(__xludf.DUMMYFUNCTION("IF(
  AND(D147=""Saída"", J147=""Sangria""),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8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IFERROR(__xludf.DUMMYFUNCTION("ifna(VALUE(REGEXEXTRACT(E147,""[0-9.]+[,]+[0-9]+"")))"),100.0)</f>
        <v>100</v>
      </c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</row>
    <row r="148" ht="14.25" customHeight="1">
      <c r="A148" s="178"/>
      <c r="B148" s="10">
        <v>2229957.0</v>
      </c>
      <c r="C148" s="11">
        <v>46189.67170138889</v>
      </c>
      <c r="D148" s="179" t="s">
        <v>227</v>
      </c>
      <c r="E148" s="180" t="s">
        <v>8582</v>
      </c>
      <c r="F148" s="181"/>
      <c r="G148" s="179" t="s">
        <v>8583</v>
      </c>
      <c r="H148" s="190"/>
      <c r="I148" s="190"/>
      <c r="J148" s="187" t="s">
        <v>3874</v>
      </c>
      <c r="K148" s="187"/>
      <c r="L148" s="252" t="str">
        <f>IFERROR(__xludf.DUMMYFUNCTION("IF(
  AND(D148=""Saída"", J148=""Sangria""),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9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IFERROR(__xludf.DUMMYFUNCTION("ifna(VALUE(REGEXEXTRACT(E148,""[0-9.]+[,]+[0-9]+"")))"),83.74)</f>
        <v>83.74</v>
      </c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</row>
    <row r="149" ht="14.25" customHeight="1">
      <c r="A149" s="178"/>
      <c r="B149" s="10">
        <v>2229983.0</v>
      </c>
      <c r="C149" s="11">
        <v>46189.681875</v>
      </c>
      <c r="D149" s="179" t="s">
        <v>50</v>
      </c>
      <c r="E149" s="180" t="s">
        <v>8586</v>
      </c>
      <c r="F149" s="181"/>
      <c r="G149" s="179" t="s">
        <v>8587</v>
      </c>
      <c r="H149" s="190"/>
      <c r="I149" s="190"/>
      <c r="J149" s="187" t="s">
        <v>3903</v>
      </c>
      <c r="K149" s="187"/>
      <c r="L149" s="252" t="str">
        <f>IFERROR(__xludf.DUMMYFUNCTION("IF(
  AND(D149=""Saída"", J149=""Sangria""),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81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185">
        <f>IFERROR(__xludf.DUMMYFUNCTION("ifna(VALUE(REGEXEXTRACT(E149,""[0-9.]+[,]+[0-9]+"")))"),495.0)</f>
        <v>495</v>
      </c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</row>
    <row r="150" ht="14.25" customHeight="1">
      <c r="A150" s="178"/>
      <c r="B150" s="10">
        <v>2230156.0</v>
      </c>
      <c r="C150" s="11">
        <v>46189.74636574074</v>
      </c>
      <c r="D150" s="179" t="s">
        <v>50</v>
      </c>
      <c r="E150" s="180" t="s">
        <v>157</v>
      </c>
      <c r="F150" s="181"/>
      <c r="G150" s="179" t="s">
        <v>122</v>
      </c>
      <c r="H150" s="190"/>
      <c r="I150" s="190"/>
      <c r="J150" s="187" t="s">
        <v>3044</v>
      </c>
      <c r="K150" s="187" t="s">
        <v>6664</v>
      </c>
      <c r="L150" s="252" t="str">
        <f>IFERROR(__xludf.DUMMYFUNCTION("IF(
  AND(D150=""Saída"", J150=""Sangria""),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9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IFERROR(__xludf.DUMMYFUNCTION("ifna(VALUE(REGEXEXTRACT(E150,""[0-9.]+[,]+[0-9]+"")))"),5.0)</f>
        <v>5</v>
      </c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</row>
    <row r="151" ht="14.25" customHeight="1">
      <c r="A151" s="178"/>
      <c r="B151" s="10">
        <v>2231073.0</v>
      </c>
      <c r="C151" s="11">
        <v>46190.63747685185</v>
      </c>
      <c r="D151" s="179" t="s">
        <v>50</v>
      </c>
      <c r="E151" s="180" t="s">
        <v>157</v>
      </c>
      <c r="F151" s="188"/>
      <c r="G151" s="179" t="s">
        <v>57</v>
      </c>
      <c r="H151" s="190"/>
      <c r="I151" s="190"/>
      <c r="J151" s="187" t="s">
        <v>3044</v>
      </c>
      <c r="K151" s="187" t="s">
        <v>6664</v>
      </c>
      <c r="L151" s="252" t="str">
        <f>IFERROR(__xludf.DUMMYFUNCTION("IF(
  AND(D151=""Saída"", J151=""Sangria""),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8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IFERROR(__xludf.DUMMYFUNCTION("ifna(VALUE(REGEXEXTRACT(E151,""[0-9.]+[,]+[0-9]+"")))"),5.0)</f>
        <v>5</v>
      </c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</row>
    <row r="152" ht="14.25" customHeight="1">
      <c r="A152" s="178"/>
      <c r="B152" s="10">
        <v>2231357.0</v>
      </c>
      <c r="C152" s="11">
        <v>46190.742847222224</v>
      </c>
      <c r="D152" s="179" t="s">
        <v>50</v>
      </c>
      <c r="E152" s="180" t="s">
        <v>8591</v>
      </c>
      <c r="F152" s="181"/>
      <c r="G152" s="179" t="s">
        <v>122</v>
      </c>
      <c r="H152" s="190"/>
      <c r="I152" s="190"/>
      <c r="J152" s="187" t="s">
        <v>3044</v>
      </c>
      <c r="K152" s="187" t="s">
        <v>6664</v>
      </c>
      <c r="L152" s="252" t="str">
        <f>IFERROR(__xludf.DUMMYFUNCTION("IF(
  AND(D152=""Saída"", J152=""Sangria""),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9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IFERROR(__xludf.DUMMYFUNCTION("ifna(VALUE(REGEXEXTRACT(E152,""[0-9.]+[,]+[0-9]+"")))"),2.17)</f>
        <v>2.17</v>
      </c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</row>
    <row r="153" ht="14.25" customHeight="1">
      <c r="A153" s="178"/>
      <c r="B153" s="10">
        <v>2232515.0</v>
      </c>
      <c r="C153" s="11">
        <v>46191.705092592594</v>
      </c>
      <c r="D153" s="179" t="s">
        <v>50</v>
      </c>
      <c r="E153" s="180" t="s">
        <v>7620</v>
      </c>
      <c r="F153" s="181"/>
      <c r="G153" s="179" t="s">
        <v>122</v>
      </c>
      <c r="H153" s="190"/>
      <c r="I153" s="190"/>
      <c r="J153" s="187" t="s">
        <v>3044</v>
      </c>
      <c r="K153" s="187" t="s">
        <v>6664</v>
      </c>
      <c r="L153" s="252" t="str">
        <f>IFERROR(__xludf.DUMMYFUNCTION("IF(
  AND(D153=""Saída"", J153=""Sangria""),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8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IFERROR(__xludf.DUMMYFUNCTION("ifna(VALUE(REGEXEXTRACT(E153,""[0-9.]+[,]+[0-9]+"")))"),7.41)</f>
        <v>7.41</v>
      </c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</row>
    <row r="154" ht="14.25" customHeight="1">
      <c r="A154" s="178"/>
      <c r="B154" s="10">
        <v>2232517.0</v>
      </c>
      <c r="C154" s="11">
        <v>46191.705347222225</v>
      </c>
      <c r="D154" s="179" t="s">
        <v>50</v>
      </c>
      <c r="E154" s="180" t="s">
        <v>246</v>
      </c>
      <c r="F154" s="181"/>
      <c r="G154" s="179" t="s">
        <v>122</v>
      </c>
      <c r="H154" s="190"/>
      <c r="I154" s="190"/>
      <c r="J154" s="187" t="s">
        <v>3044</v>
      </c>
      <c r="K154" s="187" t="s">
        <v>6664</v>
      </c>
      <c r="L154" s="252" t="str">
        <f>IFERROR(__xludf.DUMMYFUNCTION("IF(
  AND(D154=""Saída"", J154=""Sangria""),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9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IFERROR(__xludf.DUMMYFUNCTION("ifna(VALUE(REGEXEXTRACT(E154,""[0-9.]+[,]+[0-9]+"")))"),4.0)</f>
        <v>4</v>
      </c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</row>
    <row r="155" ht="14.25" customHeight="1">
      <c r="A155" s="178"/>
      <c r="B155" s="10">
        <v>2232525.0</v>
      </c>
      <c r="C155" s="11">
        <v>46191.707962962966</v>
      </c>
      <c r="D155" s="179" t="s">
        <v>50</v>
      </c>
      <c r="E155" s="180" t="s">
        <v>719</v>
      </c>
      <c r="F155" s="181"/>
      <c r="G155" s="179" t="s">
        <v>8597</v>
      </c>
      <c r="H155" s="190"/>
      <c r="I155" s="190"/>
      <c r="J155" s="187" t="s">
        <v>4159</v>
      </c>
      <c r="K155" s="187"/>
      <c r="L155" s="252" t="str">
        <f>IFERROR(__xludf.DUMMYFUNCTION("IF(
  AND(D155=""Saída"", J155=""Sangria""),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8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IFERROR(__xludf.DUMMYFUNCTION("ifna(VALUE(REGEXEXTRACT(E155,""[0-9.]+[,]+[0-9]+"")))"),500.0)</f>
        <v>500</v>
      </c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</row>
    <row r="156" ht="14.25" customHeight="1">
      <c r="A156" s="178"/>
      <c r="B156" s="10">
        <v>2233410.0</v>
      </c>
      <c r="C156" s="11">
        <v>46192.50695601852</v>
      </c>
      <c r="D156" s="179" t="s">
        <v>227</v>
      </c>
      <c r="E156" s="180" t="s">
        <v>8599</v>
      </c>
      <c r="F156" s="181"/>
      <c r="G156" s="179" t="s">
        <v>8600</v>
      </c>
      <c r="H156" s="190"/>
      <c r="I156" s="190"/>
      <c r="J156" s="187" t="s">
        <v>3874</v>
      </c>
      <c r="K156" s="187"/>
      <c r="L156" s="252" t="str">
        <f>IFERROR(__xludf.DUMMYFUNCTION("IF(
  AND(D156=""Saída"", J156=""Sangria""),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9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IFERROR(__xludf.DUMMYFUNCTION("ifna(VALUE(REGEXEXTRACT(E156,""[0-9.]+[,]+[0-9]+"")))"),174.1)</f>
        <v>174.1</v>
      </c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</row>
    <row r="157" ht="14.25" customHeight="1">
      <c r="A157" s="178"/>
      <c r="B157" s="10">
        <v>2233485.0</v>
      </c>
      <c r="C157" s="11">
        <v>46192.565474537034</v>
      </c>
      <c r="D157" s="179" t="s">
        <v>50</v>
      </c>
      <c r="E157" s="180" t="s">
        <v>179</v>
      </c>
      <c r="F157" s="181"/>
      <c r="G157" s="179" t="s">
        <v>122</v>
      </c>
      <c r="H157" s="190"/>
      <c r="I157" s="190"/>
      <c r="J157" s="187" t="s">
        <v>3044</v>
      </c>
      <c r="K157" s="187" t="s">
        <v>6664</v>
      </c>
      <c r="L157" s="252" t="str">
        <f>IFERROR(__xludf.DUMMYFUNCTION("IF(
  AND(D157=""Saída"", J157=""Sangria""),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8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IFERROR(__xludf.DUMMYFUNCTION("ifna(VALUE(REGEXEXTRACT(E157,""[0-9.]+[,]+[0-9]+"")))"),9.71)</f>
        <v>9.71</v>
      </c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</row>
    <row r="158" ht="19.5" customHeight="1">
      <c r="A158" s="178"/>
      <c r="B158" s="10">
        <v>2233624.0</v>
      </c>
      <c r="C158" s="11">
        <v>46192.638715277775</v>
      </c>
      <c r="D158" s="179" t="s">
        <v>50</v>
      </c>
      <c r="E158" s="180" t="s">
        <v>1195</v>
      </c>
      <c r="F158" s="181"/>
      <c r="G158" s="179" t="s">
        <v>8602</v>
      </c>
      <c r="H158" s="190"/>
      <c r="I158" s="190"/>
      <c r="J158" s="187" t="s">
        <v>3903</v>
      </c>
      <c r="K158" s="187"/>
      <c r="L158" s="252" t="str">
        <f>IFERROR(__xludf.DUMMYFUNCTION("IF(
  AND(D158=""Saída"", J158=""Sangria""),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9" t="str">
        <f>IFERROR(__xludf.DUMMYFUNCTION("IF(J158=""Compra de Mercadorias"",
   IF(
      COUNTIF(ARRAYFORMULA(TRIM(CLEAN(TO_TEXT(Notas!BS:BS)))), TRIM(CLEAN(TO_TEXT(B158)))) &gt; 0,
      ""Encontrada"",
      ""Não Encontrada""
   ),
"""")"),"Não Encontrada")</f>
        <v>Não Encontrada</v>
      </c>
      <c r="N158" s="185">
        <f>IFERROR(__xludf.DUMMYFUNCTION("ifna(VALUE(REGEXEXTRACT(E158,""[0-9.]+[,]+[0-9]+"")))"),25.0)</f>
        <v>25</v>
      </c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</row>
    <row r="159" ht="18.75" customHeight="1">
      <c r="A159" s="178"/>
      <c r="B159" s="10">
        <v>2233688.0</v>
      </c>
      <c r="C159" s="11">
        <v>46192.671273148146</v>
      </c>
      <c r="D159" s="179" t="s">
        <v>50</v>
      </c>
      <c r="E159" s="180" t="s">
        <v>8603</v>
      </c>
      <c r="F159" s="181"/>
      <c r="G159" s="179" t="s">
        <v>122</v>
      </c>
      <c r="H159" s="190"/>
      <c r="I159" s="190"/>
      <c r="J159" s="187" t="s">
        <v>3044</v>
      </c>
      <c r="K159" s="187" t="s">
        <v>6664</v>
      </c>
      <c r="L159" s="252" t="str">
        <f>IFERROR(__xludf.DUMMYFUNCTION("IF(
  AND(D159=""Saída"", J159=""Sangria""),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8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IFERROR(__xludf.DUMMYFUNCTION("ifna(VALUE(REGEXEXTRACT(E159,""[0-9.]+[,]+[0-9]+"")))"),7.67)</f>
        <v>7.67</v>
      </c>
      <c r="O159" s="338">
        <v>45975.0</v>
      </c>
      <c r="P159" s="339" t="s">
        <v>1183</v>
      </c>
      <c r="Q159" s="339">
        <v>500.0</v>
      </c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</row>
    <row r="160" ht="16.5" customHeight="1">
      <c r="A160" s="178"/>
      <c r="B160" s="10">
        <v>2233874.0</v>
      </c>
      <c r="C160" s="11">
        <v>46192.744259259256</v>
      </c>
      <c r="D160" s="179" t="s">
        <v>50</v>
      </c>
      <c r="E160" s="180" t="s">
        <v>823</v>
      </c>
      <c r="F160" s="188"/>
      <c r="G160" s="179" t="s">
        <v>57</v>
      </c>
      <c r="H160" s="190"/>
      <c r="I160" s="190"/>
      <c r="J160" s="187" t="s">
        <v>3044</v>
      </c>
      <c r="K160" s="187" t="s">
        <v>6664</v>
      </c>
      <c r="L160" s="252" t="str">
        <f>IFERROR(__xludf.DUMMYFUNCTION("IF(
  AND(D160=""Saída"", J160=""Sangria""),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9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IFERROR(__xludf.DUMMYFUNCTION("ifna(VALUE(REGEXEXTRACT(E160,""[0-9.]+[,]+[0-9]+"")))"),8.95)</f>
        <v>8.95</v>
      </c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</row>
    <row r="161" ht="16.5" customHeight="1">
      <c r="A161" s="178"/>
      <c r="B161" s="10">
        <v>2234959.0</v>
      </c>
      <c r="C161" s="11">
        <v>46193.71927083333</v>
      </c>
      <c r="D161" s="179" t="s">
        <v>50</v>
      </c>
      <c r="E161" s="180" t="s">
        <v>6586</v>
      </c>
      <c r="F161" s="181"/>
      <c r="G161" s="179" t="s">
        <v>8604</v>
      </c>
      <c r="H161" s="190"/>
      <c r="I161" s="190"/>
      <c r="J161" s="187" t="s">
        <v>3044</v>
      </c>
      <c r="K161" s="187" t="s">
        <v>8093</v>
      </c>
      <c r="L161" s="252" t="str">
        <f>IFERROR(__xludf.DUMMYFUNCTION("IF(
  AND(D161=""Saída"", J161=""Sangria""),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8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IFERROR(__xludf.DUMMYFUNCTION("ifna(VALUE(REGEXEXTRACT(E161,""[0-9.]+[,]+[0-9]+"")))"),16.1)</f>
        <v>16.1</v>
      </c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</row>
    <row r="162" ht="14.25" customHeight="1">
      <c r="A162" s="178"/>
      <c r="B162" s="10">
        <v>2235283.0</v>
      </c>
      <c r="C162" s="11">
        <v>46193.84652777778</v>
      </c>
      <c r="D162" s="179" t="s">
        <v>50</v>
      </c>
      <c r="E162" s="180" t="s">
        <v>7154</v>
      </c>
      <c r="F162" s="188"/>
      <c r="G162" s="179" t="s">
        <v>8605</v>
      </c>
      <c r="H162" s="190"/>
      <c r="I162" s="190"/>
      <c r="J162" s="187" t="s">
        <v>3467</v>
      </c>
      <c r="K162" s="187"/>
      <c r="L162" s="252" t="str">
        <f>IFERROR(__xludf.DUMMYFUNCTION("IF(
  AND(D162=""Saída"", J162=""Sangria""),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9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>
        <f>IFERROR(__xludf.DUMMYFUNCTION("ifna(VALUE(REGEXEXTRACT(E162,""[0-9.]+[,]+[0-9]+"")))"),21.34)</f>
        <v>21.34</v>
      </c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</row>
    <row r="163" ht="14.25" customHeight="1">
      <c r="A163" s="178"/>
      <c r="B163" s="10">
        <v>2236966.0</v>
      </c>
      <c r="C163" s="11">
        <v>46194.83925925926</v>
      </c>
      <c r="D163" s="179" t="s">
        <v>50</v>
      </c>
      <c r="E163" s="180" t="s">
        <v>6848</v>
      </c>
      <c r="F163" s="181"/>
      <c r="G163" s="179" t="s">
        <v>8606</v>
      </c>
      <c r="H163" s="190"/>
      <c r="I163" s="190"/>
      <c r="J163" s="187" t="s">
        <v>3746</v>
      </c>
      <c r="K163" s="187" t="s">
        <v>7052</v>
      </c>
      <c r="L163" s="252" t="str">
        <f>IFERROR(__xludf.DUMMYFUNCTION("IF(
  AND(D163=""Saída"", J163=""Sangria""),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"),"Caixa Sangria")</f>
        <v>Caixa Sangria</v>
      </c>
      <c r="M163" s="28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>
        <f>IFERROR(__xludf.DUMMYFUNCTION("ifna(VALUE(REGEXEXTRACT(E163,""[0-9.]+[,]+[0-9]+"")))"),1350.0)</f>
        <v>1350</v>
      </c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</row>
    <row r="164" ht="14.25" customHeight="1">
      <c r="A164" s="178"/>
      <c r="B164" s="10">
        <v>2239391.0</v>
      </c>
      <c r="C164" s="11">
        <v>46196.65710648148</v>
      </c>
      <c r="D164" s="179" t="s">
        <v>50</v>
      </c>
      <c r="E164" s="180" t="s">
        <v>146</v>
      </c>
      <c r="F164" s="181"/>
      <c r="G164" s="179" t="s">
        <v>149</v>
      </c>
      <c r="H164" s="190"/>
      <c r="I164" s="190"/>
      <c r="J164" s="187" t="s">
        <v>3044</v>
      </c>
      <c r="K164" s="187" t="s">
        <v>8093</v>
      </c>
      <c r="L164" s="252" t="str">
        <f>IFERROR(__xludf.DUMMYFUNCTION("IF(
  AND(D164=""Saída"", J164=""Sangria""),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9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IFERROR(__xludf.DUMMYFUNCTION("ifna(VALUE(REGEXEXTRACT(E164,""[0-9.]+[,]+[0-9]+"")))"),3.0)</f>
        <v>3</v>
      </c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</row>
    <row r="165" ht="14.25" customHeight="1">
      <c r="A165" s="178"/>
      <c r="B165" s="10">
        <v>2241689.0</v>
      </c>
      <c r="C165" s="11">
        <v>46198.78267361111</v>
      </c>
      <c r="D165" s="179" t="s">
        <v>227</v>
      </c>
      <c r="E165" s="180" t="s">
        <v>8607</v>
      </c>
      <c r="F165" s="181"/>
      <c r="G165" s="179" t="s">
        <v>8608</v>
      </c>
      <c r="H165" s="190"/>
      <c r="I165" s="190"/>
      <c r="J165" s="187"/>
      <c r="K165" s="187"/>
      <c r="L165" s="252" t="str">
        <f>IFERROR(__xludf.DUMMYFUNCTION("IF(
  AND(D165=""Saída"", J165=""Sangria""),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81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>
        <f>IFERROR(__xludf.DUMMYFUNCTION("ifna(VALUE(REGEXEXTRACT(E165,""[0-9.]+[,]+[0-9]+"")))"),264.24)</f>
        <v>264.24</v>
      </c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</row>
    <row r="166" ht="14.25" customHeight="1">
      <c r="A166" s="178"/>
      <c r="B166" s="10">
        <v>2241754.0</v>
      </c>
      <c r="C166" s="11">
        <v>46198.81916666667</v>
      </c>
      <c r="D166" s="179" t="s">
        <v>50</v>
      </c>
      <c r="E166" s="180" t="s">
        <v>8607</v>
      </c>
      <c r="F166" s="181"/>
      <c r="G166" s="179" t="s">
        <v>8609</v>
      </c>
      <c r="H166" s="190"/>
      <c r="I166" s="190"/>
      <c r="J166" s="187"/>
      <c r="K166" s="187"/>
      <c r="L166" s="252" t="str">
        <f>IFERROR(__xludf.DUMMYFUNCTION("IF(
  AND(D166=""Saída"", J166=""Sangria""),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9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>
        <f>IFERROR(__xludf.DUMMYFUNCTION("ifna(VALUE(REGEXEXTRACT(E166,""[0-9.]+[,]+[0-9]+"")))"),264.24)</f>
        <v>264.24</v>
      </c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</row>
    <row r="167" ht="14.25" customHeight="1">
      <c r="A167" s="178"/>
      <c r="B167" s="10">
        <v>2241758.0</v>
      </c>
      <c r="C167" s="11">
        <v>46198.820069444446</v>
      </c>
      <c r="D167" s="179" t="s">
        <v>227</v>
      </c>
      <c r="E167" s="180" t="s">
        <v>719</v>
      </c>
      <c r="F167" s="181"/>
      <c r="G167" s="179" t="s">
        <v>8610</v>
      </c>
      <c r="H167" s="190"/>
      <c r="I167" s="190"/>
      <c r="J167" s="187" t="s">
        <v>3874</v>
      </c>
      <c r="K167" s="187"/>
      <c r="L167" s="252" t="str">
        <f>IFERROR(__xludf.DUMMYFUNCTION("IF(
  AND(D167=""Saída"", J167=""Sangria""),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8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>
        <f>IFERROR(__xludf.DUMMYFUNCTION("ifna(VALUE(REGEXEXTRACT(E167,""[0-9.]+[,]+[0-9]+"")))"),500.0)</f>
        <v>500</v>
      </c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</row>
    <row r="168" ht="14.25" customHeight="1">
      <c r="A168" s="178"/>
      <c r="B168" s="10">
        <v>2241760.0</v>
      </c>
      <c r="C168" s="11">
        <v>46198.82041666667</v>
      </c>
      <c r="D168" s="179" t="s">
        <v>50</v>
      </c>
      <c r="E168" s="180" t="s">
        <v>8611</v>
      </c>
      <c r="F168" s="181"/>
      <c r="G168" s="179" t="s">
        <v>8612</v>
      </c>
      <c r="H168" s="190"/>
      <c r="I168" s="190"/>
      <c r="J168" s="187" t="s">
        <v>3903</v>
      </c>
      <c r="K168" s="187"/>
      <c r="L168" s="252" t="str">
        <f>IFERROR(__xludf.DUMMYFUNCTION("IF(
  AND(D168=""Saída"", J168=""Sangria""),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9" t="str">
        <f>IFERROR(__xludf.DUMMYFUNCTION("IF(J168=""Compra de Mercadorias"",
   IF(
      COUNTIF(ARRAYFORMULA(TRIM(CLEAN(TO_TEXT(Notas!BS:BS)))), TRIM(CLEAN(TO_TEXT(B168)))) &gt; 0,
      ""Encontrada"",
      ""Não Encontrada""
   ),
"""")"),"Encontrada")</f>
        <v>Encontrada</v>
      </c>
      <c r="N168" s="185">
        <f>IFERROR(__xludf.DUMMYFUNCTION("ifna(VALUE(REGEXEXTRACT(E168,""[0-9.]+[,]+[0-9]+"")))"),220.32)</f>
        <v>220.32</v>
      </c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</row>
    <row r="169" ht="14.25" customHeight="1">
      <c r="A169" s="178"/>
      <c r="B169" s="10">
        <v>2241761.0</v>
      </c>
      <c r="C169" s="11">
        <v>46198.82064814815</v>
      </c>
      <c r="D169" s="179" t="s">
        <v>50</v>
      </c>
      <c r="E169" s="180" t="s">
        <v>8613</v>
      </c>
      <c r="F169" s="181"/>
      <c r="G169" s="179" t="s">
        <v>8614</v>
      </c>
      <c r="H169" s="190"/>
      <c r="I169" s="190"/>
      <c r="J169" s="187" t="s">
        <v>3903</v>
      </c>
      <c r="K169" s="187"/>
      <c r="L169" s="252" t="str">
        <f>IFERROR(__xludf.DUMMYFUNCTION("IF(
  AND(D169=""Saída"", J169=""Sangria""),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81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185">
        <f>IFERROR(__xludf.DUMMYFUNCTION("ifna(VALUE(REGEXEXTRACT(E169,""[0-9.]+[,]+[0-9]+"")))"),15.44)</f>
        <v>15.44</v>
      </c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</row>
    <row r="170" ht="14.25" customHeight="1">
      <c r="A170" s="178"/>
      <c r="B170" s="10">
        <v>2241837.0</v>
      </c>
      <c r="C170" s="11">
        <v>46198.85561342593</v>
      </c>
      <c r="D170" s="179" t="s">
        <v>50</v>
      </c>
      <c r="E170" s="180" t="s">
        <v>7141</v>
      </c>
      <c r="F170" s="181"/>
      <c r="G170" s="179" t="s">
        <v>8615</v>
      </c>
      <c r="H170" s="190"/>
      <c r="I170" s="190"/>
      <c r="J170" s="187" t="s">
        <v>3903</v>
      </c>
      <c r="K170" s="187"/>
      <c r="L170" s="252" t="str">
        <f>IFERROR(__xludf.DUMMYFUNCTION("IF(
  AND(D170=""Saída"", J170=""Sangria""),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9" t="str">
        <f>IFERROR(__xludf.DUMMYFUNCTION("IF(J170=""Compra de Mercadorias"",
   IF(
      COUNTIF(ARRAYFORMULA(TRIM(CLEAN(TO_TEXT(Notas!BS:BS)))), TRIM(CLEAN(TO_TEXT(B170)))) &gt; 0,
      ""Encontrada"",
      ""Não Encontrada""
   ),
"""")"),"Não Encontrada")</f>
        <v>Não Encontrada</v>
      </c>
      <c r="N170" s="185">
        <f>IFERROR(__xludf.DUMMYFUNCTION("ifna(VALUE(REGEXEXTRACT(E170,""[0-9.]+[,]+[0-9]+"")))"),43.2)</f>
        <v>43.2</v>
      </c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</row>
    <row r="171" ht="14.25" customHeight="1">
      <c r="A171" s="178"/>
      <c r="B171" s="10">
        <v>2242452.0</v>
      </c>
      <c r="C171" s="11">
        <v>46199.6265625</v>
      </c>
      <c r="D171" s="179" t="s">
        <v>50</v>
      </c>
      <c r="E171" s="180" t="s">
        <v>53</v>
      </c>
      <c r="F171" s="181"/>
      <c r="G171" s="179" t="s">
        <v>57</v>
      </c>
      <c r="H171" s="190"/>
      <c r="I171" s="190"/>
      <c r="J171" s="187" t="s">
        <v>3044</v>
      </c>
      <c r="K171" s="187" t="s">
        <v>6664</v>
      </c>
      <c r="L171" s="252" t="str">
        <f>IFERROR(__xludf.DUMMYFUNCTION("IF(
  AND(D171=""Saída"", J171=""Sangria""),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8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IFERROR(__xludf.DUMMYFUNCTION("ifna(VALUE(REGEXEXTRACT(E171,""[0-9.]+[,]+[0-9]+"")))"),4.86)</f>
        <v>4.86</v>
      </c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</row>
    <row r="172" ht="14.25" customHeight="1">
      <c r="A172" s="178"/>
      <c r="B172" s="10">
        <v>2242474.0</v>
      </c>
      <c r="C172" s="11">
        <v>46199.63685185185</v>
      </c>
      <c r="D172" s="179" t="s">
        <v>50</v>
      </c>
      <c r="E172" s="180" t="s">
        <v>71</v>
      </c>
      <c r="F172" s="181"/>
      <c r="G172" s="179" t="s">
        <v>74</v>
      </c>
      <c r="H172" s="190"/>
      <c r="I172" s="190"/>
      <c r="J172" s="187" t="s">
        <v>3044</v>
      </c>
      <c r="K172" s="187" t="s">
        <v>7058</v>
      </c>
      <c r="L172" s="252" t="str">
        <f>IFERROR(__xludf.DUMMYFUNCTION("IF(
  AND(D172=""Saída"", J172=""Sangria""),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9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IFERROR(__xludf.DUMMYFUNCTION("ifna(VALUE(REGEXEXTRACT(E172,""[0-9.]+[,]+[0-9]+"")))"),10.99)</f>
        <v>10.99</v>
      </c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</row>
    <row r="173" ht="14.25" customHeight="1">
      <c r="A173" s="178"/>
      <c r="B173" s="10">
        <v>2242523.0</v>
      </c>
      <c r="C173" s="11">
        <v>46199.65991898148</v>
      </c>
      <c r="D173" s="179" t="s">
        <v>50</v>
      </c>
      <c r="E173" s="180" t="s">
        <v>91</v>
      </c>
      <c r="F173" s="181"/>
      <c r="G173" s="179" t="s">
        <v>94</v>
      </c>
      <c r="H173" s="190"/>
      <c r="I173" s="190"/>
      <c r="J173" s="187" t="s">
        <v>3044</v>
      </c>
      <c r="K173" s="187" t="s">
        <v>7058</v>
      </c>
      <c r="L173" s="252" t="str">
        <f>IFERROR(__xludf.DUMMYFUNCTION("IF(
  AND(D173=""Saída"", J173=""Sangria""),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8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IFERROR(__xludf.DUMMYFUNCTION("ifna(VALUE(REGEXEXTRACT(E173,""[0-9.]+[,]+[0-9]+"")))"),11.77)</f>
        <v>11.77</v>
      </c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</row>
    <row r="174" ht="14.25" customHeight="1">
      <c r="A174" s="178"/>
      <c r="B174" s="10"/>
      <c r="C174" s="11"/>
      <c r="D174" s="179"/>
      <c r="E174" s="180"/>
      <c r="F174" s="181"/>
      <c r="G174" s="179"/>
      <c r="H174" s="190"/>
      <c r="I174" s="190"/>
      <c r="J174" s="187"/>
      <c r="K174" s="187"/>
      <c r="L174" s="252" t="str">
        <f>IFERROR(__xludf.DUMMYFUNCTION("IF(
  AND(D174=""Saída"", J174=""Sangria""),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9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 t="str">
        <f>IFERROR(__xludf.DUMMYFUNCTION("ifna(VALUE(REGEXEXTRACT(E174,""[0-9.]+[,]+[0-9]+"")))"),"")</f>
        <v/>
      </c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</row>
    <row r="175" ht="14.25" customHeight="1">
      <c r="A175" s="178"/>
      <c r="B175" s="10"/>
      <c r="C175" s="11"/>
      <c r="D175" s="179"/>
      <c r="E175" s="180"/>
      <c r="F175" s="181"/>
      <c r="G175" s="179"/>
      <c r="H175" s="190"/>
      <c r="I175" s="190"/>
      <c r="J175" s="187"/>
      <c r="K175" s="187"/>
      <c r="L175" s="252" t="str">
        <f>IFERROR(__xludf.DUMMYFUNCTION("IF(
  AND(D175=""Saída"", J175=""Sangria""),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8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 t="str">
        <f>IFERROR(__xludf.DUMMYFUNCTION("ifna(VALUE(REGEXEXTRACT(E175,""[0-9.]+[,]+[0-9]+"")))"),"")</f>
        <v/>
      </c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</row>
    <row r="176" ht="14.25" customHeight="1">
      <c r="A176" s="178"/>
      <c r="B176" s="10"/>
      <c r="C176" s="11"/>
      <c r="D176" s="179"/>
      <c r="E176" s="180"/>
      <c r="F176" s="181"/>
      <c r="G176" s="179"/>
      <c r="H176" s="190"/>
      <c r="I176" s="190"/>
      <c r="J176" s="187"/>
      <c r="K176" s="187"/>
      <c r="L176" s="252" t="str">
        <f>IFERROR(__xludf.DUMMYFUNCTION("IF(
  AND(D176=""Saída"", J176=""Sangria""),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9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 t="str">
        <f>IFERROR(__xludf.DUMMYFUNCTION("ifna(VALUE(REGEXEXTRACT(E176,""[0-9.]+[,]+[0-9]+"")))"),"")</f>
        <v/>
      </c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</row>
    <row r="177" ht="14.25" customHeight="1">
      <c r="A177" s="178"/>
      <c r="B177" s="10"/>
      <c r="C177" s="11"/>
      <c r="D177" s="179"/>
      <c r="E177" s="180"/>
      <c r="F177" s="181"/>
      <c r="G177" s="179"/>
      <c r="H177" s="190"/>
      <c r="I177" s="190"/>
      <c r="J177" s="187"/>
      <c r="K177" s="187"/>
      <c r="L177" s="252" t="str">
        <f>IFERROR(__xludf.DUMMYFUNCTION("IF(
  AND(D177=""Saída"", J177=""Sangria""),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8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 t="str">
        <f>IFERROR(__xludf.DUMMYFUNCTION("ifna(VALUE(REGEXEXTRACT(E177,""[0-9.]+[,]+[0-9]+"")))"),"")</f>
        <v/>
      </c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</row>
    <row r="178" ht="14.25" customHeight="1">
      <c r="A178" s="178"/>
      <c r="B178" s="10"/>
      <c r="C178" s="11"/>
      <c r="D178" s="179"/>
      <c r="E178" s="180"/>
      <c r="F178" s="181"/>
      <c r="G178" s="179"/>
      <c r="H178" s="190"/>
      <c r="I178" s="190"/>
      <c r="J178" s="187"/>
      <c r="K178" s="187"/>
      <c r="L178" s="252" t="str">
        <f>IFERROR(__xludf.DUMMYFUNCTION("IF(
  AND(D178=""Saída"", J178=""Sangria""),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9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 t="str">
        <f>IFERROR(__xludf.DUMMYFUNCTION("ifna(VALUE(REGEXEXTRACT(E178,""[0-9.]+[,]+[0-9]+"")))"),"")</f>
        <v/>
      </c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</row>
    <row r="179" ht="14.25" customHeight="1">
      <c r="A179" s="178"/>
      <c r="B179" s="10"/>
      <c r="C179" s="11"/>
      <c r="D179" s="179"/>
      <c r="E179" s="180"/>
      <c r="F179" s="181"/>
      <c r="G179" s="179"/>
      <c r="H179" s="190"/>
      <c r="I179" s="190"/>
      <c r="J179" s="187"/>
      <c r="K179" s="187"/>
      <c r="L179" s="252" t="str">
        <f>IFERROR(__xludf.DUMMYFUNCTION("IF(
  AND(D179=""Saída"", J179=""Sangria""),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8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 t="str">
        <f>IFERROR(__xludf.DUMMYFUNCTION("ifna(VALUE(REGEXEXTRACT(E179,""[0-9.]+[,]+[0-9]+"")))"),"")</f>
        <v/>
      </c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</row>
    <row r="180" ht="14.25" customHeight="1">
      <c r="A180" s="178"/>
      <c r="B180" s="10"/>
      <c r="C180" s="11"/>
      <c r="D180" s="179"/>
      <c r="E180" s="180"/>
      <c r="F180" s="181"/>
      <c r="G180" s="179"/>
      <c r="H180" s="190"/>
      <c r="I180" s="190"/>
      <c r="J180" s="187"/>
      <c r="K180" s="187"/>
      <c r="L180" s="252" t="str">
        <f>IFERROR(__xludf.DUMMYFUNCTION("IF(
  AND(D180=""Saída"", J180=""Sangria""),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9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 t="str">
        <f>IFERROR(__xludf.DUMMYFUNCTION("ifna(VALUE(REGEXEXTRACT(E180,""[0-9.]+[,]+[0-9]+"")))"),"")</f>
        <v/>
      </c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</row>
    <row r="181" ht="14.25" customHeight="1">
      <c r="A181" s="178"/>
      <c r="B181" s="10"/>
      <c r="C181" s="11"/>
      <c r="D181" s="179"/>
      <c r="E181" s="180"/>
      <c r="F181" s="188"/>
      <c r="G181" s="179"/>
      <c r="H181" s="190"/>
      <c r="I181" s="190"/>
      <c r="J181" s="187"/>
      <c r="K181" s="187"/>
      <c r="L181" s="252" t="str">
        <f>IFERROR(__xludf.DUMMYFUNCTION("IF(
  AND(D181=""Saída"", J181=""Sangria""),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8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 t="str">
        <f>IFERROR(__xludf.DUMMYFUNCTION("ifna(VALUE(REGEXEXTRACT(E181,""[0-9.]+[,]+[0-9]+"")))"),"")</f>
        <v/>
      </c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</row>
    <row r="182" ht="14.25" customHeight="1">
      <c r="A182" s="178"/>
      <c r="B182" s="10"/>
      <c r="C182" s="11"/>
      <c r="D182" s="179"/>
      <c r="E182" s="180"/>
      <c r="F182" s="181"/>
      <c r="G182" s="179"/>
      <c r="H182" s="190"/>
      <c r="I182" s="190"/>
      <c r="J182" s="187"/>
      <c r="K182" s="187"/>
      <c r="L182" s="252" t="str">
        <f>IFERROR(__xludf.DUMMYFUNCTION("IF(
  AND(D182=""Saída"", J182=""Sangria""),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9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 t="str">
        <f>IFERROR(__xludf.DUMMYFUNCTION("ifna(VALUE(REGEXEXTRACT(E182,""[0-9.]+[,]+[0-9]+"")))"),"")</f>
        <v/>
      </c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</row>
    <row r="183" ht="14.25" customHeight="1">
      <c r="A183" s="178"/>
      <c r="B183" s="10"/>
      <c r="C183" s="11"/>
      <c r="D183" s="179"/>
      <c r="E183" s="180"/>
      <c r="F183" s="181"/>
      <c r="G183" s="179"/>
      <c r="H183" s="190"/>
      <c r="I183" s="190"/>
      <c r="J183" s="187"/>
      <c r="K183" s="187"/>
      <c r="L183" s="252" t="str">
        <f>IFERROR(__xludf.DUMMYFUNCTION("IF(
  AND(D183=""Saída"", J183=""Sangria""),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8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 t="str">
        <f>IFERROR(__xludf.DUMMYFUNCTION("ifna(VALUE(REGEXEXTRACT(E183,""[0-9.]+[,]+[0-9]+"")))"),"")</f>
        <v/>
      </c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</row>
    <row r="184" ht="14.25" customHeight="1">
      <c r="A184" s="178"/>
      <c r="B184" s="10"/>
      <c r="C184" s="11"/>
      <c r="D184" s="179"/>
      <c r="E184" s="180"/>
      <c r="F184" s="188"/>
      <c r="G184" s="179"/>
      <c r="H184" s="190"/>
      <c r="I184" s="190"/>
      <c r="J184" s="187"/>
      <c r="K184" s="187"/>
      <c r="L184" s="252" t="str">
        <f>IFERROR(__xludf.DUMMYFUNCTION("IF(
  AND(D184=""Saída"", J184=""Sangria""),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9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 t="str">
        <f>IFERROR(__xludf.DUMMYFUNCTION("ifna(VALUE(REGEXEXTRACT(E184,""[0-9.]+[,]+[0-9]+"")))"),"")</f>
        <v/>
      </c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</row>
    <row r="185" ht="14.25" customHeight="1">
      <c r="A185" s="178"/>
      <c r="B185" s="10"/>
      <c r="C185" s="11"/>
      <c r="D185" s="179"/>
      <c r="E185" s="180"/>
      <c r="F185" s="181"/>
      <c r="G185" s="179"/>
      <c r="H185" s="190"/>
      <c r="I185" s="190"/>
      <c r="J185" s="187"/>
      <c r="K185" s="187"/>
      <c r="L185" s="252" t="str">
        <f>IFERROR(__xludf.DUMMYFUNCTION("IF(
  AND(D185=""Saída"", J185=""Sangria""),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8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 t="str">
        <f>IFERROR(__xludf.DUMMYFUNCTION("ifna(VALUE(REGEXEXTRACT(E185,""[0-9.]+[,]+[0-9]+"")))"),"")</f>
        <v/>
      </c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</row>
    <row r="186" ht="14.25" customHeight="1">
      <c r="A186" s="178"/>
      <c r="B186" s="10"/>
      <c r="C186" s="11"/>
      <c r="D186" s="179"/>
      <c r="E186" s="180"/>
      <c r="F186" s="181"/>
      <c r="G186" s="179"/>
      <c r="H186" s="190"/>
      <c r="I186" s="190"/>
      <c r="J186" s="187"/>
      <c r="K186" s="187"/>
      <c r="L186" s="252" t="str">
        <f>IFERROR(__xludf.DUMMYFUNCTION("IF(
  AND(D186=""Saída"", J186=""Sangria""),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9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 t="str">
        <f>IFERROR(__xludf.DUMMYFUNCTION("ifna(VALUE(REGEXEXTRACT(E186,""[0-9.]+[,]+[0-9]+"")))"),"")</f>
        <v/>
      </c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</row>
    <row r="187" ht="14.25" customHeight="1">
      <c r="A187" s="178"/>
      <c r="B187" s="10"/>
      <c r="C187" s="11"/>
      <c r="D187" s="179"/>
      <c r="E187" s="180"/>
      <c r="F187" s="181"/>
      <c r="G187" s="179"/>
      <c r="H187" s="190"/>
      <c r="I187" s="190"/>
      <c r="J187" s="187"/>
      <c r="K187" s="187"/>
      <c r="L187" s="252" t="str">
        <f>IFERROR(__xludf.DUMMYFUNCTION("IF(
  AND(D187=""Saída"", J187=""Sangria""),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8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 t="str">
        <f>IFERROR(__xludf.DUMMYFUNCTION("ifna(VALUE(REGEXEXTRACT(E187,""[0-9.]+[,]+[0-9]+"")))"),"")</f>
        <v/>
      </c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</row>
    <row r="188" ht="14.25" customHeight="1">
      <c r="A188" s="178"/>
      <c r="B188" s="10"/>
      <c r="C188" s="11"/>
      <c r="D188" s="179"/>
      <c r="E188" s="180"/>
      <c r="F188" s="181"/>
      <c r="G188" s="179"/>
      <c r="H188" s="190"/>
      <c r="I188" s="190"/>
      <c r="J188" s="187"/>
      <c r="K188" s="187"/>
      <c r="L188" s="252" t="str">
        <f>IFERROR(__xludf.DUMMYFUNCTION("IF(
  AND(D188=""Saída"", J188=""Sangria""),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9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</row>
    <row r="189" ht="14.25" customHeight="1">
      <c r="A189" s="178"/>
      <c r="B189" s="10"/>
      <c r="C189" s="11"/>
      <c r="D189" s="179"/>
      <c r="E189" s="180"/>
      <c r="F189" s="181"/>
      <c r="G189" s="179"/>
      <c r="H189" s="190"/>
      <c r="I189" s="190"/>
      <c r="J189" s="187"/>
      <c r="K189" s="187"/>
      <c r="L189" s="252" t="str">
        <f>IFERROR(__xludf.DUMMYFUNCTION("IF(
  AND(D189=""Saída"", J189=""Sangria""),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8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</row>
    <row r="190" ht="14.25" customHeight="1">
      <c r="A190" s="178"/>
      <c r="B190" s="10"/>
      <c r="C190" s="11"/>
      <c r="D190" s="179"/>
      <c r="E190" s="180"/>
      <c r="F190" s="181"/>
      <c r="G190" s="179"/>
      <c r="H190" s="190"/>
      <c r="I190" s="190"/>
      <c r="J190" s="187"/>
      <c r="K190" s="187"/>
      <c r="L190" s="252" t="str">
        <f>IFERROR(__xludf.DUMMYFUNCTION("IF(
  AND(D190=""Saída"", J190=""Sangria""),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9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</row>
    <row r="191" ht="14.25" customHeight="1">
      <c r="A191" s="178"/>
      <c r="B191" s="10"/>
      <c r="C191" s="11"/>
      <c r="D191" s="179"/>
      <c r="E191" s="180"/>
      <c r="F191" s="181"/>
      <c r="G191" s="179"/>
      <c r="H191" s="190"/>
      <c r="I191" s="190"/>
      <c r="J191" s="187"/>
      <c r="K191" s="187"/>
      <c r="L191" s="252" t="str">
        <f>IFERROR(__xludf.DUMMYFUNCTION("IF(
  AND(D191=""Saída"", J191=""Sangria""),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8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</row>
    <row r="192" ht="14.25" customHeight="1">
      <c r="A192" s="178"/>
      <c r="B192" s="10"/>
      <c r="C192" s="11"/>
      <c r="D192" s="179"/>
      <c r="E192" s="180"/>
      <c r="F192" s="181"/>
      <c r="G192" s="179"/>
      <c r="H192" s="190"/>
      <c r="I192" s="190"/>
      <c r="J192" s="187"/>
      <c r="K192" s="187"/>
      <c r="L192" s="252" t="str">
        <f>IFERROR(__xludf.DUMMYFUNCTION("IF(
  AND(D192=""Saída"", J192=""Sangria""),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9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</row>
    <row r="193" ht="14.25" customHeight="1">
      <c r="A193" s="178"/>
      <c r="B193" s="10"/>
      <c r="C193" s="11"/>
      <c r="D193" s="179"/>
      <c r="E193" s="180"/>
      <c r="F193" s="181"/>
      <c r="G193" s="179"/>
      <c r="H193" s="190"/>
      <c r="I193" s="190"/>
      <c r="J193" s="187"/>
      <c r="K193" s="187"/>
      <c r="L193" s="252" t="str">
        <f>IFERROR(__xludf.DUMMYFUNCTION("IF(
  AND(D193=""Saída"", J193=""Sangria""),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8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</row>
    <row r="194" ht="14.25" customHeight="1">
      <c r="A194" s="178"/>
      <c r="B194" s="10"/>
      <c r="C194" s="11"/>
      <c r="D194" s="179"/>
      <c r="E194" s="180"/>
      <c r="F194" s="181"/>
      <c r="G194" s="179"/>
      <c r="H194" s="190"/>
      <c r="I194" s="190"/>
      <c r="J194" s="187"/>
      <c r="K194" s="187"/>
      <c r="L194" s="252" t="str">
        <f>IFERROR(__xludf.DUMMYFUNCTION("IF(
  AND(D194=""Saída"", J194=""Sangria""),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9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</row>
    <row r="195" ht="14.25" customHeight="1">
      <c r="A195" s="178"/>
      <c r="B195" s="10"/>
      <c r="C195" s="11"/>
      <c r="D195" s="179"/>
      <c r="E195" s="180"/>
      <c r="F195" s="181"/>
      <c r="G195" s="179"/>
      <c r="H195" s="190"/>
      <c r="I195" s="190"/>
      <c r="J195" s="187"/>
      <c r="K195" s="187"/>
      <c r="L195" s="252" t="str">
        <f>IFERROR(__xludf.DUMMYFUNCTION("IF(
  AND(D195=""Saída"", J195=""Sangria""),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8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</row>
    <row r="196" ht="14.25" customHeight="1">
      <c r="A196" s="178"/>
      <c r="B196" s="10"/>
      <c r="C196" s="11"/>
      <c r="D196" s="179"/>
      <c r="E196" s="180"/>
      <c r="F196" s="181"/>
      <c r="G196" s="179"/>
      <c r="H196" s="190"/>
      <c r="I196" s="190"/>
      <c r="J196" s="187"/>
      <c r="K196" s="187"/>
      <c r="L196" s="252" t="str">
        <f>IFERROR(__xludf.DUMMYFUNCTION("IF(
  AND(D196=""Saída"", J196=""Sangria""),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9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</row>
    <row r="197" ht="14.25" customHeight="1">
      <c r="A197" s="178"/>
      <c r="B197" s="10"/>
      <c r="C197" s="11"/>
      <c r="D197" s="179"/>
      <c r="E197" s="180"/>
      <c r="F197" s="181"/>
      <c r="G197" s="179"/>
      <c r="H197" s="190"/>
      <c r="I197" s="190"/>
      <c r="J197" s="187"/>
      <c r="K197" s="187"/>
      <c r="L197" s="252" t="str">
        <f>IFERROR(__xludf.DUMMYFUNCTION("IF(
  AND(D197=""Saída"", J197=""Sangria""),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8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</row>
    <row r="198" ht="14.25" customHeight="1">
      <c r="A198" s="178"/>
      <c r="B198" s="10"/>
      <c r="C198" s="11"/>
      <c r="D198" s="179"/>
      <c r="E198" s="180"/>
      <c r="F198" s="181"/>
      <c r="G198" s="179"/>
      <c r="H198" s="190"/>
      <c r="I198" s="190"/>
      <c r="J198" s="187"/>
      <c r="K198" s="187"/>
      <c r="L198" s="252" t="str">
        <f>IFERROR(__xludf.DUMMYFUNCTION("IF(
  AND(D198=""Saída"", J198=""Sangria""),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9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</row>
    <row r="199" ht="14.25" customHeight="1">
      <c r="A199" s="178"/>
      <c r="B199" s="10"/>
      <c r="C199" s="11"/>
      <c r="D199" s="179"/>
      <c r="E199" s="180"/>
      <c r="F199" s="181"/>
      <c r="G199" s="179"/>
      <c r="H199" s="190"/>
      <c r="I199" s="190"/>
      <c r="J199" s="187"/>
      <c r="K199" s="187"/>
      <c r="L199" s="252" t="str">
        <f>IFERROR(__xludf.DUMMYFUNCTION("IF(
  AND(D199=""Saída"", J199=""Sangria""),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8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</row>
    <row r="200" ht="14.25" customHeight="1">
      <c r="A200" s="178"/>
      <c r="B200" s="10"/>
      <c r="C200" s="11"/>
      <c r="D200" s="179"/>
      <c r="E200" s="180"/>
      <c r="F200" s="181"/>
      <c r="G200" s="179"/>
      <c r="H200" s="190"/>
      <c r="I200" s="190"/>
      <c r="J200" s="187"/>
      <c r="K200" s="187"/>
      <c r="L200" s="252" t="str">
        <f>IFERROR(__xludf.DUMMYFUNCTION("IF(
  AND(D200=""Saída"", J200=""Sangria""),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9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</row>
    <row r="201" ht="14.25" customHeight="1">
      <c r="A201" s="178"/>
      <c r="B201" s="10"/>
      <c r="C201" s="11"/>
      <c r="D201" s="179"/>
      <c r="E201" s="180"/>
      <c r="F201" s="181"/>
      <c r="G201" s="179"/>
      <c r="H201" s="190"/>
      <c r="I201" s="190"/>
      <c r="J201" s="187"/>
      <c r="K201" s="187"/>
      <c r="L201" s="252" t="str">
        <f>IFERROR(__xludf.DUMMYFUNCTION("IF(
  AND(D201=""Saída"", J201=""Sangria""),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8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</row>
    <row r="202" ht="14.25" customHeight="1">
      <c r="A202" s="178"/>
      <c r="B202" s="10"/>
      <c r="C202" s="11"/>
      <c r="D202" s="179"/>
      <c r="E202" s="180"/>
      <c r="F202" s="181"/>
      <c r="G202" s="179"/>
      <c r="H202" s="190"/>
      <c r="I202" s="190"/>
      <c r="J202" s="187"/>
      <c r="K202" s="187"/>
      <c r="L202" s="252" t="str">
        <f>IFERROR(__xludf.DUMMYFUNCTION("IF(
  AND(D202=""Saída"", J202=""Sangria""),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9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</row>
    <row r="203" ht="14.25" customHeight="1">
      <c r="A203" s="178"/>
      <c r="B203" s="10"/>
      <c r="C203" s="11"/>
      <c r="D203" s="179"/>
      <c r="E203" s="180"/>
      <c r="F203" s="181"/>
      <c r="G203" s="179"/>
      <c r="H203" s="190"/>
      <c r="I203" s="190"/>
      <c r="J203" s="187"/>
      <c r="K203" s="187"/>
      <c r="L203" s="252" t="str">
        <f>IFERROR(__xludf.DUMMYFUNCTION("IF(
  AND(D203=""Saída"", J203=""Sangria""),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8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</row>
    <row r="204" ht="14.25" customHeight="1">
      <c r="A204" s="178"/>
      <c r="B204" s="10"/>
      <c r="C204" s="11"/>
      <c r="D204" s="179"/>
      <c r="E204" s="180"/>
      <c r="F204" s="181"/>
      <c r="G204" s="179"/>
      <c r="H204" s="190"/>
      <c r="I204" s="190"/>
      <c r="J204" s="187"/>
      <c r="K204" s="187"/>
      <c r="L204" s="252" t="str">
        <f>IFERROR(__xludf.DUMMYFUNCTION("IF(
  AND(D204=""Saída"", J204=""Sangria""),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9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</row>
    <row r="205" ht="14.25" customHeight="1">
      <c r="A205" s="178"/>
      <c r="B205" s="10"/>
      <c r="C205" s="11"/>
      <c r="D205" s="179"/>
      <c r="E205" s="180"/>
      <c r="F205" s="181"/>
      <c r="G205" s="179"/>
      <c r="H205" s="190"/>
      <c r="I205" s="190"/>
      <c r="J205" s="187"/>
      <c r="K205" s="187"/>
      <c r="L205" s="252" t="str">
        <f>IFERROR(__xludf.DUMMYFUNCTION("IF(
  AND(D205=""Saída"", J205=""Sangria""),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8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</row>
    <row r="206" ht="14.25" customHeight="1">
      <c r="A206" s="178"/>
      <c r="B206" s="10"/>
      <c r="C206" s="11"/>
      <c r="D206" s="179"/>
      <c r="E206" s="180"/>
      <c r="F206" s="181"/>
      <c r="G206" s="179"/>
      <c r="H206" s="190"/>
      <c r="I206" s="190"/>
      <c r="J206" s="187"/>
      <c r="K206" s="187"/>
      <c r="L206" s="252" t="str">
        <f>IFERROR(__xludf.DUMMYFUNCTION("IF(
  AND(D206=""Saída"", J206=""Sangria""),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9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</row>
    <row r="207" ht="14.25" customHeight="1">
      <c r="A207" s="178"/>
      <c r="B207" s="10"/>
      <c r="C207" s="11"/>
      <c r="D207" s="179"/>
      <c r="E207" s="180"/>
      <c r="F207" s="181"/>
      <c r="G207" s="179"/>
      <c r="H207" s="190"/>
      <c r="I207" s="190"/>
      <c r="J207" s="187"/>
      <c r="K207" s="187"/>
      <c r="L207" s="252" t="str">
        <f>IFERROR(__xludf.DUMMYFUNCTION("IF(
  AND(D207=""Saída"", J207=""Sangria""),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8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</row>
    <row r="208" ht="14.25" customHeight="1">
      <c r="A208" s="178"/>
      <c r="B208" s="10"/>
      <c r="C208" s="11"/>
      <c r="D208" s="179"/>
      <c r="E208" s="180"/>
      <c r="F208" s="181"/>
      <c r="G208" s="179"/>
      <c r="H208" s="190"/>
      <c r="I208" s="190"/>
      <c r="J208" s="187"/>
      <c r="K208" s="187"/>
      <c r="L208" s="252" t="str">
        <f>IFERROR(__xludf.DUMMYFUNCTION("IF(
  AND(D208=""Saída"", J208=""Sangria""),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9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</row>
    <row r="209" ht="14.25" customHeight="1">
      <c r="A209" s="178"/>
      <c r="B209" s="10"/>
      <c r="C209" s="11"/>
      <c r="D209" s="179"/>
      <c r="E209" s="180"/>
      <c r="F209" s="181"/>
      <c r="G209" s="179"/>
      <c r="H209" s="190"/>
      <c r="I209" s="190"/>
      <c r="J209" s="187"/>
      <c r="K209" s="187"/>
      <c r="L209" s="252" t="str">
        <f>IFERROR(__xludf.DUMMYFUNCTION("IF(
  AND(D209=""Saída"", J209=""Sangria""),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81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</row>
    <row r="210" ht="14.25" customHeight="1">
      <c r="A210" s="178"/>
      <c r="B210" s="10"/>
      <c r="C210" s="11"/>
      <c r="D210" s="179"/>
      <c r="E210" s="180"/>
      <c r="F210" s="181"/>
      <c r="G210" s="179"/>
      <c r="H210" s="190"/>
      <c r="I210" s="190"/>
      <c r="J210" s="187"/>
      <c r="K210" s="187"/>
      <c r="L210" s="252" t="str">
        <f>IFERROR(__xludf.DUMMYFUNCTION("IF(
  AND(D210=""Saída"", J210=""Sangria""),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9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</row>
    <row r="211" ht="14.25" customHeight="1">
      <c r="A211" s="178"/>
      <c r="B211" s="10"/>
      <c r="C211" s="11"/>
      <c r="D211" s="179"/>
      <c r="E211" s="180"/>
      <c r="F211" s="181"/>
      <c r="G211" s="179"/>
      <c r="H211" s="190"/>
      <c r="I211" s="190"/>
      <c r="J211" s="187"/>
      <c r="K211" s="187"/>
      <c r="L211" s="252" t="str">
        <f>IFERROR(__xludf.DUMMYFUNCTION("IF(
  AND(D211=""Saída"", J211=""Sangria""),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8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</row>
    <row r="212" ht="14.25" customHeight="1">
      <c r="A212" s="178"/>
      <c r="B212" s="10"/>
      <c r="C212" s="11"/>
      <c r="D212" s="179"/>
      <c r="E212" s="180"/>
      <c r="F212" s="181"/>
      <c r="G212" s="179"/>
      <c r="H212" s="190"/>
      <c r="I212" s="190"/>
      <c r="J212" s="187"/>
      <c r="K212" s="187"/>
      <c r="L212" s="252" t="str">
        <f>IFERROR(__xludf.DUMMYFUNCTION("IF(
  AND(D212=""Saída"", J212=""Sangria""),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9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</row>
    <row r="213" ht="14.25" customHeight="1">
      <c r="A213" s="178"/>
      <c r="B213" s="10"/>
      <c r="C213" s="11"/>
      <c r="D213" s="179"/>
      <c r="E213" s="180"/>
      <c r="F213" s="181"/>
      <c r="G213" s="179"/>
      <c r="H213" s="190"/>
      <c r="I213" s="190"/>
      <c r="J213" s="187"/>
      <c r="K213" s="187"/>
      <c r="L213" s="252" t="str">
        <f>IFERROR(__xludf.DUMMYFUNCTION("IF(
  AND(D213=""Saída"", J213=""Sangria""),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8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</row>
    <row r="214" ht="14.25" customHeight="1">
      <c r="A214" s="178"/>
      <c r="B214" s="10"/>
      <c r="C214" s="11"/>
      <c r="D214" s="179"/>
      <c r="E214" s="180"/>
      <c r="F214" s="181"/>
      <c r="G214" s="179"/>
      <c r="H214" s="190"/>
      <c r="I214" s="190"/>
      <c r="J214" s="187"/>
      <c r="K214" s="187"/>
      <c r="L214" s="252" t="str">
        <f>IFERROR(__xludf.DUMMYFUNCTION("IF(
  AND(D214=""Saída"", J214=""Sangria""),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9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</row>
    <row r="215" ht="14.25" customHeight="1">
      <c r="A215" s="178"/>
      <c r="B215" s="10"/>
      <c r="C215" s="11"/>
      <c r="D215" s="179"/>
      <c r="E215" s="180"/>
      <c r="F215" s="181"/>
      <c r="G215" s="179"/>
      <c r="H215" s="190"/>
      <c r="I215" s="190"/>
      <c r="J215" s="187"/>
      <c r="K215" s="187"/>
      <c r="L215" s="252" t="str">
        <f>IFERROR(__xludf.DUMMYFUNCTION("IF(
  AND(D215=""Saída"", J215=""Sangria""),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8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</row>
    <row r="216" ht="14.25" customHeight="1">
      <c r="A216" s="178"/>
      <c r="B216" s="10"/>
      <c r="C216" s="11"/>
      <c r="D216" s="179"/>
      <c r="E216" s="180"/>
      <c r="F216" s="181"/>
      <c r="G216" s="179"/>
      <c r="H216" s="190"/>
      <c r="I216" s="190"/>
      <c r="J216" s="187"/>
      <c r="K216" s="187"/>
      <c r="L216" s="252" t="str">
        <f>IFERROR(__xludf.DUMMYFUNCTION("IF(
  AND(D216=""Saída"", J216=""Sangria""),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9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</row>
    <row r="217" ht="14.25" customHeight="1">
      <c r="A217" s="178"/>
      <c r="B217" s="10"/>
      <c r="C217" s="11"/>
      <c r="D217" s="179"/>
      <c r="E217" s="180"/>
      <c r="F217" s="181"/>
      <c r="G217" s="179"/>
      <c r="H217" s="190"/>
      <c r="I217" s="190"/>
      <c r="J217" s="187"/>
      <c r="K217" s="187"/>
      <c r="L217" s="252" t="str">
        <f>IFERROR(__xludf.DUMMYFUNCTION("IF(
  AND(D217=""Saída"", J217=""Sangria""),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8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</row>
    <row r="218" ht="14.25" customHeight="1">
      <c r="A218" s="178"/>
      <c r="B218" s="10"/>
      <c r="C218" s="11"/>
      <c r="D218" s="179"/>
      <c r="E218" s="180"/>
      <c r="F218" s="181"/>
      <c r="G218" s="179"/>
      <c r="H218" s="190"/>
      <c r="I218" s="190"/>
      <c r="J218" s="187"/>
      <c r="K218" s="187"/>
      <c r="L218" s="252" t="str">
        <f>IFERROR(__xludf.DUMMYFUNCTION("IF(
  AND(D218=""Saída"", J218=""Sangria""),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9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</row>
    <row r="219" ht="14.25" customHeight="1">
      <c r="A219" s="178"/>
      <c r="B219" s="10"/>
      <c r="C219" s="11"/>
      <c r="D219" s="179"/>
      <c r="E219" s="180"/>
      <c r="F219" s="181"/>
      <c r="G219" s="179"/>
      <c r="H219" s="190"/>
      <c r="I219" s="190"/>
      <c r="J219" s="187"/>
      <c r="K219" s="187"/>
      <c r="L219" s="252" t="str">
        <f>IFERROR(__xludf.DUMMYFUNCTION("IF(
  AND(D219=""Saída"", J219=""Sangria""),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8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</row>
    <row r="220" ht="14.25" customHeight="1">
      <c r="A220" s="178"/>
      <c r="B220" s="10"/>
      <c r="C220" s="11"/>
      <c r="D220" s="179"/>
      <c r="E220" s="180"/>
      <c r="F220" s="181"/>
      <c r="G220" s="179"/>
      <c r="H220" s="190"/>
      <c r="I220" s="190"/>
      <c r="J220" s="187"/>
      <c r="K220" s="187"/>
      <c r="L220" s="252" t="str">
        <f>IFERROR(__xludf.DUMMYFUNCTION("IF(
  AND(D220=""Saída"", J220=""Sangria""),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9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</row>
    <row r="221" ht="14.25" customHeight="1">
      <c r="A221" s="178"/>
      <c r="B221" s="10"/>
      <c r="C221" s="11"/>
      <c r="D221" s="179"/>
      <c r="E221" s="180"/>
      <c r="F221" s="181"/>
      <c r="G221" s="179"/>
      <c r="H221" s="190"/>
      <c r="I221" s="190"/>
      <c r="J221" s="187"/>
      <c r="K221" s="187"/>
      <c r="L221" s="252" t="str">
        <f>IFERROR(__xludf.DUMMYFUNCTION("IF(
  AND(D221=""Saída"", J221=""Sangria""),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8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</row>
    <row r="222" ht="14.25" customHeight="1">
      <c r="A222" s="178"/>
      <c r="B222" s="10"/>
      <c r="C222" s="11"/>
      <c r="D222" s="179"/>
      <c r="E222" s="180"/>
      <c r="F222" s="181"/>
      <c r="G222" s="179"/>
      <c r="H222" s="190"/>
      <c r="I222" s="190"/>
      <c r="J222" s="187"/>
      <c r="K222" s="187"/>
      <c r="L222" s="252" t="str">
        <f>IFERROR(__xludf.DUMMYFUNCTION("IF(
  AND(D222=""Saída"", J222=""Sangria""),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9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</row>
    <row r="223" ht="14.25" customHeight="1">
      <c r="A223" s="178"/>
      <c r="B223" s="10"/>
      <c r="C223" s="11"/>
      <c r="D223" s="179"/>
      <c r="E223" s="180"/>
      <c r="F223" s="181"/>
      <c r="G223" s="179"/>
      <c r="H223" s="190"/>
      <c r="I223" s="190"/>
      <c r="J223" s="187"/>
      <c r="K223" s="187"/>
      <c r="L223" s="252" t="str">
        <f>IFERROR(__xludf.DUMMYFUNCTION("IF(
  AND(D223=""Saída"", J223=""Sangria""),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8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</row>
    <row r="224" ht="14.25" customHeight="1">
      <c r="A224" s="178"/>
      <c r="B224" s="10"/>
      <c r="C224" s="11"/>
      <c r="D224" s="179"/>
      <c r="E224" s="180"/>
      <c r="F224" s="181"/>
      <c r="G224" s="179"/>
      <c r="H224" s="190"/>
      <c r="I224" s="190"/>
      <c r="J224" s="187"/>
      <c r="K224" s="187"/>
      <c r="L224" s="252" t="str">
        <f>IFERROR(__xludf.DUMMYFUNCTION("IF(
  AND(D224=""Saída"", J224=""Sangria""),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9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</row>
    <row r="225" ht="14.25" customHeight="1">
      <c r="A225" s="178"/>
      <c r="B225" s="10"/>
      <c r="C225" s="11"/>
      <c r="D225" s="179"/>
      <c r="E225" s="180"/>
      <c r="F225" s="181"/>
      <c r="G225" s="179"/>
      <c r="H225" s="190"/>
      <c r="I225" s="190"/>
      <c r="J225" s="187"/>
      <c r="K225" s="189"/>
      <c r="L225" s="252" t="str">
        <f>IFERROR(__xludf.DUMMYFUNCTION("IF(
  AND(D225=""Saída"", J225=""Sangria""),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8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</row>
    <row r="226" ht="14.25" customHeight="1">
      <c r="A226" s="178"/>
      <c r="B226" s="10"/>
      <c r="C226" s="11"/>
      <c r="D226" s="179"/>
      <c r="E226" s="180"/>
      <c r="F226" s="181"/>
      <c r="G226" s="179"/>
      <c r="H226" s="190"/>
      <c r="I226" s="190"/>
      <c r="J226" s="187"/>
      <c r="K226" s="187"/>
      <c r="L226" s="252" t="str">
        <f>IFERROR(__xludf.DUMMYFUNCTION("IF(
  AND(D226=""Saída"", J226=""Sangria""),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9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</row>
    <row r="227" ht="14.25" customHeight="1">
      <c r="A227" s="178"/>
      <c r="B227" s="10"/>
      <c r="C227" s="11"/>
      <c r="D227" s="179"/>
      <c r="E227" s="180"/>
      <c r="F227" s="181"/>
      <c r="G227" s="179"/>
      <c r="H227" s="190"/>
      <c r="I227" s="190"/>
      <c r="J227" s="187"/>
      <c r="K227" s="187"/>
      <c r="L227" s="252" t="str">
        <f>IFERROR(__xludf.DUMMYFUNCTION("IF(
  AND(D227=""Saída"", J227=""Sangria""),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8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</row>
    <row r="228" ht="14.25" customHeight="1">
      <c r="A228" s="178"/>
      <c r="B228" s="10"/>
      <c r="C228" s="11"/>
      <c r="D228" s="179"/>
      <c r="E228" s="180"/>
      <c r="F228" s="181"/>
      <c r="G228" s="179"/>
      <c r="H228" s="190"/>
      <c r="I228" s="190"/>
      <c r="J228" s="187"/>
      <c r="K228" s="187"/>
      <c r="L228" s="252" t="str">
        <f>IFERROR(__xludf.DUMMYFUNCTION("IF(
  AND(D228=""Saída"", J228=""Sangria""),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9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</row>
    <row r="229" ht="14.25" customHeight="1">
      <c r="A229" s="178"/>
      <c r="B229" s="10"/>
      <c r="C229" s="11"/>
      <c r="D229" s="179"/>
      <c r="E229" s="180"/>
      <c r="F229" s="181"/>
      <c r="G229" s="179"/>
      <c r="H229" s="190"/>
      <c r="I229" s="190"/>
      <c r="J229" s="187"/>
      <c r="K229" s="187"/>
      <c r="L229" s="252" t="str">
        <f>IFERROR(__xludf.DUMMYFUNCTION("IF(
  AND(D229=""Saída"", J229=""Sangria""),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81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</row>
    <row r="230" ht="14.25" customHeight="1">
      <c r="A230" s="178"/>
      <c r="B230" s="10"/>
      <c r="C230" s="11"/>
      <c r="D230" s="179"/>
      <c r="E230" s="180"/>
      <c r="F230" s="181"/>
      <c r="G230" s="179"/>
      <c r="H230" s="190"/>
      <c r="I230" s="190"/>
      <c r="J230" s="187"/>
      <c r="K230" s="187"/>
      <c r="L230" s="252" t="str">
        <f>IFERROR(__xludf.DUMMYFUNCTION("IF(
  AND(D230=""Saída"", J230=""Sangria""),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9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</row>
    <row r="231" ht="14.25" customHeight="1">
      <c r="A231" s="178"/>
      <c r="B231" s="10"/>
      <c r="C231" s="11"/>
      <c r="D231" s="179"/>
      <c r="E231" s="180"/>
      <c r="F231" s="181"/>
      <c r="G231" s="10"/>
      <c r="H231" s="190"/>
      <c r="I231" s="190"/>
      <c r="J231" s="187"/>
      <c r="K231" s="187"/>
      <c r="L231" s="252" t="str">
        <f>IFERROR(__xludf.DUMMYFUNCTION("IF(
  AND(D231=""Saída"", J231=""Sangria""),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8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</row>
    <row r="232" ht="14.25" customHeight="1">
      <c r="A232" s="178"/>
      <c r="B232" s="10"/>
      <c r="C232" s="11"/>
      <c r="D232" s="179"/>
      <c r="E232" s="180"/>
      <c r="F232" s="181"/>
      <c r="G232" s="179"/>
      <c r="H232" s="190"/>
      <c r="I232" s="190"/>
      <c r="J232" s="187"/>
      <c r="K232" s="187"/>
      <c r="L232" s="252" t="str">
        <f>IFERROR(__xludf.DUMMYFUNCTION("IF(
  AND(D232=""Saída"", J232=""Sangria""),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9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</row>
    <row r="233" ht="14.25" customHeight="1">
      <c r="A233" s="178"/>
      <c r="B233" s="10"/>
      <c r="C233" s="11"/>
      <c r="D233" s="179"/>
      <c r="E233" s="180"/>
      <c r="F233" s="181"/>
      <c r="G233" s="179"/>
      <c r="H233" s="190"/>
      <c r="I233" s="190"/>
      <c r="J233" s="187"/>
      <c r="K233" s="187"/>
      <c r="L233" s="252" t="str">
        <f>IFERROR(__xludf.DUMMYFUNCTION("IF(
  AND(D233=""Saída"", J233=""Sangria""),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8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</row>
    <row r="234" ht="14.25" customHeight="1">
      <c r="A234" s="178"/>
      <c r="B234" s="10"/>
      <c r="C234" s="11"/>
      <c r="D234" s="179"/>
      <c r="E234" s="180"/>
      <c r="F234" s="181"/>
      <c r="G234" s="179"/>
      <c r="H234" s="190"/>
      <c r="I234" s="190"/>
      <c r="J234" s="187"/>
      <c r="K234" s="187"/>
      <c r="L234" s="252" t="str">
        <f>IFERROR(__xludf.DUMMYFUNCTION("IF(
  AND(D234=""Saída"", J234=""Sangria""),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9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</row>
    <row r="235" ht="14.25" customHeight="1">
      <c r="A235" s="178"/>
      <c r="B235" s="10"/>
      <c r="C235" s="11"/>
      <c r="D235" s="179"/>
      <c r="E235" s="180"/>
      <c r="F235" s="181"/>
      <c r="G235" s="179"/>
      <c r="H235" s="190"/>
      <c r="I235" s="190"/>
      <c r="J235" s="187"/>
      <c r="K235" s="187"/>
      <c r="L235" s="252" t="str">
        <f>IFERROR(__xludf.DUMMYFUNCTION("IF(
  AND(D235=""Saída"", J235=""Sangria""),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8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</row>
    <row r="236" ht="14.25" customHeight="1">
      <c r="A236" s="178"/>
      <c r="B236" s="10"/>
      <c r="C236" s="11"/>
      <c r="D236" s="179"/>
      <c r="E236" s="180"/>
      <c r="F236" s="181"/>
      <c r="G236" s="179"/>
      <c r="H236" s="190"/>
      <c r="I236" s="190"/>
      <c r="J236" s="187"/>
      <c r="K236" s="187"/>
      <c r="L236" s="252" t="str">
        <f>IFERROR(__xludf.DUMMYFUNCTION("IF(
  AND(D236=""Saída"", J236=""Sangria""),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9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</row>
    <row r="237" ht="14.25" customHeight="1">
      <c r="A237" s="178"/>
      <c r="B237" s="10"/>
      <c r="C237" s="11"/>
      <c r="D237" s="179"/>
      <c r="E237" s="180"/>
      <c r="F237" s="181"/>
      <c r="G237" s="179"/>
      <c r="H237" s="190"/>
      <c r="I237" s="190"/>
      <c r="J237" s="187"/>
      <c r="K237" s="187"/>
      <c r="L237" s="252" t="str">
        <f>IFERROR(__xludf.DUMMYFUNCTION("IF(
  AND(D237=""Saída"", J237=""Sangria""),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8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</row>
    <row r="238" ht="14.25" customHeight="1">
      <c r="A238" s="178"/>
      <c r="B238" s="10"/>
      <c r="C238" s="11"/>
      <c r="D238" s="179"/>
      <c r="E238" s="180"/>
      <c r="F238" s="188"/>
      <c r="G238" s="179"/>
      <c r="H238" s="190"/>
      <c r="I238" s="190"/>
      <c r="J238" s="187"/>
      <c r="K238" s="187"/>
      <c r="L238" s="252" t="str">
        <f>IFERROR(__xludf.DUMMYFUNCTION("IF(
  AND(D238=""Saída"", J238=""Sangria""),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9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</row>
    <row r="239" ht="14.25" customHeight="1">
      <c r="A239" s="178"/>
      <c r="B239" s="10"/>
      <c r="C239" s="11"/>
      <c r="D239" s="179"/>
      <c r="E239" s="180"/>
      <c r="F239" s="181"/>
      <c r="G239" s="179"/>
      <c r="H239" s="190"/>
      <c r="I239" s="190"/>
      <c r="J239" s="187"/>
      <c r="K239" s="187"/>
      <c r="L239" s="252" t="str">
        <f>IFERROR(__xludf.DUMMYFUNCTION("IF(
  AND(D239=""Saída"", J239=""Sangria""),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8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</row>
    <row r="240" ht="14.25" customHeight="1">
      <c r="A240" s="178"/>
      <c r="B240" s="10"/>
      <c r="C240" s="11"/>
      <c r="D240" s="179"/>
      <c r="E240" s="180"/>
      <c r="F240" s="181"/>
      <c r="G240" s="179"/>
      <c r="H240" s="190"/>
      <c r="I240" s="190"/>
      <c r="J240" s="187"/>
      <c r="K240" s="187"/>
      <c r="L240" s="252" t="str">
        <f>IFERROR(__xludf.DUMMYFUNCTION("IF(
  AND(D240=""Saída"", J240=""Sangria""),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9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</row>
    <row r="241" ht="14.25" customHeight="1">
      <c r="A241" s="178"/>
      <c r="B241" s="10"/>
      <c r="C241" s="11"/>
      <c r="D241" s="179"/>
      <c r="E241" s="180"/>
      <c r="F241" s="181"/>
      <c r="G241" s="179"/>
      <c r="H241" s="190"/>
      <c r="I241" s="190"/>
      <c r="J241" s="187"/>
      <c r="K241" s="187"/>
      <c r="L241" s="252" t="str">
        <f>IFERROR(__xludf.DUMMYFUNCTION("IF(
  AND(D241=""Saída"", J241=""Sangria""),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8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</row>
    <row r="242" ht="14.25" customHeight="1">
      <c r="A242" s="178"/>
      <c r="B242" s="10"/>
      <c r="C242" s="11"/>
      <c r="D242" s="179"/>
      <c r="E242" s="180"/>
      <c r="F242" s="188"/>
      <c r="G242" s="179"/>
      <c r="H242" s="190"/>
      <c r="I242" s="190"/>
      <c r="J242" s="187"/>
      <c r="K242" s="187"/>
      <c r="L242" s="252" t="str">
        <f>IFERROR(__xludf.DUMMYFUNCTION("IF(
  AND(D242=""Saída"", J242=""Sangria""),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9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</row>
    <row r="243" ht="14.25" customHeight="1">
      <c r="A243" s="178"/>
      <c r="B243" s="10"/>
      <c r="C243" s="11"/>
      <c r="D243" s="179"/>
      <c r="E243" s="180"/>
      <c r="F243" s="181"/>
      <c r="G243" s="179"/>
      <c r="H243" s="190"/>
      <c r="I243" s="190"/>
      <c r="J243" s="187"/>
      <c r="K243" s="187"/>
      <c r="L243" s="252" t="str">
        <f>IFERROR(__xludf.DUMMYFUNCTION("IF(
  AND(D243=""Saída"", J243=""Sangria""),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8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</row>
    <row r="244" ht="14.25" customHeight="1">
      <c r="A244" s="178"/>
      <c r="B244" s="10"/>
      <c r="C244" s="11"/>
      <c r="D244" s="179"/>
      <c r="E244" s="180"/>
      <c r="F244" s="181"/>
      <c r="G244" s="179"/>
      <c r="H244" s="190"/>
      <c r="I244" s="190"/>
      <c r="J244" s="187"/>
      <c r="K244" s="187"/>
      <c r="L244" s="252" t="str">
        <f>IFERROR(__xludf.DUMMYFUNCTION("IF(
  AND(D244=""Saída"", J244=""Sangria""),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9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</row>
    <row r="245" ht="14.25" customHeight="1">
      <c r="A245" s="178"/>
      <c r="B245" s="10"/>
      <c r="C245" s="11"/>
      <c r="D245" s="179"/>
      <c r="E245" s="180"/>
      <c r="F245" s="181"/>
      <c r="G245" s="179"/>
      <c r="H245" s="190"/>
      <c r="I245" s="190"/>
      <c r="J245" s="187"/>
      <c r="K245" s="187"/>
      <c r="L245" s="252" t="str">
        <f>IFERROR(__xludf.DUMMYFUNCTION("IF(
  AND(D245=""Saída"", J245=""Sangria""),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8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</row>
    <row r="246" ht="14.25" customHeight="1">
      <c r="A246" s="178"/>
      <c r="C246" s="11"/>
      <c r="D246" s="179"/>
      <c r="E246" s="180"/>
      <c r="F246" s="181"/>
      <c r="G246" s="179"/>
      <c r="H246" s="190"/>
      <c r="I246" s="190"/>
      <c r="J246" s="187"/>
      <c r="K246" s="187"/>
      <c r="L246" s="252" t="str">
        <f>IFERROR(__xludf.DUMMYFUNCTION("IF(
  AND(D246=""Saída"", J246=""Sangria""),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9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</row>
    <row r="247" ht="14.25" customHeight="1">
      <c r="A247" s="178"/>
      <c r="B247" s="10"/>
      <c r="C247" s="11"/>
      <c r="D247" s="179"/>
      <c r="E247" s="180"/>
      <c r="F247" s="188"/>
      <c r="G247" s="179"/>
      <c r="H247" s="190"/>
      <c r="I247" s="190"/>
      <c r="J247" s="187"/>
      <c r="K247" s="187"/>
      <c r="L247" s="252" t="str">
        <f>IFERROR(__xludf.DUMMYFUNCTION("IF(
  AND(D247=""Saída"", J247=""Sangria""),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8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</row>
    <row r="248" ht="14.25" customHeight="1">
      <c r="A248" s="178"/>
      <c r="B248" s="10"/>
      <c r="C248" s="11"/>
      <c r="D248" s="179"/>
      <c r="E248" s="180"/>
      <c r="F248" s="181"/>
      <c r="G248" s="179"/>
      <c r="H248" s="190"/>
      <c r="I248" s="190"/>
      <c r="J248" s="187"/>
      <c r="K248" s="187"/>
      <c r="L248" s="252" t="str">
        <f>IFERROR(__xludf.DUMMYFUNCTION("IF(
  AND(D248=""Saída"", J248=""Sangria""),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9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</row>
    <row r="249" ht="14.25" customHeight="1">
      <c r="A249" s="178"/>
      <c r="B249" s="10"/>
      <c r="C249" s="11"/>
      <c r="D249" s="179"/>
      <c r="E249" s="180"/>
      <c r="F249" s="181"/>
      <c r="G249" s="10"/>
      <c r="H249" s="190"/>
      <c r="I249" s="190"/>
      <c r="J249" s="187"/>
      <c r="K249" s="187"/>
      <c r="L249" s="252" t="str">
        <f>IFERROR(__xludf.DUMMYFUNCTION("IF(
  AND(D249=""Saída"", J249=""Sangria""),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8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</row>
    <row r="250" ht="14.25" customHeight="1">
      <c r="A250" s="178"/>
      <c r="B250" s="10"/>
      <c r="C250" s="11"/>
      <c r="D250" s="179"/>
      <c r="E250" s="180"/>
      <c r="F250" s="188"/>
      <c r="G250" s="179"/>
      <c r="H250" s="190"/>
      <c r="I250" s="190"/>
      <c r="J250" s="187"/>
      <c r="K250" s="187"/>
      <c r="L250" s="252" t="str">
        <f>IFERROR(__xludf.DUMMYFUNCTION("IF(
  AND(D250=""Saída"", J250=""Sangria""),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9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</row>
    <row r="251" ht="14.25" customHeight="1">
      <c r="A251" s="178"/>
      <c r="B251" s="10"/>
      <c r="C251" s="11"/>
      <c r="D251" s="179"/>
      <c r="E251" s="180"/>
      <c r="F251" s="188"/>
      <c r="G251" s="179"/>
      <c r="H251" s="190"/>
      <c r="I251" s="190"/>
      <c r="J251" s="187"/>
      <c r="K251" s="187"/>
      <c r="L251" s="252" t="str">
        <f>IFERROR(__xludf.DUMMYFUNCTION("IF(
  AND(D251=""Saída"", J251=""Sangria""),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8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</row>
    <row r="252" ht="14.25" customHeight="1">
      <c r="A252" s="178"/>
      <c r="B252" s="10"/>
      <c r="C252" s="11"/>
      <c r="D252" s="10"/>
      <c r="E252" s="180"/>
      <c r="F252" s="181"/>
      <c r="G252" s="179"/>
      <c r="H252" s="190"/>
      <c r="I252" s="190"/>
      <c r="J252" s="187"/>
      <c r="K252" s="187"/>
      <c r="L252" s="252" t="str">
        <f>IFERROR(__xludf.DUMMYFUNCTION("IF(
  AND(D252=""Saída"", J252=""Sangria""),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9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</row>
    <row r="253" ht="14.25" customHeight="1">
      <c r="A253" s="178"/>
      <c r="B253" s="10"/>
      <c r="C253" s="11"/>
      <c r="D253" s="179"/>
      <c r="E253" s="180"/>
      <c r="F253" s="181"/>
      <c r="G253" s="179"/>
      <c r="H253" s="190"/>
      <c r="I253" s="190"/>
      <c r="J253" s="187"/>
      <c r="K253" s="187"/>
      <c r="L253" s="252" t="str">
        <f>IFERROR(__xludf.DUMMYFUNCTION("IF(
  AND(D253=""Saída"", J253=""Sangria""),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8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</row>
    <row r="254" ht="14.25" customHeight="1">
      <c r="A254" s="178"/>
      <c r="B254" s="10"/>
      <c r="C254" s="11"/>
      <c r="D254" s="179"/>
      <c r="E254" s="180"/>
      <c r="F254" s="181"/>
      <c r="G254" s="179"/>
      <c r="H254" s="190"/>
      <c r="I254" s="190"/>
      <c r="J254" s="187"/>
      <c r="K254" s="187"/>
      <c r="L254" s="252" t="str">
        <f>IFERROR(__xludf.DUMMYFUNCTION("IF(
  AND(D254=""Saída"", J254=""Sangria""),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9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</row>
    <row r="255" ht="14.25" customHeight="1">
      <c r="A255" s="178"/>
      <c r="B255" s="10"/>
      <c r="C255" s="11"/>
      <c r="D255" s="179"/>
      <c r="E255" s="180"/>
      <c r="F255" s="181"/>
      <c r="G255" s="179"/>
      <c r="H255" s="190"/>
      <c r="I255" s="190"/>
      <c r="J255" s="187"/>
      <c r="K255" s="187"/>
      <c r="L255" s="252" t="str">
        <f>IFERROR(__xludf.DUMMYFUNCTION("IF(
  AND(D255=""Saída"", J255=""Sangria""),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8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</row>
    <row r="256" ht="14.25" customHeight="1">
      <c r="A256" s="178"/>
      <c r="B256" s="10"/>
      <c r="C256" s="11"/>
      <c r="D256" s="179"/>
      <c r="E256" s="180"/>
      <c r="F256" s="181"/>
      <c r="G256" s="179"/>
      <c r="H256" s="190"/>
      <c r="I256" s="190"/>
      <c r="J256" s="187"/>
      <c r="K256" s="187"/>
      <c r="L256" s="252" t="str">
        <f>IFERROR(__xludf.DUMMYFUNCTION("IF(
  AND(D256=""Saída"", J256=""Sangria""),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9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</row>
    <row r="257" ht="14.25" customHeight="1">
      <c r="A257" s="178"/>
      <c r="B257" s="10"/>
      <c r="C257" s="11"/>
      <c r="D257" s="179"/>
      <c r="E257" s="180"/>
      <c r="F257" s="181"/>
      <c r="G257" s="179"/>
      <c r="H257" s="190"/>
      <c r="I257" s="190"/>
      <c r="J257" s="187"/>
      <c r="K257" s="187"/>
      <c r="L257" s="252" t="str">
        <f>IFERROR(__xludf.DUMMYFUNCTION("IF(
  AND(D257=""Saída"", J257=""Sangria""),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8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</row>
    <row r="258" ht="14.25" customHeight="1">
      <c r="A258" s="178"/>
      <c r="B258" s="10"/>
      <c r="C258" s="11"/>
      <c r="D258" s="179"/>
      <c r="E258" s="180"/>
      <c r="F258" s="181"/>
      <c r="G258" s="179"/>
      <c r="H258" s="190"/>
      <c r="I258" s="190"/>
      <c r="J258" s="187"/>
      <c r="K258" s="187"/>
      <c r="L258" s="252" t="str">
        <f>IFERROR(__xludf.DUMMYFUNCTION("IF(
  AND(D258=""Saída"", J258=""Sangria""),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9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</row>
    <row r="259" ht="14.25" customHeight="1">
      <c r="A259" s="178"/>
      <c r="B259" s="10"/>
      <c r="C259" s="11"/>
      <c r="D259" s="179"/>
      <c r="E259" s="180"/>
      <c r="F259" s="181"/>
      <c r="G259" s="179"/>
      <c r="H259" s="190"/>
      <c r="I259" s="190"/>
      <c r="J259" s="187"/>
      <c r="K259" s="187"/>
      <c r="L259" s="252" t="str">
        <f>IFERROR(__xludf.DUMMYFUNCTION("IF(
  AND(D259=""Saída"", J259=""Sangria""),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8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</row>
    <row r="260" ht="14.25" customHeight="1">
      <c r="A260" s="178"/>
      <c r="B260" s="10"/>
      <c r="C260" s="11"/>
      <c r="D260" s="179"/>
      <c r="E260" s="180"/>
      <c r="F260" s="188"/>
      <c r="G260" s="179"/>
      <c r="H260" s="190"/>
      <c r="I260" s="190"/>
      <c r="J260" s="187"/>
      <c r="K260" s="187"/>
      <c r="L260" s="252" t="str">
        <f>IFERROR(__xludf.DUMMYFUNCTION("IF(
  AND(D260=""Saída"", J260=""Sangria""),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9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</row>
    <row r="261" ht="14.25" customHeight="1">
      <c r="A261" s="178"/>
      <c r="B261" s="10"/>
      <c r="C261" s="11"/>
      <c r="D261" s="179"/>
      <c r="E261" s="180"/>
      <c r="F261" s="181"/>
      <c r="G261" s="10"/>
      <c r="H261" s="190"/>
      <c r="I261" s="190"/>
      <c r="J261" s="187"/>
      <c r="K261" s="187"/>
      <c r="L261" s="252" t="str">
        <f>IFERROR(__xludf.DUMMYFUNCTION("IF(
  AND(D261=""Saída"", J261=""Sangria""),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8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</row>
    <row r="262" ht="14.25" customHeight="1">
      <c r="A262" s="178"/>
      <c r="B262" s="10"/>
      <c r="C262" s="11"/>
      <c r="D262" s="179"/>
      <c r="E262" s="180"/>
      <c r="F262" s="181"/>
      <c r="G262" s="10"/>
      <c r="H262" s="190"/>
      <c r="I262" s="190"/>
      <c r="J262" s="187"/>
      <c r="K262" s="187"/>
      <c r="L262" s="252" t="str">
        <f>IFERROR(__xludf.DUMMYFUNCTION("IF(
  AND(D262=""Saída"", J262=""Sangria""),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9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</row>
    <row r="263" ht="14.25" customHeight="1">
      <c r="A263" s="178"/>
      <c r="B263" s="10"/>
      <c r="C263" s="11"/>
      <c r="D263" s="179"/>
      <c r="E263" s="180"/>
      <c r="F263" s="181"/>
      <c r="G263" s="179"/>
      <c r="H263" s="190"/>
      <c r="I263" s="190"/>
      <c r="J263" s="187"/>
      <c r="K263" s="187"/>
      <c r="L263" s="252" t="str">
        <f>IFERROR(__xludf.DUMMYFUNCTION("IF(
  AND(D263=""Saída"", J263=""Sangria""),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8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</row>
    <row r="264" ht="14.25" customHeight="1">
      <c r="A264" s="178"/>
      <c r="B264" s="10"/>
      <c r="C264" s="11"/>
      <c r="D264" s="179"/>
      <c r="E264" s="180"/>
      <c r="F264" s="181"/>
      <c r="G264" s="179"/>
      <c r="H264" s="190"/>
      <c r="I264" s="190"/>
      <c r="J264" s="187"/>
      <c r="K264" s="187"/>
      <c r="L264" s="252" t="str">
        <f>IFERROR(__xludf.DUMMYFUNCTION("IF(
  AND(D264=""Saída"", J264=""Sangria""),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9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</row>
    <row r="265" ht="14.25" customHeight="1">
      <c r="A265" s="178"/>
      <c r="B265" s="10"/>
      <c r="C265" s="11"/>
      <c r="D265" s="179"/>
      <c r="E265" s="180"/>
      <c r="F265" s="188"/>
      <c r="G265" s="179"/>
      <c r="H265" s="190"/>
      <c r="I265" s="190"/>
      <c r="J265" s="187"/>
      <c r="K265" s="187"/>
      <c r="L265" s="252" t="str">
        <f>IFERROR(__xludf.DUMMYFUNCTION("IF(
  AND(D265=""Saída"", J265=""Sangria""),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8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</row>
    <row r="266" ht="14.25" customHeight="1">
      <c r="A266" s="178"/>
      <c r="B266" s="240"/>
      <c r="C266" s="241"/>
      <c r="D266" s="242"/>
      <c r="E266" s="243"/>
      <c r="F266" s="244"/>
      <c r="G266" s="245"/>
      <c r="H266" s="190"/>
      <c r="I266" s="190"/>
      <c r="J266" s="187"/>
      <c r="K266" s="187"/>
      <c r="L266" s="252" t="str">
        <f>IFERROR(__xludf.DUMMYFUNCTION("IF(
  AND(D266=""Saída"", J266=""Sangria""),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9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</row>
    <row r="267" ht="14.25" customHeight="1">
      <c r="A267" s="178"/>
      <c r="B267" s="240"/>
      <c r="C267" s="241"/>
      <c r="D267" s="242"/>
      <c r="E267" s="243"/>
      <c r="F267" s="244"/>
      <c r="G267" s="246"/>
      <c r="H267" s="190"/>
      <c r="I267" s="190"/>
      <c r="J267" s="187"/>
      <c r="K267" s="187"/>
      <c r="L267" s="252" t="str">
        <f>IFERROR(__xludf.DUMMYFUNCTION("IF(
  AND(D267=""Saída"", J267=""Sangria""),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8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</row>
    <row r="268" ht="14.25" customHeight="1">
      <c r="A268" s="178"/>
      <c r="B268" s="240"/>
      <c r="C268" s="241"/>
      <c r="D268" s="242"/>
      <c r="E268" s="243"/>
      <c r="F268" s="244"/>
      <c r="G268" s="245"/>
      <c r="H268" s="190"/>
      <c r="I268" s="190"/>
      <c r="J268" s="198"/>
      <c r="K268" s="187"/>
      <c r="L268" s="252" t="str">
        <f>IFERROR(__xludf.DUMMYFUNCTION("IF(
  AND(D268=""Saída"", J268=""Sangria""),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9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</row>
    <row r="269" ht="14.25" customHeight="1">
      <c r="A269" s="178"/>
      <c r="B269" s="240"/>
      <c r="C269" s="241"/>
      <c r="D269" s="242"/>
      <c r="E269" s="243"/>
      <c r="F269" s="244"/>
      <c r="G269" s="245"/>
      <c r="H269" s="190"/>
      <c r="I269" s="190"/>
      <c r="J269" s="187"/>
      <c r="K269" s="187"/>
      <c r="L269" s="252" t="str">
        <f>IFERROR(__xludf.DUMMYFUNCTION("IF(
  AND(D269=""Saída"", J269=""Sangria""),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8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</row>
    <row r="270" ht="14.25" customHeight="1">
      <c r="A270" s="178"/>
      <c r="B270" s="240"/>
      <c r="C270" s="241"/>
      <c r="D270" s="242"/>
      <c r="E270" s="243"/>
      <c r="F270" s="244"/>
      <c r="G270" s="245"/>
      <c r="H270" s="190"/>
      <c r="I270" s="190"/>
      <c r="J270" s="187"/>
      <c r="K270" s="187"/>
      <c r="L270" s="252" t="str">
        <f>IFERROR(__xludf.DUMMYFUNCTION("IF(
  AND(D270=""Saída"", J270=""Sangria""),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9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</row>
    <row r="271" ht="14.25" customHeight="1">
      <c r="A271" s="178"/>
      <c r="B271" s="240"/>
      <c r="C271" s="241"/>
      <c r="D271" s="242"/>
      <c r="E271" s="248"/>
      <c r="F271" s="249"/>
      <c r="G271" s="245"/>
      <c r="H271" s="190"/>
      <c r="I271" s="190"/>
      <c r="J271" s="187"/>
      <c r="K271" s="187"/>
      <c r="L271" s="252" t="str">
        <f>IFERROR(__xludf.DUMMYFUNCTION("IF(
  AND(D271=""Saída"", J271=""Sangria""),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8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</row>
    <row r="272" ht="14.25" customHeight="1">
      <c r="A272" s="178"/>
      <c r="B272" s="240"/>
      <c r="C272" s="241"/>
      <c r="D272" s="242"/>
      <c r="E272" s="243"/>
      <c r="F272" s="249"/>
      <c r="G272" s="245"/>
      <c r="H272" s="190"/>
      <c r="I272" s="190"/>
      <c r="J272" s="187"/>
      <c r="K272" s="187"/>
      <c r="L272" s="252" t="str">
        <f>IFERROR(__xludf.DUMMYFUNCTION("IF(
  AND(D272=""Saída"", J272=""Sangria""),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9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</row>
    <row r="273" ht="14.25" customHeight="1">
      <c r="A273" s="178"/>
      <c r="B273" s="240"/>
      <c r="C273" s="241"/>
      <c r="D273" s="242"/>
      <c r="E273" s="243"/>
      <c r="F273" s="244"/>
      <c r="G273" s="245"/>
      <c r="H273" s="190"/>
      <c r="I273" s="190"/>
      <c r="J273" s="187"/>
      <c r="K273" s="187"/>
      <c r="L273" s="252" t="str">
        <f>IFERROR(__xludf.DUMMYFUNCTION("IF(
  AND(D273=""Saída"", J273=""Sangria""),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8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</row>
    <row r="274" ht="14.25" customHeight="1">
      <c r="A274" s="178"/>
      <c r="B274" s="240"/>
      <c r="C274" s="241"/>
      <c r="D274" s="242"/>
      <c r="E274" s="243"/>
      <c r="F274" s="244"/>
      <c r="G274" s="245"/>
      <c r="H274" s="190"/>
      <c r="I274" s="190"/>
      <c r="J274" s="187"/>
      <c r="K274" s="187"/>
      <c r="L274" s="252" t="str">
        <f>IFERROR(__xludf.DUMMYFUNCTION("IF(
  AND(D274=""Saída"", J274=""Sangria""),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9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</row>
    <row r="275" ht="14.25" customHeight="1">
      <c r="A275" s="178"/>
      <c r="B275" s="240"/>
      <c r="C275" s="241"/>
      <c r="D275" s="242"/>
      <c r="E275" s="243"/>
      <c r="F275" s="249"/>
      <c r="G275" s="245"/>
      <c r="H275" s="190"/>
      <c r="I275" s="190"/>
      <c r="J275" s="187"/>
      <c r="K275" s="187"/>
      <c r="L275" s="252" t="str">
        <f>IFERROR(__xludf.DUMMYFUNCTION("IF(
  AND(D275=""Saída"", J275=""Sangria""),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8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</row>
    <row r="276" ht="14.25" customHeight="1">
      <c r="A276" s="178"/>
      <c r="B276" s="240"/>
      <c r="C276" s="241"/>
      <c r="D276" s="242"/>
      <c r="E276" s="243"/>
      <c r="F276" s="244"/>
      <c r="G276" s="245"/>
      <c r="H276" s="190"/>
      <c r="I276" s="190"/>
      <c r="J276" s="187"/>
      <c r="K276" s="187"/>
      <c r="L276" s="252" t="str">
        <f>IFERROR(__xludf.DUMMYFUNCTION("IF(
  AND(D276=""Saída"", J276=""Sangria""),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9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</row>
    <row r="277" ht="14.25" customHeight="1">
      <c r="A277" s="178"/>
      <c r="B277" s="240"/>
      <c r="C277" s="241"/>
      <c r="D277" s="242"/>
      <c r="E277" s="243"/>
      <c r="F277" s="244"/>
      <c r="G277" s="245"/>
      <c r="H277" s="190"/>
      <c r="I277" s="190"/>
      <c r="J277" s="187"/>
      <c r="K277" s="187"/>
      <c r="L277" s="252" t="str">
        <f>IFERROR(__xludf.DUMMYFUNCTION("IF(
  AND(D277=""Saída"", J277=""Sangria""),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8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</row>
    <row r="278" ht="14.25" customHeight="1">
      <c r="A278" s="178"/>
      <c r="B278" s="240"/>
      <c r="C278" s="241"/>
      <c r="D278" s="242"/>
      <c r="E278" s="243"/>
      <c r="F278" s="244"/>
      <c r="G278" s="245"/>
      <c r="H278" s="190"/>
      <c r="I278" s="190"/>
      <c r="J278" s="187"/>
      <c r="K278" s="187"/>
      <c r="L278" s="252" t="str">
        <f>IFERROR(__xludf.DUMMYFUNCTION("IF(
  AND(D278=""Saída"", J278=""Sangria""),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9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</row>
    <row r="279" ht="14.25" customHeight="1">
      <c r="A279" s="178"/>
      <c r="B279" s="240"/>
      <c r="C279" s="241"/>
      <c r="D279" s="242"/>
      <c r="E279" s="243"/>
      <c r="F279" s="244"/>
      <c r="G279" s="245"/>
      <c r="H279" s="190"/>
      <c r="I279" s="190"/>
      <c r="J279" s="187"/>
      <c r="K279" s="187"/>
      <c r="L279" s="252" t="str">
        <f>IFERROR(__xludf.DUMMYFUNCTION("IF(
  AND(D279=""Saída"", J279=""Sangria""),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8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</row>
    <row r="280" ht="14.25" customHeight="1">
      <c r="A280" s="178"/>
      <c r="B280" s="240"/>
      <c r="C280" s="241"/>
      <c r="D280" s="242"/>
      <c r="E280" s="243"/>
      <c r="F280" s="244"/>
      <c r="G280" s="245"/>
      <c r="H280" s="190"/>
      <c r="I280" s="190"/>
      <c r="J280" s="187"/>
      <c r="K280" s="189"/>
      <c r="L280" s="252" t="str">
        <f>IFERROR(__xludf.DUMMYFUNCTION("IF(
  AND(D280=""Saída"", J280=""Sangria""),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9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</row>
    <row r="281" ht="14.25" customHeight="1">
      <c r="A281" s="178"/>
      <c r="B281" s="240"/>
      <c r="C281" s="241"/>
      <c r="D281" s="242"/>
      <c r="E281" s="243"/>
      <c r="F281" s="244"/>
      <c r="G281" s="245"/>
      <c r="H281" s="190"/>
      <c r="I281" s="190"/>
      <c r="J281" s="187"/>
      <c r="K281" s="187"/>
      <c r="L281" s="252" t="str">
        <f>IFERROR(__xludf.DUMMYFUNCTION("IF(
  AND(D281=""Saída"", J281=""Sangria""),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8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</row>
    <row r="282" ht="14.25" customHeight="1">
      <c r="A282" s="178"/>
      <c r="B282" s="240"/>
      <c r="C282" s="241"/>
      <c r="D282" s="242"/>
      <c r="E282" s="248"/>
      <c r="F282" s="244"/>
      <c r="G282" s="245"/>
      <c r="H282" s="190"/>
      <c r="I282" s="190"/>
      <c r="J282" s="187"/>
      <c r="K282" s="187"/>
      <c r="L282" s="252" t="str">
        <f>IFERROR(__xludf.DUMMYFUNCTION("IF(
  AND(D282=""Saída"", J282=""Sangria""),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9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</row>
    <row r="283" ht="14.25" customHeight="1">
      <c r="A283" s="178"/>
      <c r="B283" s="240"/>
      <c r="C283" s="241"/>
      <c r="D283" s="242"/>
      <c r="E283" s="243"/>
      <c r="F283" s="244"/>
      <c r="G283" s="245"/>
      <c r="H283" s="190"/>
      <c r="I283" s="190"/>
      <c r="J283" s="187"/>
      <c r="K283" s="187"/>
      <c r="L283" s="252" t="str">
        <f>IFERROR(__xludf.DUMMYFUNCTION("IF(
  AND(D283=""Saída"", J283=""Sangria""),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8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/>
      <c r="AD283" s="185"/>
      <c r="AE283" s="185"/>
    </row>
    <row r="284" ht="14.25" customHeight="1">
      <c r="A284" s="178"/>
      <c r="B284" s="240"/>
      <c r="C284" s="241"/>
      <c r="D284" s="242"/>
      <c r="E284" s="243"/>
      <c r="F284" s="244"/>
      <c r="G284" s="245"/>
      <c r="H284" s="190"/>
      <c r="I284" s="190"/>
      <c r="J284" s="187"/>
      <c r="K284" s="189"/>
      <c r="L284" s="252" t="str">
        <f>IFERROR(__xludf.DUMMYFUNCTION("IF(
  AND(D284=""Saída"", J284=""Sangria""),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9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/>
      <c r="AD284" s="185"/>
      <c r="AE284" s="185"/>
    </row>
    <row r="285" ht="14.25" customHeight="1">
      <c r="A285" s="178"/>
      <c r="B285" s="240"/>
      <c r="C285" s="241"/>
      <c r="D285" s="242"/>
      <c r="E285" s="243"/>
      <c r="F285" s="249"/>
      <c r="G285" s="245"/>
      <c r="H285" s="190"/>
      <c r="I285" s="190"/>
      <c r="J285" s="187"/>
      <c r="K285" s="187"/>
      <c r="L285" s="252" t="str">
        <f>IFERROR(__xludf.DUMMYFUNCTION("IF(
  AND(D285=""Saída"", J285=""Sangria""),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8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/>
      <c r="AD285" s="185"/>
      <c r="AE285" s="185"/>
    </row>
    <row r="286" ht="14.25" customHeight="1">
      <c r="A286" s="178"/>
      <c r="B286" s="240"/>
      <c r="C286" s="241"/>
      <c r="D286" s="242"/>
      <c r="E286" s="243"/>
      <c r="F286" s="249"/>
      <c r="G286" s="245"/>
      <c r="H286" s="190"/>
      <c r="I286" s="190"/>
      <c r="J286" s="187"/>
      <c r="K286" s="187"/>
      <c r="L286" s="252" t="str">
        <f>IFERROR(__xludf.DUMMYFUNCTION("IF(
  AND(D286=""Saída"", J286=""Sangria""),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9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/>
      <c r="AD286" s="185"/>
      <c r="AE286" s="185"/>
    </row>
    <row r="287" ht="14.25" customHeight="1">
      <c r="A287" s="178"/>
      <c r="B287" s="240"/>
      <c r="C287" s="241"/>
      <c r="D287" s="242"/>
      <c r="E287" s="243"/>
      <c r="F287" s="244"/>
      <c r="G287" s="245"/>
      <c r="H287" s="190"/>
      <c r="I287" s="190"/>
      <c r="J287" s="198"/>
      <c r="K287" s="189"/>
      <c r="L287" s="252" t="str">
        <f>IFERROR(__xludf.DUMMYFUNCTION("IF(
  AND(D287=""Saída"", J287=""Sangria""),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8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</row>
    <row r="288" ht="14.25" customHeight="1">
      <c r="A288" s="178"/>
      <c r="B288" s="240"/>
      <c r="C288" s="241"/>
      <c r="D288" s="242"/>
      <c r="E288" s="243"/>
      <c r="F288" s="244"/>
      <c r="G288" s="245"/>
      <c r="H288" s="190"/>
      <c r="I288" s="190"/>
      <c r="J288" s="187"/>
      <c r="K288" s="189"/>
      <c r="L288" s="252" t="str">
        <f>IFERROR(__xludf.DUMMYFUNCTION("IF(
  AND(D288=""Saída"", J288=""Sangria""),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9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</row>
    <row r="289" ht="14.25" customHeight="1">
      <c r="A289" s="178"/>
      <c r="B289" s="240"/>
      <c r="C289" s="241"/>
      <c r="D289" s="242"/>
      <c r="E289" s="243"/>
      <c r="F289" s="244"/>
      <c r="G289" s="245"/>
      <c r="H289" s="190"/>
      <c r="I289" s="190"/>
      <c r="J289" s="187"/>
      <c r="K289" s="187"/>
      <c r="L289" s="252" t="str">
        <f>IFERROR(__xludf.DUMMYFUNCTION("IF(
  AND(D289=""Saída"", J289=""Sangria""),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8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/>
      <c r="AD289" s="185"/>
      <c r="AE289" s="185"/>
    </row>
    <row r="290" ht="14.25" customHeight="1">
      <c r="A290" s="178"/>
      <c r="B290" s="240"/>
      <c r="C290" s="241"/>
      <c r="D290" s="242"/>
      <c r="E290" s="243"/>
      <c r="F290" s="244"/>
      <c r="G290" s="245"/>
      <c r="H290" s="190"/>
      <c r="I290" s="190"/>
      <c r="J290" s="187"/>
      <c r="K290" s="187"/>
      <c r="L290" s="252" t="str">
        <f>IFERROR(__xludf.DUMMYFUNCTION("IF(
  AND(D290=""Saída"", J290=""Sangria""),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9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/>
      <c r="AD290" s="185"/>
      <c r="AE290" s="185"/>
    </row>
    <row r="291" ht="14.25" customHeight="1">
      <c r="A291" s="178"/>
      <c r="B291" s="240"/>
      <c r="C291" s="241"/>
      <c r="D291" s="242"/>
      <c r="E291" s="243"/>
      <c r="F291" s="244"/>
      <c r="G291" s="245"/>
      <c r="H291" s="190"/>
      <c r="I291" s="190"/>
      <c r="J291" s="187"/>
      <c r="K291" s="187"/>
      <c r="L291" s="252" t="str">
        <f>IFERROR(__xludf.DUMMYFUNCTION("IF(
  AND(D291=""Saída"", J291=""Sangria""),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8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</row>
    <row r="292" ht="14.25" customHeight="1">
      <c r="A292" s="24"/>
      <c r="B292" s="240"/>
      <c r="C292" s="241"/>
      <c r="D292" s="242"/>
      <c r="E292" s="243"/>
      <c r="F292" s="244"/>
      <c r="G292" s="245"/>
      <c r="H292" s="190"/>
      <c r="I292" s="190"/>
      <c r="J292" s="187"/>
      <c r="K292" s="187"/>
      <c r="L292" s="252" t="str">
        <f>IFERROR(__xludf.DUMMYFUNCTION("IF(
  AND(D292=""Saída"", J292=""Sangria""),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9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/>
      <c r="AD292" s="185"/>
      <c r="AE292" s="185"/>
    </row>
    <row r="293" ht="14.25" customHeight="1">
      <c r="A293" s="24"/>
      <c r="B293" s="240"/>
      <c r="C293" s="241"/>
      <c r="D293" s="242"/>
      <c r="E293" s="243"/>
      <c r="F293" s="244"/>
      <c r="G293" s="245"/>
      <c r="H293" s="190"/>
      <c r="I293" s="190"/>
      <c r="J293" s="187"/>
      <c r="K293" s="189"/>
      <c r="L293" s="252" t="str">
        <f>IFERROR(__xludf.DUMMYFUNCTION("IF(
  AND(D293=""Saída"", J293=""Sangria""),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8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</row>
    <row r="294" ht="14.25" customHeight="1">
      <c r="A294" s="24"/>
      <c r="B294" s="240"/>
      <c r="C294" s="241"/>
      <c r="D294" s="242"/>
      <c r="E294" s="248"/>
      <c r="F294" s="244"/>
      <c r="G294" s="245"/>
      <c r="H294" s="190"/>
      <c r="I294" s="190"/>
      <c r="J294" s="187"/>
      <c r="K294" s="187"/>
      <c r="L294" s="252" t="str">
        <f>IFERROR(__xludf.DUMMYFUNCTION("IF(
  AND(D294=""Saída"", J294=""Sangria""),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9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</row>
    <row r="295" ht="14.25" customHeight="1">
      <c r="A295" s="24"/>
      <c r="B295" s="240"/>
      <c r="C295" s="241"/>
      <c r="D295" s="242"/>
      <c r="E295" s="243"/>
      <c r="F295" s="244"/>
      <c r="G295" s="245"/>
      <c r="H295" s="190"/>
      <c r="I295" s="190"/>
      <c r="J295" s="187"/>
      <c r="K295" s="187"/>
      <c r="L295" s="252" t="str">
        <f>IFERROR(__xludf.DUMMYFUNCTION("IF(
  AND(D295=""Saída"", J295=""Sangria""),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8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</row>
    <row r="296" ht="14.25" customHeight="1">
      <c r="A296" s="24"/>
      <c r="B296" s="240"/>
      <c r="C296" s="241"/>
      <c r="D296" s="242"/>
      <c r="E296" s="243"/>
      <c r="F296" s="249"/>
      <c r="G296" s="245"/>
      <c r="H296" s="190"/>
      <c r="I296" s="190"/>
      <c r="J296" s="187"/>
      <c r="K296" s="187"/>
      <c r="L296" s="252" t="str">
        <f>IFERROR(__xludf.DUMMYFUNCTION("IF(
  AND(D296=""Saída"", J296=""Sangria""),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9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</row>
    <row r="297" ht="14.25" customHeight="1">
      <c r="A297" s="24"/>
      <c r="B297" s="240"/>
      <c r="C297" s="241"/>
      <c r="D297" s="242"/>
      <c r="E297" s="243"/>
      <c r="F297" s="244"/>
      <c r="G297" s="245"/>
      <c r="H297" s="190"/>
      <c r="I297" s="190"/>
      <c r="J297" s="187"/>
      <c r="K297" s="187"/>
      <c r="L297" s="252" t="str">
        <f>IFERROR(__xludf.DUMMYFUNCTION("IF(
  AND(D297=""Saída"", J297=""Sangria""),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8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  <c r="AC297" s="185"/>
      <c r="AD297" s="185"/>
      <c r="AE297" s="185"/>
    </row>
    <row r="298" ht="14.25" customHeight="1">
      <c r="A298" s="24"/>
      <c r="B298" s="240"/>
      <c r="C298" s="241"/>
      <c r="D298" s="242"/>
      <c r="E298" s="243"/>
      <c r="F298" s="244"/>
      <c r="G298" s="245"/>
      <c r="H298" s="190"/>
      <c r="I298" s="190"/>
      <c r="J298" s="187"/>
      <c r="K298" s="187"/>
      <c r="L298" s="252" t="str">
        <f>IFERROR(__xludf.DUMMYFUNCTION("IF(
  AND(D298=""Saída"", J298=""Sangria""),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9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  <c r="AC298" s="185"/>
      <c r="AD298" s="185"/>
      <c r="AE298" s="185"/>
    </row>
    <row r="299" ht="14.25" customHeight="1">
      <c r="A299" s="24"/>
      <c r="B299" s="240"/>
      <c r="C299" s="241"/>
      <c r="D299" s="242"/>
      <c r="E299" s="243"/>
      <c r="F299" s="244"/>
      <c r="G299" s="245"/>
      <c r="H299" s="190"/>
      <c r="I299" s="190"/>
      <c r="J299" s="187"/>
      <c r="K299" s="187"/>
      <c r="L299" s="252" t="str">
        <f>IFERROR(__xludf.DUMMYFUNCTION("IF(
  AND(D299=""Saída"", J299=""Sangria""),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8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  <c r="AC299" s="185"/>
      <c r="AD299" s="185"/>
      <c r="AE299" s="185"/>
    </row>
    <row r="300" ht="14.25" customHeight="1">
      <c r="A300" s="24"/>
      <c r="B300" s="240"/>
      <c r="C300" s="241"/>
      <c r="D300" s="242"/>
      <c r="E300" s="243"/>
      <c r="F300" s="244"/>
      <c r="G300" s="245"/>
      <c r="H300" s="190"/>
      <c r="I300" s="190"/>
      <c r="J300" s="187"/>
      <c r="K300" s="187"/>
      <c r="L300" s="252" t="str">
        <f>IFERROR(__xludf.DUMMYFUNCTION("IF(
  AND(D300=""Saída"", J300=""Sangria""),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9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</row>
    <row r="301" ht="14.25" customHeight="1">
      <c r="A301" s="24"/>
      <c r="B301" s="240"/>
      <c r="C301" s="241"/>
      <c r="D301" s="242"/>
      <c r="E301" s="243"/>
      <c r="F301" s="249"/>
      <c r="G301" s="245"/>
      <c r="H301" s="190"/>
      <c r="I301" s="190"/>
      <c r="J301" s="187"/>
      <c r="K301" s="187"/>
      <c r="L301" s="252" t="str">
        <f>IFERROR(__xludf.DUMMYFUNCTION("IF(
  AND(D301=""Saída"", J301=""Sangria""),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8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  <c r="AC301" s="185"/>
      <c r="AD301" s="185"/>
      <c r="AE301" s="185"/>
    </row>
    <row r="302" ht="14.25" customHeight="1">
      <c r="A302" s="24"/>
      <c r="B302" s="240"/>
      <c r="C302" s="241"/>
      <c r="D302" s="242"/>
      <c r="E302" s="243"/>
      <c r="F302" s="244"/>
      <c r="G302" s="245"/>
      <c r="H302" s="190"/>
      <c r="I302" s="190"/>
      <c r="J302" s="187"/>
      <c r="K302" s="189"/>
      <c r="L302" s="252" t="str">
        <f>IFERROR(__xludf.DUMMYFUNCTION("IF(
  AND(D302=""Saída"", J302=""Sangria""),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9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  <c r="AC302" s="185"/>
      <c r="AD302" s="185"/>
      <c r="AE302" s="185"/>
    </row>
    <row r="303" ht="14.25" customHeight="1">
      <c r="A303" s="24"/>
      <c r="B303" s="240"/>
      <c r="C303" s="241"/>
      <c r="D303" s="242"/>
      <c r="E303" s="243"/>
      <c r="F303" s="249"/>
      <c r="G303" s="245"/>
      <c r="H303" s="190"/>
      <c r="I303" s="190"/>
      <c r="J303" s="187"/>
      <c r="K303" s="187"/>
      <c r="L303" s="252" t="str">
        <f>IFERROR(__xludf.DUMMYFUNCTION("IF(
  AND(D303=""Saída"", J303=""Sangria""),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8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</row>
    <row r="304" ht="14.25" customHeight="1">
      <c r="A304" s="24"/>
      <c r="B304" s="240"/>
      <c r="C304" s="241"/>
      <c r="D304" s="242"/>
      <c r="E304" s="243"/>
      <c r="F304" s="244"/>
      <c r="G304" s="245"/>
      <c r="H304" s="190"/>
      <c r="I304" s="190"/>
      <c r="J304" s="198"/>
      <c r="K304" s="187"/>
      <c r="L304" s="252" t="str">
        <f>IFERROR(__xludf.DUMMYFUNCTION("IF(
  AND(D304=""Saída"", J304=""Sangria""),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9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  <c r="AC304" s="185"/>
      <c r="AD304" s="185"/>
      <c r="AE304" s="185"/>
    </row>
    <row r="305" ht="14.25" customHeight="1">
      <c r="A305" s="24"/>
      <c r="B305" s="240"/>
      <c r="C305" s="241"/>
      <c r="D305" s="242"/>
      <c r="E305" s="243"/>
      <c r="F305" s="244"/>
      <c r="G305" s="245"/>
      <c r="H305" s="190"/>
      <c r="I305" s="190"/>
      <c r="J305" s="198"/>
      <c r="K305" s="187"/>
      <c r="L305" s="252" t="str">
        <f>IFERROR(__xludf.DUMMYFUNCTION("IF(
  AND(D305=""Saída"", J305=""Sangria""),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8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</row>
    <row r="306" ht="14.25" customHeight="1">
      <c r="A306" s="24"/>
      <c r="B306" s="240"/>
      <c r="C306" s="241"/>
      <c r="D306" s="242"/>
      <c r="E306" s="243"/>
      <c r="F306" s="244"/>
      <c r="G306" s="245"/>
      <c r="H306" s="190"/>
      <c r="I306" s="190"/>
      <c r="J306" s="187"/>
      <c r="K306" s="187"/>
      <c r="L306" s="252" t="str">
        <f>IFERROR(__xludf.DUMMYFUNCTION("IF(
  AND(D306=""Saída"", J306=""Sangria""),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9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  <c r="AC306" s="185"/>
      <c r="AD306" s="185"/>
      <c r="AE306" s="185"/>
    </row>
    <row r="307" ht="14.25" customHeight="1">
      <c r="A307" s="24"/>
      <c r="B307" s="240"/>
      <c r="C307" s="241"/>
      <c r="D307" s="242"/>
      <c r="E307" s="243"/>
      <c r="F307" s="244"/>
      <c r="G307" s="245"/>
      <c r="H307" s="190"/>
      <c r="I307" s="190"/>
      <c r="J307" s="187"/>
      <c r="K307" s="189"/>
      <c r="L307" s="252" t="str">
        <f>IFERROR(__xludf.DUMMYFUNCTION("IF(
  AND(D307=""Saída"", J307=""Sangria""),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8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  <c r="AC307" s="185"/>
      <c r="AD307" s="185"/>
      <c r="AE307" s="185"/>
    </row>
    <row r="308" ht="14.25" customHeight="1">
      <c r="A308" s="24"/>
      <c r="B308" s="240"/>
      <c r="C308" s="241"/>
      <c r="D308" s="242"/>
      <c r="E308" s="243"/>
      <c r="F308" s="249"/>
      <c r="G308" s="245"/>
      <c r="H308" s="190"/>
      <c r="I308" s="190"/>
      <c r="J308" s="187"/>
      <c r="K308" s="187"/>
      <c r="L308" s="252" t="str">
        <f>IFERROR(__xludf.DUMMYFUNCTION("IF(
  AND(D308=""Saída"", J308=""Sangria""),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9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  <c r="AC308" s="185"/>
      <c r="AD308" s="185"/>
      <c r="AE308" s="185"/>
    </row>
    <row r="309" ht="14.25" customHeight="1">
      <c r="A309" s="24"/>
      <c r="B309" s="240"/>
      <c r="C309" s="241"/>
      <c r="D309" s="242"/>
      <c r="E309" s="243"/>
      <c r="F309" s="244"/>
      <c r="G309" s="245"/>
      <c r="H309" s="190"/>
      <c r="I309" s="190"/>
      <c r="J309" s="198"/>
      <c r="K309" s="187"/>
      <c r="L309" s="252" t="str">
        <f>IFERROR(__xludf.DUMMYFUNCTION("IF(
  AND(D309=""Saída"", J309=""Sangria""),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8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</row>
    <row r="310" ht="14.25" customHeight="1">
      <c r="A310" s="24"/>
      <c r="B310" s="240"/>
      <c r="C310" s="241"/>
      <c r="D310" s="242"/>
      <c r="E310" s="243"/>
      <c r="F310" s="244"/>
      <c r="G310" s="245"/>
      <c r="H310" s="190"/>
      <c r="I310" s="190"/>
      <c r="J310" s="187"/>
      <c r="K310" s="187"/>
      <c r="L310" s="252" t="str">
        <f>IFERROR(__xludf.DUMMYFUNCTION("IF(
  AND(D310=""Saída"", J310=""Sangria""),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9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</row>
    <row r="311" ht="14.25" customHeight="1">
      <c r="A311" s="24"/>
      <c r="B311" s="240"/>
      <c r="C311" s="241"/>
      <c r="D311" s="242"/>
      <c r="E311" s="243"/>
      <c r="F311" s="244"/>
      <c r="G311" s="245"/>
      <c r="H311" s="190"/>
      <c r="I311" s="190"/>
      <c r="J311" s="187"/>
      <c r="K311" s="187"/>
      <c r="L311" s="252" t="str">
        <f>IFERROR(__xludf.DUMMYFUNCTION("IF(
  AND(D311=""Saída"", J311=""Sangria""),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8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</row>
    <row r="312" ht="14.25" customHeight="1">
      <c r="A312" s="24"/>
      <c r="B312" s="240"/>
      <c r="C312" s="241"/>
      <c r="D312" s="242"/>
      <c r="E312" s="243"/>
      <c r="F312" s="244"/>
      <c r="G312" s="245"/>
      <c r="H312" s="190"/>
      <c r="I312" s="190"/>
      <c r="J312" s="187"/>
      <c r="K312" s="187"/>
      <c r="L312" s="252" t="str">
        <f>IFERROR(__xludf.DUMMYFUNCTION("IF(
  AND(D312=""Saída"", J312=""Sangria""),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9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  <c r="AC312" s="185"/>
      <c r="AD312" s="185"/>
      <c r="AE312" s="185"/>
    </row>
    <row r="313" ht="14.25" customHeight="1">
      <c r="A313" s="24"/>
      <c r="B313" s="240"/>
      <c r="C313" s="241"/>
      <c r="D313" s="242"/>
      <c r="E313" s="243"/>
      <c r="F313" s="244"/>
      <c r="G313" s="245"/>
      <c r="H313" s="190"/>
      <c r="I313" s="190"/>
      <c r="J313" s="187"/>
      <c r="K313" s="187"/>
      <c r="L313" s="252" t="str">
        <f>IFERROR(__xludf.DUMMYFUNCTION("IF(
  AND(D313=""Saída"", J313=""Sangria""),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8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  <c r="AC313" s="185"/>
      <c r="AD313" s="185"/>
      <c r="AE313" s="185"/>
    </row>
    <row r="314" ht="14.25" customHeight="1">
      <c r="A314" s="24"/>
      <c r="B314" s="240"/>
      <c r="C314" s="241"/>
      <c r="D314" s="242"/>
      <c r="E314" s="243"/>
      <c r="F314" s="249"/>
      <c r="G314" s="245"/>
      <c r="H314" s="190"/>
      <c r="I314" s="190"/>
      <c r="J314" s="187"/>
      <c r="K314" s="187"/>
      <c r="L314" s="252" t="str">
        <f>IFERROR(__xludf.DUMMYFUNCTION("IF(
  AND(D314=""Saída"", J314=""Sangria""),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9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  <c r="AC314" s="185"/>
      <c r="AD314" s="185"/>
      <c r="AE314" s="185"/>
    </row>
    <row r="315" ht="14.25" customHeight="1">
      <c r="A315" s="24"/>
      <c r="B315" s="240"/>
      <c r="C315" s="241"/>
      <c r="D315" s="242"/>
      <c r="E315" s="243"/>
      <c r="F315" s="244"/>
      <c r="G315" s="245"/>
      <c r="H315" s="190"/>
      <c r="I315" s="190"/>
      <c r="J315" s="187"/>
      <c r="K315" s="187"/>
      <c r="L315" s="252" t="str">
        <f>IFERROR(__xludf.DUMMYFUNCTION("IF(
  AND(D315=""Saída"", J315=""Sangria""),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8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  <c r="AC315" s="185"/>
      <c r="AD315" s="185"/>
      <c r="AE315" s="185"/>
    </row>
    <row r="316" ht="14.25" customHeight="1">
      <c r="A316" s="24"/>
      <c r="B316" s="240"/>
      <c r="C316" s="241"/>
      <c r="D316" s="242"/>
      <c r="E316" s="243"/>
      <c r="F316" s="249"/>
      <c r="G316" s="245"/>
      <c r="H316" s="190"/>
      <c r="I316" s="190"/>
      <c r="J316" s="187"/>
      <c r="K316" s="187"/>
      <c r="L316" s="252" t="str">
        <f>IFERROR(__xludf.DUMMYFUNCTION("IF(
  AND(D316=""Saída"", J316=""Sangria""),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9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</row>
    <row r="317" ht="14.25" customHeight="1">
      <c r="A317" s="24"/>
      <c r="B317" s="240"/>
      <c r="C317" s="241"/>
      <c r="D317" s="242"/>
      <c r="E317" s="243"/>
      <c r="F317" s="244"/>
      <c r="G317" s="245"/>
      <c r="H317" s="190"/>
      <c r="I317" s="190"/>
      <c r="J317" s="187"/>
      <c r="K317" s="187"/>
      <c r="L317" s="252" t="str">
        <f>IFERROR(__xludf.DUMMYFUNCTION("IF(
  AND(D317=""Saída"", J317=""Sangria""),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8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</row>
    <row r="318" ht="14.25" customHeight="1">
      <c r="A318" s="24"/>
      <c r="B318" s="240"/>
      <c r="C318" s="241"/>
      <c r="D318" s="242"/>
      <c r="E318" s="243"/>
      <c r="F318" s="244"/>
      <c r="G318" s="245"/>
      <c r="H318" s="190"/>
      <c r="I318" s="190"/>
      <c r="J318" s="187"/>
      <c r="K318" s="187"/>
      <c r="L318" s="252" t="str">
        <f>IFERROR(__xludf.DUMMYFUNCTION("IF(
  AND(D318=""Saída"", J318=""Sangria""),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9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</row>
    <row r="319" ht="14.25" customHeight="1">
      <c r="A319" s="24"/>
      <c r="B319" s="240"/>
      <c r="C319" s="241"/>
      <c r="D319" s="242"/>
      <c r="E319" s="243"/>
      <c r="F319" s="244"/>
      <c r="G319" s="245"/>
      <c r="H319" s="190"/>
      <c r="I319" s="190"/>
      <c r="J319" s="187"/>
      <c r="K319" s="187"/>
      <c r="L319" s="252" t="str">
        <f>IFERROR(__xludf.DUMMYFUNCTION("IF(
  AND(D319=""Saída"", J319=""Sangria""),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8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</row>
    <row r="320" ht="14.25" customHeight="1">
      <c r="A320" s="24"/>
      <c r="B320" s="240"/>
      <c r="C320" s="241"/>
      <c r="D320" s="242"/>
      <c r="E320" s="243"/>
      <c r="F320" s="244"/>
      <c r="G320" s="245"/>
      <c r="H320" s="190"/>
      <c r="I320" s="190"/>
      <c r="J320" s="187"/>
      <c r="K320" s="187"/>
      <c r="L320" s="252" t="str">
        <f>IFERROR(__xludf.DUMMYFUNCTION("IF(
  AND(D320=""Saída"", J320=""Sangria""),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9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  <c r="AC320" s="185"/>
      <c r="AD320" s="185"/>
      <c r="AE320" s="185"/>
    </row>
    <row r="321" ht="14.25" customHeight="1">
      <c r="A321" s="24"/>
      <c r="B321" s="240"/>
      <c r="C321" s="241"/>
      <c r="D321" s="242"/>
      <c r="E321" s="243"/>
      <c r="F321" s="244"/>
      <c r="G321" s="245"/>
      <c r="H321" s="190"/>
      <c r="I321" s="190"/>
      <c r="J321" s="187"/>
      <c r="K321" s="187"/>
      <c r="L321" s="252" t="str">
        <f>IFERROR(__xludf.DUMMYFUNCTION("IF(
  AND(D321=""Saída"", J321=""Sangria""),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8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  <c r="AC321" s="185"/>
      <c r="AD321" s="185"/>
      <c r="AE321" s="185"/>
    </row>
    <row r="322" ht="14.25" customHeight="1">
      <c r="A322" s="24"/>
      <c r="B322" s="240"/>
      <c r="C322" s="241"/>
      <c r="D322" s="242"/>
      <c r="E322" s="243"/>
      <c r="F322" s="244"/>
      <c r="G322" s="245"/>
      <c r="H322" s="190"/>
      <c r="I322" s="190"/>
      <c r="J322" s="187"/>
      <c r="K322" s="187"/>
      <c r="L322" s="252" t="str">
        <f>IFERROR(__xludf.DUMMYFUNCTION("IF(
  AND(D322=""Saída"", J322=""Sangria""),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9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</row>
    <row r="323" ht="14.25" customHeight="1">
      <c r="A323" s="24"/>
      <c r="B323" s="240"/>
      <c r="C323" s="241"/>
      <c r="D323" s="242"/>
      <c r="E323" s="243"/>
      <c r="F323" s="244"/>
      <c r="G323" s="245"/>
      <c r="H323" s="190"/>
      <c r="I323" s="190"/>
      <c r="J323" s="187"/>
      <c r="K323" s="187"/>
      <c r="L323" s="252" t="str">
        <f>IFERROR(__xludf.DUMMYFUNCTION("IF(
  AND(D323=""Saída"", J323=""Sangria""),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8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  <c r="AC323" s="185"/>
      <c r="AD323" s="185"/>
      <c r="AE323" s="185"/>
    </row>
    <row r="324" ht="14.25" customHeight="1">
      <c r="A324" s="24"/>
      <c r="B324" s="240"/>
      <c r="C324" s="241"/>
      <c r="D324" s="242"/>
      <c r="E324" s="243"/>
      <c r="F324" s="244"/>
      <c r="G324" s="245"/>
      <c r="H324" s="190"/>
      <c r="I324" s="190"/>
      <c r="J324" s="187"/>
      <c r="K324" s="187"/>
      <c r="L324" s="252" t="str">
        <f>IFERROR(__xludf.DUMMYFUNCTION("IF(
  AND(D324=""Saída"", J324=""Sangria""),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9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  <c r="AC324" s="185"/>
      <c r="AD324" s="185"/>
      <c r="AE324" s="185"/>
    </row>
    <row r="325" ht="14.25" customHeight="1">
      <c r="A325" s="24"/>
      <c r="B325" s="240"/>
      <c r="C325" s="241"/>
      <c r="D325" s="242"/>
      <c r="E325" s="243"/>
      <c r="F325" s="244"/>
      <c r="G325" s="245"/>
      <c r="H325" s="190"/>
      <c r="I325" s="190"/>
      <c r="J325" s="187"/>
      <c r="K325" s="187"/>
      <c r="L325" s="252" t="str">
        <f>IFERROR(__xludf.DUMMYFUNCTION("IF(
  AND(D325=""Saída"", J325=""Sangria""),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8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  <c r="AC325" s="185"/>
      <c r="AD325" s="185"/>
      <c r="AE325" s="185"/>
    </row>
    <row r="326" ht="14.25" customHeight="1">
      <c r="A326" s="24"/>
      <c r="B326" s="240"/>
      <c r="C326" s="241"/>
      <c r="D326" s="242"/>
      <c r="E326" s="243"/>
      <c r="F326" s="249"/>
      <c r="G326" s="245"/>
      <c r="H326" s="190"/>
      <c r="I326" s="190"/>
      <c r="J326" s="187"/>
      <c r="K326" s="187"/>
      <c r="L326" s="252" t="str">
        <f>IFERROR(__xludf.DUMMYFUNCTION("IF(
  AND(D326=""Saída"", J326=""Sangria""),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9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</row>
    <row r="327" ht="14.25" customHeight="1">
      <c r="A327" s="24"/>
      <c r="B327" s="240"/>
      <c r="C327" s="241"/>
      <c r="D327" s="242"/>
      <c r="E327" s="243"/>
      <c r="F327" s="244"/>
      <c r="G327" s="245"/>
      <c r="H327" s="190"/>
      <c r="I327" s="190"/>
      <c r="J327" s="187"/>
      <c r="K327" s="187"/>
      <c r="L327" s="252" t="str">
        <f>IFERROR(__xludf.DUMMYFUNCTION("IF(
  AND(D327=""Saída"", J327=""Sangria""),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8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</row>
    <row r="328" ht="14.25" customHeight="1">
      <c r="A328" s="24"/>
      <c r="B328" s="240"/>
      <c r="C328" s="241"/>
      <c r="D328" s="242"/>
      <c r="E328" s="243"/>
      <c r="F328" s="244"/>
      <c r="G328" s="245"/>
      <c r="H328" s="190"/>
      <c r="I328" s="190"/>
      <c r="J328" s="187"/>
      <c r="K328" s="187"/>
      <c r="L328" s="252" t="str">
        <f>IFERROR(__xludf.DUMMYFUNCTION("IF(
  AND(D328=""Saída"", J328=""Sangria""),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9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</row>
    <row r="329" ht="14.25" customHeight="1">
      <c r="A329" s="24"/>
      <c r="B329" s="240"/>
      <c r="C329" s="241"/>
      <c r="D329" s="242"/>
      <c r="E329" s="243"/>
      <c r="F329" s="244"/>
      <c r="G329" s="245"/>
      <c r="H329" s="190"/>
      <c r="I329" s="190"/>
      <c r="J329" s="187"/>
      <c r="K329" s="187"/>
      <c r="L329" s="252" t="str">
        <f>IFERROR(__xludf.DUMMYFUNCTION("IF(
  AND(D329=""Saída"", J329=""Sangria""),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8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</row>
    <row r="330" ht="14.25" customHeight="1">
      <c r="A330" s="24"/>
      <c r="B330" s="240"/>
      <c r="C330" s="241"/>
      <c r="D330" s="242"/>
      <c r="E330" s="243"/>
      <c r="F330" s="244"/>
      <c r="G330" s="245"/>
      <c r="H330" s="190"/>
      <c r="I330" s="190"/>
      <c r="J330" s="187"/>
      <c r="K330" s="187"/>
      <c r="L330" s="252" t="str">
        <f>IFERROR(__xludf.DUMMYFUNCTION("IF(
  AND(D330=""Saída"", J330=""Sangria""),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9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  <c r="AB330" s="185"/>
      <c r="AC330" s="185"/>
      <c r="AD330" s="185"/>
      <c r="AE330" s="185"/>
    </row>
    <row r="331" ht="14.25" customHeight="1">
      <c r="A331" s="24"/>
      <c r="B331" s="240"/>
      <c r="C331" s="241"/>
      <c r="D331" s="242"/>
      <c r="E331" s="243"/>
      <c r="F331" s="244"/>
      <c r="G331" s="245"/>
      <c r="H331" s="190"/>
      <c r="I331" s="190"/>
      <c r="J331" s="187"/>
      <c r="K331" s="187"/>
      <c r="L331" s="252" t="str">
        <f>IFERROR(__xludf.DUMMYFUNCTION("IF(
  AND(D331=""Saída"", J331=""Sangria""),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8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  <c r="AB331" s="185"/>
      <c r="AC331" s="185"/>
      <c r="AD331" s="185"/>
      <c r="AE331" s="185"/>
    </row>
    <row r="332" ht="14.25" customHeight="1">
      <c r="A332" s="24"/>
      <c r="B332" s="240"/>
      <c r="C332" s="241"/>
      <c r="D332" s="242"/>
      <c r="E332" s="243"/>
      <c r="F332" s="244"/>
      <c r="G332" s="245"/>
      <c r="H332" s="190"/>
      <c r="I332" s="190"/>
      <c r="J332" s="187"/>
      <c r="K332" s="189"/>
      <c r="L332" s="252" t="str">
        <f>IFERROR(__xludf.DUMMYFUNCTION("IF(
  AND(D332=""Saída"", J332=""Sangria""),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9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  <c r="AB332" s="185"/>
      <c r="AC332" s="185"/>
      <c r="AD332" s="185"/>
      <c r="AE332" s="185"/>
    </row>
    <row r="333" ht="14.25" customHeight="1">
      <c r="A333" s="24"/>
      <c r="B333" s="240"/>
      <c r="C333" s="241"/>
      <c r="D333" s="242"/>
      <c r="E333" s="243"/>
      <c r="F333" s="244"/>
      <c r="G333" s="245"/>
      <c r="H333" s="190"/>
      <c r="I333" s="190"/>
      <c r="J333" s="187"/>
      <c r="K333" s="187"/>
      <c r="L333" s="252" t="str">
        <f>IFERROR(__xludf.DUMMYFUNCTION("IF(
  AND(D333=""Saída"", J333=""Sangria""),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8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  <c r="AB333" s="185"/>
      <c r="AC333" s="185"/>
      <c r="AD333" s="185"/>
      <c r="AE333" s="185"/>
    </row>
    <row r="334" ht="14.25" customHeight="1">
      <c r="A334" s="24"/>
      <c r="B334" s="240"/>
      <c r="C334" s="241"/>
      <c r="D334" s="242"/>
      <c r="E334" s="243"/>
      <c r="F334" s="244"/>
      <c r="G334" s="245"/>
      <c r="H334" s="190"/>
      <c r="I334" s="190"/>
      <c r="J334" s="187"/>
      <c r="K334" s="187"/>
      <c r="L334" s="252" t="str">
        <f>IFERROR(__xludf.DUMMYFUNCTION("IF(
  AND(D334=""Saída"", J334=""Sangria""),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9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  <c r="AB334" s="185"/>
      <c r="AC334" s="185"/>
      <c r="AD334" s="185"/>
      <c r="AE334" s="185"/>
    </row>
    <row r="335" ht="14.25" customHeight="1">
      <c r="A335" s="24"/>
      <c r="B335" s="240"/>
      <c r="C335" s="241"/>
      <c r="D335" s="242"/>
      <c r="E335" s="243"/>
      <c r="F335" s="244"/>
      <c r="G335" s="245"/>
      <c r="H335" s="190"/>
      <c r="I335" s="190"/>
      <c r="J335" s="187"/>
      <c r="K335" s="187"/>
      <c r="L335" s="252" t="str">
        <f>IFERROR(__xludf.DUMMYFUNCTION("IF(
  AND(D335=""Saída"", J335=""Sangria""),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8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  <c r="AC335" s="185"/>
      <c r="AD335" s="185"/>
      <c r="AE335" s="185"/>
    </row>
    <row r="336" ht="14.25" customHeight="1">
      <c r="A336" s="24"/>
      <c r="B336" s="240"/>
      <c r="C336" s="241"/>
      <c r="D336" s="242"/>
      <c r="E336" s="243"/>
      <c r="F336" s="249"/>
      <c r="G336" s="245"/>
      <c r="H336" s="190"/>
      <c r="I336" s="190"/>
      <c r="J336" s="187"/>
      <c r="K336" s="187"/>
      <c r="L336" s="252" t="str">
        <f>IFERROR(__xludf.DUMMYFUNCTION("IF(
  AND(D336=""Saída"", J336=""Sangria""),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9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</row>
    <row r="337" ht="14.25" customHeight="1">
      <c r="A337" s="24"/>
      <c r="B337" s="240"/>
      <c r="C337" s="241"/>
      <c r="D337" s="242"/>
      <c r="E337" s="248"/>
      <c r="F337" s="244"/>
      <c r="G337" s="245"/>
      <c r="H337" s="190"/>
      <c r="I337" s="190"/>
      <c r="J337" s="187"/>
      <c r="K337" s="187"/>
      <c r="L337" s="252" t="str">
        <f>IFERROR(__xludf.DUMMYFUNCTION("IF(
  AND(D337=""Saída"", J337=""Sangria""),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8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  <c r="AB337" s="185"/>
      <c r="AC337" s="185"/>
      <c r="AD337" s="185"/>
      <c r="AE337" s="185"/>
    </row>
    <row r="338" ht="14.25" customHeight="1">
      <c r="A338" s="24"/>
      <c r="B338" s="240"/>
      <c r="C338" s="241"/>
      <c r="D338" s="242"/>
      <c r="E338" s="243"/>
      <c r="F338" s="244"/>
      <c r="G338" s="245"/>
      <c r="H338" s="190"/>
      <c r="I338" s="190"/>
      <c r="J338" s="187"/>
      <c r="K338" s="189"/>
      <c r="L338" s="252" t="str">
        <f>IFERROR(__xludf.DUMMYFUNCTION("IF(
  AND(D338=""Saída"", J338=""Sangria""),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9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</row>
    <row r="339" ht="14.25" customHeight="1">
      <c r="A339" s="24"/>
      <c r="B339" s="240"/>
      <c r="C339" s="241"/>
      <c r="D339" s="242"/>
      <c r="E339" s="243"/>
      <c r="F339" s="244"/>
      <c r="G339" s="245"/>
      <c r="H339" s="190"/>
      <c r="I339" s="190"/>
      <c r="J339" s="187"/>
      <c r="K339" s="187"/>
      <c r="L339" s="252" t="str">
        <f>IFERROR(__xludf.DUMMYFUNCTION("IF(
  AND(D339=""Saída"", J339=""Sangria""),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8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  <c r="AB339" s="185"/>
      <c r="AC339" s="185"/>
      <c r="AD339" s="185"/>
      <c r="AE339" s="185"/>
    </row>
    <row r="340" ht="14.25" customHeight="1">
      <c r="A340" s="24"/>
      <c r="B340" s="240"/>
      <c r="C340" s="241"/>
      <c r="D340" s="242"/>
      <c r="E340" s="243"/>
      <c r="F340" s="244"/>
      <c r="G340" s="245"/>
      <c r="H340" s="190"/>
      <c r="I340" s="190"/>
      <c r="J340" s="187"/>
      <c r="K340" s="187"/>
      <c r="L340" s="252" t="str">
        <f>IFERROR(__xludf.DUMMYFUNCTION("IF(
  AND(D340=""Saída"", J340=""Sangria""),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9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  <c r="AB340" s="185"/>
      <c r="AC340" s="185"/>
      <c r="AD340" s="185"/>
      <c r="AE340" s="185"/>
    </row>
    <row r="341" ht="14.25" customHeight="1">
      <c r="A341" s="24"/>
      <c r="B341" s="240"/>
      <c r="C341" s="241"/>
      <c r="D341" s="242"/>
      <c r="E341" s="243"/>
      <c r="F341" s="249"/>
      <c r="G341" s="245"/>
      <c r="H341" s="190"/>
      <c r="I341" s="190"/>
      <c r="J341" s="187"/>
      <c r="K341" s="187"/>
      <c r="L341" s="252" t="str">
        <f>IFERROR(__xludf.DUMMYFUNCTION("IF(
  AND(D341=""Saída"", J341=""Sangria""),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8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85"/>
      <c r="AC341" s="185"/>
      <c r="AD341" s="185"/>
      <c r="AE341" s="185"/>
    </row>
    <row r="342" ht="14.25" customHeight="1">
      <c r="A342" s="24"/>
      <c r="B342" s="240"/>
      <c r="C342" s="241"/>
      <c r="D342" s="242"/>
      <c r="E342" s="243"/>
      <c r="F342" s="244"/>
      <c r="G342" s="246"/>
      <c r="H342" s="190"/>
      <c r="I342" s="190"/>
      <c r="J342" s="187"/>
      <c r="K342" s="189"/>
      <c r="L342" s="252" t="str">
        <f>IFERROR(__xludf.DUMMYFUNCTION("IF(
  AND(D342=""Saída"", J342=""Sangria""),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9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</row>
    <row r="343" ht="14.25" customHeight="1">
      <c r="A343" s="24"/>
      <c r="B343" s="240"/>
      <c r="C343" s="241"/>
      <c r="D343" s="242"/>
      <c r="E343" s="243"/>
      <c r="F343" s="244"/>
      <c r="G343" s="245"/>
      <c r="H343" s="190"/>
      <c r="I343" s="190"/>
      <c r="J343" s="187"/>
      <c r="K343" s="187"/>
      <c r="L343" s="252" t="str">
        <f>IFERROR(__xludf.DUMMYFUNCTION("IF(
  AND(D343=""Saída"", J343=""Sangria""),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8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  <c r="AC343" s="185"/>
      <c r="AD343" s="185"/>
      <c r="AE343" s="185"/>
    </row>
    <row r="344" ht="14.25" customHeight="1">
      <c r="A344" s="24"/>
      <c r="B344" s="240"/>
      <c r="C344" s="241"/>
      <c r="D344" s="242"/>
      <c r="E344" s="243"/>
      <c r="F344" s="244"/>
      <c r="G344" s="245"/>
      <c r="H344" s="190"/>
      <c r="I344" s="190"/>
      <c r="J344" s="187"/>
      <c r="K344" s="187"/>
      <c r="L344" s="252" t="str">
        <f>IFERROR(__xludf.DUMMYFUNCTION("IF(
  AND(D344=""Saída"", J344=""Sangria""),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9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  <c r="AB344" s="185"/>
      <c r="AC344" s="185"/>
      <c r="AD344" s="185"/>
      <c r="AE344" s="185"/>
    </row>
    <row r="345" ht="14.25" customHeight="1">
      <c r="A345" s="24"/>
      <c r="B345" s="240"/>
      <c r="C345" s="241"/>
      <c r="D345" s="242"/>
      <c r="E345" s="243"/>
      <c r="F345" s="244"/>
      <c r="G345" s="245"/>
      <c r="H345" s="190"/>
      <c r="I345" s="190"/>
      <c r="J345" s="187"/>
      <c r="K345" s="187"/>
      <c r="L345" s="252" t="str">
        <f>IFERROR(__xludf.DUMMYFUNCTION("IF(
  AND(D345=""Saída"", J345=""Sangria""),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8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  <c r="AB345" s="185"/>
      <c r="AC345" s="185"/>
      <c r="AD345" s="185"/>
      <c r="AE345" s="185"/>
    </row>
    <row r="346" ht="14.25" customHeight="1">
      <c r="A346" s="24"/>
      <c r="B346" s="240"/>
      <c r="C346" s="241"/>
      <c r="D346" s="242"/>
      <c r="E346" s="243"/>
      <c r="F346" s="244"/>
      <c r="G346" s="245"/>
      <c r="H346" s="190"/>
      <c r="I346" s="190"/>
      <c r="J346" s="187"/>
      <c r="K346" s="187"/>
      <c r="L346" s="252" t="str">
        <f>IFERROR(__xludf.DUMMYFUNCTION("IF(
  AND(D346=""Saída"", J346=""Sangria""),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9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  <c r="AC346" s="185"/>
      <c r="AD346" s="185"/>
      <c r="AE346" s="185"/>
    </row>
    <row r="347" ht="14.25" customHeight="1">
      <c r="A347" s="24"/>
      <c r="B347" s="240"/>
      <c r="C347" s="241"/>
      <c r="D347" s="242"/>
      <c r="E347" s="243"/>
      <c r="F347" s="244"/>
      <c r="G347" s="245"/>
      <c r="H347" s="190"/>
      <c r="I347" s="190"/>
      <c r="J347" s="187"/>
      <c r="K347" s="189"/>
      <c r="L347" s="252" t="str">
        <f>IFERROR(__xludf.DUMMYFUNCTION("IF(
  AND(D347=""Saída"", J347=""Sangria""),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8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  <c r="AB347" s="185"/>
      <c r="AC347" s="185"/>
      <c r="AD347" s="185"/>
      <c r="AE347" s="185"/>
    </row>
    <row r="348" ht="14.25" customHeight="1">
      <c r="A348" s="24"/>
      <c r="B348" s="240"/>
      <c r="C348" s="241"/>
      <c r="D348" s="242"/>
      <c r="E348" s="243"/>
      <c r="F348" s="244"/>
      <c r="G348" s="245"/>
      <c r="H348" s="190"/>
      <c r="I348" s="190"/>
      <c r="J348" s="187"/>
      <c r="K348" s="187"/>
      <c r="L348" s="252" t="str">
        <f>IFERROR(__xludf.DUMMYFUNCTION("IF(
  AND(D348=""Saída"", J348=""Sangria""),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9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</row>
    <row r="349" ht="14.25" customHeight="1">
      <c r="A349" s="24"/>
      <c r="B349" s="240"/>
      <c r="C349" s="241"/>
      <c r="D349" s="242"/>
      <c r="E349" s="248"/>
      <c r="F349" s="244"/>
      <c r="G349" s="245"/>
      <c r="H349" s="190"/>
      <c r="I349" s="190"/>
      <c r="J349" s="187"/>
      <c r="K349" s="187"/>
      <c r="L349" s="252" t="str">
        <f>IFERROR(__xludf.DUMMYFUNCTION("IF(
  AND(D349=""Saída"", J349=""Sangria""),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8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  <c r="AC349" s="185"/>
      <c r="AD349" s="185"/>
      <c r="AE349" s="185"/>
    </row>
    <row r="350" ht="14.25" customHeight="1">
      <c r="A350" s="24"/>
      <c r="B350" s="240"/>
      <c r="C350" s="241"/>
      <c r="D350" s="242"/>
      <c r="E350" s="243"/>
      <c r="F350" s="244"/>
      <c r="G350" s="245"/>
      <c r="H350" s="190"/>
      <c r="I350" s="190"/>
      <c r="J350" s="187"/>
      <c r="K350" s="189"/>
      <c r="L350" s="252" t="str">
        <f>IFERROR(__xludf.DUMMYFUNCTION("IF(
  AND(D350=""Saída"", J350=""Sangria""),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9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  <c r="AB350" s="185"/>
      <c r="AC350" s="185"/>
      <c r="AD350" s="185"/>
      <c r="AE350" s="185"/>
    </row>
    <row r="351" ht="14.25" customHeight="1">
      <c r="A351" s="24"/>
      <c r="B351" s="240"/>
      <c r="C351" s="241"/>
      <c r="D351" s="242"/>
      <c r="E351" s="243"/>
      <c r="F351" s="249"/>
      <c r="G351" s="245"/>
      <c r="H351" s="190"/>
      <c r="I351" s="190"/>
      <c r="J351" s="187"/>
      <c r="K351" s="189"/>
      <c r="L351" s="252" t="str">
        <f>IFERROR(__xludf.DUMMYFUNCTION("IF(
  AND(D351=""Saída"", J351=""Sangria""),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8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</row>
    <row r="352" ht="14.25" customHeight="1">
      <c r="A352" s="24"/>
      <c r="B352" s="240"/>
      <c r="C352" s="241"/>
      <c r="D352" s="242"/>
      <c r="E352" s="243"/>
      <c r="F352" s="244"/>
      <c r="G352" s="245"/>
      <c r="H352" s="190"/>
      <c r="I352" s="190"/>
      <c r="J352" s="187"/>
      <c r="K352" s="187"/>
      <c r="L352" s="252" t="str">
        <f>IFERROR(__xludf.DUMMYFUNCTION("IF(
  AND(D352=""Saída"", J352=""Sangria""),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9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  <c r="AB352" s="185"/>
      <c r="AC352" s="185"/>
      <c r="AD352" s="185"/>
      <c r="AE352" s="185"/>
    </row>
    <row r="353" ht="14.25" customHeight="1">
      <c r="A353" s="24"/>
      <c r="B353" s="240"/>
      <c r="C353" s="241"/>
      <c r="D353" s="242"/>
      <c r="E353" s="243"/>
      <c r="F353" s="249"/>
      <c r="G353" s="245"/>
      <c r="H353" s="190"/>
      <c r="I353" s="190"/>
      <c r="J353" s="187"/>
      <c r="K353" s="187"/>
      <c r="L353" s="252" t="str">
        <f>IFERROR(__xludf.DUMMYFUNCTION("IF(
  AND(D353=""Saída"", J353=""Sangria""),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8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  <c r="AB353" s="185"/>
      <c r="AC353" s="185"/>
      <c r="AD353" s="185"/>
      <c r="AE353" s="185"/>
    </row>
    <row r="354" ht="14.25" customHeight="1">
      <c r="A354" s="24"/>
      <c r="B354" s="240"/>
      <c r="C354" s="241"/>
      <c r="D354" s="242"/>
      <c r="E354" s="243"/>
      <c r="F354" s="244"/>
      <c r="G354" s="245"/>
      <c r="H354" s="190"/>
      <c r="I354" s="190"/>
      <c r="J354" s="187"/>
      <c r="K354" s="187"/>
      <c r="L354" s="252" t="str">
        <f>IFERROR(__xludf.DUMMYFUNCTION("IF(
  AND(D354=""Saída"", J354=""Sangria""),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9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  <c r="AB354" s="185"/>
      <c r="AC354" s="185"/>
      <c r="AD354" s="185"/>
      <c r="AE354" s="185"/>
    </row>
    <row r="355" ht="14.25" customHeight="1">
      <c r="A355" s="24"/>
      <c r="B355" s="240"/>
      <c r="C355" s="241"/>
      <c r="D355" s="242"/>
      <c r="E355" s="243"/>
      <c r="F355" s="244"/>
      <c r="G355" s="245"/>
      <c r="H355" s="190"/>
      <c r="I355" s="190"/>
      <c r="J355" s="187"/>
      <c r="K355" s="187"/>
      <c r="L355" s="252" t="str">
        <f>IFERROR(__xludf.DUMMYFUNCTION("IF(
  AND(D355=""Saída"", J355=""Sangria""),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8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  <c r="AC355" s="185"/>
      <c r="AD355" s="185"/>
      <c r="AE355" s="185"/>
    </row>
    <row r="356" ht="14.25" customHeight="1">
      <c r="A356" s="24"/>
      <c r="B356" s="240"/>
      <c r="C356" s="241"/>
      <c r="D356" s="242"/>
      <c r="E356" s="243"/>
      <c r="F356" s="244"/>
      <c r="G356" s="245"/>
      <c r="H356" s="190"/>
      <c r="I356" s="190"/>
      <c r="J356" s="187"/>
      <c r="K356" s="187"/>
      <c r="L356" s="252" t="str">
        <f>IFERROR(__xludf.DUMMYFUNCTION("IF(
  AND(D356=""Saída"", J356=""Sangria""),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9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  <c r="AC356" s="185"/>
      <c r="AD356" s="185"/>
      <c r="AE356" s="185"/>
    </row>
    <row r="357" ht="14.25" customHeight="1">
      <c r="A357" s="24"/>
      <c r="B357" s="240"/>
      <c r="C357" s="241"/>
      <c r="D357" s="242"/>
      <c r="E357" s="248"/>
      <c r="F357" s="244"/>
      <c r="G357" s="245"/>
      <c r="H357" s="190"/>
      <c r="I357" s="190"/>
      <c r="J357" s="187"/>
      <c r="K357" s="187"/>
      <c r="L357" s="252" t="str">
        <f>IFERROR(__xludf.DUMMYFUNCTION("IF(
  AND(D357=""Saída"", J357=""Sangria""),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8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  <c r="AC357" s="185"/>
      <c r="AD357" s="185"/>
      <c r="AE357" s="185"/>
    </row>
    <row r="358" ht="14.25" customHeight="1">
      <c r="A358" s="24"/>
      <c r="B358" s="240"/>
      <c r="C358" s="241"/>
      <c r="D358" s="242"/>
      <c r="E358" s="243"/>
      <c r="F358" s="244"/>
      <c r="G358" s="245"/>
      <c r="H358" s="190"/>
      <c r="I358" s="190"/>
      <c r="J358" s="187"/>
      <c r="K358" s="189"/>
      <c r="L358" s="252" t="str">
        <f>IFERROR(__xludf.DUMMYFUNCTION("IF(
  AND(D358=""Saída"", J358=""Sangria""),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9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  <c r="AB358" s="185"/>
      <c r="AC358" s="185"/>
      <c r="AD358" s="185"/>
      <c r="AE358" s="185"/>
    </row>
    <row r="359" ht="14.25" customHeight="1">
      <c r="A359" s="24"/>
      <c r="B359" s="240"/>
      <c r="C359" s="241"/>
      <c r="D359" s="242"/>
      <c r="E359" s="243"/>
      <c r="F359" s="244"/>
      <c r="G359" s="245"/>
      <c r="H359" s="190"/>
      <c r="I359" s="190"/>
      <c r="J359" s="187"/>
      <c r="K359" s="189"/>
      <c r="L359" s="252" t="str">
        <f>IFERROR(__xludf.DUMMYFUNCTION("IF(
  AND(D359=""Saída"", J359=""Sangria""),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8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  <c r="AB359" s="185"/>
      <c r="AC359" s="185"/>
      <c r="AD359" s="185"/>
      <c r="AE359" s="185"/>
    </row>
    <row r="360" ht="14.25" customHeight="1">
      <c r="A360" s="24"/>
      <c r="B360" s="240"/>
      <c r="C360" s="241"/>
      <c r="D360" s="242"/>
      <c r="E360" s="243"/>
      <c r="F360" s="244"/>
      <c r="G360" s="245"/>
      <c r="H360" s="190"/>
      <c r="I360" s="190"/>
      <c r="J360" s="187"/>
      <c r="K360" s="187"/>
      <c r="L360" s="252" t="str">
        <f>IFERROR(__xludf.DUMMYFUNCTION("IF(
  AND(D360=""Saída"", J360=""Sangria""),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9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  <c r="AC360" s="185"/>
      <c r="AD360" s="185"/>
      <c r="AE360" s="185"/>
    </row>
    <row r="361" ht="14.25" customHeight="1">
      <c r="A361" s="24"/>
      <c r="B361" s="240"/>
      <c r="C361" s="241"/>
      <c r="D361" s="242"/>
      <c r="E361" s="243"/>
      <c r="F361" s="244"/>
      <c r="G361" s="245"/>
      <c r="H361" s="190"/>
      <c r="I361" s="190"/>
      <c r="J361" s="187"/>
      <c r="K361" s="187"/>
      <c r="L361" s="252" t="str">
        <f>IFERROR(__xludf.DUMMYFUNCTION("IF(
  AND(D361=""Saída"", J361=""Sangria""),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8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  <c r="AC361" s="185"/>
      <c r="AD361" s="185"/>
      <c r="AE361" s="185"/>
    </row>
    <row r="362" ht="14.25" customHeight="1">
      <c r="A362" s="24"/>
      <c r="B362" s="240"/>
      <c r="C362" s="241"/>
      <c r="D362" s="242"/>
      <c r="E362" s="243"/>
      <c r="F362" s="244"/>
      <c r="G362" s="245"/>
      <c r="H362" s="190"/>
      <c r="I362" s="190"/>
      <c r="J362" s="187"/>
      <c r="K362" s="187"/>
      <c r="L362" s="252" t="str">
        <f>IFERROR(__xludf.DUMMYFUNCTION("IF(
  AND(D362=""Saída"", J362=""Sangria""),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9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85"/>
    </row>
    <row r="363" ht="14.25" customHeight="1">
      <c r="A363" s="24"/>
      <c r="B363" s="240"/>
      <c r="C363" s="241"/>
      <c r="D363" s="242"/>
      <c r="E363" s="243"/>
      <c r="F363" s="249"/>
      <c r="G363" s="245"/>
      <c r="H363" s="190"/>
      <c r="I363" s="190"/>
      <c r="J363" s="187"/>
      <c r="K363" s="187"/>
      <c r="L363" s="252" t="str">
        <f>IFERROR(__xludf.DUMMYFUNCTION("IF(
  AND(D363=""Saída"", J363=""Sangria""),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8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  <c r="AB363" s="185"/>
      <c r="AC363" s="185"/>
      <c r="AD363" s="185"/>
      <c r="AE363" s="185"/>
    </row>
    <row r="364" ht="14.25" customHeight="1">
      <c r="A364" s="24"/>
      <c r="B364" s="240"/>
      <c r="C364" s="241"/>
      <c r="D364" s="242"/>
      <c r="E364" s="243"/>
      <c r="F364" s="244"/>
      <c r="G364" s="245"/>
      <c r="H364" s="190"/>
      <c r="I364" s="190"/>
      <c r="J364" s="187"/>
      <c r="K364" s="187"/>
      <c r="L364" s="252" t="str">
        <f>IFERROR(__xludf.DUMMYFUNCTION("IF(
  AND(D364=""Saída"", J364=""Sangria""),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9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  <c r="AC364" s="185"/>
      <c r="AD364" s="185"/>
      <c r="AE364" s="185"/>
    </row>
    <row r="365" ht="14.25" customHeight="1">
      <c r="A365" s="24"/>
      <c r="B365" s="240"/>
      <c r="C365" s="241"/>
      <c r="D365" s="242"/>
      <c r="E365" s="243"/>
      <c r="F365" s="244"/>
      <c r="G365" s="245"/>
      <c r="H365" s="190"/>
      <c r="I365" s="190"/>
      <c r="J365" s="187"/>
      <c r="K365" s="187"/>
      <c r="L365" s="252" t="str">
        <f>IFERROR(__xludf.DUMMYFUNCTION("IF(
  AND(D365=""Saída"", J365=""Sangria""),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8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  <c r="AC365" s="185"/>
      <c r="AD365" s="185"/>
      <c r="AE365" s="185"/>
    </row>
    <row r="366" ht="14.25" customHeight="1">
      <c r="A366" s="24"/>
      <c r="B366" s="240"/>
      <c r="C366" s="241"/>
      <c r="D366" s="242"/>
      <c r="E366" s="243"/>
      <c r="F366" s="244"/>
      <c r="G366" s="245"/>
      <c r="H366" s="190"/>
      <c r="I366" s="190"/>
      <c r="J366" s="187"/>
      <c r="K366" s="187"/>
      <c r="L366" s="252" t="str">
        <f>IFERROR(__xludf.DUMMYFUNCTION("IF(
  AND(D366=""Saída"", J366=""Sangria""),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9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</row>
    <row r="367" ht="14.25" customHeight="1">
      <c r="A367" s="24"/>
      <c r="B367" s="240"/>
      <c r="C367" s="241"/>
      <c r="D367" s="242"/>
      <c r="E367" s="243"/>
      <c r="F367" s="244"/>
      <c r="G367" s="245"/>
      <c r="H367" s="190"/>
      <c r="I367" s="190"/>
      <c r="J367" s="187"/>
      <c r="K367" s="189"/>
      <c r="L367" s="252" t="str">
        <f>IFERROR(__xludf.DUMMYFUNCTION("IF(
  AND(D367=""Saída"", J367=""Sangria""),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8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85"/>
    </row>
    <row r="368" ht="14.25" customHeight="1">
      <c r="A368" s="24"/>
      <c r="B368" s="240"/>
      <c r="C368" s="241"/>
      <c r="D368" s="242"/>
      <c r="E368" s="243"/>
      <c r="F368" s="244"/>
      <c r="G368" s="245"/>
      <c r="H368" s="190"/>
      <c r="I368" s="190"/>
      <c r="J368" s="187"/>
      <c r="K368" s="189"/>
      <c r="L368" s="252" t="str">
        <f>IFERROR(__xludf.DUMMYFUNCTION("IF(
  AND(D368=""Saída"", J368=""Sangria""),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9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  <c r="AB368" s="185"/>
      <c r="AC368" s="185"/>
      <c r="AD368" s="185"/>
      <c r="AE368" s="185"/>
    </row>
    <row r="369" ht="14.25" customHeight="1">
      <c r="A369" s="24"/>
      <c r="B369" s="240"/>
      <c r="C369" s="241"/>
      <c r="D369" s="242"/>
      <c r="E369" s="243"/>
      <c r="F369" s="249"/>
      <c r="G369" s="245"/>
      <c r="H369" s="190"/>
      <c r="I369" s="190"/>
      <c r="J369" s="187"/>
      <c r="K369" s="187"/>
      <c r="L369" s="252" t="str">
        <f>IFERROR(__xludf.DUMMYFUNCTION("IF(
  AND(D369=""Saída"", J369=""Sangria""),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8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  <c r="AC369" s="185"/>
      <c r="AD369" s="185"/>
      <c r="AE369" s="185"/>
    </row>
    <row r="370" ht="14.25" customHeight="1">
      <c r="A370" s="24"/>
      <c r="B370" s="240"/>
      <c r="C370" s="241"/>
      <c r="D370" s="242"/>
      <c r="E370" s="243"/>
      <c r="F370" s="244"/>
      <c r="G370" s="245"/>
      <c r="H370" s="190"/>
      <c r="I370" s="190"/>
      <c r="J370" s="187"/>
      <c r="K370" s="187"/>
      <c r="L370" s="252" t="str">
        <f>IFERROR(__xludf.DUMMYFUNCTION("IF(
  AND(D370=""Saída"", J370=""Sangria""),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9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  <c r="AB370" s="185"/>
      <c r="AC370" s="185"/>
      <c r="AD370" s="185"/>
      <c r="AE370" s="185"/>
    </row>
    <row r="371" ht="14.25" customHeight="1">
      <c r="A371" s="24"/>
      <c r="B371" s="240"/>
      <c r="C371" s="241"/>
      <c r="D371" s="242"/>
      <c r="E371" s="243"/>
      <c r="F371" s="244"/>
      <c r="G371" s="245"/>
      <c r="H371" s="190"/>
      <c r="I371" s="190"/>
      <c r="J371" s="187"/>
      <c r="K371" s="187"/>
      <c r="L371" s="252" t="str">
        <f>IFERROR(__xludf.DUMMYFUNCTION("IF(
  AND(D371=""Saída"", J371=""Sangria""),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8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  <c r="AB371" s="185"/>
      <c r="AC371" s="185"/>
      <c r="AD371" s="185"/>
      <c r="AE371" s="185"/>
    </row>
    <row r="372" ht="14.25" customHeight="1">
      <c r="A372" s="24"/>
      <c r="B372" s="240"/>
      <c r="C372" s="241"/>
      <c r="D372" s="242"/>
      <c r="E372" s="243"/>
      <c r="F372" s="249"/>
      <c r="G372" s="245"/>
      <c r="H372" s="190"/>
      <c r="I372" s="190"/>
      <c r="J372" s="187"/>
      <c r="K372" s="187"/>
      <c r="L372" s="252" t="str">
        <f>IFERROR(__xludf.DUMMYFUNCTION("IF(
  AND(D372=""Saída"", J372=""Sangria""),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9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  <c r="AB372" s="185"/>
      <c r="AC372" s="185"/>
      <c r="AD372" s="185"/>
      <c r="AE372" s="185"/>
    </row>
    <row r="373" ht="14.25" customHeight="1">
      <c r="A373" s="24"/>
      <c r="B373" s="240"/>
      <c r="C373" s="241"/>
      <c r="D373" s="242"/>
      <c r="E373" s="243"/>
      <c r="F373" s="244"/>
      <c r="G373" s="245"/>
      <c r="H373" s="190"/>
      <c r="I373" s="190"/>
      <c r="J373" s="187"/>
      <c r="K373" s="187"/>
      <c r="L373" s="252" t="str">
        <f>IFERROR(__xludf.DUMMYFUNCTION("IF(
  AND(D373=""Saída"", J373=""Sangria""),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8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  <c r="AC373" s="185"/>
      <c r="AD373" s="185"/>
      <c r="AE373" s="185"/>
    </row>
    <row r="374" ht="14.25" customHeight="1">
      <c r="A374" s="24"/>
      <c r="B374" s="240"/>
      <c r="C374" s="198"/>
      <c r="D374" s="242"/>
      <c r="E374" s="243"/>
      <c r="F374" s="244"/>
      <c r="G374" s="245"/>
      <c r="H374" s="190"/>
      <c r="I374" s="190"/>
      <c r="J374" s="187"/>
      <c r="K374" s="189"/>
      <c r="L374" s="252" t="str">
        <f>IFERROR(__xludf.DUMMYFUNCTION("IF(
  AND(D374=""Saída"", J374=""Sangria""),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9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  <c r="AB374" s="185"/>
      <c r="AC374" s="185"/>
      <c r="AD374" s="185"/>
      <c r="AE374" s="185"/>
    </row>
    <row r="375" ht="14.25" customHeight="1">
      <c r="A375" s="24"/>
      <c r="B375" s="240"/>
      <c r="C375" s="198"/>
      <c r="D375" s="242"/>
      <c r="E375" s="243"/>
      <c r="F375" s="244"/>
      <c r="G375" s="255"/>
      <c r="H375" s="190"/>
      <c r="I375" s="190"/>
      <c r="J375" s="187"/>
      <c r="K375" s="187"/>
      <c r="L375" s="252" t="str">
        <f>IFERROR(__xludf.DUMMYFUNCTION("IF(
  AND(D375=""Saída"", J375=""Sangria""),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8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  <c r="AB375" s="185"/>
      <c r="AC375" s="185"/>
      <c r="AD375" s="185"/>
      <c r="AE375" s="185"/>
    </row>
    <row r="376" ht="14.25" customHeight="1">
      <c r="A376" s="24"/>
      <c r="B376" s="240"/>
      <c r="C376" s="241"/>
      <c r="D376" s="242"/>
      <c r="E376" s="243"/>
      <c r="F376" s="244"/>
      <c r="G376" s="245"/>
      <c r="H376" s="190"/>
      <c r="I376" s="190"/>
      <c r="J376" s="187"/>
      <c r="K376" s="187"/>
      <c r="L376" s="252" t="str">
        <f>IFERROR(__xludf.DUMMYFUNCTION("IF(
  AND(D376=""Saída"", J376=""Sangria""),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9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  <c r="AC376" s="185"/>
      <c r="AD376" s="185"/>
      <c r="AE376" s="185"/>
    </row>
    <row r="377" ht="14.25" customHeight="1">
      <c r="A377" s="24"/>
      <c r="B377" s="240"/>
      <c r="C377" s="241"/>
      <c r="D377" s="242"/>
      <c r="E377" s="243"/>
      <c r="F377" s="244"/>
      <c r="G377" s="245"/>
      <c r="H377" s="190"/>
      <c r="I377" s="190"/>
      <c r="J377" s="198"/>
      <c r="K377" s="187"/>
      <c r="L377" s="252" t="str">
        <f>IFERROR(__xludf.DUMMYFUNCTION("IF(
  AND(D377=""Saída"", J377=""Sangria""),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8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  <c r="AB377" s="185"/>
      <c r="AC377" s="185"/>
      <c r="AD377" s="185"/>
      <c r="AE377" s="185"/>
    </row>
    <row r="378" ht="14.25" customHeight="1">
      <c r="A378" s="24"/>
      <c r="B378" s="240"/>
      <c r="C378" s="241"/>
      <c r="D378" s="242"/>
      <c r="E378" s="243"/>
      <c r="F378" s="244"/>
      <c r="G378" s="245"/>
      <c r="H378" s="190"/>
      <c r="I378" s="190"/>
      <c r="J378" s="187"/>
      <c r="K378" s="189"/>
      <c r="L378" s="252" t="str">
        <f>IFERROR(__xludf.DUMMYFUNCTION("IF(
  AND(D378=""Saída"", J378=""Sangria""),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9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185"/>
      <c r="AE378" s="185"/>
    </row>
    <row r="379" ht="14.25" customHeight="1">
      <c r="A379" s="24"/>
      <c r="B379" s="240"/>
      <c r="C379" s="241"/>
      <c r="D379" s="242"/>
      <c r="E379" s="243"/>
      <c r="F379" s="244"/>
      <c r="G379" s="245"/>
      <c r="H379" s="190"/>
      <c r="I379" s="190"/>
      <c r="J379" s="187"/>
      <c r="K379" s="189"/>
      <c r="L379" s="252" t="str">
        <f>IFERROR(__xludf.DUMMYFUNCTION("IF(
  AND(D379=""Saída"", J379=""Sangria""),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8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  <c r="AC379" s="185"/>
      <c r="AD379" s="185"/>
      <c r="AE379" s="185"/>
    </row>
    <row r="380" ht="14.25" customHeight="1">
      <c r="A380" s="24"/>
      <c r="B380" s="257"/>
      <c r="C380" s="198"/>
      <c r="D380" s="242"/>
      <c r="E380" s="243"/>
      <c r="F380" s="244"/>
      <c r="G380" s="245"/>
      <c r="H380" s="190"/>
      <c r="I380" s="190"/>
      <c r="J380" s="187"/>
      <c r="K380" s="187"/>
      <c r="L380" s="252" t="str">
        <f>IFERROR(__xludf.DUMMYFUNCTION("IF(
  AND(D380=""Saída"", J380=""Sangria""),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9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  <c r="AC380" s="185"/>
      <c r="AD380" s="185"/>
      <c r="AE380" s="185"/>
    </row>
    <row r="381" ht="14.25" customHeight="1">
      <c r="A381" s="24"/>
      <c r="B381" s="240"/>
      <c r="C381" s="198"/>
      <c r="D381" s="242"/>
      <c r="E381" s="243"/>
      <c r="F381" s="244"/>
      <c r="G381" s="245"/>
      <c r="H381" s="190"/>
      <c r="I381" s="190"/>
      <c r="J381" s="187"/>
      <c r="K381" s="189"/>
      <c r="L381" s="252" t="str">
        <f>IFERROR(__xludf.DUMMYFUNCTION("IF(
  AND(D381=""Saída"", J381=""Sangria""),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8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  <c r="AC381" s="185"/>
      <c r="AD381" s="185"/>
      <c r="AE381" s="185"/>
    </row>
    <row r="382" ht="14.25" customHeight="1">
      <c r="A382" s="24"/>
      <c r="B382" s="240"/>
      <c r="C382" s="241"/>
      <c r="D382" s="242"/>
      <c r="E382" s="243"/>
      <c r="F382" s="249"/>
      <c r="G382" s="245"/>
      <c r="H382" s="190"/>
      <c r="I382" s="190"/>
      <c r="J382" s="187"/>
      <c r="K382" s="189"/>
      <c r="L382" s="252" t="str">
        <f>IFERROR(__xludf.DUMMYFUNCTION("IF(
  AND(D382=""Saída"", J382=""Sangria""),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9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</row>
    <row r="383" ht="14.25" customHeight="1">
      <c r="A383" s="24"/>
      <c r="B383" s="240"/>
      <c r="C383" s="198"/>
      <c r="D383" s="242"/>
      <c r="E383" s="243"/>
      <c r="F383" s="244"/>
      <c r="G383" s="245"/>
      <c r="H383" s="190"/>
      <c r="I383" s="190"/>
      <c r="J383" s="187"/>
      <c r="K383" s="187"/>
      <c r="L383" s="252" t="str">
        <f>IFERROR(__xludf.DUMMYFUNCTION("IF(
  AND(D383=""Saída"", J383=""Sangria""),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8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</row>
    <row r="384" ht="14.25" customHeight="1">
      <c r="A384" s="24"/>
      <c r="B384" s="240"/>
      <c r="C384" s="241"/>
      <c r="D384" s="242"/>
      <c r="E384" s="243"/>
      <c r="F384" s="249"/>
      <c r="G384" s="245"/>
      <c r="H384" s="190"/>
      <c r="I384" s="190"/>
      <c r="J384" s="187"/>
      <c r="K384" s="187"/>
      <c r="L384" s="252" t="str">
        <f>IFERROR(__xludf.DUMMYFUNCTION("IF(
  AND(D384=""Saída"", J384=""Sangria""),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9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  <c r="AB384" s="185"/>
      <c r="AC384" s="185"/>
      <c r="AD384" s="185"/>
      <c r="AE384" s="185"/>
    </row>
    <row r="385" ht="14.25" customHeight="1">
      <c r="A385" s="24"/>
      <c r="B385" s="240"/>
      <c r="C385" s="241"/>
      <c r="D385" s="242"/>
      <c r="E385" s="243"/>
      <c r="F385" s="249"/>
      <c r="G385" s="245"/>
      <c r="H385" s="190"/>
      <c r="I385" s="190"/>
      <c r="J385" s="187"/>
      <c r="K385" s="189"/>
      <c r="L385" s="252" t="str">
        <f>IFERROR(__xludf.DUMMYFUNCTION("IF(
  AND(D385=""Saída"", J385=""Sangria""),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8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  <c r="AB385" s="185"/>
      <c r="AC385" s="185"/>
      <c r="AD385" s="185"/>
      <c r="AE385" s="185"/>
    </row>
    <row r="386" ht="14.25" customHeight="1">
      <c r="A386" s="24"/>
      <c r="B386" s="240"/>
      <c r="C386" s="241"/>
      <c r="D386" s="242"/>
      <c r="E386" s="243"/>
      <c r="F386" s="249"/>
      <c r="G386" s="245"/>
      <c r="H386" s="190"/>
      <c r="I386" s="190"/>
      <c r="J386" s="187"/>
      <c r="K386" s="189"/>
      <c r="L386" s="252" t="str">
        <f>IFERROR(__xludf.DUMMYFUNCTION("IF(
  AND(D386=""Saída"", J386=""Sangria""),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9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  <c r="AC386" s="185"/>
      <c r="AD386" s="185"/>
      <c r="AE386" s="185"/>
    </row>
    <row r="387" ht="14.25" customHeight="1">
      <c r="A387" s="24"/>
      <c r="B387" s="240"/>
      <c r="C387" s="241"/>
      <c r="D387" s="242"/>
      <c r="E387" s="243"/>
      <c r="F387" s="249"/>
      <c r="G387" s="245"/>
      <c r="H387" s="190"/>
      <c r="I387" s="190"/>
      <c r="J387" s="187"/>
      <c r="K387" s="189"/>
      <c r="L387" s="252" t="str">
        <f>IFERROR(__xludf.DUMMYFUNCTION("IF(
  AND(D387=""Saída"", J387=""Sangria""),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8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</row>
    <row r="388" ht="14.25" customHeight="1">
      <c r="A388" s="24"/>
      <c r="B388" s="240"/>
      <c r="C388" s="241"/>
      <c r="D388" s="242"/>
      <c r="E388" s="243"/>
      <c r="F388" s="249"/>
      <c r="G388" s="245"/>
      <c r="H388" s="190"/>
      <c r="I388" s="190"/>
      <c r="J388" s="187"/>
      <c r="K388" s="189"/>
      <c r="L388" s="252" t="str">
        <f>IFERROR(__xludf.DUMMYFUNCTION("IF(
  AND(D388=""Saída"", J388=""Sangria""),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9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  <c r="AB388" s="185"/>
      <c r="AC388" s="185"/>
      <c r="AD388" s="185"/>
      <c r="AE388" s="185"/>
    </row>
    <row r="389" ht="14.25" customHeight="1">
      <c r="A389" s="24"/>
      <c r="B389" s="240"/>
      <c r="C389" s="241"/>
      <c r="D389" s="242"/>
      <c r="E389" s="243"/>
      <c r="F389" s="249"/>
      <c r="G389" s="245"/>
      <c r="H389" s="190"/>
      <c r="I389" s="190"/>
      <c r="J389" s="198"/>
      <c r="K389" s="189"/>
      <c r="L389" s="252" t="str">
        <f>IFERROR(__xludf.DUMMYFUNCTION("IF(
  AND(D389=""Saída"", J389=""Sangria""),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8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  <c r="AC389" s="185"/>
      <c r="AD389" s="185"/>
      <c r="AE389" s="185"/>
    </row>
    <row r="390" ht="14.25" customHeight="1">
      <c r="A390" s="24"/>
      <c r="B390" s="240"/>
      <c r="C390" s="241"/>
      <c r="D390" s="242"/>
      <c r="E390" s="243"/>
      <c r="F390" s="249"/>
      <c r="G390" s="245"/>
      <c r="H390" s="190"/>
      <c r="I390" s="190"/>
      <c r="J390" s="187"/>
      <c r="K390" s="187"/>
      <c r="L390" s="252" t="str">
        <f>IFERROR(__xludf.DUMMYFUNCTION("IF(
  AND(D390=""Saída"", J390=""Sangria""),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9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  <c r="AB390" s="185"/>
      <c r="AC390" s="185"/>
      <c r="AD390" s="185"/>
      <c r="AE390" s="185"/>
    </row>
    <row r="391" ht="14.25" customHeight="1">
      <c r="A391" s="24"/>
      <c r="B391" s="240"/>
      <c r="C391" s="241"/>
      <c r="D391" s="242"/>
      <c r="E391" s="243"/>
      <c r="F391" s="249"/>
      <c r="G391" s="245"/>
      <c r="H391" s="190"/>
      <c r="I391" s="190"/>
      <c r="J391" s="187"/>
      <c r="K391" s="189"/>
      <c r="L391" s="252" t="str">
        <f>IFERROR(__xludf.DUMMYFUNCTION("IF(
  AND(D391=""Saída"", J391=""Sangria""),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8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  <c r="AB391" s="185"/>
      <c r="AC391" s="185"/>
      <c r="AD391" s="185"/>
      <c r="AE391" s="185"/>
    </row>
    <row r="392" ht="14.25" customHeight="1">
      <c r="A392" s="24"/>
      <c r="B392" s="240"/>
      <c r="C392" s="241"/>
      <c r="D392" s="242"/>
      <c r="E392" s="243"/>
      <c r="F392" s="249"/>
      <c r="G392" s="245"/>
      <c r="H392" s="190"/>
      <c r="I392" s="190"/>
      <c r="J392" s="187"/>
      <c r="K392" s="187"/>
      <c r="L392" s="252" t="str">
        <f>IFERROR(__xludf.DUMMYFUNCTION("IF(
  AND(D392=""Saída"", J392=""Sangria""),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9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  <c r="AB392" s="185"/>
      <c r="AC392" s="185"/>
      <c r="AD392" s="185"/>
      <c r="AE392" s="185"/>
    </row>
    <row r="393" ht="14.25" customHeight="1">
      <c r="A393" s="24"/>
      <c r="B393" s="240"/>
      <c r="C393" s="241"/>
      <c r="D393" s="242"/>
      <c r="E393" s="243"/>
      <c r="F393" s="249"/>
      <c r="G393" s="245"/>
      <c r="H393" s="190"/>
      <c r="I393" s="190"/>
      <c r="J393" s="187"/>
      <c r="K393" s="187"/>
      <c r="L393" s="252" t="str">
        <f>IFERROR(__xludf.DUMMYFUNCTION("IF(
  AND(D393=""Saída"", J393=""Sangria""),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8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  <c r="AC393" s="185"/>
      <c r="AD393" s="185"/>
      <c r="AE393" s="185"/>
    </row>
    <row r="394" ht="14.25" customHeight="1">
      <c r="A394" s="24"/>
      <c r="B394" s="240"/>
      <c r="C394" s="259"/>
      <c r="D394" s="242"/>
      <c r="E394" s="243"/>
      <c r="F394" s="190"/>
      <c r="G394" s="245"/>
      <c r="H394" s="190"/>
      <c r="I394" s="190"/>
      <c r="J394" s="189"/>
      <c r="K394" s="189"/>
      <c r="L394" s="252" t="str">
        <f>IFERROR(__xludf.DUMMYFUNCTION("IF(
  AND(D394=""Saída"", J394=""Sangria""),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9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</row>
    <row r="395" ht="14.25" customHeight="1">
      <c r="A395" s="24"/>
      <c r="B395" s="260"/>
      <c r="C395" s="259"/>
      <c r="D395" s="242"/>
      <c r="E395" s="243"/>
      <c r="F395" s="190"/>
      <c r="G395" s="245"/>
      <c r="H395" s="190"/>
      <c r="I395" s="190"/>
      <c r="J395" s="189"/>
      <c r="K395" s="189"/>
      <c r="L395" s="252" t="str">
        <f>IFERROR(__xludf.DUMMYFUNCTION("IF(
  AND(D395=""Saída"", J395=""Sangria""),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8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</row>
    <row r="396" ht="14.25" customHeight="1">
      <c r="A396" s="24"/>
      <c r="B396" s="260"/>
      <c r="C396" s="259"/>
      <c r="D396" s="242"/>
      <c r="E396" s="243"/>
      <c r="F396" s="190"/>
      <c r="G396" s="245"/>
      <c r="H396" s="190"/>
      <c r="I396" s="190"/>
      <c r="J396" s="189"/>
      <c r="K396" s="189"/>
      <c r="L396" s="252" t="str">
        <f>IFERROR(__xludf.DUMMYFUNCTION("IF(
  AND(D396=""Saída"", J396=""Sangria""),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9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  <c r="AB396" s="185"/>
      <c r="AC396" s="185"/>
      <c r="AD396" s="185"/>
      <c r="AE396" s="185"/>
    </row>
    <row r="397" ht="14.25" customHeight="1">
      <c r="A397" s="24"/>
      <c r="B397" s="260"/>
      <c r="C397" s="259"/>
      <c r="D397" s="242"/>
      <c r="E397" s="243"/>
      <c r="F397" s="190"/>
      <c r="G397" s="245"/>
      <c r="H397" s="190"/>
      <c r="I397" s="190"/>
      <c r="J397" s="189"/>
      <c r="K397" s="189"/>
      <c r="L397" s="252" t="str">
        <f>IFERROR(__xludf.DUMMYFUNCTION("IF(
  AND(D397=""Saída"", J397=""Sangria""),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8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  <c r="AB397" s="185"/>
      <c r="AC397" s="185"/>
      <c r="AD397" s="185"/>
      <c r="AE397" s="185"/>
    </row>
    <row r="398" ht="14.25" customHeight="1">
      <c r="A398" s="24"/>
      <c r="B398" s="260"/>
      <c r="C398" s="259"/>
      <c r="D398" s="242"/>
      <c r="E398" s="243"/>
      <c r="F398" s="190"/>
      <c r="G398" s="245"/>
      <c r="H398" s="190"/>
      <c r="I398" s="190"/>
      <c r="J398" s="189"/>
      <c r="K398" s="189"/>
      <c r="L398" s="252" t="str">
        <f>IFERROR(__xludf.DUMMYFUNCTION("IF(
  AND(D398=""Saída"", J398=""Sangria""),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9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  <c r="AC398" s="185"/>
      <c r="AD398" s="185"/>
      <c r="AE398" s="185"/>
    </row>
    <row r="399" ht="14.25" customHeight="1">
      <c r="A399" s="24"/>
      <c r="B399" s="260"/>
      <c r="C399" s="259"/>
      <c r="D399" s="242"/>
      <c r="E399" s="243"/>
      <c r="F399" s="190"/>
      <c r="G399" s="245"/>
      <c r="H399" s="190"/>
      <c r="I399" s="190"/>
      <c r="J399" s="189"/>
      <c r="K399" s="189"/>
      <c r="L399" s="252" t="str">
        <f>IFERROR(__xludf.DUMMYFUNCTION("IF(
  AND(D399=""Saída"", J399=""Sangria""),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8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</row>
    <row r="400" ht="14.25" customHeight="1">
      <c r="A400" s="24"/>
      <c r="B400" s="260"/>
      <c r="C400" s="259"/>
      <c r="D400" s="242"/>
      <c r="E400" s="243"/>
      <c r="F400" s="190"/>
      <c r="G400" s="245"/>
      <c r="H400" s="190"/>
      <c r="I400" s="190"/>
      <c r="J400" s="189"/>
      <c r="K400" s="189"/>
      <c r="L400" s="252" t="str">
        <f>IFERROR(__xludf.DUMMYFUNCTION("IF(
  AND(D400=""Saída"", J400=""Sangria""),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9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</row>
    <row r="401" ht="14.25" customHeight="1">
      <c r="A401" s="24"/>
      <c r="B401" s="260"/>
      <c r="C401" s="259"/>
      <c r="D401" s="242"/>
      <c r="E401" s="243"/>
      <c r="F401" s="190"/>
      <c r="G401" s="245"/>
      <c r="H401" s="190"/>
      <c r="I401" s="190"/>
      <c r="J401" s="189"/>
      <c r="K401" s="189"/>
      <c r="L401" s="252" t="str">
        <f>IFERROR(__xludf.DUMMYFUNCTION("IF(
  AND(D401=""Saída"", J401=""Sangria""),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8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  <c r="AB401" s="185"/>
      <c r="AC401" s="185"/>
      <c r="AD401" s="185"/>
      <c r="AE401" s="185"/>
    </row>
    <row r="402" ht="14.25" customHeight="1">
      <c r="A402" s="24"/>
      <c r="B402" s="260"/>
      <c r="C402" s="259"/>
      <c r="D402" s="242"/>
      <c r="E402" s="243"/>
      <c r="F402" s="190"/>
      <c r="G402" s="245"/>
      <c r="H402" s="190"/>
      <c r="I402" s="190"/>
      <c r="J402" s="189"/>
      <c r="K402" s="189"/>
      <c r="L402" s="252" t="str">
        <f>IFERROR(__xludf.DUMMYFUNCTION("IF(
  AND(D402=""Saída"", J402=""Sangria""),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9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  <c r="AB402" s="185"/>
      <c r="AC402" s="185"/>
      <c r="AD402" s="185"/>
      <c r="AE402" s="185"/>
    </row>
    <row r="403" ht="14.25" customHeight="1">
      <c r="A403" s="24"/>
      <c r="B403" s="260"/>
      <c r="C403" s="259"/>
      <c r="D403" s="242"/>
      <c r="E403" s="243"/>
      <c r="F403" s="190"/>
      <c r="G403" s="245"/>
      <c r="H403" s="190"/>
      <c r="I403" s="190"/>
      <c r="J403" s="189"/>
      <c r="K403" s="189"/>
      <c r="L403" s="252" t="str">
        <f>IFERROR(__xludf.DUMMYFUNCTION("IF(
  AND(D403=""Saída"", J403=""Sangria""),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8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</row>
    <row r="404" ht="14.25" customHeight="1">
      <c r="A404" s="24"/>
      <c r="B404" s="260"/>
      <c r="C404" s="259"/>
      <c r="D404" s="242"/>
      <c r="E404" s="243"/>
      <c r="F404" s="190"/>
      <c r="G404" s="245"/>
      <c r="H404" s="190"/>
      <c r="I404" s="190"/>
      <c r="J404" s="189"/>
      <c r="K404" s="189"/>
      <c r="L404" s="252" t="str">
        <f>IFERROR(__xludf.DUMMYFUNCTION("IF(
  AND(D404=""Saída"", J404=""Sangria""),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9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  <c r="AC404" s="185"/>
      <c r="AD404" s="185"/>
      <c r="AE404" s="185"/>
    </row>
    <row r="405" ht="14.25" customHeight="1">
      <c r="A405" s="24"/>
      <c r="B405" s="260"/>
      <c r="C405" s="259"/>
      <c r="D405" s="242"/>
      <c r="E405" s="243"/>
      <c r="F405" s="190"/>
      <c r="G405" s="245"/>
      <c r="H405" s="190"/>
      <c r="I405" s="190"/>
      <c r="J405" s="189"/>
      <c r="K405" s="189"/>
      <c r="L405" s="252" t="str">
        <f>IFERROR(__xludf.DUMMYFUNCTION("IF(
  AND(D405=""Saída"", J405=""Sangria""),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8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  <c r="AB405" s="185"/>
      <c r="AC405" s="185"/>
      <c r="AD405" s="185"/>
      <c r="AE405" s="185"/>
    </row>
    <row r="406" ht="14.25" customHeight="1">
      <c r="A406" s="24"/>
      <c r="B406" s="260"/>
      <c r="C406" s="259"/>
      <c r="D406" s="242"/>
      <c r="E406" s="261"/>
      <c r="F406" s="190"/>
      <c r="G406" s="245"/>
      <c r="H406" s="190"/>
      <c r="I406" s="190"/>
      <c r="J406" s="189"/>
      <c r="K406" s="189"/>
      <c r="L406" s="252" t="str">
        <f>IFERROR(__xludf.DUMMYFUNCTION("IF(
  AND(D406=""Saída"", J406=""Sangria""),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9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  <c r="AB406" s="185"/>
      <c r="AC406" s="185"/>
      <c r="AD406" s="185"/>
      <c r="AE406" s="185"/>
    </row>
    <row r="407" ht="14.25" customHeight="1">
      <c r="A407" s="24"/>
      <c r="B407" s="260"/>
      <c r="C407" s="259"/>
      <c r="D407" s="242"/>
      <c r="E407" s="261"/>
      <c r="F407" s="190"/>
      <c r="G407" s="262"/>
      <c r="H407" s="190"/>
      <c r="I407" s="190"/>
      <c r="J407" s="189"/>
      <c r="K407" s="189"/>
      <c r="L407" s="252" t="str">
        <f>IFERROR(__xludf.DUMMYFUNCTION("IF(
  AND(D407=""Saída"", J407=""Sangria""),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8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  <c r="AC407" s="185"/>
      <c r="AD407" s="185"/>
      <c r="AE407" s="185"/>
    </row>
    <row r="408" ht="14.25" customHeight="1">
      <c r="A408" s="24"/>
      <c r="B408" s="260"/>
      <c r="C408" s="259"/>
      <c r="D408" s="242"/>
      <c r="E408" s="261"/>
      <c r="F408" s="190"/>
      <c r="G408" s="262"/>
      <c r="H408" s="190"/>
      <c r="I408" s="190"/>
      <c r="J408" s="189"/>
      <c r="K408" s="189"/>
      <c r="L408" s="252" t="str">
        <f>IFERROR(__xludf.DUMMYFUNCTION("IF(
  AND(D408=""Saída"", J408=""Sangria""),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9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85"/>
      <c r="AC408" s="185"/>
      <c r="AD408" s="185"/>
      <c r="AE408" s="185"/>
    </row>
    <row r="409" ht="14.25" customHeight="1">
      <c r="A409" s="24"/>
      <c r="B409" s="260"/>
      <c r="C409" s="259"/>
      <c r="D409" s="242"/>
      <c r="E409" s="261"/>
      <c r="F409" s="190"/>
      <c r="G409" s="262"/>
      <c r="H409" s="190"/>
      <c r="I409" s="190"/>
      <c r="J409" s="189"/>
      <c r="K409" s="189"/>
      <c r="L409" s="252" t="str">
        <f>IFERROR(__xludf.DUMMYFUNCTION("IF(
  AND(D409=""Saída"", J409=""Sangria""),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8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  <c r="AB409" s="185"/>
      <c r="AC409" s="185"/>
      <c r="AD409" s="185"/>
      <c r="AE409" s="185"/>
    </row>
    <row r="410" ht="14.25" customHeight="1">
      <c r="A410" s="24"/>
      <c r="B410" s="260"/>
      <c r="C410" s="259"/>
      <c r="D410" s="242"/>
      <c r="E410" s="261"/>
      <c r="F410" s="190"/>
      <c r="G410" s="262"/>
      <c r="H410" s="190"/>
      <c r="I410" s="190"/>
      <c r="J410" s="189"/>
      <c r="K410" s="189"/>
      <c r="L410" s="252" t="str">
        <f>IFERROR(__xludf.DUMMYFUNCTION("IF(
  AND(D410=""Saída"", J410=""Sangria""),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9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  <c r="AB410" s="185"/>
      <c r="AC410" s="185"/>
      <c r="AD410" s="185"/>
      <c r="AE410" s="185"/>
    </row>
    <row r="411" ht="14.25" customHeight="1">
      <c r="A411" s="24"/>
      <c r="B411" s="260"/>
      <c r="C411" s="259"/>
      <c r="D411" s="190"/>
      <c r="E411" s="261"/>
      <c r="F411" s="190"/>
      <c r="G411" s="262"/>
      <c r="H411" s="190"/>
      <c r="I411" s="190"/>
      <c r="J411" s="189"/>
      <c r="K411" s="189"/>
      <c r="L411" s="252" t="str">
        <f>IFERROR(__xludf.DUMMYFUNCTION("IF(
  AND(D411=""Saída"", J411=""Sangria""),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8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  <c r="AB411" s="185"/>
      <c r="AC411" s="185"/>
      <c r="AD411" s="185"/>
      <c r="AE411" s="185"/>
    </row>
    <row r="412" ht="14.25" customHeight="1">
      <c r="A412" s="24"/>
      <c r="B412" s="260"/>
      <c r="C412" s="259"/>
      <c r="D412" s="190"/>
      <c r="E412" s="261"/>
      <c r="F412" s="190"/>
      <c r="G412" s="262"/>
      <c r="H412" s="190"/>
      <c r="I412" s="190"/>
      <c r="J412" s="189"/>
      <c r="K412" s="189"/>
      <c r="L412" s="252" t="str">
        <f>IFERROR(__xludf.DUMMYFUNCTION("IF(
  AND(D412=""Saída"", J412=""Sangria""),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9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  <c r="AC412" s="185"/>
      <c r="AD412" s="185"/>
      <c r="AE412" s="185"/>
    </row>
    <row r="413" ht="14.25" customHeight="1">
      <c r="A413" s="24"/>
      <c r="B413" s="260"/>
      <c r="C413" s="259"/>
      <c r="D413" s="190"/>
      <c r="E413" s="261"/>
      <c r="F413" s="190"/>
      <c r="G413" s="262"/>
      <c r="H413" s="190"/>
      <c r="I413" s="190"/>
      <c r="J413" s="189"/>
      <c r="K413" s="189"/>
      <c r="L413" s="252" t="str">
        <f>IFERROR(__xludf.DUMMYFUNCTION("IF(
  AND(D413=""Saída"", J413=""Sangria""),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8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  <c r="AB413" s="185"/>
      <c r="AC413" s="185"/>
      <c r="AD413" s="185"/>
      <c r="AE413" s="185"/>
    </row>
    <row r="414" ht="14.25" customHeight="1">
      <c r="A414" s="24"/>
      <c r="B414" s="260"/>
      <c r="C414" s="259"/>
      <c r="D414" s="190"/>
      <c r="E414" s="261"/>
      <c r="F414" s="190"/>
      <c r="G414" s="262"/>
      <c r="H414" s="190"/>
      <c r="I414" s="190"/>
      <c r="J414" s="189"/>
      <c r="K414" s="189"/>
      <c r="L414" s="252" t="str">
        <f>IFERROR(__xludf.DUMMYFUNCTION("IF(
  AND(D414=""Saída"", J414=""Sangria""),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9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  <c r="AB414" s="185"/>
      <c r="AC414" s="185"/>
      <c r="AD414" s="185"/>
      <c r="AE414" s="185"/>
    </row>
    <row r="415" ht="14.25" customHeight="1">
      <c r="A415" s="24"/>
      <c r="B415" s="260"/>
      <c r="C415" s="259"/>
      <c r="D415" s="190"/>
      <c r="E415" s="261"/>
      <c r="F415" s="190"/>
      <c r="G415" s="262"/>
      <c r="H415" s="190"/>
      <c r="I415" s="190"/>
      <c r="J415" s="189"/>
      <c r="K415" s="189"/>
      <c r="L415" s="252" t="str">
        <f>IFERROR(__xludf.DUMMYFUNCTION("IF(
  AND(D415=""Saída"", J415=""Sangria""),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8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  <c r="AC415" s="185"/>
      <c r="AD415" s="185"/>
      <c r="AE415" s="185"/>
    </row>
    <row r="416" ht="14.25" customHeight="1">
      <c r="A416" s="24"/>
      <c r="B416" s="260"/>
      <c r="C416" s="259"/>
      <c r="D416" s="190"/>
      <c r="E416" s="261"/>
      <c r="F416" s="190"/>
      <c r="G416" s="262"/>
      <c r="H416" s="190"/>
      <c r="I416" s="190"/>
      <c r="J416" s="189"/>
      <c r="K416" s="189"/>
      <c r="L416" s="252" t="str">
        <f>IFERROR(__xludf.DUMMYFUNCTION("IF(
  AND(D416=""Saída"", J416=""Sangria""),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9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  <c r="AB416" s="185"/>
      <c r="AC416" s="185"/>
      <c r="AD416" s="185"/>
      <c r="AE416" s="185"/>
    </row>
    <row r="417" ht="14.25" customHeight="1">
      <c r="A417" s="24"/>
      <c r="B417" s="260"/>
      <c r="C417" s="259"/>
      <c r="D417" s="190"/>
      <c r="E417" s="261"/>
      <c r="F417" s="190"/>
      <c r="G417" s="262"/>
      <c r="H417" s="190"/>
      <c r="I417" s="190"/>
      <c r="J417" s="189"/>
      <c r="K417" s="189"/>
      <c r="L417" s="252" t="str">
        <f>IFERROR(__xludf.DUMMYFUNCTION("IF(
  AND(D417=""Saída"", J417=""Sangria""),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8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  <c r="AB417" s="185"/>
      <c r="AC417" s="185"/>
      <c r="AD417" s="185"/>
      <c r="AE417" s="185"/>
    </row>
    <row r="418" ht="14.25" customHeight="1">
      <c r="A418" s="24"/>
      <c r="B418" s="260"/>
      <c r="C418" s="259"/>
      <c r="D418" s="190"/>
      <c r="E418" s="261"/>
      <c r="F418" s="190"/>
      <c r="G418" s="262"/>
      <c r="H418" s="190"/>
      <c r="I418" s="190"/>
      <c r="J418" s="189"/>
      <c r="K418" s="189"/>
      <c r="L418" s="252" t="str">
        <f>IFERROR(__xludf.DUMMYFUNCTION("IF(
  AND(D418=""Saída"", J418=""Sangria""),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9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</row>
    <row r="419" ht="14.25" customHeight="1">
      <c r="A419" s="24"/>
      <c r="B419" s="260"/>
      <c r="C419" s="259"/>
      <c r="D419" s="190"/>
      <c r="E419" s="261"/>
      <c r="F419" s="190"/>
      <c r="G419" s="262"/>
      <c r="H419" s="190"/>
      <c r="I419" s="190"/>
      <c r="J419" s="189"/>
      <c r="K419" s="189"/>
      <c r="L419" s="252" t="str">
        <f>IFERROR(__xludf.DUMMYFUNCTION("IF(
  AND(D419=""Saída"", J419=""Sangria""),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8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  <c r="AB419" s="185"/>
      <c r="AC419" s="185"/>
      <c r="AD419" s="185"/>
      <c r="AE419" s="185"/>
    </row>
    <row r="420" ht="14.25" customHeight="1">
      <c r="A420" s="24"/>
      <c r="B420" s="260"/>
      <c r="C420" s="259"/>
      <c r="D420" s="190"/>
      <c r="E420" s="261"/>
      <c r="F420" s="190"/>
      <c r="G420" s="262"/>
      <c r="H420" s="190"/>
      <c r="I420" s="190"/>
      <c r="J420" s="189"/>
      <c r="K420" s="189"/>
      <c r="L420" s="252" t="str">
        <f>IFERROR(__xludf.DUMMYFUNCTION("IF(
  AND(D420=""Saída"", J420=""Sangria""),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9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  <c r="AB420" s="185"/>
      <c r="AC420" s="185"/>
      <c r="AD420" s="185"/>
      <c r="AE420" s="185"/>
    </row>
    <row r="421" ht="14.25" customHeight="1">
      <c r="A421" s="24"/>
      <c r="B421" s="260"/>
      <c r="C421" s="259"/>
      <c r="D421" s="190"/>
      <c r="E421" s="261"/>
      <c r="F421" s="190"/>
      <c r="G421" s="262"/>
      <c r="H421" s="190"/>
      <c r="I421" s="190"/>
      <c r="J421" s="189"/>
      <c r="K421" s="189"/>
      <c r="L421" s="252" t="str">
        <f>IFERROR(__xludf.DUMMYFUNCTION("IF(
  AND(D421=""Saída"", J421=""Sangria""),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8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  <c r="AB421" s="185"/>
      <c r="AC421" s="185"/>
      <c r="AD421" s="185"/>
      <c r="AE421" s="185"/>
    </row>
    <row r="422" ht="14.25" customHeight="1">
      <c r="A422" s="24"/>
      <c r="B422" s="260"/>
      <c r="C422" s="259"/>
      <c r="D422" s="190"/>
      <c r="E422" s="261"/>
      <c r="F422" s="190"/>
      <c r="G422" s="262"/>
      <c r="H422" s="190"/>
      <c r="I422" s="190"/>
      <c r="J422" s="189"/>
      <c r="K422" s="189"/>
      <c r="L422" s="252" t="str">
        <f>IFERROR(__xludf.DUMMYFUNCTION("IF(
  AND(D422=""Saída"", J422=""Sangria""),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9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</row>
    <row r="423" ht="14.25" customHeight="1">
      <c r="A423" s="24"/>
      <c r="B423" s="260"/>
      <c r="C423" s="259"/>
      <c r="D423" s="190"/>
      <c r="E423" s="261"/>
      <c r="F423" s="190"/>
      <c r="G423" s="262"/>
      <c r="H423" s="190"/>
      <c r="I423" s="190"/>
      <c r="J423" s="189"/>
      <c r="K423" s="189"/>
      <c r="L423" s="252" t="str">
        <f>IFERROR(__xludf.DUMMYFUNCTION("IF(
  AND(D423=""Saída"", J423=""Sangria""),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8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85"/>
      <c r="AC423" s="185"/>
      <c r="AD423" s="185"/>
      <c r="AE423" s="185"/>
    </row>
    <row r="424" ht="14.25" customHeight="1">
      <c r="A424" s="24"/>
      <c r="B424" s="260"/>
      <c r="C424" s="259"/>
      <c r="D424" s="190"/>
      <c r="E424" s="261"/>
      <c r="F424" s="190"/>
      <c r="G424" s="262"/>
      <c r="H424" s="190"/>
      <c r="I424" s="190"/>
      <c r="J424" s="189"/>
      <c r="K424" s="189"/>
      <c r="L424" s="252" t="str">
        <f>IFERROR(__xludf.DUMMYFUNCTION("IF(
  AND(D424=""Saída"", J424=""Sangria""),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9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</row>
    <row r="425" ht="14.25" customHeight="1">
      <c r="A425" s="24"/>
      <c r="B425" s="260"/>
      <c r="C425" s="259"/>
      <c r="D425" s="190"/>
      <c r="E425" s="261"/>
      <c r="F425" s="190"/>
      <c r="G425" s="262"/>
      <c r="H425" s="190"/>
      <c r="I425" s="190"/>
      <c r="J425" s="189"/>
      <c r="K425" s="189"/>
      <c r="L425" s="252" t="str">
        <f>IFERROR(__xludf.DUMMYFUNCTION("IF(
  AND(D425=""Saída"", J425=""Sangria""),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8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  <c r="AB425" s="185"/>
      <c r="AC425" s="185"/>
      <c r="AD425" s="185"/>
      <c r="AE425" s="185"/>
    </row>
    <row r="426" ht="14.25" customHeight="1">
      <c r="A426" s="24"/>
      <c r="B426" s="260"/>
      <c r="C426" s="259"/>
      <c r="D426" s="190"/>
      <c r="E426" s="261"/>
      <c r="F426" s="190"/>
      <c r="G426" s="262"/>
      <c r="H426" s="190"/>
      <c r="I426" s="190"/>
      <c r="J426" s="189"/>
      <c r="K426" s="189"/>
      <c r="L426" s="252" t="str">
        <f>IFERROR(__xludf.DUMMYFUNCTION("IF(
  AND(D426=""Saída"", J426=""Sangria""),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9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  <c r="AC426" s="185"/>
      <c r="AD426" s="185"/>
      <c r="AE426" s="185"/>
    </row>
    <row r="427" ht="14.25" customHeight="1">
      <c r="A427" s="24"/>
      <c r="B427" s="260"/>
      <c r="C427" s="259"/>
      <c r="D427" s="190"/>
      <c r="E427" s="261"/>
      <c r="F427" s="190"/>
      <c r="G427" s="262"/>
      <c r="H427" s="190"/>
      <c r="I427" s="190"/>
      <c r="J427" s="189"/>
      <c r="K427" s="189"/>
      <c r="L427" s="252" t="str">
        <f>IFERROR(__xludf.DUMMYFUNCTION("IF(
  AND(D427=""Saída"", J427=""Sangria""),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8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  <c r="AB427" s="185"/>
      <c r="AC427" s="185"/>
      <c r="AD427" s="185"/>
      <c r="AE427" s="185"/>
    </row>
    <row r="428" ht="14.25" customHeight="1">
      <c r="A428" s="24"/>
      <c r="B428" s="260"/>
      <c r="C428" s="259"/>
      <c r="D428" s="190"/>
      <c r="E428" s="261"/>
      <c r="F428" s="190"/>
      <c r="G428" s="262"/>
      <c r="H428" s="190"/>
      <c r="I428" s="190"/>
      <c r="J428" s="189"/>
      <c r="K428" s="189"/>
      <c r="L428" s="252" t="str">
        <f>IFERROR(__xludf.DUMMYFUNCTION("IF(
  AND(D428=""Saída"", J428=""Sangria""),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9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  <c r="AC428" s="185"/>
      <c r="AD428" s="185"/>
      <c r="AE428" s="185"/>
    </row>
    <row r="429" ht="14.25" customHeight="1">
      <c r="A429" s="24"/>
      <c r="B429" s="260"/>
      <c r="C429" s="259"/>
      <c r="D429" s="190"/>
      <c r="E429" s="261"/>
      <c r="F429" s="190"/>
      <c r="G429" s="262"/>
      <c r="H429" s="190"/>
      <c r="I429" s="190"/>
      <c r="J429" s="189"/>
      <c r="K429" s="189"/>
      <c r="L429" s="252" t="str">
        <f>IFERROR(__xludf.DUMMYFUNCTION("IF(
  AND(D429=""Saída"", J429=""Sangria""),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8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85"/>
      <c r="AC429" s="185"/>
      <c r="AD429" s="185"/>
      <c r="AE429" s="185"/>
    </row>
    <row r="430" ht="14.25" customHeight="1">
      <c r="A430" s="24"/>
      <c r="B430" s="260"/>
      <c r="C430" s="259"/>
      <c r="D430" s="190"/>
      <c r="E430" s="261"/>
      <c r="F430" s="190"/>
      <c r="G430" s="262"/>
      <c r="H430" s="190"/>
      <c r="I430" s="190"/>
      <c r="J430" s="189"/>
      <c r="K430" s="189"/>
      <c r="L430" s="252" t="str">
        <f>IFERROR(__xludf.DUMMYFUNCTION("IF(
  AND(D430=""Saída"", J430=""Sangria""),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9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  <c r="AB430" s="185"/>
      <c r="AC430" s="185"/>
      <c r="AD430" s="185"/>
      <c r="AE430" s="185"/>
    </row>
    <row r="431" ht="14.25" customHeight="1">
      <c r="A431" s="24"/>
      <c r="B431" s="260"/>
      <c r="C431" s="259"/>
      <c r="D431" s="190"/>
      <c r="E431" s="261"/>
      <c r="F431" s="190"/>
      <c r="G431" s="262"/>
      <c r="H431" s="190"/>
      <c r="I431" s="190"/>
      <c r="J431" s="189"/>
      <c r="K431" s="189"/>
      <c r="L431" s="252" t="str">
        <f>IFERROR(__xludf.DUMMYFUNCTION("IF(
  AND(D431=""Saída"", J431=""Sangria""),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8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  <c r="AB431" s="185"/>
      <c r="AC431" s="185"/>
      <c r="AD431" s="185"/>
      <c r="AE431" s="185"/>
    </row>
    <row r="432" ht="14.25" customHeight="1">
      <c r="A432" s="24"/>
      <c r="B432" s="260"/>
      <c r="C432" s="259"/>
      <c r="D432" s="190"/>
      <c r="E432" s="261"/>
      <c r="F432" s="190"/>
      <c r="G432" s="262"/>
      <c r="H432" s="190"/>
      <c r="I432" s="190"/>
      <c r="J432" s="189"/>
      <c r="K432" s="189"/>
      <c r="L432" s="252" t="str">
        <f>IFERROR(__xludf.DUMMYFUNCTION("IF(
  AND(D432=""Saída"", J432=""Sangria""),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9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  <c r="AB432" s="185"/>
      <c r="AC432" s="185"/>
      <c r="AD432" s="185"/>
      <c r="AE432" s="185"/>
    </row>
    <row r="433" ht="14.25" customHeight="1">
      <c r="A433" s="24"/>
      <c r="B433" s="260"/>
      <c r="C433" s="259"/>
      <c r="D433" s="190"/>
      <c r="E433" s="261"/>
      <c r="F433" s="190"/>
      <c r="G433" s="262"/>
      <c r="H433" s="190"/>
      <c r="I433" s="190"/>
      <c r="J433" s="189"/>
      <c r="K433" s="189"/>
      <c r="L433" s="252" t="str">
        <f>IFERROR(__xludf.DUMMYFUNCTION("IF(
  AND(D433=""Saída"", J433=""Sangria""),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8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  <c r="AB433" s="185"/>
      <c r="AC433" s="185"/>
      <c r="AD433" s="185"/>
      <c r="AE433" s="185"/>
    </row>
    <row r="434" ht="14.25" customHeight="1">
      <c r="A434" s="24"/>
      <c r="B434" s="260"/>
      <c r="C434" s="259"/>
      <c r="D434" s="190"/>
      <c r="E434" s="261"/>
      <c r="F434" s="190"/>
      <c r="G434" s="262"/>
      <c r="H434" s="190"/>
      <c r="I434" s="190"/>
      <c r="J434" s="189"/>
      <c r="K434" s="189"/>
      <c r="L434" s="252" t="str">
        <f>IFERROR(__xludf.DUMMYFUNCTION("IF(
  AND(D434=""Saída"", J434=""Sangria""),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9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  <c r="AB434" s="185"/>
      <c r="AC434" s="185"/>
      <c r="AD434" s="185"/>
      <c r="AE434" s="185"/>
    </row>
    <row r="435" ht="14.25" customHeight="1">
      <c r="A435" s="24"/>
      <c r="B435" s="260"/>
      <c r="C435" s="259"/>
      <c r="D435" s="190"/>
      <c r="E435" s="261"/>
      <c r="F435" s="190"/>
      <c r="G435" s="262"/>
      <c r="H435" s="190"/>
      <c r="I435" s="190"/>
      <c r="J435" s="189"/>
      <c r="K435" s="189"/>
      <c r="L435" s="252" t="str">
        <f>IFERROR(__xludf.DUMMYFUNCTION("IF(
  AND(D435=""Saída"", J435=""Sangria""),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8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  <c r="AB435" s="185"/>
      <c r="AC435" s="185"/>
      <c r="AD435" s="185"/>
      <c r="AE435" s="185"/>
    </row>
    <row r="436" ht="14.25" customHeight="1">
      <c r="A436" s="24"/>
      <c r="B436" s="260"/>
      <c r="C436" s="259"/>
      <c r="D436" s="190"/>
      <c r="E436" s="261"/>
      <c r="F436" s="190"/>
      <c r="G436" s="262"/>
      <c r="H436" s="190"/>
      <c r="I436" s="190"/>
      <c r="J436" s="189"/>
      <c r="K436" s="189"/>
      <c r="L436" s="252" t="str">
        <f>IFERROR(__xludf.DUMMYFUNCTION("IF(
  AND(D436=""Saída"", J436=""Sangria""),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9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  <c r="AB436" s="185"/>
      <c r="AC436" s="185"/>
      <c r="AD436" s="185"/>
      <c r="AE436" s="185"/>
    </row>
    <row r="437" ht="14.25" customHeight="1">
      <c r="A437" s="24"/>
      <c r="B437" s="260"/>
      <c r="C437" s="259"/>
      <c r="D437" s="190"/>
      <c r="E437" s="261"/>
      <c r="F437" s="190"/>
      <c r="G437" s="262"/>
      <c r="H437" s="190"/>
      <c r="I437" s="190"/>
      <c r="J437" s="189"/>
      <c r="K437" s="189"/>
      <c r="L437" s="252" t="str">
        <f>IFERROR(__xludf.DUMMYFUNCTION("IF(
  AND(D437=""Saída"", J437=""Sangria""),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8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  <c r="AB437" s="185"/>
      <c r="AC437" s="185"/>
      <c r="AD437" s="185"/>
      <c r="AE437" s="185"/>
    </row>
    <row r="438" ht="14.25" customHeight="1">
      <c r="A438" s="24"/>
      <c r="B438" s="260"/>
      <c r="C438" s="259"/>
      <c r="D438" s="190"/>
      <c r="E438" s="261"/>
      <c r="F438" s="190"/>
      <c r="G438" s="262"/>
      <c r="H438" s="190"/>
      <c r="I438" s="190"/>
      <c r="J438" s="189"/>
      <c r="K438" s="189"/>
      <c r="L438" s="252" t="str">
        <f>IFERROR(__xludf.DUMMYFUNCTION("IF(
  AND(D438=""Saída"", J438=""Sangria""),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9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  <c r="AC438" s="185"/>
      <c r="AD438" s="185"/>
      <c r="AE438" s="185"/>
    </row>
    <row r="439" ht="14.25" customHeight="1">
      <c r="A439" s="24"/>
      <c r="B439" s="260"/>
      <c r="C439" s="259"/>
      <c r="D439" s="190"/>
      <c r="E439" s="261"/>
      <c r="F439" s="190"/>
      <c r="G439" s="262"/>
      <c r="H439" s="190"/>
      <c r="I439" s="190"/>
      <c r="J439" s="189"/>
      <c r="K439" s="189"/>
      <c r="L439" s="252" t="str">
        <f>IFERROR(__xludf.DUMMYFUNCTION("IF(
  AND(D439=""Saída"", J439=""Sangria""),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8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85"/>
      <c r="AC439" s="185"/>
      <c r="AD439" s="185"/>
      <c r="AE439" s="185"/>
    </row>
    <row r="440" ht="14.25" customHeight="1">
      <c r="A440" s="24"/>
      <c r="B440" s="260"/>
      <c r="C440" s="259"/>
      <c r="D440" s="190"/>
      <c r="E440" s="261"/>
      <c r="F440" s="190"/>
      <c r="G440" s="262"/>
      <c r="H440" s="190"/>
      <c r="I440" s="190"/>
      <c r="J440" s="189"/>
      <c r="K440" s="189"/>
      <c r="L440" s="252" t="str">
        <f>IFERROR(__xludf.DUMMYFUNCTION("IF(
  AND(D440=""Saída"", J440=""Sangria""),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9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  <c r="AB440" s="185"/>
      <c r="AC440" s="185"/>
      <c r="AD440" s="185"/>
      <c r="AE440" s="185"/>
    </row>
    <row r="441" ht="14.25" customHeight="1">
      <c r="A441" s="24"/>
      <c r="B441" s="260"/>
      <c r="C441" s="259"/>
      <c r="D441" s="190"/>
      <c r="E441" s="261"/>
      <c r="F441" s="190"/>
      <c r="G441" s="262"/>
      <c r="H441" s="190"/>
      <c r="I441" s="190"/>
      <c r="J441" s="189"/>
      <c r="K441" s="189"/>
      <c r="L441" s="252" t="str">
        <f>IFERROR(__xludf.DUMMYFUNCTION("IF(
  AND(D441=""Saída"", J441=""Sangria""),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8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  <c r="AB441" s="185"/>
      <c r="AC441" s="185"/>
      <c r="AD441" s="185"/>
      <c r="AE441" s="185"/>
    </row>
    <row r="442" ht="14.25" customHeight="1">
      <c r="A442" s="24"/>
      <c r="B442" s="260"/>
      <c r="C442" s="259"/>
      <c r="D442" s="190"/>
      <c r="E442" s="261"/>
      <c r="F442" s="190"/>
      <c r="G442" s="262"/>
      <c r="H442" s="190"/>
      <c r="I442" s="190"/>
      <c r="J442" s="189"/>
      <c r="K442" s="189"/>
      <c r="L442" s="252" t="str">
        <f>IFERROR(__xludf.DUMMYFUNCTION("IF(
  AND(D442=""Saída"", J442=""Sangria""),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9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  <c r="AB442" s="185"/>
      <c r="AC442" s="185"/>
      <c r="AD442" s="185"/>
      <c r="AE442" s="185"/>
    </row>
    <row r="443" ht="14.25" customHeight="1">
      <c r="A443" s="24"/>
      <c r="B443" s="260"/>
      <c r="C443" s="259"/>
      <c r="D443" s="190"/>
      <c r="E443" s="261"/>
      <c r="F443" s="190"/>
      <c r="G443" s="262"/>
      <c r="H443" s="190"/>
      <c r="I443" s="190"/>
      <c r="J443" s="189"/>
      <c r="K443" s="189"/>
      <c r="L443" s="252" t="str">
        <f>IFERROR(__xludf.DUMMYFUNCTION("IF(
  AND(D443=""Saída"", J443=""Sangria""),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8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  <c r="AB443" s="185"/>
      <c r="AC443" s="185"/>
      <c r="AD443" s="185"/>
      <c r="AE443" s="185"/>
    </row>
    <row r="444" ht="14.25" customHeight="1">
      <c r="A444" s="24"/>
      <c r="B444" s="260"/>
      <c r="C444" s="259"/>
      <c r="D444" s="190"/>
      <c r="E444" s="261"/>
      <c r="F444" s="190"/>
      <c r="G444" s="262"/>
      <c r="H444" s="190"/>
      <c r="I444" s="190"/>
      <c r="J444" s="189"/>
      <c r="K444" s="189"/>
      <c r="L444" s="252" t="str">
        <f>IFERROR(__xludf.DUMMYFUNCTION("IF(
  AND(D444=""Saída"", J444=""Sangria""),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9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  <c r="AB444" s="185"/>
      <c r="AC444" s="185"/>
      <c r="AD444" s="185"/>
      <c r="AE444" s="185"/>
    </row>
    <row r="445" ht="14.25" customHeight="1">
      <c r="A445" s="24"/>
      <c r="B445" s="260"/>
      <c r="C445" s="259"/>
      <c r="D445" s="190"/>
      <c r="E445" s="261"/>
      <c r="F445" s="190"/>
      <c r="G445" s="262"/>
      <c r="H445" s="190"/>
      <c r="I445" s="190"/>
      <c r="J445" s="189"/>
      <c r="K445" s="189"/>
      <c r="L445" s="252" t="str">
        <f>IFERROR(__xludf.DUMMYFUNCTION("IF(
  AND(D445=""Saída"", J445=""Sangria""),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8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  <c r="AB445" s="185"/>
      <c r="AC445" s="185"/>
      <c r="AD445" s="185"/>
      <c r="AE445" s="185"/>
    </row>
    <row r="446" ht="14.25" customHeight="1">
      <c r="A446" s="24"/>
      <c r="B446" s="260"/>
      <c r="C446" s="259"/>
      <c r="D446" s="190"/>
      <c r="E446" s="261"/>
      <c r="F446" s="190"/>
      <c r="G446" s="262"/>
      <c r="H446" s="190"/>
      <c r="I446" s="190"/>
      <c r="J446" s="189"/>
      <c r="K446" s="189"/>
      <c r="L446" s="252" t="str">
        <f>IFERROR(__xludf.DUMMYFUNCTION("IF(
  AND(D446=""Saída"", J446=""Sangria""),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9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  <c r="AC446" s="185"/>
      <c r="AD446" s="185"/>
      <c r="AE446" s="185"/>
    </row>
    <row r="447" ht="14.25" customHeight="1">
      <c r="A447" s="24"/>
      <c r="B447" s="260"/>
      <c r="C447" s="259"/>
      <c r="D447" s="190"/>
      <c r="E447" s="261"/>
      <c r="F447" s="190"/>
      <c r="G447" s="262"/>
      <c r="H447" s="190"/>
      <c r="I447" s="190"/>
      <c r="J447" s="189"/>
      <c r="K447" s="189"/>
      <c r="L447" s="252" t="str">
        <f>IFERROR(__xludf.DUMMYFUNCTION("IF(
  AND(D447=""Saída"", J447=""Sangria""),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8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  <c r="AB447" s="185"/>
      <c r="AC447" s="185"/>
      <c r="AD447" s="185"/>
      <c r="AE447" s="185"/>
    </row>
    <row r="448" ht="14.25" customHeight="1">
      <c r="A448" s="24"/>
      <c r="B448" s="260"/>
      <c r="C448" s="259"/>
      <c r="D448" s="190"/>
      <c r="E448" s="261"/>
      <c r="F448" s="190"/>
      <c r="G448" s="262"/>
      <c r="H448" s="190"/>
      <c r="I448" s="190"/>
      <c r="J448" s="189"/>
      <c r="K448" s="189"/>
      <c r="L448" s="252" t="str">
        <f>IFERROR(__xludf.DUMMYFUNCTION("IF(
  AND(D448=""Saída"", J448=""Sangria""),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9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  <c r="AC448" s="185"/>
      <c r="AD448" s="185"/>
      <c r="AE448" s="185"/>
    </row>
    <row r="449" ht="14.25" customHeight="1">
      <c r="A449" s="24"/>
      <c r="B449" s="260"/>
      <c r="C449" s="259"/>
      <c r="D449" s="190"/>
      <c r="E449" s="261"/>
      <c r="F449" s="190"/>
      <c r="G449" s="262"/>
      <c r="H449" s="190"/>
      <c r="I449" s="190"/>
      <c r="J449" s="189"/>
      <c r="K449" s="189"/>
      <c r="L449" s="252" t="str">
        <f>IFERROR(__xludf.DUMMYFUNCTION("IF(
  AND(D449=""Saída"", J449=""Sangria""),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8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  <c r="AB449" s="185"/>
      <c r="AC449" s="185"/>
      <c r="AD449" s="185"/>
      <c r="AE449" s="185"/>
    </row>
    <row r="450" ht="14.25" customHeight="1">
      <c r="A450" s="24"/>
      <c r="B450" s="260"/>
      <c r="C450" s="259"/>
      <c r="D450" s="190"/>
      <c r="E450" s="261"/>
      <c r="F450" s="190"/>
      <c r="G450" s="262"/>
      <c r="H450" s="190"/>
      <c r="I450" s="190"/>
      <c r="J450" s="189"/>
      <c r="K450" s="189"/>
      <c r="L450" s="252" t="str">
        <f>IFERROR(__xludf.DUMMYFUNCTION("IF(
  AND(D450=""Saída"", J450=""Sangria""),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9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</row>
    <row r="451" ht="14.25" customHeight="1">
      <c r="A451" s="24"/>
      <c r="B451" s="260"/>
      <c r="C451" s="259"/>
      <c r="D451" s="190"/>
      <c r="E451" s="261"/>
      <c r="F451" s="190"/>
      <c r="G451" s="262"/>
      <c r="H451" s="190"/>
      <c r="I451" s="190"/>
      <c r="J451" s="189"/>
      <c r="K451" s="189"/>
      <c r="L451" s="252" t="str">
        <f>IFERROR(__xludf.DUMMYFUNCTION("IF(
  AND(D451=""Saída"", J451=""Sangria""),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8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  <c r="AB451" s="185"/>
      <c r="AC451" s="185"/>
      <c r="AD451" s="185"/>
      <c r="AE451" s="185"/>
    </row>
    <row r="452" ht="14.25" customHeight="1">
      <c r="A452" s="24"/>
      <c r="B452" s="260"/>
      <c r="C452" s="259"/>
      <c r="D452" s="190"/>
      <c r="E452" s="261"/>
      <c r="F452" s="190"/>
      <c r="G452" s="262"/>
      <c r="H452" s="190"/>
      <c r="I452" s="190"/>
      <c r="J452" s="189"/>
      <c r="K452" s="189"/>
      <c r="L452" s="252" t="str">
        <f>IFERROR(__xludf.DUMMYFUNCTION("IF(
  AND(D452=""Saída"", J452=""Sangria""),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9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  <c r="AB452" s="185"/>
      <c r="AC452" s="185"/>
      <c r="AD452" s="185"/>
      <c r="AE452" s="185"/>
    </row>
    <row r="453" ht="14.25" customHeight="1">
      <c r="A453" s="24"/>
      <c r="B453" s="260"/>
      <c r="C453" s="259"/>
      <c r="D453" s="190"/>
      <c r="E453" s="261"/>
      <c r="F453" s="190"/>
      <c r="G453" s="262"/>
      <c r="H453" s="190"/>
      <c r="I453" s="190"/>
      <c r="J453" s="189"/>
      <c r="K453" s="189"/>
      <c r="L453" s="252" t="str">
        <f>IFERROR(__xludf.DUMMYFUNCTION("IF(
  AND(D453=""Saída"", J453=""Sangria""),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8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  <c r="AB453" s="185"/>
      <c r="AC453" s="185"/>
      <c r="AD453" s="185"/>
      <c r="AE453" s="185"/>
    </row>
    <row r="454" ht="14.25" customHeight="1">
      <c r="A454" s="24"/>
      <c r="B454" s="260"/>
      <c r="C454" s="259"/>
      <c r="D454" s="190"/>
      <c r="E454" s="261"/>
      <c r="F454" s="190"/>
      <c r="G454" s="262"/>
      <c r="H454" s="190"/>
      <c r="I454" s="190"/>
      <c r="J454" s="189"/>
      <c r="K454" s="189"/>
      <c r="L454" s="252" t="str">
        <f>IFERROR(__xludf.DUMMYFUNCTION("IF(
  AND(D454=""Saída"", J454=""Sangria""),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9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  <c r="AB454" s="185"/>
      <c r="AC454" s="185"/>
      <c r="AD454" s="185"/>
      <c r="AE454" s="185"/>
    </row>
    <row r="455" ht="14.25" customHeight="1">
      <c r="A455" s="24"/>
      <c r="B455" s="260"/>
      <c r="C455" s="259"/>
      <c r="D455" s="190"/>
      <c r="E455" s="261"/>
      <c r="F455" s="190"/>
      <c r="G455" s="262"/>
      <c r="H455" s="190"/>
      <c r="I455" s="190"/>
      <c r="J455" s="189"/>
      <c r="K455" s="189"/>
      <c r="L455" s="252" t="str">
        <f>IFERROR(__xludf.DUMMYFUNCTION("IF(
  AND(D455=""Saída"", J455=""Sangria""),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8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  <c r="AB455" s="185"/>
      <c r="AC455" s="185"/>
      <c r="AD455" s="185"/>
      <c r="AE455" s="185"/>
    </row>
    <row r="456" ht="14.25" customHeight="1">
      <c r="A456" s="24"/>
      <c r="B456" s="260"/>
      <c r="C456" s="259"/>
      <c r="D456" s="190"/>
      <c r="E456" s="261"/>
      <c r="F456" s="190"/>
      <c r="G456" s="262"/>
      <c r="H456" s="190"/>
      <c r="I456" s="190"/>
      <c r="J456" s="189"/>
      <c r="K456" s="189"/>
      <c r="L456" s="252" t="str">
        <f>IFERROR(__xludf.DUMMYFUNCTION("IF(
  AND(D456=""Saída"", J456=""Sangria""),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9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  <c r="AC456" s="185"/>
      <c r="AD456" s="185"/>
      <c r="AE456" s="185"/>
    </row>
    <row r="457" ht="14.25" customHeight="1">
      <c r="A457" s="24"/>
      <c r="B457" s="260"/>
      <c r="C457" s="259"/>
      <c r="D457" s="190"/>
      <c r="E457" s="261"/>
      <c r="F457" s="190"/>
      <c r="G457" s="262"/>
      <c r="H457" s="190"/>
      <c r="I457" s="190"/>
      <c r="J457" s="189"/>
      <c r="K457" s="189"/>
      <c r="L457" s="252" t="str">
        <f>IFERROR(__xludf.DUMMYFUNCTION("IF(
  AND(D457=""Saída"", J457=""Sangria""),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8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85"/>
      <c r="AC457" s="185"/>
      <c r="AD457" s="185"/>
      <c r="AE457" s="185"/>
    </row>
    <row r="458" ht="14.25" customHeight="1">
      <c r="A458" s="24"/>
      <c r="B458" s="260"/>
      <c r="C458" s="259"/>
      <c r="D458" s="190"/>
      <c r="E458" s="261"/>
      <c r="F458" s="190"/>
      <c r="G458" s="262"/>
      <c r="H458" s="190"/>
      <c r="I458" s="190"/>
      <c r="J458" s="189"/>
      <c r="K458" s="189"/>
      <c r="L458" s="252" t="str">
        <f>IFERROR(__xludf.DUMMYFUNCTION("IF(
  AND(D458=""Saída"", J458=""Sangria""),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9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  <c r="AB458" s="185"/>
      <c r="AC458" s="185"/>
      <c r="AD458" s="185"/>
      <c r="AE458" s="185"/>
    </row>
    <row r="459" ht="14.25" customHeight="1">
      <c r="A459" s="24"/>
      <c r="B459" s="260"/>
      <c r="C459" s="259"/>
      <c r="D459" s="190"/>
      <c r="E459" s="261"/>
      <c r="F459" s="190"/>
      <c r="G459" s="262"/>
      <c r="H459" s="190"/>
      <c r="I459" s="190"/>
      <c r="J459" s="189"/>
      <c r="K459" s="189"/>
      <c r="L459" s="252" t="str">
        <f>IFERROR(__xludf.DUMMYFUNCTION("IF(
  AND(D459=""Saída"", J459=""Sangria""),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8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  <c r="AB459" s="185"/>
      <c r="AC459" s="185"/>
      <c r="AD459" s="185"/>
      <c r="AE459" s="185"/>
    </row>
    <row r="460" ht="14.25" customHeight="1">
      <c r="A460" s="24"/>
      <c r="B460" s="260"/>
      <c r="C460" s="259"/>
      <c r="D460" s="190"/>
      <c r="E460" s="261"/>
      <c r="F460" s="190"/>
      <c r="G460" s="262"/>
      <c r="H460" s="190"/>
      <c r="I460" s="190"/>
      <c r="J460" s="189"/>
      <c r="K460" s="189"/>
      <c r="L460" s="252" t="str">
        <f>IFERROR(__xludf.DUMMYFUNCTION("IF(
  AND(D460=""Saída"", J460=""Sangria""),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9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  <c r="AC460" s="185"/>
      <c r="AD460" s="185"/>
      <c r="AE460" s="185"/>
    </row>
    <row r="461" ht="14.25" customHeight="1">
      <c r="A461" s="24"/>
      <c r="B461" s="260"/>
      <c r="C461" s="259"/>
      <c r="D461" s="190"/>
      <c r="E461" s="261"/>
      <c r="F461" s="190"/>
      <c r="G461" s="262"/>
      <c r="H461" s="190"/>
      <c r="I461" s="190"/>
      <c r="J461" s="189"/>
      <c r="K461" s="189"/>
      <c r="L461" s="252" t="str">
        <f>IFERROR(__xludf.DUMMYFUNCTION("IF(
  AND(D461=""Saída"", J461=""Sangria""),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8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  <c r="AB461" s="185"/>
      <c r="AC461" s="185"/>
      <c r="AD461" s="185"/>
      <c r="AE461" s="185"/>
    </row>
    <row r="462" ht="14.25" customHeight="1">
      <c r="A462" s="24"/>
      <c r="B462" s="260"/>
      <c r="C462" s="259"/>
      <c r="D462" s="190"/>
      <c r="E462" s="261"/>
      <c r="F462" s="190"/>
      <c r="G462" s="262"/>
      <c r="H462" s="190"/>
      <c r="I462" s="190"/>
      <c r="J462" s="189"/>
      <c r="K462" s="189"/>
      <c r="L462" s="252" t="str">
        <f>IFERROR(__xludf.DUMMYFUNCTION("IF(
  AND(D462=""Saída"", J462=""Sangria""),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9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  <c r="AB462" s="185"/>
      <c r="AC462" s="185"/>
      <c r="AD462" s="185"/>
      <c r="AE462" s="185"/>
    </row>
    <row r="463" ht="14.25" customHeight="1">
      <c r="A463" s="24"/>
      <c r="B463" s="260"/>
      <c r="C463" s="259"/>
      <c r="D463" s="190"/>
      <c r="E463" s="261"/>
      <c r="F463" s="190"/>
      <c r="G463" s="262"/>
      <c r="H463" s="190"/>
      <c r="I463" s="190"/>
      <c r="J463" s="189"/>
      <c r="K463" s="189"/>
      <c r="L463" s="252" t="str">
        <f>IFERROR(__xludf.DUMMYFUNCTION("IF(
  AND(D463=""Saída"", J463=""Sangria""),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8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  <c r="AB463" s="185"/>
      <c r="AC463" s="185"/>
      <c r="AD463" s="185"/>
      <c r="AE463" s="185"/>
    </row>
    <row r="464" ht="14.25" customHeight="1">
      <c r="A464" s="24"/>
      <c r="B464" s="260"/>
      <c r="C464" s="259"/>
      <c r="D464" s="190"/>
      <c r="E464" s="261"/>
      <c r="F464" s="190"/>
      <c r="G464" s="262"/>
      <c r="H464" s="190"/>
      <c r="I464" s="190"/>
      <c r="J464" s="189"/>
      <c r="K464" s="189"/>
      <c r="L464" s="252" t="str">
        <f>IFERROR(__xludf.DUMMYFUNCTION("IF(
  AND(D464=""Saída"", J464=""Sangria""),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9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</row>
    <row r="465" ht="14.25" customHeight="1">
      <c r="A465" s="24"/>
      <c r="B465" s="260"/>
      <c r="C465" s="259"/>
      <c r="D465" s="190"/>
      <c r="E465" s="261"/>
      <c r="F465" s="190"/>
      <c r="G465" s="262"/>
      <c r="H465" s="190"/>
      <c r="I465" s="190"/>
      <c r="J465" s="189"/>
      <c r="K465" s="189"/>
      <c r="L465" s="252" t="str">
        <f>IFERROR(__xludf.DUMMYFUNCTION("IF(
  AND(D465=""Saída"", J465=""Sangria""),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8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  <c r="AB465" s="185"/>
      <c r="AC465" s="185"/>
      <c r="AD465" s="185"/>
      <c r="AE465" s="185"/>
    </row>
    <row r="466" ht="14.25" customHeight="1">
      <c r="A466" s="24"/>
      <c r="B466" s="260"/>
      <c r="C466" s="259"/>
      <c r="D466" s="190"/>
      <c r="E466" s="261"/>
      <c r="F466" s="190"/>
      <c r="G466" s="262"/>
      <c r="H466" s="190"/>
      <c r="I466" s="190"/>
      <c r="J466" s="189"/>
      <c r="K466" s="189"/>
      <c r="L466" s="252" t="str">
        <f>IFERROR(__xludf.DUMMYFUNCTION("IF(
  AND(D466=""Saída"", J466=""Sangria""),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9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85"/>
      <c r="AC466" s="185"/>
      <c r="AD466" s="185"/>
      <c r="AE466" s="185"/>
    </row>
    <row r="467" ht="14.25" customHeight="1">
      <c r="A467" s="24"/>
      <c r="B467" s="260"/>
      <c r="C467" s="259"/>
      <c r="D467" s="190"/>
      <c r="E467" s="261"/>
      <c r="F467" s="190"/>
      <c r="G467" s="262"/>
      <c r="H467" s="190"/>
      <c r="I467" s="190"/>
      <c r="J467" s="189"/>
      <c r="K467" s="189"/>
      <c r="L467" s="252" t="str">
        <f>IFERROR(__xludf.DUMMYFUNCTION("IF(
  AND(D467=""Saída"", J467=""Sangria""),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8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  <c r="AB467" s="185"/>
      <c r="AC467" s="185"/>
      <c r="AD467" s="185"/>
      <c r="AE467" s="185"/>
    </row>
    <row r="468" ht="14.25" customHeight="1">
      <c r="A468" s="24"/>
      <c r="B468" s="260"/>
      <c r="C468" s="259"/>
      <c r="D468" s="190"/>
      <c r="E468" s="261"/>
      <c r="F468" s="190"/>
      <c r="G468" s="262"/>
      <c r="H468" s="190"/>
      <c r="I468" s="190"/>
      <c r="J468" s="189"/>
      <c r="K468" s="189"/>
      <c r="L468" s="252" t="str">
        <f>IFERROR(__xludf.DUMMYFUNCTION("IF(
  AND(D468=""Saída"", J468=""Sangria""),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9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  <c r="AB468" s="185"/>
      <c r="AC468" s="185"/>
      <c r="AD468" s="185"/>
      <c r="AE468" s="185"/>
    </row>
    <row r="469" ht="14.25" customHeight="1">
      <c r="A469" s="24"/>
      <c r="B469" s="260"/>
      <c r="C469" s="259"/>
      <c r="D469" s="190"/>
      <c r="E469" s="261"/>
      <c r="F469" s="190"/>
      <c r="G469" s="262"/>
      <c r="H469" s="190"/>
      <c r="I469" s="190"/>
      <c r="J469" s="189"/>
      <c r="K469" s="189"/>
      <c r="L469" s="252" t="str">
        <f>IFERROR(__xludf.DUMMYFUNCTION("IF(
  AND(D469=""Saída"", J469=""Sangria""),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8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  <c r="AC469" s="185"/>
      <c r="AD469" s="185"/>
      <c r="AE469" s="185"/>
    </row>
    <row r="470" ht="14.25" customHeight="1">
      <c r="A470" s="24"/>
      <c r="B470" s="260"/>
      <c r="C470" s="259"/>
      <c r="D470" s="190"/>
      <c r="E470" s="261"/>
      <c r="F470" s="190"/>
      <c r="G470" s="262"/>
      <c r="H470" s="190"/>
      <c r="I470" s="190"/>
      <c r="J470" s="189"/>
      <c r="K470" s="189"/>
      <c r="L470" s="252" t="str">
        <f>IFERROR(__xludf.DUMMYFUNCTION("IF(
  AND(D470=""Saída"", J470=""Sangria""),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9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  <c r="AB470" s="185"/>
      <c r="AC470" s="185"/>
      <c r="AD470" s="185"/>
      <c r="AE470" s="185"/>
    </row>
    <row r="471" ht="14.25" customHeight="1">
      <c r="A471" s="24"/>
      <c r="B471" s="260"/>
      <c r="C471" s="259"/>
      <c r="D471" s="190"/>
      <c r="E471" s="261"/>
      <c r="F471" s="190"/>
      <c r="G471" s="262"/>
      <c r="H471" s="190"/>
      <c r="I471" s="190"/>
      <c r="J471" s="189"/>
      <c r="K471" s="189"/>
      <c r="L471" s="252" t="str">
        <f>IFERROR(__xludf.DUMMYFUNCTION("IF(
  AND(D471=""Saída"", J471=""Sangria""),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8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  <c r="AB471" s="185"/>
      <c r="AC471" s="185"/>
      <c r="AD471" s="185"/>
      <c r="AE471" s="185"/>
    </row>
    <row r="472" ht="14.25" customHeight="1">
      <c r="A472" s="24"/>
      <c r="B472" s="260"/>
      <c r="C472" s="259"/>
      <c r="D472" s="190"/>
      <c r="E472" s="261"/>
      <c r="F472" s="190"/>
      <c r="G472" s="262"/>
      <c r="H472" s="190"/>
      <c r="I472" s="190"/>
      <c r="J472" s="189"/>
      <c r="K472" s="189"/>
      <c r="L472" s="252" t="str">
        <f>IFERROR(__xludf.DUMMYFUNCTION("IF(
  AND(D472=""Saída"", J472=""Sangria""),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9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  <c r="AB472" s="185"/>
      <c r="AC472" s="185"/>
      <c r="AD472" s="185"/>
      <c r="AE472" s="185"/>
    </row>
    <row r="473" ht="14.25" customHeight="1">
      <c r="A473" s="24"/>
      <c r="B473" s="260"/>
      <c r="C473" s="259"/>
      <c r="D473" s="190"/>
      <c r="E473" s="261"/>
      <c r="F473" s="190"/>
      <c r="G473" s="262"/>
      <c r="H473" s="190"/>
      <c r="I473" s="190"/>
      <c r="J473" s="189"/>
      <c r="K473" s="189"/>
      <c r="L473" s="252" t="str">
        <f>IFERROR(__xludf.DUMMYFUNCTION("IF(
  AND(D473=""Saída"", J473=""Sangria""),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8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  <c r="AB473" s="185"/>
      <c r="AC473" s="185"/>
      <c r="AD473" s="185"/>
      <c r="AE473" s="185"/>
    </row>
    <row r="474" ht="14.25" customHeight="1">
      <c r="A474" s="24"/>
      <c r="B474" s="260"/>
      <c r="C474" s="259"/>
      <c r="D474" s="190"/>
      <c r="E474" s="261"/>
      <c r="F474" s="190"/>
      <c r="G474" s="262"/>
      <c r="H474" s="190"/>
      <c r="I474" s="190"/>
      <c r="J474" s="189"/>
      <c r="K474" s="189"/>
      <c r="L474" s="252" t="str">
        <f>IFERROR(__xludf.DUMMYFUNCTION("IF(
  AND(D474=""Saída"", J474=""Sangria""),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9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  <c r="AB474" s="185"/>
      <c r="AC474" s="185"/>
      <c r="AD474" s="185"/>
      <c r="AE474" s="185"/>
    </row>
    <row r="475" ht="14.25" customHeight="1">
      <c r="A475" s="24"/>
      <c r="B475" s="260"/>
      <c r="C475" s="259"/>
      <c r="D475" s="190"/>
      <c r="E475" s="261"/>
      <c r="F475" s="190"/>
      <c r="G475" s="262"/>
      <c r="H475" s="190"/>
      <c r="I475" s="190"/>
      <c r="J475" s="189"/>
      <c r="K475" s="189"/>
      <c r="L475" s="252" t="str">
        <f>IFERROR(__xludf.DUMMYFUNCTION("IF(
  AND(D475=""Saída"", J475=""Sangria""),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8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  <c r="AC475" s="185"/>
      <c r="AD475" s="185"/>
      <c r="AE475" s="185"/>
    </row>
    <row r="476" ht="14.25" customHeight="1">
      <c r="A476" s="24"/>
      <c r="B476" s="260"/>
      <c r="C476" s="259"/>
      <c r="D476" s="190"/>
      <c r="E476" s="261"/>
      <c r="F476" s="190"/>
      <c r="G476" s="262"/>
      <c r="H476" s="190"/>
      <c r="I476" s="190"/>
      <c r="J476" s="189"/>
      <c r="K476" s="189"/>
      <c r="L476" s="252" t="str">
        <f>IFERROR(__xludf.DUMMYFUNCTION("IF(
  AND(D476=""Saída"", J476=""Sangria""),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9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  <c r="AB476" s="185"/>
      <c r="AC476" s="185"/>
      <c r="AD476" s="185"/>
      <c r="AE476" s="185"/>
    </row>
    <row r="477" ht="14.25" customHeight="1">
      <c r="A477" s="24"/>
      <c r="B477" s="260"/>
      <c r="C477" s="259"/>
      <c r="D477" s="190"/>
      <c r="E477" s="261"/>
      <c r="F477" s="190"/>
      <c r="G477" s="262"/>
      <c r="H477" s="190"/>
      <c r="I477" s="190"/>
      <c r="J477" s="189"/>
      <c r="K477" s="189"/>
      <c r="L477" s="252" t="str">
        <f>IFERROR(__xludf.DUMMYFUNCTION("IF(
  AND(D477=""Saída"", J477=""Sangria""),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8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  <c r="AB477" s="185"/>
      <c r="AC477" s="185"/>
      <c r="AD477" s="185"/>
      <c r="AE477" s="185"/>
    </row>
    <row r="478" ht="14.25" customHeight="1">
      <c r="A478" s="24"/>
      <c r="B478" s="260"/>
      <c r="C478" s="259"/>
      <c r="D478" s="190"/>
      <c r="E478" s="261"/>
      <c r="F478" s="190"/>
      <c r="G478" s="262"/>
      <c r="H478" s="190"/>
      <c r="I478" s="190"/>
      <c r="J478" s="189"/>
      <c r="K478" s="189"/>
      <c r="L478" s="252" t="str">
        <f>IFERROR(__xludf.DUMMYFUNCTION("IF(
  AND(D478=""Saída"", J478=""Sangria""),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9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  <c r="AC478" s="185"/>
      <c r="AD478" s="185"/>
      <c r="AE478" s="185"/>
    </row>
    <row r="479" ht="14.25" customHeight="1">
      <c r="A479" s="24"/>
      <c r="B479" s="260"/>
      <c r="C479" s="259"/>
      <c r="D479" s="190"/>
      <c r="E479" s="261"/>
      <c r="F479" s="190"/>
      <c r="G479" s="262"/>
      <c r="H479" s="190"/>
      <c r="I479" s="190"/>
      <c r="J479" s="189"/>
      <c r="K479" s="189"/>
      <c r="L479" s="252" t="str">
        <f>IFERROR(__xludf.DUMMYFUNCTION("IF(
  AND(D479=""Saída"", J479=""Sangria""),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8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  <c r="AB479" s="185"/>
      <c r="AC479" s="185"/>
      <c r="AD479" s="185"/>
      <c r="AE479" s="185"/>
    </row>
    <row r="480" ht="14.25" customHeight="1">
      <c r="A480" s="24"/>
      <c r="B480" s="260"/>
      <c r="C480" s="259"/>
      <c r="D480" s="190"/>
      <c r="E480" s="261"/>
      <c r="F480" s="190"/>
      <c r="G480" s="262"/>
      <c r="H480" s="190"/>
      <c r="I480" s="190"/>
      <c r="J480" s="189"/>
      <c r="K480" s="189"/>
      <c r="L480" s="252" t="str">
        <f>IFERROR(__xludf.DUMMYFUNCTION("IF(
  AND(D480=""Saída"", J480=""Sangria""),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9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  <c r="AC480" s="185"/>
      <c r="AD480" s="185"/>
      <c r="AE480" s="185"/>
    </row>
    <row r="481" ht="14.25" customHeight="1">
      <c r="A481" s="24"/>
      <c r="B481" s="260"/>
      <c r="C481" s="259"/>
      <c r="D481" s="190"/>
      <c r="E481" s="261"/>
      <c r="F481" s="190"/>
      <c r="G481" s="262"/>
      <c r="H481" s="190"/>
      <c r="I481" s="190"/>
      <c r="J481" s="189"/>
      <c r="K481" s="189"/>
      <c r="L481" s="252" t="str">
        <f>IFERROR(__xludf.DUMMYFUNCTION("IF(
  AND(D481=""Saída"", J481=""Sangria""),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8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</row>
    <row r="482" ht="14.25" customHeight="1">
      <c r="A482" s="24"/>
      <c r="B482" s="260"/>
      <c r="C482" s="259"/>
      <c r="D482" s="190"/>
      <c r="E482" s="261"/>
      <c r="F482" s="190"/>
      <c r="G482" s="262"/>
      <c r="H482" s="190"/>
      <c r="I482" s="190"/>
      <c r="J482" s="189"/>
      <c r="K482" s="189"/>
      <c r="L482" s="252" t="str">
        <f>IFERROR(__xludf.DUMMYFUNCTION("IF(
  AND(D482=""Saída"", J482=""Sangria""),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9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  <c r="AC482" s="185"/>
      <c r="AD482" s="185"/>
      <c r="AE482" s="185"/>
    </row>
    <row r="483" ht="14.25" customHeight="1">
      <c r="A483" s="24"/>
      <c r="B483" s="260"/>
      <c r="C483" s="259"/>
      <c r="D483" s="190"/>
      <c r="E483" s="261"/>
      <c r="F483" s="190"/>
      <c r="G483" s="262"/>
      <c r="H483" s="190"/>
      <c r="I483" s="190"/>
      <c r="J483" s="189"/>
      <c r="K483" s="189"/>
      <c r="L483" s="252" t="str">
        <f>IFERROR(__xludf.DUMMYFUNCTION("IF(
  AND(D483=""Saída"", J483=""Sangria""),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8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  <c r="AB483" s="185"/>
      <c r="AC483" s="185"/>
      <c r="AD483" s="185"/>
      <c r="AE483" s="185"/>
    </row>
    <row r="484" ht="14.25" customHeight="1">
      <c r="A484" s="24"/>
      <c r="B484" s="260"/>
      <c r="C484" s="259"/>
      <c r="D484" s="190"/>
      <c r="E484" s="261"/>
      <c r="F484" s="190"/>
      <c r="G484" s="262"/>
      <c r="H484" s="190"/>
      <c r="I484" s="190"/>
      <c r="J484" s="189"/>
      <c r="K484" s="189"/>
      <c r="L484" s="252" t="str">
        <f>IFERROR(__xludf.DUMMYFUNCTION("IF(
  AND(D484=""Saída"", J484=""Sangria""),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9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  <c r="AC484" s="185"/>
      <c r="AD484" s="185"/>
      <c r="AE484" s="185"/>
    </row>
    <row r="485" ht="14.25" customHeight="1">
      <c r="A485" s="24"/>
      <c r="B485" s="260"/>
      <c r="C485" s="259"/>
      <c r="D485" s="190"/>
      <c r="E485" s="261"/>
      <c r="F485" s="190"/>
      <c r="G485" s="262"/>
      <c r="H485" s="190"/>
      <c r="I485" s="190"/>
      <c r="J485" s="189"/>
      <c r="K485" s="189"/>
      <c r="L485" s="252" t="str">
        <f>IFERROR(__xludf.DUMMYFUNCTION("IF(
  AND(D485=""Saída"", J485=""Sangria""),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8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  <c r="AC485" s="185"/>
      <c r="AD485" s="185"/>
      <c r="AE485" s="185"/>
    </row>
    <row r="486" ht="14.25" customHeight="1">
      <c r="A486" s="24"/>
      <c r="B486" s="260"/>
      <c r="C486" s="259"/>
      <c r="D486" s="190"/>
      <c r="E486" s="261"/>
      <c r="F486" s="190"/>
      <c r="G486" s="262"/>
      <c r="H486" s="190"/>
      <c r="I486" s="190"/>
      <c r="J486" s="189"/>
      <c r="K486" s="189"/>
      <c r="L486" s="252" t="str">
        <f>IFERROR(__xludf.DUMMYFUNCTION("IF(
  AND(D486=""Saída"", J486=""Sangria""),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9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  <c r="AB486" s="185"/>
      <c r="AC486" s="185"/>
      <c r="AD486" s="185"/>
      <c r="AE486" s="185"/>
    </row>
    <row r="487" ht="14.25" customHeight="1">
      <c r="A487" s="24"/>
      <c r="B487" s="260"/>
      <c r="C487" s="259"/>
      <c r="D487" s="190"/>
      <c r="E487" s="261"/>
      <c r="F487" s="190"/>
      <c r="G487" s="262"/>
      <c r="H487" s="190"/>
      <c r="I487" s="190"/>
      <c r="J487" s="189"/>
      <c r="K487" s="189"/>
      <c r="L487" s="252" t="str">
        <f>IFERROR(__xludf.DUMMYFUNCTION("IF(
  AND(D487=""Saída"", J487=""Sangria""),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8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  <c r="AB487" s="185"/>
      <c r="AC487" s="185"/>
      <c r="AD487" s="185"/>
      <c r="AE487" s="185"/>
    </row>
    <row r="488" ht="14.25" customHeight="1">
      <c r="A488" s="24"/>
      <c r="B488" s="260"/>
      <c r="C488" s="259"/>
      <c r="D488" s="190"/>
      <c r="E488" s="261"/>
      <c r="F488" s="190"/>
      <c r="G488" s="262"/>
      <c r="H488" s="190"/>
      <c r="I488" s="190"/>
      <c r="J488" s="189"/>
      <c r="K488" s="189"/>
      <c r="L488" s="252" t="str">
        <f>IFERROR(__xludf.DUMMYFUNCTION("IF(
  AND(D488=""Saída"", J488=""Sangria""),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9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  <c r="AB488" s="185"/>
      <c r="AC488" s="185"/>
      <c r="AD488" s="185"/>
      <c r="AE488" s="185"/>
    </row>
    <row r="489" ht="14.25" customHeight="1">
      <c r="A489" s="24"/>
      <c r="B489" s="260"/>
      <c r="C489" s="259"/>
      <c r="D489" s="190"/>
      <c r="E489" s="261"/>
      <c r="F489" s="190"/>
      <c r="G489" s="262"/>
      <c r="H489" s="190"/>
      <c r="I489" s="190"/>
      <c r="J489" s="189"/>
      <c r="K489" s="189"/>
      <c r="L489" s="252" t="str">
        <f>IFERROR(__xludf.DUMMYFUNCTION("IF(
  AND(D489=""Saída"", J489=""Sangria""),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8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</row>
    <row r="490" ht="14.25" customHeight="1">
      <c r="A490" s="24"/>
      <c r="B490" s="260"/>
      <c r="C490" s="259"/>
      <c r="D490" s="190"/>
      <c r="E490" s="261"/>
      <c r="F490" s="190"/>
      <c r="G490" s="262"/>
      <c r="H490" s="190"/>
      <c r="I490" s="190"/>
      <c r="J490" s="189"/>
      <c r="K490" s="189"/>
      <c r="L490" s="252" t="str">
        <f>IFERROR(__xludf.DUMMYFUNCTION("IF(
  AND(D490=""Saída"", J490=""Sangria""),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9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  <c r="AB490" s="185"/>
      <c r="AC490" s="185"/>
      <c r="AD490" s="185"/>
      <c r="AE490" s="185"/>
    </row>
    <row r="491" ht="14.25" customHeight="1">
      <c r="A491" s="24"/>
      <c r="B491" s="260"/>
      <c r="C491" s="259"/>
      <c r="D491" s="190"/>
      <c r="E491" s="261"/>
      <c r="F491" s="190"/>
      <c r="G491" s="262"/>
      <c r="H491" s="190"/>
      <c r="I491" s="190"/>
      <c r="J491" s="189"/>
      <c r="K491" s="189"/>
      <c r="L491" s="252" t="str">
        <f>IFERROR(__xludf.DUMMYFUNCTION("IF(
  AND(D491=""Saída"", J491=""Sangria""),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8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  <c r="AB491" s="185"/>
      <c r="AC491" s="185"/>
      <c r="AD491" s="185"/>
      <c r="AE491" s="185"/>
    </row>
    <row r="492" ht="14.25" customHeight="1">
      <c r="A492" s="24"/>
      <c r="B492" s="260"/>
      <c r="C492" s="259"/>
      <c r="D492" s="190"/>
      <c r="E492" s="261"/>
      <c r="F492" s="190"/>
      <c r="G492" s="262"/>
      <c r="H492" s="190"/>
      <c r="I492" s="190"/>
      <c r="J492" s="189"/>
      <c r="K492" s="189"/>
      <c r="L492" s="252" t="str">
        <f>IFERROR(__xludf.DUMMYFUNCTION("IF(
  AND(D492=""Saída"", J492=""Sangria""),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9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  <c r="AB492" s="185"/>
      <c r="AC492" s="185"/>
      <c r="AD492" s="185"/>
      <c r="AE492" s="185"/>
    </row>
    <row r="493" ht="14.25" customHeight="1">
      <c r="A493" s="24"/>
      <c r="B493" s="260"/>
      <c r="C493" s="259"/>
      <c r="D493" s="190"/>
      <c r="E493" s="261"/>
      <c r="F493" s="190"/>
      <c r="G493" s="262"/>
      <c r="H493" s="190"/>
      <c r="I493" s="190"/>
      <c r="J493" s="189"/>
      <c r="K493" s="189"/>
      <c r="L493" s="252" t="str">
        <f>IFERROR(__xludf.DUMMYFUNCTION("IF(
  AND(D493=""Saída"", J493=""Sangria""),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8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85"/>
      <c r="AC493" s="185"/>
      <c r="AD493" s="185"/>
      <c r="AE493" s="185"/>
    </row>
    <row r="494" ht="14.25" customHeight="1">
      <c r="A494" s="24"/>
      <c r="B494" s="260"/>
      <c r="C494" s="259"/>
      <c r="D494" s="190"/>
      <c r="E494" s="261"/>
      <c r="F494" s="190"/>
      <c r="G494" s="262"/>
      <c r="H494" s="190"/>
      <c r="I494" s="190"/>
      <c r="J494" s="189"/>
      <c r="K494" s="189"/>
      <c r="L494" s="252" t="str">
        <f>IFERROR(__xludf.DUMMYFUNCTION("IF(
  AND(D494=""Saída"", J494=""Sangria""),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9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  <c r="AB494" s="185"/>
      <c r="AC494" s="185"/>
      <c r="AD494" s="185"/>
      <c r="AE494" s="185"/>
    </row>
    <row r="495" ht="14.25" customHeight="1">
      <c r="A495" s="24"/>
      <c r="B495" s="260"/>
      <c r="C495" s="259"/>
      <c r="D495" s="190"/>
      <c r="E495" s="261"/>
      <c r="F495" s="190"/>
      <c r="G495" s="262"/>
      <c r="H495" s="190"/>
      <c r="I495" s="190"/>
      <c r="J495" s="189"/>
      <c r="K495" s="189"/>
      <c r="L495" s="252" t="str">
        <f>IFERROR(__xludf.DUMMYFUNCTION("IF(
  AND(D495=""Saída"", J495=""Sangria""),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8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  <c r="AB495" s="185"/>
      <c r="AC495" s="185"/>
      <c r="AD495" s="185"/>
      <c r="AE495" s="185"/>
    </row>
    <row r="496" ht="14.25" customHeight="1">
      <c r="A496" s="24"/>
      <c r="B496" s="260"/>
      <c r="C496" s="259"/>
      <c r="D496" s="190"/>
      <c r="E496" s="261"/>
      <c r="F496" s="190"/>
      <c r="G496" s="262"/>
      <c r="H496" s="190"/>
      <c r="I496" s="190"/>
      <c r="J496" s="189"/>
      <c r="K496" s="189"/>
      <c r="L496" s="252" t="str">
        <f>IFERROR(__xludf.DUMMYFUNCTION("IF(
  AND(D496=""Saída"", J496=""Sangria""),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9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  <c r="AB496" s="185"/>
      <c r="AC496" s="185"/>
      <c r="AD496" s="185"/>
      <c r="AE496" s="185"/>
    </row>
    <row r="497" ht="14.25" customHeight="1">
      <c r="A497" s="24"/>
      <c r="B497" s="260"/>
      <c r="C497" s="259"/>
      <c r="D497" s="190"/>
      <c r="E497" s="261"/>
      <c r="F497" s="190"/>
      <c r="G497" s="262"/>
      <c r="H497" s="190"/>
      <c r="I497" s="190"/>
      <c r="J497" s="189"/>
      <c r="K497" s="189"/>
      <c r="L497" s="252" t="str">
        <f>IFERROR(__xludf.DUMMYFUNCTION("IF(
  AND(D497=""Saída"", J497=""Sangria""),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8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  <c r="AC497" s="185"/>
      <c r="AD497" s="185"/>
      <c r="AE497" s="185"/>
    </row>
    <row r="498" ht="14.25" customHeight="1">
      <c r="A498" s="24"/>
      <c r="B498" s="260"/>
      <c r="C498" s="259"/>
      <c r="D498" s="190"/>
      <c r="E498" s="261"/>
      <c r="F498" s="190"/>
      <c r="G498" s="262"/>
      <c r="H498" s="190"/>
      <c r="I498" s="190"/>
      <c r="J498" s="189"/>
      <c r="K498" s="189"/>
      <c r="L498" s="252" t="str">
        <f>IFERROR(__xludf.DUMMYFUNCTION("IF(
  AND(D498=""Saída"", J498=""Sangria""),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9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  <c r="AC498" s="185"/>
      <c r="AD498" s="185"/>
      <c r="AE498" s="185"/>
    </row>
    <row r="499" ht="14.25" customHeight="1">
      <c r="A499" s="24"/>
      <c r="B499" s="260"/>
      <c r="C499" s="259"/>
      <c r="D499" s="190"/>
      <c r="E499" s="261"/>
      <c r="F499" s="190"/>
      <c r="G499" s="262"/>
      <c r="H499" s="190"/>
      <c r="I499" s="190"/>
      <c r="J499" s="189"/>
      <c r="K499" s="189"/>
      <c r="L499" s="252" t="str">
        <f>IFERROR(__xludf.DUMMYFUNCTION("IF(
  AND(D499=""Saída"", J499=""Sangria""),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8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  <c r="AB499" s="185"/>
      <c r="AC499" s="185"/>
      <c r="AD499" s="185"/>
      <c r="AE499" s="185"/>
    </row>
    <row r="500" ht="14.25" customHeight="1">
      <c r="A500" s="24"/>
      <c r="B500" s="260"/>
      <c r="C500" s="259"/>
      <c r="D500" s="190"/>
      <c r="E500" s="261"/>
      <c r="F500" s="190"/>
      <c r="G500" s="262"/>
      <c r="H500" s="190"/>
      <c r="I500" s="190"/>
      <c r="J500" s="189"/>
      <c r="K500" s="189"/>
      <c r="L500" s="252" t="str">
        <f>IFERROR(__xludf.DUMMYFUNCTION("IF(
  AND(D500=""Saída"", J500=""Sangria""),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9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  <c r="AB500" s="185"/>
      <c r="AC500" s="185"/>
      <c r="AD500" s="185"/>
      <c r="AE500" s="185"/>
    </row>
    <row r="501" ht="14.25" customHeight="1">
      <c r="A501" s="24"/>
      <c r="B501" s="260"/>
      <c r="C501" s="259"/>
      <c r="D501" s="190"/>
      <c r="E501" s="261"/>
      <c r="F501" s="190"/>
      <c r="G501" s="262"/>
      <c r="H501" s="190"/>
      <c r="I501" s="190"/>
      <c r="J501" s="189"/>
      <c r="K501" s="189"/>
      <c r="L501" s="252" t="str">
        <f>IFERROR(__xludf.DUMMYFUNCTION("IF(
  AND(D501=""Saída"", J501=""Sangria""),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8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  <c r="AB501" s="185"/>
      <c r="AC501" s="185"/>
      <c r="AD501" s="185"/>
      <c r="AE501" s="185"/>
    </row>
    <row r="502" ht="14.25" customHeight="1">
      <c r="A502" s="24"/>
      <c r="B502" s="260"/>
      <c r="C502" s="259"/>
      <c r="D502" s="190"/>
      <c r="E502" s="261"/>
      <c r="F502" s="190"/>
      <c r="G502" s="262"/>
      <c r="H502" s="190"/>
      <c r="I502" s="190"/>
      <c r="J502" s="189"/>
      <c r="K502" s="189"/>
      <c r="L502" s="252" t="str">
        <f>IFERROR(__xludf.DUMMYFUNCTION("IF(
  AND(D502=""Saída"", J502=""Sangria""),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9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/>
    </row>
    <row r="503" ht="14.25" customHeight="1">
      <c r="A503" s="24"/>
      <c r="B503" s="260"/>
      <c r="C503" s="259"/>
      <c r="D503" s="190"/>
      <c r="E503" s="261"/>
      <c r="F503" s="190"/>
      <c r="G503" s="262"/>
      <c r="H503" s="190"/>
      <c r="I503" s="190"/>
      <c r="J503" s="189"/>
      <c r="K503" s="189"/>
      <c r="L503" s="252" t="str">
        <f>IFERROR(__xludf.DUMMYFUNCTION("IF(
  AND(D503=""Saída"", J503=""Sangria""),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8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/>
    </row>
    <row r="504" ht="14.25" customHeight="1">
      <c r="A504" s="24"/>
      <c r="B504" s="267"/>
      <c r="C504" s="268"/>
      <c r="D504" s="269"/>
      <c r="E504" s="270"/>
      <c r="F504" s="269"/>
      <c r="G504" s="271"/>
      <c r="H504" s="269"/>
      <c r="I504" s="269"/>
      <c r="J504" s="272"/>
      <c r="K504" s="272"/>
      <c r="L504" s="252" t="str">
        <f>IFERROR(__xludf.DUMMYFUNCTION("IF(
  AND(D504=""Saída"", J504=""Sangria""),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9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</row>
    <row r="505" ht="14.25" customHeight="1">
      <c r="A505" s="24"/>
      <c r="B505" s="352"/>
      <c r="C505" s="259"/>
      <c r="D505" s="190"/>
      <c r="E505" s="261"/>
      <c r="F505" s="190"/>
      <c r="G505" s="262"/>
      <c r="H505" s="190"/>
      <c r="I505" s="190"/>
      <c r="J505" s="189"/>
      <c r="K505" s="189"/>
      <c r="L505" s="252" t="str">
        <f>IFERROR(__xludf.DUMMYFUNCTION("IF(
  AND(D505=""Saída"", J505=""Sangria""),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8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 t="str">
        <f>IFERROR(__xludf.DUMMYFUNCTION("ifna(VALUE(REGEXEXTRACT(E505,""[0-9.]+[,]+[0-9]+"")))"),"")</f>
        <v/>
      </c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/>
    </row>
    <row r="506" ht="14.25" customHeight="1">
      <c r="A506" s="24"/>
      <c r="B506" s="352"/>
      <c r="C506" s="259"/>
      <c r="D506" s="190"/>
      <c r="E506" s="261"/>
      <c r="F506" s="190"/>
      <c r="G506" s="262"/>
      <c r="H506" s="190"/>
      <c r="I506" s="190"/>
      <c r="J506" s="189"/>
      <c r="K506" s="189"/>
      <c r="L506" s="252" t="str">
        <f>IFERROR(__xludf.DUMMYFUNCTION("IF(
  AND(D506=""Saída"", J506=""Sangria""),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9"/>
      <c r="N506" s="185" t="str">
        <f>IFERROR(__xludf.DUMMYFUNCTION("ifna(VALUE(REGEXEXTRACT(E506,""[0-9.]+[,]+[0-9]+"")))"),"")</f>
        <v/>
      </c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</row>
    <row r="507" ht="14.25" customHeight="1">
      <c r="A507" s="24"/>
      <c r="B507" s="352"/>
      <c r="C507" s="259"/>
      <c r="D507" s="190"/>
      <c r="E507" s="261"/>
      <c r="F507" s="190"/>
      <c r="G507" s="262"/>
      <c r="H507" s="190"/>
      <c r="I507" s="190"/>
      <c r="J507" s="189"/>
      <c r="K507" s="189"/>
      <c r="L507" s="357" t="str">
        <f>IFERROR(__xludf.DUMMYFUNCTION("IF(
  AND(D507=""Saída"", J507=""Sangria""),
  IFNA(
    IF(
      SUM(
        QUERY(
          IMPORTRANGE(""https://docs.google.com/spreadsheets/d/1wBSFbIXYswW2S5SMKo44LPsdTG4P4kfP5VRdAS5E_4o"",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IMPORTRANGE(""https://docs.google.com/spreadsheets/d/1wBSFbIXYswW2S5SMKo44LPsdTG4P4kfP5VRdAS5E_4o"",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IMPORTRANGE(""https://docs.google.com/spreadsheets/d/1wBSFbIXYswW2S5SMKo44LPsdTG4P4kfP5VRdAS5E_4o"",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81"/>
      <c r="N507" s="185" t="str">
        <f>IFERROR(__xludf.DUMMYFUNCTION("ifna(VALUE(REGEXEXTRACT(E507,""[0-9.]+[,]+[0-9]+"")))"),"")</f>
        <v/>
      </c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/>
    </row>
  </sheetData>
  <mergeCells count="99">
    <mergeCell ref="O84:V84"/>
    <mergeCell ref="S85:U85"/>
    <mergeCell ref="S86:U86"/>
    <mergeCell ref="S87:U87"/>
    <mergeCell ref="S88:U88"/>
    <mergeCell ref="S89:U89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33:U133"/>
    <mergeCell ref="S134:U134"/>
    <mergeCell ref="S135:U135"/>
    <mergeCell ref="S136:U136"/>
    <mergeCell ref="S126:U126"/>
    <mergeCell ref="S127:U127"/>
    <mergeCell ref="S128:U128"/>
    <mergeCell ref="S129:U129"/>
    <mergeCell ref="S130:U130"/>
    <mergeCell ref="S131:U131"/>
    <mergeCell ref="S132:U132"/>
    <mergeCell ref="T3:W3"/>
    <mergeCell ref="X3:AA3"/>
    <mergeCell ref="AB3:AE3"/>
    <mergeCell ref="A2:L2"/>
    <mergeCell ref="O2:W2"/>
    <mergeCell ref="A3:B3"/>
    <mergeCell ref="C3:D3"/>
    <mergeCell ref="E3:F3"/>
    <mergeCell ref="G3:H3"/>
    <mergeCell ref="I3:J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C19:D19"/>
    <mergeCell ref="E19:F19"/>
    <mergeCell ref="K18:L18"/>
    <mergeCell ref="K19:L19"/>
    <mergeCell ref="I22:J22"/>
    <mergeCell ref="O39:R39"/>
    <mergeCell ref="T39:W39"/>
    <mergeCell ref="O61:T62"/>
    <mergeCell ref="S63:T63"/>
  </mergeCells>
  <conditionalFormatting sqref="E29:E35">
    <cfRule type="containsText" dxfId="9" priority="1" operator="containsText" text="R$">
      <formula>NOT(ISERROR(SEARCH(("R$"),(E29))))</formula>
    </cfRule>
  </conditionalFormatting>
  <conditionalFormatting sqref="B29:K507">
    <cfRule type="expression" dxfId="5" priority="2">
      <formula>and($J$29:$J$504="Sangria",$D$29:$D$504="Saída")</formula>
    </cfRule>
  </conditionalFormatting>
  <conditionalFormatting sqref="K29:K35">
    <cfRule type="expression" dxfId="10" priority="3">
      <formula>or($J$29:$J$218="Compra Moedas",$J$29:$J$218="Cortesias",$J$29:$J$218="Troco")</formula>
    </cfRule>
  </conditionalFormatting>
  <conditionalFormatting sqref="K29:K35">
    <cfRule type="expression" dxfId="11" priority="4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35">
    <cfRule type="expression" dxfId="8" priority="5">
      <formula>and(SEARCH("Vale",G29),or(J29="Consumo",J29="Sangria",J29="Compra Moedas",J29="Cortesia",J29="Troco",J29="Estorno Cliente",J29="Outros Pagamentos",J29="Inadimplência"))</formula>
    </cfRule>
  </conditionalFormatting>
  <conditionalFormatting sqref="I29:I35">
    <cfRule type="expression" dxfId="8" priority="6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29:I35">
    <cfRule type="expression" dxfId="8" priority="7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35">
    <cfRule type="expression" dxfId="8" priority="8">
      <formula>and(SEARCH("Cortesia",G29),or(J29="Consumo",J29="Sangria",J29="Adiantamento",J29="Troco",J29="Estorno Cliente",J29="Outros Pagamentos",J29="Inadimplência"))</formula>
    </cfRule>
  </conditionalFormatting>
  <conditionalFormatting sqref="I29:I35">
    <cfRule type="expression" dxfId="8" priority="9">
      <formula>and(K29 = "",or(J29="Consumo",J29="Adiantamento"))</formula>
    </cfRule>
  </conditionalFormatting>
  <conditionalFormatting sqref="C29:C35">
    <cfRule type="expression" dxfId="11" priority="10">
      <formula>and($C$29:$C$218="",or($D$29:$D$218="Entrada",$D$29:$D$218="Saída"))</formula>
    </cfRule>
  </conditionalFormatting>
  <conditionalFormatting sqref="D4 D11">
    <cfRule type="cellIs" dxfId="6" priority="11" operator="greaterThanOrEqual">
      <formula>500</formula>
    </cfRule>
  </conditionalFormatting>
  <conditionalFormatting sqref="D4 D11">
    <cfRule type="cellIs" dxfId="7" priority="12" operator="between">
      <formula>400</formula>
      <formula>500</formula>
    </cfRule>
  </conditionalFormatting>
  <conditionalFormatting sqref="F4 F11">
    <cfRule type="cellIs" dxfId="6" priority="13" operator="greaterThanOrEqual">
      <formula>500</formula>
    </cfRule>
  </conditionalFormatting>
  <conditionalFormatting sqref="F4 F11">
    <cfRule type="cellIs" dxfId="8" priority="14" operator="between">
      <formula>400</formula>
      <formula>500</formula>
    </cfRule>
  </conditionalFormatting>
  <conditionalFormatting sqref="H4 H11">
    <cfRule type="cellIs" dxfId="6" priority="15" operator="greaterThanOrEqual">
      <formula>500</formula>
    </cfRule>
  </conditionalFormatting>
  <conditionalFormatting sqref="H4 H11">
    <cfRule type="cellIs" dxfId="8" priority="16" operator="between">
      <formula>400</formula>
      <formula>500</formula>
    </cfRule>
  </conditionalFormatting>
  <conditionalFormatting sqref="J4 J11">
    <cfRule type="cellIs" dxfId="6" priority="17" operator="greaterThanOrEqual">
      <formula>500</formula>
    </cfRule>
  </conditionalFormatting>
  <conditionalFormatting sqref="J4 J11">
    <cfRule type="cellIs" dxfId="7" priority="18" operator="between">
      <formula>400</formula>
      <formula>500</formula>
    </cfRule>
  </conditionalFormatting>
  <conditionalFormatting sqref="E36:E507">
    <cfRule type="containsText" dxfId="9" priority="19" operator="containsText" text="R$">
      <formula>NOT(ISERROR(SEARCH(("R$"),(E36))))</formula>
    </cfRule>
  </conditionalFormatting>
  <conditionalFormatting sqref="K36:K507">
    <cfRule type="expression" dxfId="10" priority="20">
      <formula>or($J$29:$J$218="Compra Moedas",$J$29:$J$218="Cortesias",$J$29:$J$218="Troco")</formula>
    </cfRule>
  </conditionalFormatting>
  <conditionalFormatting sqref="K36:K507">
    <cfRule type="expression" dxfId="11" priority="21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36:I507">
    <cfRule type="expression" dxfId="8" priority="22">
      <formula>and(SEARCH("Vale",G36),or(J36="Consumo",J36="Sangria",J36="Compra Moedas",J36="Cortesia",J36="Troco",J36="Estorno Cliente",J36="Outros Pagamentos",J36="Inadimplência"))</formula>
    </cfRule>
  </conditionalFormatting>
  <conditionalFormatting sqref="I36:I507">
    <cfRule type="expression" dxfId="8" priority="23">
      <formula>and(SEARCH("Consumo",G36),or(J36="Adiantamento",J36="Sangria",J36="Compra Moedas",J36="Cortesia",J36="Troco",J36="Estorno Cliente",J36="Outros Pagamentos",J36="Inadimplência"))</formula>
    </cfRule>
  </conditionalFormatting>
  <conditionalFormatting sqref="I43">
    <cfRule type="notContainsBlanks" dxfId="12" priority="24">
      <formula>LEN(TRIM(I43))&gt;0</formula>
    </cfRule>
  </conditionalFormatting>
  <conditionalFormatting sqref="I36:I507">
    <cfRule type="expression" dxfId="8" priority="25">
      <formula>and(SEARCH("Sangria",G36),or(J36="Consumo",J36="Adiantamento",J36="Compra Moedas",J36="Cortesia",J36="Troco",J36="Estorno Cliente",J36="Outros Pagamentos",J36="Inadimplência"))</formula>
    </cfRule>
  </conditionalFormatting>
  <conditionalFormatting sqref="I36:I507">
    <cfRule type="expression" dxfId="8" priority="26">
      <formula>and(SEARCH("Cortesia",G36),or(J36="Consumo",J36="Sangria",J36="Adiantamento",J36="Troco",J36="Estorno Cliente",J36="Outros Pagamentos",J36="Inadimplência"))</formula>
    </cfRule>
  </conditionalFormatting>
  <conditionalFormatting sqref="C36:C507">
    <cfRule type="expression" dxfId="11" priority="27">
      <formula>and($C$29:$C$218="",or($D$29:$D$218="Entrada",$D$29:$D$218="Saída"))</formula>
    </cfRule>
  </conditionalFormatting>
  <conditionalFormatting sqref="I36:I507">
    <cfRule type="expression" dxfId="8" priority="28">
      <formula>and(K36 = "",or(J36="Consumo",J36="Adiantamento"))</formula>
    </cfRule>
  </conditionalFormatting>
  <conditionalFormatting sqref="M29:M507">
    <cfRule type="cellIs" dxfId="8" priority="29" operator="equal">
      <formula>"Não Encontrada"</formula>
    </cfRule>
  </conditionalFormatting>
  <conditionalFormatting sqref="L29:L507">
    <cfRule type="cellIs" dxfId="8" priority="30" operator="equal">
      <formula>"Caixa Sangria"</formula>
    </cfRule>
  </conditionalFormatting>
  <conditionalFormatting sqref="L4 L11">
    <cfRule type="cellIs" dxfId="6" priority="31" operator="greaterThanOrEqual">
      <formula>500</formula>
    </cfRule>
  </conditionalFormatting>
  <conditionalFormatting sqref="L4">
    <cfRule type="cellIs" dxfId="8" priority="32" operator="between">
      <formula>400</formula>
      <formula>500</formula>
    </cfRule>
  </conditionalFormatting>
  <dataValidations>
    <dataValidation type="list" allowBlank="1" showErrorMessage="1" sqref="K29:K507">
      <formula1>'JUNHO 2026'!$B$4:$B$16</formula1>
    </dataValidation>
    <dataValidation type="list" allowBlank="1" showErrorMessage="1" sqref="J29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