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Bootcamp Análisis de Datos\Módulo 1 - Excel\Aprendizajes Esperados 6\"/>
    </mc:Choice>
  </mc:AlternateContent>
  <xr:revisionPtr revIDLastSave="0" documentId="13_ncr:1_{F5A2BD02-8C6F-4501-A7BD-312FBCD5CAF6}" xr6:coauthVersionLast="47" xr6:coauthVersionMax="47" xr10:uidLastSave="{00000000-0000-0000-0000-000000000000}"/>
  <bookViews>
    <workbookView xWindow="1200" yWindow="-120" windowWidth="27720" windowHeight="16440" firstSheet="1" activeTab="9" xr2:uid="{00000000-000D-0000-FFFF-FFFF00000000}"/>
  </bookViews>
  <sheets>
    <sheet name="Supermercado (BD práctica AE 1-" sheetId="1" r:id="rId1"/>
    <sheet name="Clientes" sheetId="2" r:id="rId2"/>
    <sheet name="Productos" sheetId="3" r:id="rId3"/>
    <sheet name="Boletas" sheetId="4" r:id="rId4"/>
    <sheet name="Resumen" sheetId="5" r:id="rId5"/>
    <sheet name="Valores" sheetId="6" r:id="rId6"/>
    <sheet name="Gráficos" sheetId="7" r:id="rId7"/>
    <sheet name="Gráficos Corregidos" sheetId="8" r:id="rId8"/>
    <sheet name="Cálculos" sheetId="9" r:id="rId9"/>
    <sheet name="Tablas dinámicas" sheetId="10" r:id="rId10"/>
  </sheets>
  <definedNames>
    <definedName name="_xlnm._FilterDatabase" localSheetId="3" hidden="1">Boletas!$A$1:$H$1</definedName>
    <definedName name="_xlnm._FilterDatabase" localSheetId="1" hidden="1">Clientes!$A$1:$H$1</definedName>
    <definedName name="_xlnm._FilterDatabase" localSheetId="2" hidden="1">Productos!$A$1:$C$44</definedName>
    <definedName name="_xlchart.v1.0" hidden="1">Cálculos!$A$12:$B$31</definedName>
    <definedName name="_xlchart.v1.1" hidden="1">Cálculos!$C$11</definedName>
    <definedName name="_xlchart.v1.2" hidden="1">Cálculos!$C$12:$C$31</definedName>
  </definedNames>
  <calcPr calcId="191029"/>
  <pivotCaches>
    <pivotCache cacheId="2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9" l="1"/>
  <c r="B35" i="9"/>
  <c r="B41" i="9"/>
  <c r="B40" i="9"/>
  <c r="B39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12" i="9"/>
  <c r="B8" i="9"/>
  <c r="B7" i="9"/>
  <c r="B6" i="9"/>
  <c r="B2" i="9"/>
  <c r="C2" i="9" s="1"/>
  <c r="B3" i="9"/>
  <c r="C3" i="9" s="1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C23" i="5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/>
  <c r="H9" i="2" a="1"/>
  <c r="H9" i="2" s="1"/>
  <c r="H10" i="2" a="1"/>
  <c r="H10" i="2"/>
  <c r="H11" i="2" a="1"/>
  <c r="H11" i="2" s="1"/>
  <c r="H12" i="2" a="1"/>
  <c r="H12" i="2" s="1"/>
  <c r="H13" i="2" a="1"/>
  <c r="H13" i="2" s="1"/>
  <c r="H14" i="2" a="1"/>
  <c r="H14" i="2"/>
  <c r="H15" i="2" a="1"/>
  <c r="H15" i="2" s="1"/>
  <c r="H16" i="2" a="1"/>
  <c r="H16" i="2"/>
  <c r="H17" i="2" a="1"/>
  <c r="H17" i="2" s="1"/>
  <c r="H18" i="2" a="1"/>
  <c r="H18" i="2" s="1"/>
  <c r="H19" i="2" a="1"/>
  <c r="H19" i="2" s="1"/>
  <c r="H20" i="2" a="1"/>
  <c r="H20" i="2"/>
  <c r="H21" i="2" a="1"/>
  <c r="H21" i="2" s="1"/>
  <c r="H2" i="2" a="1"/>
  <c r="H2" i="2" s="1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D2" i="5"/>
  <c r="L6" i="5"/>
  <c r="L7" i="5"/>
  <c r="L8" i="5"/>
  <c r="L9" i="5"/>
  <c r="L10" i="5"/>
  <c r="L11" i="5"/>
  <c r="L12" i="5"/>
  <c r="L13" i="5"/>
  <c r="L14" i="5"/>
  <c r="L5" i="5"/>
  <c r="F2" i="5"/>
  <c r="K6" i="5"/>
  <c r="K7" i="5"/>
  <c r="K8" i="5"/>
  <c r="K9" i="5"/>
  <c r="K10" i="5"/>
  <c r="K11" i="5"/>
  <c r="K12" i="5"/>
  <c r="K13" i="5"/>
  <c r="K14" i="5"/>
  <c r="K5" i="5"/>
  <c r="C2" i="5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2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4" i="5"/>
  <c r="C25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2" i="4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2" i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/>
  <c r="U46" i="1" a="1"/>
  <c r="U46" i="1" s="1"/>
  <c r="U47" i="1" a="1"/>
  <c r="U47" i="1" s="1"/>
  <c r="U48" i="1" a="1"/>
  <c r="U48" i="1" s="1"/>
  <c r="U49" i="1" a="1"/>
  <c r="U49" i="1" s="1"/>
  <c r="U2" i="1" a="1"/>
  <c r="U2" i="1" s="1"/>
  <c r="U3" i="1" a="1"/>
  <c r="U3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O50" i="1" s="1"/>
  <c r="P50" i="1" s="1"/>
  <c r="C54" i="1"/>
  <c r="D54" i="1"/>
  <c r="F54" i="1"/>
  <c r="G54" i="1"/>
  <c r="H54" i="1"/>
  <c r="I54" i="1"/>
  <c r="J54" i="1"/>
  <c r="K54" i="1"/>
  <c r="L54" i="1"/>
  <c r="M54" i="1"/>
  <c r="B54" i="1"/>
  <c r="C53" i="1"/>
  <c r="D53" i="1"/>
  <c r="E53" i="1"/>
  <c r="E54" i="1" s="1"/>
  <c r="F53" i="1"/>
  <c r="G53" i="1"/>
  <c r="H53" i="1"/>
  <c r="I53" i="1"/>
  <c r="J53" i="1"/>
  <c r="K53" i="1"/>
  <c r="L53" i="1"/>
  <c r="M53" i="1"/>
  <c r="N53" i="1"/>
  <c r="N54" i="1" s="1"/>
  <c r="B53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C51" i="1"/>
  <c r="D51" i="1"/>
  <c r="E51" i="1"/>
  <c r="F51" i="1"/>
  <c r="G51" i="1"/>
  <c r="H51" i="1"/>
  <c r="I51" i="1"/>
  <c r="J51" i="1"/>
  <c r="K51" i="1"/>
  <c r="L51" i="1"/>
  <c r="M51" i="1"/>
  <c r="N51" i="1"/>
  <c r="B51" i="1"/>
  <c r="P2" i="1" l="1"/>
  <c r="Q2" i="1"/>
  <c r="Q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<sst xmlns="http://schemas.openxmlformats.org/spreadsheetml/2006/main" count="769" uniqueCount="161">
  <si>
    <t>rut</t>
  </si>
  <si>
    <t>nombre</t>
  </si>
  <si>
    <t>direccion</t>
  </si>
  <si>
    <t>comuna</t>
  </si>
  <si>
    <t>fecha_nacimiento</t>
  </si>
  <si>
    <t>telefono</t>
  </si>
  <si>
    <t>email</t>
  </si>
  <si>
    <t>numero_boleta</t>
  </si>
  <si>
    <t>fecha</t>
  </si>
  <si>
    <t>codigo_producto</t>
  </si>
  <si>
    <t>nombre_producto</t>
  </si>
  <si>
    <t>precio</t>
  </si>
  <si>
    <t>cantidad</t>
  </si>
  <si>
    <t>11223344-4</t>
  </si>
  <si>
    <t>Tomás Ramírez</t>
  </si>
  <si>
    <t>Arica</t>
  </si>
  <si>
    <t>tomas@example.com</t>
  </si>
  <si>
    <t>11223344-5</t>
  </si>
  <si>
    <t>Laura Rojas</t>
  </si>
  <si>
    <t>Calle Virtual 567</t>
  </si>
  <si>
    <t>Antofagasta</t>
  </si>
  <si>
    <t>laura@example.com</t>
  </si>
  <si>
    <t>Café</t>
  </si>
  <si>
    <t>Galletas</t>
  </si>
  <si>
    <t>Pescado</t>
  </si>
  <si>
    <t>12345678-9</t>
  </si>
  <si>
    <t>Juan Pérez</t>
  </si>
  <si>
    <t>Calle Falsa 123</t>
  </si>
  <si>
    <t>Santiago</t>
  </si>
  <si>
    <t>juan@example.com</t>
  </si>
  <si>
    <t>Arroz</t>
  </si>
  <si>
    <t>Aceite de cocina</t>
  </si>
  <si>
    <t>Azúcar</t>
  </si>
  <si>
    <t>23456789-1</t>
  </si>
  <si>
    <t>Pedro Rodríguez</t>
  </si>
  <si>
    <t>Valparaíso</t>
  </si>
  <si>
    <t>pedro@example.com</t>
  </si>
  <si>
    <t>Mantequilla</t>
  </si>
  <si>
    <t>33445566-5</t>
  </si>
  <si>
    <t>Camila Torres</t>
  </si>
  <si>
    <t>Calle Cibernética 456</t>
  </si>
  <si>
    <t>camila@example.com</t>
  </si>
  <si>
    <t>33445566-7</t>
  </si>
  <si>
    <t>Mateo Díaz</t>
  </si>
  <si>
    <t>Viña del Mar</t>
  </si>
  <si>
    <t>mateo@example.com</t>
  </si>
  <si>
    <t>Queso</t>
  </si>
  <si>
    <t>Helado</t>
  </si>
  <si>
    <t>34567890-2</t>
  </si>
  <si>
    <t>Carla González</t>
  </si>
  <si>
    <t>Calle Inventada 789</t>
  </si>
  <si>
    <t>carla@example.com</t>
  </si>
  <si>
    <t>Yogur</t>
  </si>
  <si>
    <t>45678901-3</t>
  </si>
  <si>
    <t>Diego Martínez</t>
  </si>
  <si>
    <t>Avenida Irreal 987</t>
  </si>
  <si>
    <t>La Serena</t>
  </si>
  <si>
    <t>diego@example.com</t>
  </si>
  <si>
    <t>Agua mineral</t>
  </si>
  <si>
    <t>55667788-6</t>
  </si>
  <si>
    <t>Matías Castro</t>
  </si>
  <si>
    <t>Avenida Innovación 321</t>
  </si>
  <si>
    <t>55667788-9</t>
  </si>
  <si>
    <t>Valentina Herrera</t>
  </si>
  <si>
    <t>Avenida Tecnológica 123</t>
  </si>
  <si>
    <t>valentina@example.com</t>
  </si>
  <si>
    <t>Fideos</t>
  </si>
  <si>
    <t>56789012-4</t>
  </si>
  <si>
    <t>Ana López</t>
  </si>
  <si>
    <t>ana@example.com</t>
  </si>
  <si>
    <t>Frutas frescas</t>
  </si>
  <si>
    <t>67890123-5</t>
  </si>
  <si>
    <t>Luisa Fernández</t>
  </si>
  <si>
    <t>Calle Ficticia 321</t>
  </si>
  <si>
    <t>Rancagua</t>
  </si>
  <si>
    <t>luisa@example.com</t>
  </si>
  <si>
    <t>Verduras</t>
  </si>
  <si>
    <t>77889900-1</t>
  </si>
  <si>
    <t>Martín Gómez</t>
  </si>
  <si>
    <t>Iquique</t>
  </si>
  <si>
    <t>martin@example.com</t>
  </si>
  <si>
    <t>Harina</t>
  </si>
  <si>
    <t>77889900-7</t>
  </si>
  <si>
    <t>Renata Flores</t>
  </si>
  <si>
    <t>Copiapó</t>
  </si>
  <si>
    <t>renata@example.com</t>
  </si>
  <si>
    <t>78901234-6</t>
  </si>
  <si>
    <t>Javier Torres</t>
  </si>
  <si>
    <t>Avenida de Ensueño 654</t>
  </si>
  <si>
    <t>Temuco</t>
  </si>
  <si>
    <t>87654321-0</t>
  </si>
  <si>
    <t>María Sánchez</t>
  </si>
  <si>
    <t>Avenida Imaginaria 456</t>
  </si>
  <si>
    <t>Concepción</t>
  </si>
  <si>
    <t>maria@example.com</t>
  </si>
  <si>
    <t>89012345-7</t>
  </si>
  <si>
    <t>Marta Ramírez</t>
  </si>
  <si>
    <t>Calle Soñada 210</t>
  </si>
  <si>
    <t>90123456-8</t>
  </si>
  <si>
    <t>Daniel Silva</t>
  </si>
  <si>
    <t>Puerto Montt</t>
  </si>
  <si>
    <t>Leche</t>
  </si>
  <si>
    <t>99001122-3</t>
  </si>
  <si>
    <t>Sofía Pérez</t>
  </si>
  <si>
    <t>Calle Digital 789</t>
  </si>
  <si>
    <t>sofia@example.com</t>
  </si>
  <si>
    <t>Carne de pollo</t>
  </si>
  <si>
    <t>99001122-8</t>
  </si>
  <si>
    <t>Nicolás Ruiz</t>
  </si>
  <si>
    <t>Calle Programación 210</t>
  </si>
  <si>
    <t>nicolas@example.com</t>
  </si>
  <si>
    <t>Pan</t>
  </si>
  <si>
    <t>Jugos</t>
  </si>
  <si>
    <t>Carne de res</t>
  </si>
  <si>
    <t xml:space="preserve"> </t>
  </si>
  <si>
    <t xml:space="preserve">Función </t>
  </si>
  <si>
    <t xml:space="preserve">CONTAR </t>
  </si>
  <si>
    <t>CONTARA</t>
  </si>
  <si>
    <t>CONTAR.BLANCO</t>
  </si>
  <si>
    <t>CONTAR TODO</t>
  </si>
  <si>
    <t>Subtotal</t>
  </si>
  <si>
    <t>IVA</t>
  </si>
  <si>
    <t>TOTAL</t>
  </si>
  <si>
    <t>Es boleta</t>
  </si>
  <si>
    <t>Estado</t>
  </si>
  <si>
    <t>Es sólo usuario</t>
  </si>
  <si>
    <t xml:space="preserve">Es sólo producto </t>
  </si>
  <si>
    <t>Edad</t>
  </si>
  <si>
    <t>Total</t>
  </si>
  <si>
    <t>Cliente</t>
  </si>
  <si>
    <t>CONTAR COLUMNA (AMARILLAS)</t>
  </si>
  <si>
    <t>Tabla Ejemplo</t>
  </si>
  <si>
    <t>N° boleta</t>
  </si>
  <si>
    <t>Nombre</t>
  </si>
  <si>
    <t xml:space="preserve">Total </t>
  </si>
  <si>
    <t>Total gastado</t>
  </si>
  <si>
    <t>Rut</t>
  </si>
  <si>
    <t>Fecha</t>
  </si>
  <si>
    <t>Boleta de mayor monto</t>
  </si>
  <si>
    <t>Boleta de menor monto</t>
  </si>
  <si>
    <t>Boleta</t>
  </si>
  <si>
    <t>Promedio</t>
  </si>
  <si>
    <t>Mediana</t>
  </si>
  <si>
    <t>Desviación estándar</t>
  </si>
  <si>
    <t>Estadisticas por boleta</t>
  </si>
  <si>
    <t>Promedio de ventas</t>
  </si>
  <si>
    <t>Moda de productos vendidos</t>
  </si>
  <si>
    <t>Código Producto</t>
  </si>
  <si>
    <t>Nombre Producto</t>
  </si>
  <si>
    <t>Ventas</t>
  </si>
  <si>
    <t>1er cuartil</t>
  </si>
  <si>
    <t>2do cuartil</t>
  </si>
  <si>
    <t>3er cuartil</t>
  </si>
  <si>
    <t>Etiquetas de fila</t>
  </si>
  <si>
    <t>(en blanco)</t>
  </si>
  <si>
    <t>Total general</t>
  </si>
  <si>
    <t>Suma de Subtotal</t>
  </si>
  <si>
    <t>Suma de IVA</t>
  </si>
  <si>
    <t>(Todas)</t>
  </si>
  <si>
    <t>Suma de TOTAL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</si>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</sst>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10" xfId="0" applyBorder="1" applyAlignment="1"/>
    <xf numFmtId="164" fontId="0" fillId="0" borderId="10" xfId="0" applyNumberFormat="1" applyBorder="1" applyAlignment="1"/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1" fontId="0" fillId="0" borderId="10" xfId="0" applyNumberFormat="1" applyBorder="1" applyAlignment="1"/>
    <xf numFmtId="1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/>
    <xf numFmtId="0" fontId="0" fillId="35" borderId="10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3" fontId="0" fillId="36" borderId="14" xfId="0" applyNumberFormat="1" applyFill="1" applyBorder="1" applyAlignment="1">
      <alignment horizontal="center" vertical="center"/>
    </xf>
    <xf numFmtId="3" fontId="0" fillId="0" borderId="0" xfId="0" applyNumberFormat="1"/>
    <xf numFmtId="164" fontId="0" fillId="0" borderId="14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2">
    <dxf>
      <numFmt numFmtId="164" formatCode="&quot;$&quot;#,##0"/>
    </dxf>
    <dxf>
      <numFmt numFmtId="164" formatCode="&quot;$&quot;#,##0"/>
    </dxf>
    <dxf>
      <numFmt numFmtId="164" formatCode="&quot;$&quot;#,##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&quot;$&quot;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&quot;$&quot;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&quot;$&quot;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Gráficos!$C$1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Gráficos!$B$2:$B$25</c:f>
              <c:numCache>
                <c:formatCode>m/d/yyyy</c:formatCode>
                <c:ptCount val="24"/>
                <c:pt idx="0">
                  <c:v>45235</c:v>
                </c:pt>
                <c:pt idx="1">
                  <c:v>45237</c:v>
                </c:pt>
                <c:pt idx="2">
                  <c:v>45239</c:v>
                </c:pt>
                <c:pt idx="3">
                  <c:v>45242</c:v>
                </c:pt>
                <c:pt idx="4">
                  <c:v>45245</c:v>
                </c:pt>
                <c:pt idx="5">
                  <c:v>45248</c:v>
                </c:pt>
                <c:pt idx="6">
                  <c:v>45251</c:v>
                </c:pt>
                <c:pt idx="7">
                  <c:v>45254</c:v>
                </c:pt>
                <c:pt idx="8">
                  <c:v>45257</c:v>
                </c:pt>
                <c:pt idx="9">
                  <c:v>45259</c:v>
                </c:pt>
                <c:pt idx="10">
                  <c:v>45232</c:v>
                </c:pt>
                <c:pt idx="11">
                  <c:v>45234</c:v>
                </c:pt>
                <c:pt idx="12">
                  <c:v>45236</c:v>
                </c:pt>
                <c:pt idx="13">
                  <c:v>45238</c:v>
                </c:pt>
                <c:pt idx="14">
                  <c:v>45241</c:v>
                </c:pt>
                <c:pt idx="15">
                  <c:v>45244</c:v>
                </c:pt>
                <c:pt idx="16">
                  <c:v>45247</c:v>
                </c:pt>
                <c:pt idx="17">
                  <c:v>45250</c:v>
                </c:pt>
                <c:pt idx="18">
                  <c:v>45253</c:v>
                </c:pt>
                <c:pt idx="19">
                  <c:v>45256</c:v>
                </c:pt>
                <c:pt idx="20">
                  <c:v>45232</c:v>
                </c:pt>
                <c:pt idx="21">
                  <c:v>45244</c:v>
                </c:pt>
                <c:pt idx="22">
                  <c:v>45235</c:v>
                </c:pt>
                <c:pt idx="23">
                  <c:v>45239</c:v>
                </c:pt>
              </c:numCache>
            </c:numRef>
          </c:cat>
          <c:val>
            <c:numRef>
              <c:f>Gráficos!$C$2:$C$25</c:f>
              <c:numCache>
                <c:formatCode>"$"#,##0</c:formatCode>
                <c:ptCount val="24"/>
                <c:pt idx="0">
                  <c:v>139825</c:v>
                </c:pt>
                <c:pt idx="1">
                  <c:v>9520</c:v>
                </c:pt>
                <c:pt idx="2">
                  <c:v>60928</c:v>
                </c:pt>
                <c:pt idx="3">
                  <c:v>16660</c:v>
                </c:pt>
                <c:pt idx="4">
                  <c:v>4284</c:v>
                </c:pt>
                <c:pt idx="5">
                  <c:v>16660</c:v>
                </c:pt>
                <c:pt idx="6">
                  <c:v>129115</c:v>
                </c:pt>
                <c:pt idx="7">
                  <c:v>11900</c:v>
                </c:pt>
                <c:pt idx="8">
                  <c:v>15470</c:v>
                </c:pt>
                <c:pt idx="9">
                  <c:v>12495</c:v>
                </c:pt>
                <c:pt idx="10">
                  <c:v>52955</c:v>
                </c:pt>
                <c:pt idx="11">
                  <c:v>35700</c:v>
                </c:pt>
                <c:pt idx="12">
                  <c:v>19040</c:v>
                </c:pt>
                <c:pt idx="13">
                  <c:v>10829</c:v>
                </c:pt>
                <c:pt idx="14">
                  <c:v>34272</c:v>
                </c:pt>
                <c:pt idx="15">
                  <c:v>42840</c:v>
                </c:pt>
                <c:pt idx="16">
                  <c:v>5950</c:v>
                </c:pt>
                <c:pt idx="17">
                  <c:v>126021</c:v>
                </c:pt>
                <c:pt idx="18">
                  <c:v>27965</c:v>
                </c:pt>
                <c:pt idx="19">
                  <c:v>5950</c:v>
                </c:pt>
                <c:pt idx="20">
                  <c:v>19040</c:v>
                </c:pt>
                <c:pt idx="21">
                  <c:v>2380</c:v>
                </c:pt>
                <c:pt idx="22">
                  <c:v>19040</c:v>
                </c:pt>
                <c:pt idx="23">
                  <c:v>279650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0-468E-8ACF-5DB181824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06672"/>
        <c:axId val="1931609168"/>
      </c:lineChart>
      <c:dateAx>
        <c:axId val="1931606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31609168"/>
        <c:crosses val="autoZero"/>
        <c:auto val="1"/>
        <c:lblOffset val="100"/>
        <c:baseTimeUnit val="days"/>
      </c:dateAx>
      <c:valAx>
        <c:axId val="19316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3160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Gráficos!$J$1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D3-4B98-98EF-64BE49CF05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D3-4B98-98EF-64BE49CF05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D3-4B98-98EF-64BE49CF05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D3-4B98-98EF-64BE49CF05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3D3-4B98-98EF-64BE49CF05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3D3-4B98-98EF-64BE49CF05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3D3-4B98-98EF-64BE49CF05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3D3-4B98-98EF-64BE49CF05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3D3-4B98-98EF-64BE49CF05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3D3-4B98-98EF-64BE49CF05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3D3-4B98-98EF-64BE49CF05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D3-4B98-98EF-64BE49CF05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D3-4B98-98EF-64BE49CF05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3D3-4B98-98EF-64BE49CF05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3D3-4B98-98EF-64BE49CF05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3D3-4B98-98EF-64BE49CF05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3D3-4B98-98EF-64BE49CF05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3D3-4B98-98EF-64BE49CF05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3D3-4B98-98EF-64BE49CF055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3D3-4B98-98EF-64BE49CF055E}"/>
              </c:ext>
            </c:extLst>
          </c:dPt>
          <c:cat>
            <c:strRef>
              <c:f>Gráficos!$I$2:$I$21</c:f>
              <c:strCache>
                <c:ptCount val="20"/>
                <c:pt idx="0">
                  <c:v>Aceite de cocina</c:v>
                </c:pt>
                <c:pt idx="1">
                  <c:v>Agua mineral</c:v>
                </c:pt>
                <c:pt idx="2">
                  <c:v>Arroz</c:v>
                </c:pt>
                <c:pt idx="3">
                  <c:v>Azúcar</c:v>
                </c:pt>
                <c:pt idx="4">
                  <c:v>Café</c:v>
                </c:pt>
                <c:pt idx="5">
                  <c:v>Carne de pollo</c:v>
                </c:pt>
                <c:pt idx="6">
                  <c:v>Carne de res</c:v>
                </c:pt>
                <c:pt idx="7">
                  <c:v>Fideos</c:v>
                </c:pt>
                <c:pt idx="8">
                  <c:v>Frutas frescas</c:v>
                </c:pt>
                <c:pt idx="9">
                  <c:v>Galletas</c:v>
                </c:pt>
                <c:pt idx="10">
                  <c:v>Harina</c:v>
                </c:pt>
                <c:pt idx="11">
                  <c:v>Helado</c:v>
                </c:pt>
                <c:pt idx="12">
                  <c:v>Jugos</c:v>
                </c:pt>
                <c:pt idx="13">
                  <c:v>Leche</c:v>
                </c:pt>
                <c:pt idx="14">
                  <c:v>Mantequilla</c:v>
                </c:pt>
                <c:pt idx="15">
                  <c:v>Pan</c:v>
                </c:pt>
                <c:pt idx="16">
                  <c:v>Pescado</c:v>
                </c:pt>
                <c:pt idx="17">
                  <c:v>Queso</c:v>
                </c:pt>
                <c:pt idx="18">
                  <c:v>Verduras</c:v>
                </c:pt>
                <c:pt idx="19">
                  <c:v>Yogur</c:v>
                </c:pt>
              </c:strCache>
            </c:strRef>
          </c:cat>
          <c:val>
            <c:numRef>
              <c:f>Gráficos!$J$2:$J$21</c:f>
              <c:numCache>
                <c:formatCode>"$"#,##0</c:formatCode>
                <c:ptCount val="20"/>
                <c:pt idx="0">
                  <c:v>198000</c:v>
                </c:pt>
                <c:pt idx="1">
                  <c:v>7200</c:v>
                </c:pt>
                <c:pt idx="2">
                  <c:v>36000</c:v>
                </c:pt>
                <c:pt idx="3">
                  <c:v>30000</c:v>
                </c:pt>
                <c:pt idx="4">
                  <c:v>65000</c:v>
                </c:pt>
                <c:pt idx="5">
                  <c:v>28800</c:v>
                </c:pt>
                <c:pt idx="6">
                  <c:v>0</c:v>
                </c:pt>
                <c:pt idx="7">
                  <c:v>14400</c:v>
                </c:pt>
                <c:pt idx="8">
                  <c:v>14000</c:v>
                </c:pt>
                <c:pt idx="9">
                  <c:v>24500</c:v>
                </c:pt>
                <c:pt idx="10">
                  <c:v>18000</c:v>
                </c:pt>
                <c:pt idx="11">
                  <c:v>25000</c:v>
                </c:pt>
                <c:pt idx="12">
                  <c:v>0</c:v>
                </c:pt>
                <c:pt idx="13">
                  <c:v>6000</c:v>
                </c:pt>
                <c:pt idx="14">
                  <c:v>11200</c:v>
                </c:pt>
                <c:pt idx="15">
                  <c:v>0</c:v>
                </c:pt>
                <c:pt idx="16">
                  <c:v>297000</c:v>
                </c:pt>
                <c:pt idx="17">
                  <c:v>30000</c:v>
                </c:pt>
                <c:pt idx="18">
                  <c:v>88000</c:v>
                </c:pt>
                <c:pt idx="19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3-449D-BF51-2C33AB6D1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Gráficos!$R$1</c:f>
              <c:strCache>
                <c:ptCount val="1"/>
                <c:pt idx="0">
                  <c:v>Total gastado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Gráficos!$Q$2:$Q$21</c:f>
              <c:strCache>
                <c:ptCount val="20"/>
                <c:pt idx="0">
                  <c:v>Ana López</c:v>
                </c:pt>
                <c:pt idx="1">
                  <c:v>Camila Torres</c:v>
                </c:pt>
                <c:pt idx="2">
                  <c:v>Carla González</c:v>
                </c:pt>
                <c:pt idx="3">
                  <c:v>Daniel Silva</c:v>
                </c:pt>
                <c:pt idx="4">
                  <c:v>Diego Martínez</c:v>
                </c:pt>
                <c:pt idx="5">
                  <c:v>Javier Torres</c:v>
                </c:pt>
                <c:pt idx="6">
                  <c:v>Juan Pérez</c:v>
                </c:pt>
                <c:pt idx="7">
                  <c:v>Laura Rojas</c:v>
                </c:pt>
                <c:pt idx="8">
                  <c:v>Luisa Fernández</c:v>
                </c:pt>
                <c:pt idx="9">
                  <c:v>María Sánchez</c:v>
                </c:pt>
                <c:pt idx="10">
                  <c:v>Marta Ramírez</c:v>
                </c:pt>
                <c:pt idx="11">
                  <c:v>Martín Gómez</c:v>
                </c:pt>
                <c:pt idx="12">
                  <c:v>Mateo Díaz</c:v>
                </c:pt>
                <c:pt idx="13">
                  <c:v>Matías Castro</c:v>
                </c:pt>
                <c:pt idx="14">
                  <c:v>Nicolás Ruiz</c:v>
                </c:pt>
                <c:pt idx="15">
                  <c:v>Pedro Rodríguez</c:v>
                </c:pt>
                <c:pt idx="16">
                  <c:v>Renata Flores</c:v>
                </c:pt>
                <c:pt idx="17">
                  <c:v>Sofía Pérez</c:v>
                </c:pt>
                <c:pt idx="18">
                  <c:v>Tomás Ramírez</c:v>
                </c:pt>
                <c:pt idx="19">
                  <c:v>Valentina Herrera</c:v>
                </c:pt>
              </c:strCache>
            </c:strRef>
          </c:cat>
          <c:val>
            <c:numRef>
              <c:f>Gráficos!$R$2:$R$21</c:f>
              <c:numCache>
                <c:formatCode>"$"#,##0</c:formatCode>
                <c:ptCount val="20"/>
                <c:pt idx="0">
                  <c:v>16660</c:v>
                </c:pt>
                <c:pt idx="1">
                  <c:v>0</c:v>
                </c:pt>
                <c:pt idx="2">
                  <c:v>16660</c:v>
                </c:pt>
                <c:pt idx="3">
                  <c:v>12495</c:v>
                </c:pt>
                <c:pt idx="4">
                  <c:v>4284</c:v>
                </c:pt>
                <c:pt idx="5">
                  <c:v>11900</c:v>
                </c:pt>
                <c:pt idx="6">
                  <c:v>158865</c:v>
                </c:pt>
                <c:pt idx="7">
                  <c:v>117215</c:v>
                </c:pt>
                <c:pt idx="8">
                  <c:v>129115</c:v>
                </c:pt>
                <c:pt idx="9">
                  <c:v>9520</c:v>
                </c:pt>
                <c:pt idx="10">
                  <c:v>15470</c:v>
                </c:pt>
                <c:pt idx="11">
                  <c:v>38794</c:v>
                </c:pt>
                <c:pt idx="12">
                  <c:v>41650</c:v>
                </c:pt>
                <c:pt idx="13">
                  <c:v>0</c:v>
                </c:pt>
                <c:pt idx="14">
                  <c:v>0</c:v>
                </c:pt>
                <c:pt idx="15">
                  <c:v>340578</c:v>
                </c:pt>
                <c:pt idx="16">
                  <c:v>0</c:v>
                </c:pt>
                <c:pt idx="17">
                  <c:v>40222</c:v>
                </c:pt>
                <c:pt idx="18">
                  <c:v>0</c:v>
                </c:pt>
                <c:pt idx="19">
                  <c:v>145061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5-4C83-9D39-18DFF7C46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5063904"/>
        <c:axId val="2005065568"/>
      </c:barChart>
      <c:catAx>
        <c:axId val="200506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5065568"/>
        <c:crosses val="autoZero"/>
        <c:auto val="1"/>
        <c:lblAlgn val="ctr"/>
        <c:lblOffset val="100"/>
        <c:noMultiLvlLbl val="0"/>
      </c:catAx>
      <c:valAx>
        <c:axId val="20050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506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Diarias</a:t>
            </a:r>
            <a:r>
              <a:rPr lang="en-US" baseline="0"/>
              <a:t> Corregidas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'Gráficos Corregidos'!$A$2</c:f>
              <c:strCache>
                <c:ptCount val="1"/>
                <c:pt idx="0">
                  <c:v>05-11-2023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'Gráficos Corregidos'!$A$2:$A$21</c:f>
              <c:numCache>
                <c:formatCode>m/d/yyyy</c:formatCode>
                <c:ptCount val="20"/>
                <c:pt idx="0">
                  <c:v>45235</c:v>
                </c:pt>
                <c:pt idx="1">
                  <c:v>45237</c:v>
                </c:pt>
                <c:pt idx="2">
                  <c:v>45239</c:v>
                </c:pt>
                <c:pt idx="3">
                  <c:v>45242</c:v>
                </c:pt>
                <c:pt idx="4">
                  <c:v>45245</c:v>
                </c:pt>
                <c:pt idx="5">
                  <c:v>45248</c:v>
                </c:pt>
                <c:pt idx="6">
                  <c:v>45251</c:v>
                </c:pt>
                <c:pt idx="7">
                  <c:v>45254</c:v>
                </c:pt>
                <c:pt idx="8">
                  <c:v>45257</c:v>
                </c:pt>
                <c:pt idx="9">
                  <c:v>45259</c:v>
                </c:pt>
                <c:pt idx="10">
                  <c:v>45232</c:v>
                </c:pt>
                <c:pt idx="11">
                  <c:v>45234</c:v>
                </c:pt>
                <c:pt idx="12">
                  <c:v>45236</c:v>
                </c:pt>
                <c:pt idx="13">
                  <c:v>45238</c:v>
                </c:pt>
                <c:pt idx="14">
                  <c:v>45241</c:v>
                </c:pt>
                <c:pt idx="15">
                  <c:v>45244</c:v>
                </c:pt>
                <c:pt idx="16">
                  <c:v>45247</c:v>
                </c:pt>
                <c:pt idx="17">
                  <c:v>45250</c:v>
                </c:pt>
                <c:pt idx="18">
                  <c:v>45253</c:v>
                </c:pt>
                <c:pt idx="19">
                  <c:v>45256</c:v>
                </c:pt>
              </c:numCache>
            </c:numRef>
          </c:cat>
          <c:val>
            <c:numRef>
              <c:f>'Gráficos Corregidos'!$B$2:$B$21</c:f>
              <c:numCache>
                <c:formatCode>"$"#,##0</c:formatCode>
                <c:ptCount val="20"/>
                <c:pt idx="0">
                  <c:v>158865</c:v>
                </c:pt>
                <c:pt idx="1">
                  <c:v>9520</c:v>
                </c:pt>
                <c:pt idx="2">
                  <c:v>340578</c:v>
                </c:pt>
                <c:pt idx="3">
                  <c:v>16660</c:v>
                </c:pt>
                <c:pt idx="4">
                  <c:v>4284</c:v>
                </c:pt>
                <c:pt idx="5">
                  <c:v>16660</c:v>
                </c:pt>
                <c:pt idx="6">
                  <c:v>129115</c:v>
                </c:pt>
                <c:pt idx="7">
                  <c:v>11900</c:v>
                </c:pt>
                <c:pt idx="8">
                  <c:v>15470</c:v>
                </c:pt>
                <c:pt idx="9">
                  <c:v>12495</c:v>
                </c:pt>
                <c:pt idx="10">
                  <c:v>71995</c:v>
                </c:pt>
                <c:pt idx="11">
                  <c:v>35700</c:v>
                </c:pt>
                <c:pt idx="12">
                  <c:v>19040</c:v>
                </c:pt>
                <c:pt idx="13">
                  <c:v>10829</c:v>
                </c:pt>
                <c:pt idx="14">
                  <c:v>34272</c:v>
                </c:pt>
                <c:pt idx="15">
                  <c:v>45220</c:v>
                </c:pt>
                <c:pt idx="16">
                  <c:v>5950</c:v>
                </c:pt>
                <c:pt idx="17">
                  <c:v>126021</c:v>
                </c:pt>
                <c:pt idx="18">
                  <c:v>27965</c:v>
                </c:pt>
                <c:pt idx="19">
                  <c:v>5950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0-4983-89ED-05EBBDBC6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485183"/>
        <c:axId val="1793483103"/>
      </c:lineChart>
      <c:dateAx>
        <c:axId val="17934851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93483103"/>
        <c:crosses val="autoZero"/>
        <c:auto val="1"/>
        <c:lblOffset val="100"/>
        <c:baseTimeUnit val="days"/>
      </c:dateAx>
      <c:valAx>
        <c:axId val="179348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9348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'Gráficos Corregidos'!$H$1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30-41B4-A2FC-B9B3CC3963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0-41B4-A2FC-B9B3CC3963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30-41B4-A2FC-B9B3CC3963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30-41B4-A2FC-B9B3CC3963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30-41B4-A2FC-B9B3CC3963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130-41B4-A2FC-B9B3CC3963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130-41B4-A2FC-B9B3CC3963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130-41B4-A2FC-B9B3CC3963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130-41B4-A2FC-B9B3CC3963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130-41B4-A2FC-B9B3CC3963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130-41B4-A2FC-B9B3CC3963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130-41B4-A2FC-B9B3CC3963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130-41B4-A2FC-B9B3CC3963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130-41B4-A2FC-B9B3CC3963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130-41B4-A2FC-B9B3CC3963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130-41B4-A2FC-B9B3CC3963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130-41B4-A2FC-B9B3CC3963F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130-41B4-A2FC-B9B3CC3963F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130-41B4-A2FC-B9B3CC3963F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130-41B4-A2FC-B9B3CC3963F0}"/>
              </c:ext>
            </c:extLst>
          </c:dPt>
          <c:cat>
            <c:strRef>
              <c:f>'Gráficos Corregidos'!$G$2:$G$21</c:f>
              <c:strCache>
                <c:ptCount val="20"/>
                <c:pt idx="0">
                  <c:v>Aceite de cocina</c:v>
                </c:pt>
                <c:pt idx="1">
                  <c:v>Agua mineral</c:v>
                </c:pt>
                <c:pt idx="2">
                  <c:v>Arroz</c:v>
                </c:pt>
                <c:pt idx="3">
                  <c:v>Azúcar</c:v>
                </c:pt>
                <c:pt idx="4">
                  <c:v>Café</c:v>
                </c:pt>
                <c:pt idx="5">
                  <c:v>Carne de pollo</c:v>
                </c:pt>
                <c:pt idx="6">
                  <c:v>Carne de res</c:v>
                </c:pt>
                <c:pt idx="7">
                  <c:v>Fideos</c:v>
                </c:pt>
                <c:pt idx="8">
                  <c:v>Frutas frescas</c:v>
                </c:pt>
                <c:pt idx="9">
                  <c:v>Galletas</c:v>
                </c:pt>
                <c:pt idx="10">
                  <c:v>Harina</c:v>
                </c:pt>
                <c:pt idx="11">
                  <c:v>Helado</c:v>
                </c:pt>
                <c:pt idx="12">
                  <c:v>Jugos</c:v>
                </c:pt>
                <c:pt idx="13">
                  <c:v>Leche</c:v>
                </c:pt>
                <c:pt idx="14">
                  <c:v>Mantequilla</c:v>
                </c:pt>
                <c:pt idx="15">
                  <c:v>Pan</c:v>
                </c:pt>
                <c:pt idx="16">
                  <c:v>Pescado</c:v>
                </c:pt>
                <c:pt idx="17">
                  <c:v>Queso</c:v>
                </c:pt>
                <c:pt idx="18">
                  <c:v>Verduras</c:v>
                </c:pt>
                <c:pt idx="19">
                  <c:v>Yogur</c:v>
                </c:pt>
              </c:strCache>
            </c:strRef>
          </c:cat>
          <c:val>
            <c:numRef>
              <c:f>'Gráficos Corregidos'!$H$2:$H$21</c:f>
              <c:numCache>
                <c:formatCode>"$"#,##0</c:formatCode>
                <c:ptCount val="20"/>
                <c:pt idx="0">
                  <c:v>198000</c:v>
                </c:pt>
                <c:pt idx="1">
                  <c:v>7200</c:v>
                </c:pt>
                <c:pt idx="2">
                  <c:v>36000</c:v>
                </c:pt>
                <c:pt idx="3">
                  <c:v>30000</c:v>
                </c:pt>
                <c:pt idx="4">
                  <c:v>65000</c:v>
                </c:pt>
                <c:pt idx="5">
                  <c:v>28800</c:v>
                </c:pt>
                <c:pt idx="6">
                  <c:v>0</c:v>
                </c:pt>
                <c:pt idx="7">
                  <c:v>14400</c:v>
                </c:pt>
                <c:pt idx="8">
                  <c:v>14000</c:v>
                </c:pt>
                <c:pt idx="9">
                  <c:v>24500</c:v>
                </c:pt>
                <c:pt idx="10">
                  <c:v>18000</c:v>
                </c:pt>
                <c:pt idx="11">
                  <c:v>25000</c:v>
                </c:pt>
                <c:pt idx="12">
                  <c:v>0</c:v>
                </c:pt>
                <c:pt idx="13">
                  <c:v>6000</c:v>
                </c:pt>
                <c:pt idx="14">
                  <c:v>11200</c:v>
                </c:pt>
                <c:pt idx="15">
                  <c:v>0</c:v>
                </c:pt>
                <c:pt idx="16">
                  <c:v>297000</c:v>
                </c:pt>
                <c:pt idx="17">
                  <c:v>30000</c:v>
                </c:pt>
                <c:pt idx="18">
                  <c:v>88000</c:v>
                </c:pt>
                <c:pt idx="19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F-4806-AC76-3042E3DE2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por persona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'Gráficos Corregidos'!$P$1</c:f>
              <c:strCache>
                <c:ptCount val="1"/>
                <c:pt idx="0">
                  <c:v>Total gastado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'Gráficos Corregidos'!$O$2:$O$21</c:f>
              <c:strCache>
                <c:ptCount val="20"/>
                <c:pt idx="0">
                  <c:v>Ana López</c:v>
                </c:pt>
                <c:pt idx="1">
                  <c:v>Camila Torres</c:v>
                </c:pt>
                <c:pt idx="2">
                  <c:v>Carla González</c:v>
                </c:pt>
                <c:pt idx="3">
                  <c:v>Daniel Silva</c:v>
                </c:pt>
                <c:pt idx="4">
                  <c:v>Diego Martínez</c:v>
                </c:pt>
                <c:pt idx="5">
                  <c:v>Javier Torres</c:v>
                </c:pt>
                <c:pt idx="6">
                  <c:v>Juan Pérez</c:v>
                </c:pt>
                <c:pt idx="7">
                  <c:v>Laura Rojas</c:v>
                </c:pt>
                <c:pt idx="8">
                  <c:v>Luisa Fernández</c:v>
                </c:pt>
                <c:pt idx="9">
                  <c:v>María Sánchez</c:v>
                </c:pt>
                <c:pt idx="10">
                  <c:v>Marta Ramírez</c:v>
                </c:pt>
                <c:pt idx="11">
                  <c:v>Martín Gómez</c:v>
                </c:pt>
                <c:pt idx="12">
                  <c:v>Mateo Díaz</c:v>
                </c:pt>
                <c:pt idx="13">
                  <c:v>Matías Castro</c:v>
                </c:pt>
                <c:pt idx="14">
                  <c:v>Nicolás Ruiz</c:v>
                </c:pt>
                <c:pt idx="15">
                  <c:v>Pedro Rodríguez</c:v>
                </c:pt>
                <c:pt idx="16">
                  <c:v>Renata Flores</c:v>
                </c:pt>
                <c:pt idx="17">
                  <c:v>Sofía Pérez</c:v>
                </c:pt>
                <c:pt idx="18">
                  <c:v>Tomás Ramírez</c:v>
                </c:pt>
                <c:pt idx="19">
                  <c:v>Valentina Herrera</c:v>
                </c:pt>
              </c:strCache>
            </c:strRef>
          </c:cat>
          <c:val>
            <c:numRef>
              <c:f>'Gráficos Corregidos'!$P$2:$P$21</c:f>
              <c:numCache>
                <c:formatCode>"$"#,##0</c:formatCode>
                <c:ptCount val="20"/>
                <c:pt idx="0">
                  <c:v>16660</c:v>
                </c:pt>
                <c:pt idx="1">
                  <c:v>0</c:v>
                </c:pt>
                <c:pt idx="2">
                  <c:v>16660</c:v>
                </c:pt>
                <c:pt idx="3">
                  <c:v>12495</c:v>
                </c:pt>
                <c:pt idx="4">
                  <c:v>4284</c:v>
                </c:pt>
                <c:pt idx="5">
                  <c:v>11900</c:v>
                </c:pt>
                <c:pt idx="6">
                  <c:v>158865</c:v>
                </c:pt>
                <c:pt idx="7">
                  <c:v>117215</c:v>
                </c:pt>
                <c:pt idx="8">
                  <c:v>129115</c:v>
                </c:pt>
                <c:pt idx="9">
                  <c:v>9520</c:v>
                </c:pt>
                <c:pt idx="10">
                  <c:v>15470</c:v>
                </c:pt>
                <c:pt idx="11">
                  <c:v>38794</c:v>
                </c:pt>
                <c:pt idx="12">
                  <c:v>41650</c:v>
                </c:pt>
                <c:pt idx="13">
                  <c:v>0</c:v>
                </c:pt>
                <c:pt idx="14">
                  <c:v>0</c:v>
                </c:pt>
                <c:pt idx="15">
                  <c:v>340578</c:v>
                </c:pt>
                <c:pt idx="16">
                  <c:v>0</c:v>
                </c:pt>
                <c:pt idx="17">
                  <c:v>40222</c:v>
                </c:pt>
                <c:pt idx="18">
                  <c:v>0</c:v>
                </c:pt>
                <c:pt idx="19">
                  <c:v>145061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2-4B64-B136-BC5442850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674847"/>
        <c:axId val="1793667775"/>
      </c:barChart>
      <c:catAx>
        <c:axId val="179367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93667775"/>
        <c:crosses val="autoZero"/>
        <c:auto val="1"/>
        <c:lblAlgn val="ctr"/>
        <c:lblOffset val="100"/>
        <c:noMultiLvlLbl val="0"/>
      </c:catAx>
      <c:valAx>
        <c:axId val="179366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9367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[Supermercado (BD práctica AE 1-5)-6.xlsx]Tablas dinámicas!TablaDinámica6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dinámicas'!$B$72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dinámicas'!$A$73:$A$89</c:f>
              <c:strCache>
                <c:ptCount val="16"/>
                <c:pt idx="0">
                  <c:v>19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39</c:v>
                </c:pt>
              </c:strCache>
            </c:strRef>
          </c:cat>
          <c:val>
            <c:numRef>
              <c:f>'Tablas dinámicas'!$B$73:$B$89</c:f>
              <c:numCache>
                <c:formatCode>General</c:formatCode>
                <c:ptCount val="16"/>
                <c:pt idx="0">
                  <c:v>129115</c:v>
                </c:pt>
                <c:pt idx="1">
                  <c:v>0</c:v>
                </c:pt>
                <c:pt idx="2">
                  <c:v>41650</c:v>
                </c:pt>
                <c:pt idx="3">
                  <c:v>40222</c:v>
                </c:pt>
                <c:pt idx="4">
                  <c:v>158865</c:v>
                </c:pt>
                <c:pt idx="5">
                  <c:v>16660</c:v>
                </c:pt>
                <c:pt idx="6">
                  <c:v>117215</c:v>
                </c:pt>
                <c:pt idx="7">
                  <c:v>145061</c:v>
                </c:pt>
                <c:pt idx="8">
                  <c:v>38794</c:v>
                </c:pt>
                <c:pt idx="9">
                  <c:v>9520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16660</c:v>
                </c:pt>
                <c:pt idx="14">
                  <c:v>340578</c:v>
                </c:pt>
                <c:pt idx="15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7-483B-85D0-C01B583CB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549744"/>
        <c:axId val="286550160"/>
      </c:barChart>
      <c:catAx>
        <c:axId val="28654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6550160"/>
        <c:crosses val="autoZero"/>
        <c:auto val="1"/>
        <c:lblAlgn val="ctr"/>
        <c:lblOffset val="100"/>
        <c:noMultiLvlLbl val="0"/>
      </c:catAx>
      <c:valAx>
        <c:axId val="2865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65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[Supermercado (BD práctica AE 1-5)-6.xlsx]Tablas dinámicas!TablaDinámica7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dinámicas'!$B$93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dinámicas'!$A$94:$A$106</c:f>
              <c:strCache>
                <c:ptCount val="12"/>
                <c:pt idx="0">
                  <c:v>Antofagasta</c:v>
                </c:pt>
                <c:pt idx="1">
                  <c:v>Arica</c:v>
                </c:pt>
                <c:pt idx="2">
                  <c:v>Concepción</c:v>
                </c:pt>
                <c:pt idx="3">
                  <c:v>Copiapó</c:v>
                </c:pt>
                <c:pt idx="4">
                  <c:v>Iquique</c:v>
                </c:pt>
                <c:pt idx="5">
                  <c:v>La Serena</c:v>
                </c:pt>
                <c:pt idx="6">
                  <c:v>Puerto Montt</c:v>
                </c:pt>
                <c:pt idx="7">
                  <c:v>Rancagua</c:v>
                </c:pt>
                <c:pt idx="8">
                  <c:v>Santiago</c:v>
                </c:pt>
                <c:pt idx="9">
                  <c:v>Temuco</c:v>
                </c:pt>
                <c:pt idx="10">
                  <c:v>Valparaíso</c:v>
                </c:pt>
                <c:pt idx="11">
                  <c:v>Viña del Mar</c:v>
                </c:pt>
              </c:strCache>
            </c:strRef>
          </c:cat>
          <c:val>
            <c:numRef>
              <c:f>'Tablas dinámicas'!$B$94:$B$106</c:f>
              <c:numCache>
                <c:formatCode>General</c:formatCode>
                <c:ptCount val="12"/>
                <c:pt idx="0">
                  <c:v>117215</c:v>
                </c:pt>
                <c:pt idx="1">
                  <c:v>0</c:v>
                </c:pt>
                <c:pt idx="2">
                  <c:v>9520</c:v>
                </c:pt>
                <c:pt idx="3">
                  <c:v>0</c:v>
                </c:pt>
                <c:pt idx="4">
                  <c:v>38794</c:v>
                </c:pt>
                <c:pt idx="5">
                  <c:v>4284</c:v>
                </c:pt>
                <c:pt idx="6">
                  <c:v>12495</c:v>
                </c:pt>
                <c:pt idx="7">
                  <c:v>129115</c:v>
                </c:pt>
                <c:pt idx="8">
                  <c:v>158865</c:v>
                </c:pt>
                <c:pt idx="9">
                  <c:v>11900</c:v>
                </c:pt>
                <c:pt idx="10">
                  <c:v>340578</c:v>
                </c:pt>
                <c:pt idx="11">
                  <c:v>41650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8-460B-B3F1-37980ADA4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836448"/>
        <c:axId val="328838528"/>
      </c:barChart>
      <c:catAx>
        <c:axId val="3288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8838528"/>
        <c:crosses val="autoZero"/>
        <c:auto val="1"/>
        <c:lblAlgn val="ctr"/>
        <c:lblOffset val="100"/>
        <c:noMultiLvlLbl val="0"/>
      </c:catAx>
      <c:valAx>
        <c:axId val="3288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88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[Supermercado (BD práctica AE 1-5)-6.xlsx]Tablas dinámicas!TablaDinámica8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dinámicas'!$B$111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'Tablas dinámicas'!$A$112:$A$132</c:f>
              <c:strCache>
                <c:ptCount val="20"/>
                <c:pt idx="0">
                  <c:v>02-11-2023</c:v>
                </c:pt>
                <c:pt idx="1">
                  <c:v>04-11-2023</c:v>
                </c:pt>
                <c:pt idx="2">
                  <c:v>05-11-2023</c:v>
                </c:pt>
                <c:pt idx="3">
                  <c:v>06-11-2023</c:v>
                </c:pt>
                <c:pt idx="4">
                  <c:v>07-11-2023</c:v>
                </c:pt>
                <c:pt idx="5">
                  <c:v>08-11-2023</c:v>
                </c:pt>
                <c:pt idx="6">
                  <c:v>09-11-2023</c:v>
                </c:pt>
                <c:pt idx="7">
                  <c:v>11-11-2023</c:v>
                </c:pt>
                <c:pt idx="8">
                  <c:v>12-11-2023</c:v>
                </c:pt>
                <c:pt idx="9">
                  <c:v>14-11-2023</c:v>
                </c:pt>
                <c:pt idx="10">
                  <c:v>15-11-2023</c:v>
                </c:pt>
                <c:pt idx="11">
                  <c:v>17-11-2023</c:v>
                </c:pt>
                <c:pt idx="12">
                  <c:v>18-11-2023</c:v>
                </c:pt>
                <c:pt idx="13">
                  <c:v>20-11-2023</c:v>
                </c:pt>
                <c:pt idx="14">
                  <c:v>21-11-2023</c:v>
                </c:pt>
                <c:pt idx="15">
                  <c:v>23-11-2023</c:v>
                </c:pt>
                <c:pt idx="16">
                  <c:v>24-11-2023</c:v>
                </c:pt>
                <c:pt idx="17">
                  <c:v>26-11-2023</c:v>
                </c:pt>
                <c:pt idx="18">
                  <c:v>27-11-2023</c:v>
                </c:pt>
                <c:pt idx="19">
                  <c:v>29-11-2023</c:v>
                </c:pt>
              </c:strCache>
            </c:strRef>
          </c:cat>
          <c:val>
            <c:numRef>
              <c:f>'Tablas dinámicas'!$B$112:$B$132</c:f>
              <c:numCache>
                <c:formatCode>General</c:formatCode>
                <c:ptCount val="20"/>
                <c:pt idx="0">
                  <c:v>71995</c:v>
                </c:pt>
                <c:pt idx="1">
                  <c:v>35700</c:v>
                </c:pt>
                <c:pt idx="2">
                  <c:v>158865</c:v>
                </c:pt>
                <c:pt idx="3">
                  <c:v>19040</c:v>
                </c:pt>
                <c:pt idx="4">
                  <c:v>9520</c:v>
                </c:pt>
                <c:pt idx="5">
                  <c:v>10829</c:v>
                </c:pt>
                <c:pt idx="6">
                  <c:v>340578</c:v>
                </c:pt>
                <c:pt idx="7">
                  <c:v>34272</c:v>
                </c:pt>
                <c:pt idx="8">
                  <c:v>16660</c:v>
                </c:pt>
                <c:pt idx="9">
                  <c:v>45220</c:v>
                </c:pt>
                <c:pt idx="10">
                  <c:v>4284</c:v>
                </c:pt>
                <c:pt idx="11">
                  <c:v>5950</c:v>
                </c:pt>
                <c:pt idx="12">
                  <c:v>16660</c:v>
                </c:pt>
                <c:pt idx="13">
                  <c:v>126021</c:v>
                </c:pt>
                <c:pt idx="14">
                  <c:v>129115</c:v>
                </c:pt>
                <c:pt idx="15">
                  <c:v>27965</c:v>
                </c:pt>
                <c:pt idx="16">
                  <c:v>11900</c:v>
                </c:pt>
                <c:pt idx="17">
                  <c:v>5950</c:v>
                </c:pt>
                <c:pt idx="18">
                  <c:v>15470</c:v>
                </c:pt>
                <c:pt idx="19">
                  <c:v>12495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0-4905-B1CB-68AC96C42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83248"/>
        <c:axId val="328784080"/>
      </c:lineChart>
      <c:catAx>
        <c:axId val="32878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8784080"/>
        <c:crosses val="autoZero"/>
        <c:auto val="1"/>
        <c:lblAlgn val="ctr"/>
        <c:lblOffset val="100"/>
        <c:noMultiLvlLbl val="0"/>
      </c:catAx>
      <c:valAx>
        <c:axId val="3287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878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Promedio de unidades vendidas por producto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Promedio de unidades vendidas por producto</a:t>
          </a:r>
        </a:p>
      </cx:txPr>
    </cx:title>
    <cx:plotArea>
      <cx:plotAreaRegion>
        <cx:series layoutId="treemap" uniqueId="{78248FC5-92D9-42E3-A301-3811051AC938}" formatIdx="0">
          <cx:tx>
            <cx:txData>
              <cx:f>_xlchart.v1.1</cx:f>
              <cx:v>Promedio de ventas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9525</xdr:rowOff>
    </xdr:from>
    <xdr:to>
      <xdr:col>5</xdr:col>
      <xdr:colOff>419100</xdr:colOff>
      <xdr:row>40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29588F-0D29-4194-842F-5219FE3AC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26</xdr:row>
      <xdr:rowOff>9525</xdr:rowOff>
    </xdr:from>
    <xdr:to>
      <xdr:col>12</xdr:col>
      <xdr:colOff>9525</xdr:colOff>
      <xdr:row>40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24F78F-88BE-43D6-B5BA-94953AB21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24</xdr:row>
      <xdr:rowOff>142875</xdr:rowOff>
    </xdr:from>
    <xdr:to>
      <xdr:col>18</xdr:col>
      <xdr:colOff>638175</xdr:colOff>
      <xdr:row>39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5098D0C-B9BC-40AB-B6F2-210E2F439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22</xdr:row>
      <xdr:rowOff>0</xdr:rowOff>
    </xdr:from>
    <xdr:to>
      <xdr:col>4</xdr:col>
      <xdr:colOff>257175</xdr:colOff>
      <xdr:row>36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C82005-C067-46EC-9CF9-DCF9808E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9</xdr:col>
      <xdr:colOff>333375</xdr:colOff>
      <xdr:row>36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9BCE62-7C3A-4FFC-A0BE-4E337D3F1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752475</xdr:colOff>
      <xdr:row>21</xdr:row>
      <xdr:rowOff>171450</xdr:rowOff>
    </xdr:from>
    <xdr:to>
      <xdr:col>17</xdr:col>
      <xdr:colOff>209550</xdr:colOff>
      <xdr:row>36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EDF7091-6BF4-4D14-A5FA-27D91DD99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9</xdr:row>
      <xdr:rowOff>180975</xdr:rowOff>
    </xdr:from>
    <xdr:to>
      <xdr:col>14</xdr:col>
      <xdr:colOff>447675</xdr:colOff>
      <xdr:row>30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5BDD590-FCC4-4A0E-BF4B-3830A3F520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1895475"/>
              <a:ext cx="7315200" cy="3981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800099</xdr:colOff>
      <xdr:row>70</xdr:row>
      <xdr:rowOff>180975</xdr:rowOff>
    </xdr:from>
    <xdr:to>
      <xdr:col>8</xdr:col>
      <xdr:colOff>914399</xdr:colOff>
      <xdr:row>89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BF3674-AD98-4C15-AD5C-8FA363D2D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800100</xdr:colOff>
      <xdr:row>92</xdr:row>
      <xdr:rowOff>9525</xdr:rowOff>
    </xdr:from>
    <xdr:to>
      <xdr:col>7</xdr:col>
      <xdr:colOff>638175</xdr:colOff>
      <xdr:row>106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C6844B-A338-45B2-A6C7-D021F77C7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9524</xdr:colOff>
      <xdr:row>110</xdr:row>
      <xdr:rowOff>9524</xdr:rowOff>
    </xdr:from>
    <xdr:to>
      <xdr:col>9</xdr:col>
      <xdr:colOff>447674</xdr:colOff>
      <xdr:row>131</xdr:row>
      <xdr:rowOff>190499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4229629-DA06-423C-B3BA-DE17F5BAE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as Nuñez" refreshedDate="45331.672296874996" createdVersion="7" refreshedVersion="7" minRefreshableVersion="3" recordCount="48" xr:uid="{7EA4E319-2822-4231-A534-EA38078B8BB2}">
  <cacheSource type="worksheet">
    <worksheetSource ref="B1:V49" sheet="Supermercado (BD práctica AE 1-"/>
  </cacheSource>
  <cacheFields count="21">
    <cacheField name="rut" numFmtId="0">
      <sharedItems containsBlank="1"/>
    </cacheField>
    <cacheField name="nombre" numFmtId="0">
      <sharedItems containsBlank="1" count="21">
        <s v="Tomás Ramírez"/>
        <s v="Laura Rojas"/>
        <s v="Juan Pérez"/>
        <s v="Pedro Rodríguez"/>
        <s v="Camila Torres"/>
        <s v="Mateo Díaz"/>
        <s v="Carla González"/>
        <s v="Diego Martínez"/>
        <s v="Matías Castro"/>
        <s v="Valentina Herrera"/>
        <s v="Ana López"/>
        <s v="Luisa Fernández"/>
        <s v="Martín Gómez"/>
        <s v="Renata Flores"/>
        <s v="Javier Torres"/>
        <s v="María Sánchez"/>
        <s v="Marta Ramírez"/>
        <s v="Daniel Silva"/>
        <s v="Sofía Pérez"/>
        <s v="Nicolás Ruiz"/>
        <m/>
      </sharedItems>
    </cacheField>
    <cacheField name="direccion" numFmtId="0">
      <sharedItems containsBlank="1"/>
    </cacheField>
    <cacheField name="comuna" numFmtId="0">
      <sharedItems containsBlank="1" count="14">
        <s v="Arica"/>
        <s v="Antofagasta"/>
        <s v="Santiago"/>
        <s v="Valparaíso"/>
        <m/>
        <s v="Viña del Mar"/>
        <s v="La Serena"/>
        <s v=" "/>
        <s v="Rancagua"/>
        <s v="Iquique"/>
        <s v="Copiapó"/>
        <s v="Temuco"/>
        <s v="Concepción"/>
        <s v="Puerto Montt"/>
      </sharedItems>
    </cacheField>
    <cacheField name="fecha_nacimiento" numFmtId="165">
      <sharedItems containsNonDate="0" containsDate="1" containsString="0" containsBlank="1" minDate="1985-11-30T00:00:00" maxDate="2005-04-26T00:00:00"/>
    </cacheField>
    <cacheField name="telefono" numFmtId="0">
      <sharedItems containsString="0" containsBlank="1" containsNumber="1" containsInteger="1" minValue="912345672" maxValue="987654321"/>
    </cacheField>
    <cacheField name="email" numFmtId="0">
      <sharedItems containsBlank="1"/>
    </cacheField>
    <cacheField name="numero_boleta" numFmtId="0">
      <sharedItems containsString="0" containsBlank="1" containsNumber="1" containsInteger="1" minValue="1" maxValue="24" count="25">
        <m/>
        <n v="11"/>
        <n v="16"/>
        <n v="1"/>
        <n v="3"/>
        <n v="12"/>
        <n v="17"/>
        <n v="4"/>
        <n v="5"/>
        <n v="18"/>
        <n v="13"/>
        <n v="6"/>
        <n v="7"/>
        <n v="19"/>
        <n v="14"/>
        <n v="8"/>
        <n v="2"/>
        <n v="9"/>
        <n v="10"/>
        <n v="20"/>
        <n v="15"/>
        <n v="21"/>
        <n v="22"/>
        <n v="23"/>
        <n v="24"/>
      </sharedItems>
    </cacheField>
    <cacheField name="fecha" numFmtId="0">
      <sharedItems containsNonDate="0" containsDate="1" containsString="0" containsBlank="1" minDate="2023-11-02T00:00:00" maxDate="2023-11-30T00:00:00" count="21">
        <m/>
        <d v="2023-11-02T00:00:00"/>
        <d v="2023-11-14T00:00:00"/>
        <d v="2023-11-05T00:00:00"/>
        <d v="2023-11-09T00:00:00"/>
        <d v="2023-11-04T00:00:00"/>
        <d v="2023-11-17T00:00:00"/>
        <d v="2023-11-12T00:00:00"/>
        <d v="2023-11-15T00:00:00"/>
        <d v="2023-11-20T00:00:00"/>
        <d v="2023-11-06T00:00:00"/>
        <d v="2023-11-18T00:00:00"/>
        <d v="2023-11-21T00:00:00"/>
        <d v="2023-11-23T00:00:00"/>
        <d v="2023-11-08T00:00:00"/>
        <d v="2023-11-24T00:00:00"/>
        <d v="2023-11-07T00:00:00"/>
        <d v="2023-11-27T00:00:00"/>
        <d v="2023-11-29T00:00:00"/>
        <d v="2023-11-26T00:00:00"/>
        <d v="2023-11-11T00:00:00"/>
      </sharedItems>
    </cacheField>
    <cacheField name="codigo_producto" numFmtId="0">
      <sharedItems containsString="0" containsBlank="1" containsNumber="1" containsInteger="1" minValue="101" maxValue="120"/>
    </cacheField>
    <cacheField name="nombre_producto" numFmtId="0">
      <sharedItems containsBlank="1" count="21">
        <m/>
        <s v="Café"/>
        <s v="Galletas"/>
        <s v="Pescado"/>
        <s v="Arroz"/>
        <s v="Aceite de cocina"/>
        <s v="Azúcar"/>
        <s v="Mantequilla"/>
        <s v="Queso"/>
        <s v="Helado"/>
        <s v="Yogur"/>
        <s v="Agua mineral"/>
        <s v="Fideos"/>
        <s v="Frutas frescas"/>
        <s v="Verduras"/>
        <s v="Harina"/>
        <s v="Leche"/>
        <s v="Carne de pollo"/>
        <s v="Pan"/>
        <s v="Jugos"/>
        <s v="Carne de res"/>
      </sharedItems>
    </cacheField>
    <cacheField name="precio" numFmtId="164">
      <sharedItems containsString="0" containsBlank="1" containsNumber="1" containsInteger="1" minValue="1200" maxValue="18000"/>
    </cacheField>
    <cacheField name="cantidad" numFmtId="0">
      <sharedItems containsString="0" containsBlank="1" containsNumber="1" containsInteger="1" minValue="1" maxValue="20"/>
    </cacheField>
    <cacheField name="Subtotal" numFmtId="164">
      <sharedItems containsSemiMixedTypes="0" containsString="0" containsNumber="1" containsInteger="1" minValue="0" maxValue="180000"/>
    </cacheField>
    <cacheField name="IVA" numFmtId="164">
      <sharedItems containsSemiMixedTypes="0" containsString="0" containsNumber="1" containsInteger="1" minValue="0" maxValue="34200"/>
    </cacheField>
    <cacheField name="TOTAL" numFmtId="164">
      <sharedItems containsSemiMixedTypes="0" containsString="0" containsNumber="1" containsInteger="1" minValue="0" maxValue="214200" count="30">
        <n v="0"/>
        <n v="23800"/>
        <n v="29155"/>
        <n v="42840"/>
        <n v="5355"/>
        <n v="128520"/>
        <n v="5950"/>
        <n v="47600"/>
        <n v="13328"/>
        <n v="35700"/>
        <n v="16660"/>
        <n v="4284"/>
        <n v="16065"/>
        <n v="2856"/>
        <n v="107100"/>
        <n v="19040"/>
        <n v="32725"/>
        <n v="96390"/>
        <n v="7140"/>
        <n v="20825"/>
        <n v="6545"/>
        <n v="11900"/>
        <n v="2380"/>
        <n v="10710"/>
        <n v="4760"/>
        <n v="3570"/>
        <n v="8925"/>
        <n v="34272"/>
        <n v="65450"/>
        <n v="214200"/>
      </sharedItems>
    </cacheField>
    <cacheField name="Es boleta" numFmtId="0">
      <sharedItems count="2">
        <s v="NO"/>
        <s v="SI"/>
      </sharedItems>
    </cacheField>
    <cacheField name="Es sólo producto " numFmtId="0">
      <sharedItems count="2">
        <s v="NO"/>
        <s v="SI"/>
      </sharedItems>
    </cacheField>
    <cacheField name="Es sólo usuario" numFmtId="0">
      <sharedItems/>
    </cacheField>
    <cacheField name="Estado" numFmtId="0">
      <sharedItems/>
    </cacheField>
    <cacheField name="Edad" numFmtId="1">
      <sharedItems containsMixedTypes="1" containsNumber="1" containsInteger="1" minValue="19" maxValue="39" count="17">
        <n v="30"/>
        <n v="26"/>
        <n v="24"/>
        <n v="36"/>
        <n v="31"/>
        <n v="22"/>
        <n v="25"/>
        <s v=""/>
        <n v="32"/>
        <n v="27"/>
        <n v="34"/>
        <n v="19"/>
        <n v="28"/>
        <n v="39"/>
        <n v="29"/>
        <n v="23"/>
        <n v="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s v="11223344-4"/>
    <x v="0"/>
    <m/>
    <x v="0"/>
    <d v="1994-12-31T00:00:00"/>
    <m/>
    <s v="tomas@example.com"/>
    <x v="0"/>
    <x v="0"/>
    <m/>
    <x v="0"/>
    <m/>
    <m/>
    <n v="0"/>
    <n v="0"/>
    <x v="0"/>
    <x v="0"/>
    <x v="0"/>
    <s v="SI"/>
    <s v="Completo"/>
    <x v="0"/>
  </r>
  <r>
    <s v="11223344-5"/>
    <x v="1"/>
    <s v="Calle Virtual 567"/>
    <x v="1"/>
    <d v="1998-07-12T00:00:00"/>
    <n v="945678321"/>
    <s v="laura@example.com"/>
    <x v="1"/>
    <x v="1"/>
    <n v="107"/>
    <x v="1"/>
    <n v="5000"/>
    <n v="4"/>
    <n v="20000"/>
    <n v="3800"/>
    <x v="1"/>
    <x v="1"/>
    <x v="0"/>
    <s v="NO"/>
    <s v="Incompleto"/>
    <x v="1"/>
  </r>
  <r>
    <s v="11223344-5"/>
    <x v="1"/>
    <s v="Calle Virtual 567"/>
    <x v="1"/>
    <d v="1998-07-12T00:00:00"/>
    <n v="945678321"/>
    <s v="laura@example.com"/>
    <x v="1"/>
    <x v="1"/>
    <n v="109"/>
    <x v="2"/>
    <n v="3500"/>
    <n v="7"/>
    <n v="24500"/>
    <n v="4655"/>
    <x v="2"/>
    <x v="1"/>
    <x v="0"/>
    <s v="NO"/>
    <s v="Completo"/>
    <x v="1"/>
  </r>
  <r>
    <s v="11223344-5"/>
    <x v="1"/>
    <s v="Calle Virtual 567"/>
    <x v="1"/>
    <d v="1998-07-12T00:00:00"/>
    <n v="945678321"/>
    <s v="laura@example.com"/>
    <x v="2"/>
    <x v="2"/>
    <n v="119"/>
    <x v="3"/>
    <n v="9000"/>
    <n v="4"/>
    <n v="36000"/>
    <n v="6840"/>
    <x v="3"/>
    <x v="1"/>
    <x v="0"/>
    <s v="NO"/>
    <s v="Completo"/>
    <x v="1"/>
  </r>
  <r>
    <s v="12345678-9"/>
    <x v="2"/>
    <s v="Calle Falsa 123"/>
    <x v="2"/>
    <d v="2000-05-15T00:00:00"/>
    <n v="912345678"/>
    <s v="juan@example.com"/>
    <x v="3"/>
    <x v="3"/>
    <n v="101"/>
    <x v="4"/>
    <n v="1500"/>
    <n v="3"/>
    <n v="4500"/>
    <n v="855"/>
    <x v="4"/>
    <x v="1"/>
    <x v="0"/>
    <s v="NO"/>
    <s v="Completo"/>
    <x v="2"/>
  </r>
  <r>
    <s v="12345678-9"/>
    <x v="2"/>
    <s v="Calle Falsa 123"/>
    <x v="2"/>
    <d v="2000-05-15T00:00:00"/>
    <n v="912345678"/>
    <s v="juan@example.com"/>
    <x v="3"/>
    <x v="3"/>
    <n v="103"/>
    <x v="5"/>
    <n v="18000"/>
    <n v="6"/>
    <n v="108000"/>
    <n v="20520"/>
    <x v="5"/>
    <x v="1"/>
    <x v="0"/>
    <s v="NO"/>
    <s v="Completo"/>
    <x v="2"/>
  </r>
  <r>
    <s v="12345678-9"/>
    <x v="2"/>
    <s v="Calle Falsa 123"/>
    <x v="2"/>
    <d v="2000-05-15T00:00:00"/>
    <n v="912345678"/>
    <s v="juan@example.com"/>
    <x v="3"/>
    <x v="3"/>
    <n v="106"/>
    <x v="6"/>
    <n v="2500"/>
    <n v="2"/>
    <n v="5000"/>
    <n v="950"/>
    <x v="6"/>
    <x v="1"/>
    <x v="0"/>
    <s v="NO"/>
    <s v="Completo"/>
    <x v="2"/>
  </r>
  <r>
    <s v="23456789-1"/>
    <x v="3"/>
    <m/>
    <x v="3"/>
    <d v="1988-03-10T00:00:00"/>
    <n v="912345678"/>
    <s v="pedro@example.com"/>
    <x v="4"/>
    <x v="4"/>
    <n v="107"/>
    <x v="1"/>
    <n v="5000"/>
    <n v="8"/>
    <n v="40000"/>
    <n v="7600"/>
    <x v="7"/>
    <x v="1"/>
    <x v="0"/>
    <s v="NO"/>
    <s v="Completo"/>
    <x v="3"/>
  </r>
  <r>
    <s v="23456789-1"/>
    <x v="3"/>
    <m/>
    <x v="3"/>
    <d v="1988-03-10T00:00:00"/>
    <n v="912345678"/>
    <s v="pedro@example.com"/>
    <x v="4"/>
    <x v="4"/>
    <n v="110"/>
    <x v="7"/>
    <n v="2800"/>
    <n v="4"/>
    <n v="11200"/>
    <n v="2128"/>
    <x v="8"/>
    <x v="1"/>
    <x v="0"/>
    <s v="NO"/>
    <s v="Incompleto"/>
    <x v="3"/>
  </r>
  <r>
    <s v="33445566-5"/>
    <x v="4"/>
    <s v="Calle Cibernética 456"/>
    <x v="4"/>
    <d v="1993-02-14T00:00:00"/>
    <n v="977894512"/>
    <s v="camila@example.com"/>
    <x v="0"/>
    <x v="0"/>
    <m/>
    <x v="0"/>
    <m/>
    <m/>
    <n v="0"/>
    <n v="0"/>
    <x v="0"/>
    <x v="0"/>
    <x v="0"/>
    <s v="SI"/>
    <s v="Incompleto"/>
    <x v="4"/>
  </r>
  <r>
    <s v="33445566-7"/>
    <x v="5"/>
    <m/>
    <x v="5"/>
    <d v="2002-02-28T00:00:00"/>
    <n v="967894512"/>
    <s v="mateo@example.com"/>
    <x v="5"/>
    <x v="5"/>
    <n v="111"/>
    <x v="8"/>
    <n v="6000"/>
    <n v="5"/>
    <n v="30000"/>
    <n v="5700"/>
    <x v="9"/>
    <x v="1"/>
    <x v="0"/>
    <s v="NO"/>
    <s v="Incompleto"/>
    <x v="5"/>
  </r>
  <r>
    <s v="33445566-7"/>
    <x v="5"/>
    <m/>
    <x v="5"/>
    <d v="2002-02-28T00:00:00"/>
    <n v="967894512"/>
    <s v="mateo@example.com"/>
    <x v="6"/>
    <x v="6"/>
    <n v="120"/>
    <x v="9"/>
    <n v="2500"/>
    <n v="2"/>
    <n v="5000"/>
    <n v="950"/>
    <x v="6"/>
    <x v="1"/>
    <x v="0"/>
    <s v="NO"/>
    <s v="Incompleto"/>
    <x v="5"/>
  </r>
  <r>
    <s v="34567890-2"/>
    <x v="6"/>
    <s v="Calle Inventada 789"/>
    <x v="4"/>
    <d v="1999-12-05T00:00:00"/>
    <n v="934567890"/>
    <s v="carla@example.com"/>
    <x v="7"/>
    <x v="7"/>
    <n v="112"/>
    <x v="10"/>
    <n v="2000"/>
    <n v="7"/>
    <n v="14000"/>
    <n v="2660"/>
    <x v="10"/>
    <x v="1"/>
    <x v="0"/>
    <s v="NO"/>
    <s v="Incompleto"/>
    <x v="6"/>
  </r>
  <r>
    <s v="45678901-3"/>
    <x v="7"/>
    <s v="Avenida Irreal 987"/>
    <x v="6"/>
    <m/>
    <m/>
    <s v="diego@example.com"/>
    <x v="8"/>
    <x v="8"/>
    <n v="113"/>
    <x v="11"/>
    <n v="1200"/>
    <n v="3"/>
    <n v="3600"/>
    <n v="684"/>
    <x v="11"/>
    <x v="1"/>
    <x v="0"/>
    <s v="NO"/>
    <s v="Incompleto"/>
    <x v="7"/>
  </r>
  <r>
    <s v="55667788-6"/>
    <x v="8"/>
    <s v="Avenida Innovación 321"/>
    <x v="7"/>
    <d v="1992-06-08T00:00:00"/>
    <n v="923478965"/>
    <m/>
    <x v="0"/>
    <x v="0"/>
    <m/>
    <x v="0"/>
    <m/>
    <m/>
    <n v="0"/>
    <n v="0"/>
    <x v="0"/>
    <x v="0"/>
    <x v="0"/>
    <s v="SI"/>
    <s v="Incompleto"/>
    <x v="8"/>
  </r>
  <r>
    <s v="55667788-9"/>
    <x v="9"/>
    <s v="Avenida Tecnológica 123"/>
    <x v="7"/>
    <d v="1997-04-05T00:00:00"/>
    <n v="923478965"/>
    <s v="valentina@example.com"/>
    <x v="9"/>
    <x v="9"/>
    <n v="101"/>
    <x v="4"/>
    <n v="1500"/>
    <n v="9"/>
    <n v="13500"/>
    <n v="2565"/>
    <x v="12"/>
    <x v="1"/>
    <x v="0"/>
    <s v="NO"/>
    <s v="Incompleto"/>
    <x v="9"/>
  </r>
  <r>
    <s v="55667788-9"/>
    <x v="9"/>
    <s v="Avenida Tecnológica 123"/>
    <x v="7"/>
    <d v="1997-04-05T00:00:00"/>
    <n v="923478965"/>
    <s v="valentina@example.com"/>
    <x v="9"/>
    <x v="9"/>
    <n v="102"/>
    <x v="12"/>
    <n v="1200"/>
    <n v="2"/>
    <n v="2400"/>
    <n v="456"/>
    <x v="13"/>
    <x v="1"/>
    <x v="0"/>
    <s v="NO"/>
    <s v="Completo"/>
    <x v="9"/>
  </r>
  <r>
    <s v="55667788-9"/>
    <x v="9"/>
    <s v="Avenida Tecnológica 123"/>
    <x v="7"/>
    <d v="1997-04-05T00:00:00"/>
    <n v="923478965"/>
    <s v="valentina@example.com"/>
    <x v="9"/>
    <x v="9"/>
    <n v="103"/>
    <x v="5"/>
    <n v="18000"/>
    <n v="5"/>
    <n v="90000"/>
    <n v="17100"/>
    <x v="14"/>
    <x v="1"/>
    <x v="0"/>
    <s v="NO"/>
    <s v="Completo"/>
    <x v="9"/>
  </r>
  <r>
    <s v="55667788-9"/>
    <x v="9"/>
    <s v="Avenida Tecnológica 123"/>
    <x v="7"/>
    <d v="1997-04-05T00:00:00"/>
    <n v="923478965"/>
    <s v="valentina@example.com"/>
    <x v="10"/>
    <x v="10"/>
    <n v="112"/>
    <x v="10"/>
    <n v="2000"/>
    <n v="8"/>
    <n v="16000"/>
    <n v="3040"/>
    <x v="15"/>
    <x v="1"/>
    <x v="0"/>
    <s v="NO"/>
    <s v="Completo"/>
    <x v="9"/>
  </r>
  <r>
    <s v="56789012-4"/>
    <x v="10"/>
    <m/>
    <x v="4"/>
    <d v="1990-08-18T00:00:00"/>
    <n v="978901234"/>
    <s v="ana@example.com"/>
    <x v="11"/>
    <x v="11"/>
    <n v="115"/>
    <x v="13"/>
    <n v="7000"/>
    <n v="2"/>
    <n v="14000"/>
    <n v="2660"/>
    <x v="10"/>
    <x v="1"/>
    <x v="0"/>
    <s v="NO"/>
    <s v="Completo"/>
    <x v="10"/>
  </r>
  <r>
    <s v="67890123-5"/>
    <x v="11"/>
    <s v="Calle Ficticia 321"/>
    <x v="8"/>
    <d v="2005-04-25T00:00:00"/>
    <m/>
    <s v="luisa@example.com"/>
    <x v="12"/>
    <x v="12"/>
    <n v="116"/>
    <x v="14"/>
    <n v="5500"/>
    <n v="5"/>
    <n v="27500"/>
    <n v="5225"/>
    <x v="16"/>
    <x v="1"/>
    <x v="0"/>
    <s v="NO"/>
    <s v="Incompleto"/>
    <x v="11"/>
  </r>
  <r>
    <s v="67890123-5"/>
    <x v="11"/>
    <s v="Calle Ficticia 321"/>
    <x v="8"/>
    <d v="2005-04-25T00:00:00"/>
    <m/>
    <s v="luisa@example.com"/>
    <x v="12"/>
    <x v="12"/>
    <n v="119"/>
    <x v="3"/>
    <n v="9000"/>
    <n v="9"/>
    <n v="81000"/>
    <n v="15390"/>
    <x v="17"/>
    <x v="1"/>
    <x v="0"/>
    <s v="NO"/>
    <s v="Incompleto"/>
    <x v="11"/>
  </r>
  <r>
    <s v="77889900-1"/>
    <x v="12"/>
    <m/>
    <x v="9"/>
    <d v="1996-10-17T00:00:00"/>
    <n v="955678902"/>
    <s v="martin@example.com"/>
    <x v="13"/>
    <x v="13"/>
    <n v="104"/>
    <x v="15"/>
    <n v="2000"/>
    <n v="3"/>
    <n v="6000"/>
    <n v="1140"/>
    <x v="18"/>
    <x v="1"/>
    <x v="0"/>
    <s v="NO"/>
    <s v="Incompleto"/>
    <x v="12"/>
  </r>
  <r>
    <s v="77889900-1"/>
    <x v="12"/>
    <m/>
    <x v="9"/>
    <d v="1996-10-17T00:00:00"/>
    <n v="955678902"/>
    <s v="martin@example.com"/>
    <x v="13"/>
    <x v="13"/>
    <n v="106"/>
    <x v="6"/>
    <n v="2500"/>
    <n v="7"/>
    <n v="17500"/>
    <n v="3325"/>
    <x v="19"/>
    <x v="1"/>
    <x v="0"/>
    <s v="NO"/>
    <s v="Incompleto"/>
    <x v="12"/>
  </r>
  <r>
    <s v="77889900-1"/>
    <x v="12"/>
    <s v=" "/>
    <x v="9"/>
    <d v="1996-10-17T00:00:00"/>
    <n v="955678902"/>
    <s v="martin@example.com"/>
    <x v="14"/>
    <x v="14"/>
    <n v="113"/>
    <x v="11"/>
    <n v="1200"/>
    <n v="3"/>
    <n v="3600"/>
    <n v="684"/>
    <x v="11"/>
    <x v="1"/>
    <x v="0"/>
    <s v="NO"/>
    <s v="Incompleto"/>
    <x v="12"/>
  </r>
  <r>
    <s v="77889900-1"/>
    <x v="12"/>
    <m/>
    <x v="9"/>
    <d v="1996-10-17T00:00:00"/>
    <n v="955678902"/>
    <s v="martin@example.com"/>
    <x v="14"/>
    <x v="14"/>
    <n v="116"/>
    <x v="14"/>
    <n v="5500"/>
    <n v="1"/>
    <n v="5500"/>
    <n v="1045"/>
    <x v="20"/>
    <x v="1"/>
    <x v="0"/>
    <s v="NO"/>
    <s v="Completo"/>
    <x v="12"/>
  </r>
  <r>
    <s v="77889900-7"/>
    <x v="13"/>
    <m/>
    <x v="10"/>
    <m/>
    <m/>
    <s v="renata@example.com"/>
    <x v="0"/>
    <x v="0"/>
    <m/>
    <x v="0"/>
    <m/>
    <m/>
    <n v="0"/>
    <n v="0"/>
    <x v="0"/>
    <x v="0"/>
    <x v="0"/>
    <s v="SI"/>
    <s v="Incompleto"/>
    <x v="7"/>
  </r>
  <r>
    <s v="78901234-6"/>
    <x v="14"/>
    <s v="Avenida de Ensueño 654"/>
    <x v="11"/>
    <d v="1985-11-30T00:00:00"/>
    <n v="923456789"/>
    <s v=" "/>
    <x v="15"/>
    <x v="15"/>
    <n v="120"/>
    <x v="9"/>
    <n v="2500"/>
    <n v="4"/>
    <n v="10000"/>
    <n v="1900"/>
    <x v="21"/>
    <x v="1"/>
    <x v="0"/>
    <s v="NO"/>
    <s v="Incompleto"/>
    <x v="13"/>
  </r>
  <r>
    <s v="87654321-0"/>
    <x v="15"/>
    <s v="Avenida Imaginaria 456"/>
    <x v="12"/>
    <d v="1995-10-20T00:00:00"/>
    <n v="987654321"/>
    <s v="maria@example.com"/>
    <x v="16"/>
    <x v="16"/>
    <n v="102"/>
    <x v="12"/>
    <n v="1200"/>
    <n v="5"/>
    <n v="6000"/>
    <n v="1140"/>
    <x v="18"/>
    <x v="1"/>
    <x v="0"/>
    <s v="NO"/>
    <s v="Completo"/>
    <x v="14"/>
  </r>
  <r>
    <s v="87654321-0"/>
    <x v="15"/>
    <s v="Avenida Imaginaria 456"/>
    <x v="12"/>
    <d v="1995-10-20T00:00:00"/>
    <n v="987654321"/>
    <s v="maria@example.com"/>
    <x v="16"/>
    <x v="16"/>
    <n v="104"/>
    <x v="15"/>
    <n v="2000"/>
    <n v="1"/>
    <n v="2000"/>
    <n v="380"/>
    <x v="22"/>
    <x v="1"/>
    <x v="0"/>
    <s v="NO"/>
    <s v="Completo"/>
    <x v="14"/>
  </r>
  <r>
    <s v="89012345-7"/>
    <x v="16"/>
    <s v="Calle Soñada 210"/>
    <x v="4"/>
    <m/>
    <m/>
    <m/>
    <x v="17"/>
    <x v="17"/>
    <n v="101"/>
    <x v="4"/>
    <n v="1500"/>
    <n v="6"/>
    <n v="9000"/>
    <n v="1710"/>
    <x v="23"/>
    <x v="1"/>
    <x v="0"/>
    <s v="NO"/>
    <s v="Completo"/>
    <x v="7"/>
  </r>
  <r>
    <s v="89012345-7"/>
    <x v="16"/>
    <s v="Calle Soñada 210"/>
    <x v="4"/>
    <m/>
    <m/>
    <m/>
    <x v="17"/>
    <x v="17"/>
    <n v="104"/>
    <x v="15"/>
    <n v="2000"/>
    <n v="2"/>
    <n v="4000"/>
    <n v="760"/>
    <x v="24"/>
    <x v="1"/>
    <x v="0"/>
    <s v="NO"/>
    <s v="Incompleto"/>
    <x v="7"/>
  </r>
  <r>
    <s v="90123456-8"/>
    <x v="17"/>
    <m/>
    <x v="13"/>
    <m/>
    <m/>
    <m/>
    <x v="18"/>
    <x v="18"/>
    <n v="105"/>
    <x v="16"/>
    <n v="3000"/>
    <n v="1"/>
    <n v="3000"/>
    <n v="570"/>
    <x v="25"/>
    <x v="1"/>
    <x v="0"/>
    <s v="NO"/>
    <s v="Incompleto"/>
    <x v="7"/>
  </r>
  <r>
    <s v="90123456-8"/>
    <x v="17"/>
    <m/>
    <x v="13"/>
    <m/>
    <m/>
    <m/>
    <x v="18"/>
    <x v="18"/>
    <n v="106"/>
    <x v="6"/>
    <n v="2500"/>
    <n v="3"/>
    <n v="7500"/>
    <n v="1425"/>
    <x v="26"/>
    <x v="1"/>
    <x v="0"/>
    <s v="NO"/>
    <s v="Incompleto"/>
    <x v="7"/>
  </r>
  <r>
    <s v="99001122-3"/>
    <x v="18"/>
    <s v="Calle Digital 789"/>
    <x v="4"/>
    <d v="2001-09-22T00:00:00"/>
    <n v="912345672"/>
    <s v="sofia@example.com"/>
    <x v="19"/>
    <x v="19"/>
    <n v="107"/>
    <x v="1"/>
    <n v="5000"/>
    <n v="1"/>
    <n v="5000"/>
    <n v="950"/>
    <x v="6"/>
    <x v="1"/>
    <x v="0"/>
    <s v="NO"/>
    <s v="Incompleto"/>
    <x v="15"/>
  </r>
  <r>
    <s v="99001122-3"/>
    <x v="18"/>
    <s v="Calle Digital 789"/>
    <x v="4"/>
    <d v="2001-09-22T00:00:00"/>
    <n v="912345672"/>
    <s v="sofia@example.com"/>
    <x v="20"/>
    <x v="20"/>
    <n v="117"/>
    <x v="17"/>
    <n v="4800"/>
    <n v="6"/>
    <n v="28800"/>
    <n v="5472"/>
    <x v="27"/>
    <x v="1"/>
    <x v="0"/>
    <s v="NO"/>
    <s v="Incompleto"/>
    <x v="15"/>
  </r>
  <r>
    <s v="99001122-8"/>
    <x v="19"/>
    <s v="Calle Programación 210"/>
    <x v="4"/>
    <d v="2003-11-03T00:00:00"/>
    <n v="955678902"/>
    <s v="nicolas@example.com"/>
    <x v="0"/>
    <x v="0"/>
    <m/>
    <x v="0"/>
    <m/>
    <m/>
    <n v="0"/>
    <n v="0"/>
    <x v="0"/>
    <x v="0"/>
    <x v="0"/>
    <s v="SI"/>
    <s v="Incompleto"/>
    <x v="16"/>
  </r>
  <r>
    <m/>
    <x v="20"/>
    <m/>
    <x v="4"/>
    <m/>
    <m/>
    <m/>
    <x v="0"/>
    <x v="0"/>
    <n v="108"/>
    <x v="18"/>
    <n v="1500"/>
    <m/>
    <n v="0"/>
    <n v="0"/>
    <x v="0"/>
    <x v="0"/>
    <x v="1"/>
    <s v="NO"/>
    <s v="Incompleto"/>
    <x v="7"/>
  </r>
  <r>
    <m/>
    <x v="20"/>
    <m/>
    <x v="4"/>
    <m/>
    <m/>
    <m/>
    <x v="0"/>
    <x v="0"/>
    <n v="114"/>
    <x v="19"/>
    <n v="4000"/>
    <m/>
    <n v="0"/>
    <n v="0"/>
    <x v="0"/>
    <x v="0"/>
    <x v="1"/>
    <s v="NO"/>
    <s v="No aplica"/>
    <x v="7"/>
  </r>
  <r>
    <m/>
    <x v="20"/>
    <m/>
    <x v="4"/>
    <m/>
    <m/>
    <m/>
    <x v="0"/>
    <x v="0"/>
    <n v="118"/>
    <x v="20"/>
    <n v="10000"/>
    <m/>
    <n v="0"/>
    <n v="0"/>
    <x v="0"/>
    <x v="0"/>
    <x v="1"/>
    <s v="NO"/>
    <s v="No aplica"/>
    <x v="7"/>
  </r>
  <r>
    <s v="11223344-5"/>
    <x v="1"/>
    <s v="Calle Virtual 567"/>
    <x v="1"/>
    <d v="1998-07-12T00:00:00"/>
    <n v="945678321"/>
    <s v="laura@example.com"/>
    <x v="21"/>
    <x v="1"/>
    <n v="120"/>
    <x v="9"/>
    <n v="2500"/>
    <n v="4"/>
    <n v="10000"/>
    <n v="1900"/>
    <x v="21"/>
    <x v="1"/>
    <x v="0"/>
    <s v="NO"/>
    <s v="No aplica"/>
    <x v="1"/>
  </r>
  <r>
    <s v="11223344-5"/>
    <x v="1"/>
    <s v="Calle Virtual 567"/>
    <x v="1"/>
    <d v="1998-07-12T00:00:00"/>
    <n v="945678321"/>
    <s v="laura@example.com"/>
    <x v="21"/>
    <x v="1"/>
    <n v="102"/>
    <x v="12"/>
    <n v="1200"/>
    <n v="5"/>
    <n v="6000"/>
    <n v="1140"/>
    <x v="18"/>
    <x v="1"/>
    <x v="0"/>
    <s v="NO"/>
    <s v="Completo"/>
    <x v="1"/>
  </r>
  <r>
    <s v="11223344-5"/>
    <x v="1"/>
    <s v="Calle Virtual 567"/>
    <x v="1"/>
    <d v="1998-07-12T00:00:00"/>
    <n v="945678321"/>
    <s v="laura@example.com"/>
    <x v="22"/>
    <x v="2"/>
    <n v="104"/>
    <x v="15"/>
    <n v="2000"/>
    <n v="1"/>
    <n v="2000"/>
    <n v="380"/>
    <x v="22"/>
    <x v="1"/>
    <x v="0"/>
    <s v="NO"/>
    <s v="Completo"/>
    <x v="1"/>
  </r>
  <r>
    <s v="12345678-9"/>
    <x v="2"/>
    <s v="Calle Falsa 123"/>
    <x v="2"/>
    <d v="2000-05-15T00:00:00"/>
    <n v="912345678"/>
    <s v="juan@example.com"/>
    <x v="23"/>
    <x v="3"/>
    <n v="101"/>
    <x v="4"/>
    <n v="1500"/>
    <n v="6"/>
    <n v="9000"/>
    <n v="1710"/>
    <x v="23"/>
    <x v="1"/>
    <x v="0"/>
    <s v="NO"/>
    <s v="Completo"/>
    <x v="2"/>
  </r>
  <r>
    <s v="12345678-9"/>
    <x v="2"/>
    <s v="Calle Falsa 123"/>
    <x v="2"/>
    <d v="2000-05-15T00:00:00"/>
    <n v="912345678"/>
    <s v="juan@example.com"/>
    <x v="23"/>
    <x v="3"/>
    <n v="104"/>
    <x v="15"/>
    <n v="2000"/>
    <n v="2"/>
    <n v="4000"/>
    <n v="760"/>
    <x v="24"/>
    <x v="1"/>
    <x v="0"/>
    <s v="NO"/>
    <s v="Completo"/>
    <x v="2"/>
  </r>
  <r>
    <s v="12345678-9"/>
    <x v="2"/>
    <s v="Calle Falsa 123"/>
    <x v="2"/>
    <d v="2000-05-15T00:00:00"/>
    <n v="912345678"/>
    <s v="juan@example.com"/>
    <x v="23"/>
    <x v="3"/>
    <n v="105"/>
    <x v="16"/>
    <n v="3000"/>
    <n v="1"/>
    <n v="3000"/>
    <n v="570"/>
    <x v="25"/>
    <x v="1"/>
    <x v="0"/>
    <s v="NO"/>
    <s v="Completo"/>
    <x v="2"/>
  </r>
  <r>
    <s v="23456789-1"/>
    <x v="3"/>
    <m/>
    <x v="3"/>
    <d v="1988-03-17T00:00:00"/>
    <n v="912345678"/>
    <s v="pedro@example.com"/>
    <x v="24"/>
    <x v="4"/>
    <n v="116"/>
    <x v="14"/>
    <n v="5500"/>
    <n v="10"/>
    <n v="55000"/>
    <n v="10450"/>
    <x v="28"/>
    <x v="1"/>
    <x v="0"/>
    <s v="NO"/>
    <s v="Completo"/>
    <x v="3"/>
  </r>
  <r>
    <s v="23456789-1"/>
    <x v="3"/>
    <m/>
    <x v="3"/>
    <d v="1988-03-17T00:00:00"/>
    <n v="912345678"/>
    <s v="pedro@example.com"/>
    <x v="24"/>
    <x v="4"/>
    <n v="119"/>
    <x v="3"/>
    <n v="9000"/>
    <n v="20"/>
    <n v="180000"/>
    <n v="34200"/>
    <x v="29"/>
    <x v="1"/>
    <x v="0"/>
    <s v="NO"/>
    <s v="Incompleto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4655E3-44E1-4E1E-A852-42148FEF3881}" name="TablaDinámica8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111:B132" firstHeaderRow="1" firstDataRow="1" firstDataCol="1"/>
  <pivotFields count="21">
    <pivotField showAll="0"/>
    <pivotField showAll="0"/>
    <pivotField showAll="0"/>
    <pivotField showAll="0">
      <items count="15">
        <item h="1" x="7"/>
        <item x="1"/>
        <item x="0"/>
        <item x="12"/>
        <item x="10"/>
        <item x="9"/>
        <item x="6"/>
        <item x="13"/>
        <item x="8"/>
        <item x="2"/>
        <item x="11"/>
        <item x="3"/>
        <item x="5"/>
        <item h="1" x="4"/>
        <item t="default"/>
      </items>
    </pivotField>
    <pivotField showAll="0"/>
    <pivotField showAll="0"/>
    <pivotField showAll="0"/>
    <pivotField showAll="0"/>
    <pivotField axis="axisRow" showAll="0">
      <items count="22">
        <item x="1"/>
        <item x="5"/>
        <item x="3"/>
        <item x="10"/>
        <item x="16"/>
        <item x="14"/>
        <item x="4"/>
        <item x="20"/>
        <item x="7"/>
        <item x="2"/>
        <item x="8"/>
        <item x="6"/>
        <item x="11"/>
        <item x="9"/>
        <item x="12"/>
        <item x="13"/>
        <item x="15"/>
        <item x="19"/>
        <item x="17"/>
        <item x="18"/>
        <item h="1" x="0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>
      <items count="18">
        <item x="11"/>
        <item x="16"/>
        <item x="5"/>
        <item x="15"/>
        <item x="2"/>
        <item x="6"/>
        <item x="1"/>
        <item x="9"/>
        <item x="12"/>
        <item x="14"/>
        <item x="0"/>
        <item x="4"/>
        <item x="8"/>
        <item x="10"/>
        <item x="3"/>
        <item x="13"/>
        <item h="1" x="7"/>
        <item t="default"/>
      </items>
    </pivotField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a de TOTAL" fld="1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BEC24-7368-47E6-B6C6-506FBE947058}" name="TablaDinámica7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93:B106" firstHeaderRow="1" firstDataRow="1" firstDataCol="1"/>
  <pivotFields count="21">
    <pivotField showAll="0"/>
    <pivotField showAll="0"/>
    <pivotField showAll="0"/>
    <pivotField axis="axisRow" showAll="0">
      <items count="15">
        <item h="1" x="7"/>
        <item x="1"/>
        <item x="0"/>
        <item x="12"/>
        <item x="10"/>
        <item x="9"/>
        <item x="6"/>
        <item x="13"/>
        <item x="8"/>
        <item x="2"/>
        <item x="11"/>
        <item x="3"/>
        <item x="5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>
      <items count="18">
        <item x="11"/>
        <item x="16"/>
        <item x="5"/>
        <item x="15"/>
        <item x="2"/>
        <item x="6"/>
        <item x="1"/>
        <item x="9"/>
        <item x="12"/>
        <item x="14"/>
        <item x="0"/>
        <item x="4"/>
        <item x="8"/>
        <item x="10"/>
        <item x="3"/>
        <item x="13"/>
        <item h="1" x="7"/>
        <item t="default"/>
      </items>
    </pivotField>
  </pivotFields>
  <rowFields count="1"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de TOTAL" fld="1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DBD29-C0F4-4DC5-A7AC-24AB53991C44}" name="TablaDinámica6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72:B89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axis="axisRow" showAll="0">
      <items count="18">
        <item x="11"/>
        <item x="16"/>
        <item x="5"/>
        <item x="15"/>
        <item x="2"/>
        <item x="6"/>
        <item x="1"/>
        <item x="9"/>
        <item x="12"/>
        <item x="14"/>
        <item x="0"/>
        <item x="4"/>
        <item x="8"/>
        <item x="10"/>
        <item x="3"/>
        <item x="13"/>
        <item h="1" x="7"/>
        <item t="default"/>
      </items>
    </pivotField>
  </pivotFields>
  <rowFields count="1">
    <field x="2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a de TOTAL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7CFF6-3326-44F0-BA0E-C79D9CC164DD}" name="TablaDinámica5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1:J66" firstHeaderRow="1" firstDataRow="1" firstDataCol="1"/>
  <pivotFields count="21">
    <pivotField showAll="0"/>
    <pivotField axis="axisRow" showAll="0">
      <items count="22">
        <item x="10"/>
        <item x="4"/>
        <item x="6"/>
        <item x="17"/>
        <item x="7"/>
        <item x="14"/>
        <item x="2"/>
        <item x="1"/>
        <item x="11"/>
        <item x="15"/>
        <item x="16"/>
        <item x="12"/>
        <item x="5"/>
        <item x="8"/>
        <item x="19"/>
        <item x="3"/>
        <item x="13"/>
        <item x="18"/>
        <item x="0"/>
        <item x="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5"/>
        <item x="11"/>
        <item x="4"/>
        <item x="6"/>
        <item x="1"/>
        <item x="17"/>
        <item x="20"/>
        <item x="12"/>
        <item x="13"/>
        <item x="2"/>
        <item x="15"/>
        <item x="9"/>
        <item x="19"/>
        <item x="16"/>
        <item x="7"/>
        <item x="18"/>
        <item x="3"/>
        <item x="8"/>
        <item x="14"/>
        <item x="10"/>
        <item x="0"/>
        <item t="default"/>
      </items>
    </pivotField>
    <pivotField showAll="0"/>
    <pivotField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</pivotFields>
  <rowFields count="2">
    <field x="1"/>
    <field x="10"/>
  </rowFields>
  <rowItems count="65">
    <i>
      <x/>
    </i>
    <i r="1">
      <x v="8"/>
    </i>
    <i>
      <x v="1"/>
    </i>
    <i r="1">
      <x v="20"/>
    </i>
    <i>
      <x v="2"/>
    </i>
    <i r="1">
      <x v="19"/>
    </i>
    <i>
      <x v="3"/>
    </i>
    <i r="1">
      <x v="3"/>
    </i>
    <i r="1">
      <x v="13"/>
    </i>
    <i>
      <x v="4"/>
    </i>
    <i r="1">
      <x v="1"/>
    </i>
    <i>
      <x v="5"/>
    </i>
    <i r="1">
      <x v="11"/>
    </i>
    <i>
      <x v="6"/>
    </i>
    <i r="1">
      <x/>
    </i>
    <i r="1">
      <x v="2"/>
    </i>
    <i r="1">
      <x v="3"/>
    </i>
    <i r="1">
      <x v="10"/>
    </i>
    <i r="1">
      <x v="13"/>
    </i>
    <i>
      <x v="7"/>
    </i>
    <i r="1">
      <x v="4"/>
    </i>
    <i r="1">
      <x v="7"/>
    </i>
    <i r="1">
      <x v="9"/>
    </i>
    <i r="1">
      <x v="10"/>
    </i>
    <i r="1">
      <x v="11"/>
    </i>
    <i r="1">
      <x v="16"/>
    </i>
    <i>
      <x v="8"/>
    </i>
    <i r="1">
      <x v="16"/>
    </i>
    <i r="1">
      <x v="18"/>
    </i>
    <i>
      <x v="9"/>
    </i>
    <i r="1">
      <x v="7"/>
    </i>
    <i r="1">
      <x v="10"/>
    </i>
    <i>
      <x v="10"/>
    </i>
    <i r="1">
      <x v="2"/>
    </i>
    <i r="1">
      <x v="10"/>
    </i>
    <i>
      <x v="11"/>
    </i>
    <i r="1">
      <x v="1"/>
    </i>
    <i r="1">
      <x v="3"/>
    </i>
    <i r="1">
      <x v="10"/>
    </i>
    <i r="1">
      <x v="18"/>
    </i>
    <i>
      <x v="12"/>
    </i>
    <i r="1">
      <x v="11"/>
    </i>
    <i r="1">
      <x v="17"/>
    </i>
    <i>
      <x v="13"/>
    </i>
    <i r="1">
      <x v="20"/>
    </i>
    <i>
      <x v="14"/>
    </i>
    <i r="1">
      <x v="20"/>
    </i>
    <i>
      <x v="15"/>
    </i>
    <i r="1">
      <x v="4"/>
    </i>
    <i r="1">
      <x v="14"/>
    </i>
    <i r="1">
      <x v="16"/>
    </i>
    <i r="1">
      <x v="18"/>
    </i>
    <i>
      <x v="16"/>
    </i>
    <i r="1">
      <x v="20"/>
    </i>
    <i>
      <x v="17"/>
    </i>
    <i r="1">
      <x v="4"/>
    </i>
    <i r="1">
      <x v="5"/>
    </i>
    <i>
      <x v="18"/>
    </i>
    <i r="1">
      <x v="20"/>
    </i>
    <i>
      <x v="19"/>
    </i>
    <i r="1">
      <x/>
    </i>
    <i r="1">
      <x v="2"/>
    </i>
    <i r="1">
      <x v="7"/>
    </i>
    <i r="1">
      <x v="19"/>
    </i>
    <i t="grand">
      <x/>
    </i>
  </rowItems>
  <colItems count="1">
    <i/>
  </colItems>
  <dataFields count="1">
    <dataField name="Suma de TOTAL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70F94-A1A6-4E85-B4FB-5F7E7338F1FF}" name="TablaDinámica4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F3:G24" firstHeaderRow="1" firstDataRow="1" firstDataCol="1" rowPageCount="1" colPageCount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5"/>
        <item x="11"/>
        <item x="4"/>
        <item x="6"/>
        <item x="1"/>
        <item x="17"/>
        <item x="20"/>
        <item x="12"/>
        <item x="13"/>
        <item x="2"/>
        <item x="15"/>
        <item x="9"/>
        <item x="19"/>
        <item x="16"/>
        <item x="7"/>
        <item x="18"/>
        <item x="3"/>
        <item x="8"/>
        <item x="14"/>
        <item x="10"/>
        <item h="1" x="0"/>
        <item t="default"/>
      </items>
    </pivotField>
    <pivotField showAll="0"/>
    <pivotField showAll="0"/>
    <pivotField numFmtId="164" showAll="0"/>
    <pivotField numFmtId="164" showAll="0"/>
    <pivotField dataField="1" numFmtId="164" showAll="0">
      <items count="31">
        <item x="0"/>
        <item x="22"/>
        <item x="13"/>
        <item x="25"/>
        <item x="11"/>
        <item x="24"/>
        <item x="4"/>
        <item x="6"/>
        <item x="20"/>
        <item x="18"/>
        <item x="26"/>
        <item x="23"/>
        <item x="21"/>
        <item x="8"/>
        <item x="12"/>
        <item x="10"/>
        <item x="15"/>
        <item x="19"/>
        <item x="1"/>
        <item x="2"/>
        <item x="16"/>
        <item x="27"/>
        <item x="9"/>
        <item x="3"/>
        <item x="7"/>
        <item x="28"/>
        <item x="17"/>
        <item x="14"/>
        <item x="5"/>
        <item x="29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17" hier="-1"/>
  </pageFields>
  <dataFields count="1">
    <dataField name="Suma de TOTAL" fld="15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50143-A200-41D1-BC19-304E8373674E}" name="TablaDinámica3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D68" firstHeaderRow="0" firstDataRow="1" firstDataCol="1" rowPageCount="1" colPageCount="1"/>
  <pivotFields count="21"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3"/>
        <item x="16"/>
        <item x="4"/>
        <item x="7"/>
        <item x="8"/>
        <item x="11"/>
        <item x="12"/>
        <item x="15"/>
        <item x="17"/>
        <item x="18"/>
        <item x="1"/>
        <item x="5"/>
        <item x="10"/>
        <item x="14"/>
        <item x="20"/>
        <item x="2"/>
        <item x="6"/>
        <item x="9"/>
        <item x="13"/>
        <item x="19"/>
        <item x="21"/>
        <item x="22"/>
        <item x="23"/>
        <item x="24"/>
        <item x="0"/>
        <item t="default"/>
      </items>
    </pivotField>
    <pivotField showAll="0"/>
    <pivotField showAll="0"/>
    <pivotField axis="axisRow" showAll="0">
      <items count="22">
        <item x="5"/>
        <item x="11"/>
        <item x="4"/>
        <item x="6"/>
        <item x="1"/>
        <item x="17"/>
        <item x="20"/>
        <item x="12"/>
        <item x="13"/>
        <item x="2"/>
        <item x="15"/>
        <item x="9"/>
        <item x="19"/>
        <item x="16"/>
        <item x="7"/>
        <item x="18"/>
        <item x="3"/>
        <item x="8"/>
        <item x="14"/>
        <item x="10"/>
        <item x="0"/>
        <item t="default"/>
      </items>
    </pivotField>
    <pivotField showAll="0"/>
    <pivotField showAll="0"/>
    <pivotField dataField="1" numFmtId="164" showAll="0"/>
    <pivotField dataField="1" numFmtId="164" showAll="0"/>
    <pivotField dataField="1" numFmtId="164"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2">
    <field x="7"/>
    <field x="10"/>
  </rowFields>
  <rowItems count="65">
    <i>
      <x/>
    </i>
    <i r="1">
      <x/>
    </i>
    <i r="1">
      <x v="2"/>
    </i>
    <i r="1">
      <x v="3"/>
    </i>
    <i>
      <x v="1"/>
    </i>
    <i r="1">
      <x v="7"/>
    </i>
    <i r="1">
      <x v="10"/>
    </i>
    <i>
      <x v="2"/>
    </i>
    <i r="1">
      <x v="4"/>
    </i>
    <i r="1">
      <x v="14"/>
    </i>
    <i>
      <x v="3"/>
    </i>
    <i r="1">
      <x v="19"/>
    </i>
    <i>
      <x v="4"/>
    </i>
    <i r="1">
      <x v="1"/>
    </i>
    <i>
      <x v="5"/>
    </i>
    <i r="1">
      <x v="8"/>
    </i>
    <i>
      <x v="6"/>
    </i>
    <i r="1">
      <x v="16"/>
    </i>
    <i r="1">
      <x v="18"/>
    </i>
    <i>
      <x v="7"/>
    </i>
    <i r="1">
      <x v="11"/>
    </i>
    <i>
      <x v="8"/>
    </i>
    <i r="1">
      <x v="2"/>
    </i>
    <i r="1">
      <x v="10"/>
    </i>
    <i>
      <x v="9"/>
    </i>
    <i r="1">
      <x v="3"/>
    </i>
    <i r="1">
      <x v="13"/>
    </i>
    <i>
      <x v="10"/>
    </i>
    <i r="1">
      <x v="4"/>
    </i>
    <i r="1">
      <x v="9"/>
    </i>
    <i>
      <x v="11"/>
    </i>
    <i r="1">
      <x v="17"/>
    </i>
    <i>
      <x v="12"/>
    </i>
    <i r="1">
      <x v="19"/>
    </i>
    <i>
      <x v="13"/>
    </i>
    <i r="1">
      <x v="1"/>
    </i>
    <i r="1">
      <x v="18"/>
    </i>
    <i>
      <x v="14"/>
    </i>
    <i r="1">
      <x v="5"/>
    </i>
    <i>
      <x v="15"/>
    </i>
    <i r="1">
      <x v="16"/>
    </i>
    <i>
      <x v="16"/>
    </i>
    <i r="1">
      <x v="11"/>
    </i>
    <i>
      <x v="17"/>
    </i>
    <i r="1">
      <x/>
    </i>
    <i r="1">
      <x v="2"/>
    </i>
    <i r="1">
      <x v="7"/>
    </i>
    <i>
      <x v="18"/>
    </i>
    <i r="1">
      <x v="3"/>
    </i>
    <i r="1">
      <x v="10"/>
    </i>
    <i>
      <x v="19"/>
    </i>
    <i r="1">
      <x v="4"/>
    </i>
    <i>
      <x v="20"/>
    </i>
    <i r="1">
      <x v="7"/>
    </i>
    <i r="1">
      <x v="11"/>
    </i>
    <i>
      <x v="21"/>
    </i>
    <i r="1">
      <x v="10"/>
    </i>
    <i>
      <x v="22"/>
    </i>
    <i r="1">
      <x v="2"/>
    </i>
    <i r="1">
      <x v="10"/>
    </i>
    <i r="1">
      <x v="13"/>
    </i>
    <i>
      <x v="23"/>
    </i>
    <i r="1">
      <x v="16"/>
    </i>
    <i r="1"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6" item="1" hier="-1"/>
  </pageFields>
  <dataFields count="3">
    <dataField name="Suma de Subtotal" fld="13" baseField="0" baseItem="0"/>
    <dataField name="Suma de IVA" fld="14" baseField="0" baseItem="0"/>
    <dataField name="Suma de TOTAL" fld="15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B9C7A-01D3-4C34-BA6D-043F13A41BD0}" name="Tabla1" displayName="Tabla1" ref="A1:B21" totalsRowShown="0" headerRowDxfId="31" dataDxfId="29" headerRowBorderDxfId="30" tableBorderDxfId="28" totalsRowBorderDxfId="27">
  <autoFilter ref="A1:B21" xr:uid="{735B9C7A-01D3-4C34-BA6D-043F13A41BD0}"/>
  <tableColumns count="2">
    <tableColumn id="1" xr3:uid="{2AD5A101-EA56-4A68-9D9E-81FED0B32096}" name="Fecha" dataDxfId="26"/>
    <tableColumn id="2" xr3:uid="{8D7E0132-DE24-40D1-8AB9-66190FCDAEF5}" name="Total" dataDxfId="25">
      <calculatedColumnFormula>SUMIFS(Boletas!$H$1:$H$41,Boletas!$C$1:$C$41,Tabla1[[#This Row],[Fecha]])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778381-7249-4352-AA80-1C2C1B09F7CB}" name="Tabla2" displayName="Tabla2" ref="F1:H21" totalsRowShown="0" headerRowBorderDxfId="24" tableBorderDxfId="23" totalsRowBorderDxfId="22">
  <autoFilter ref="F1:H21" xr:uid="{45778381-7249-4352-AA80-1C2C1B09F7CB}"/>
  <tableColumns count="3">
    <tableColumn id="1" xr3:uid="{6F18D762-C7C9-4218-A979-A93667F3317D}" name="codigo_producto" dataDxfId="21"/>
    <tableColumn id="2" xr3:uid="{D98FB89E-1E3C-42AA-A4D2-A3E6C416DAE0}" name="nombre_producto" dataDxfId="20"/>
    <tableColumn id="3" xr3:uid="{DBF7CA70-75F1-4C92-84C2-D589186B0A1A}" name="Total" dataDxfId="19">
      <calculatedColumnFormula>SUMIFS(Boletas!$F$2:$F$41,Boletas!$D$2:$D$41,Tabla2[[#This Row],[codigo_producto]])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3BFD1-F66E-4477-9C48-1E5A58FAA8B5}" name="Tabla3" displayName="Tabla3" ref="N1:P21" totalsRowShown="0" headerRowBorderDxfId="18" tableBorderDxfId="17" totalsRowBorderDxfId="16">
  <autoFilter ref="N1:P21" xr:uid="{11C3BFD1-F66E-4477-9C48-1E5A58FAA8B5}"/>
  <tableColumns count="3">
    <tableColumn id="1" xr3:uid="{565A2A81-B56D-4B19-8056-1862E836EACA}" name="Rut" dataDxfId="15"/>
    <tableColumn id="2" xr3:uid="{FF70320D-430A-43B5-BE33-1568A644D73B}" name="Nombre" dataDxfId="14"/>
    <tableColumn id="3" xr3:uid="{8420D33A-3700-4ADB-92B3-64DA43D19CB0}" name="Total gastado" dataDxfId="13">
      <calculatedColumnFormula>SUMIFS(Boletas!$H$2:$H$41,Boletas!$A$2:$A$41,Tabla3[[#This Row],[Rut]])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BA802E-4C12-4661-B9A4-792AA8E4369D}" name="Tabla6" displayName="Tabla6" ref="A11:C31" totalsRowShown="0" headerRowBorderDxfId="12" tableBorderDxfId="11" totalsRowBorderDxfId="10">
  <autoFilter ref="A11:C31" xr:uid="{7DBA802E-4C12-4661-B9A4-792AA8E4369D}"/>
  <tableColumns count="3">
    <tableColumn id="1" xr3:uid="{F6160B4E-1171-4F53-8820-D50CAB4A7D0B}" name="codigo_producto" dataDxfId="9"/>
    <tableColumn id="2" xr3:uid="{671A95AE-7BB5-4ABA-8D40-CFAAA6468F5A}" name="nombre_producto" dataDxfId="8"/>
    <tableColumn id="3" xr3:uid="{FF3FB39D-C5B7-439A-B7BF-5F4B7BA9AC44}" name="Promedio de ventas" dataDxfId="7">
      <calculatedColumnFormula>IFERROR(AVERAGEIF(Boletas!$D$2:$D$41,Cálculos!A12,Boletas!$E$2:$E$41),0)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workbookViewId="0">
      <pane ySplit="1" topLeftCell="A17" activePane="bottomLeft" state="frozen"/>
      <selection pane="bottomLeft" activeCell="E41" sqref="E41"/>
    </sheetView>
  </sheetViews>
  <sheetFormatPr baseColWidth="10" defaultRowHeight="15" x14ac:dyDescent="0.25"/>
  <cols>
    <col min="1" max="1" width="16.42578125" style="4" bestFit="1" customWidth="1"/>
    <col min="2" max="2" width="11.42578125" style="4"/>
    <col min="3" max="3" width="16.85546875" style="4" bestFit="1" customWidth="1"/>
    <col min="4" max="4" width="22.85546875" style="4" bestFit="1" customWidth="1"/>
    <col min="5" max="5" width="12.85546875" style="4" bestFit="1" customWidth="1"/>
    <col min="6" max="6" width="17" style="4" bestFit="1" customWidth="1"/>
    <col min="7" max="7" width="10" style="4" bestFit="1" customWidth="1"/>
    <col min="8" max="8" width="23.42578125" style="4" bestFit="1" customWidth="1"/>
    <col min="9" max="9" width="14.7109375" style="4" bestFit="1" customWidth="1"/>
    <col min="10" max="10" width="11.42578125" style="4"/>
    <col min="11" max="11" width="15.85546875" style="4" bestFit="1" customWidth="1"/>
    <col min="12" max="12" width="17.140625" style="4" bestFit="1" customWidth="1"/>
    <col min="13" max="13" width="7.5703125" style="4" bestFit="1" customWidth="1"/>
    <col min="14" max="17" width="11.42578125" style="4"/>
    <col min="18" max="18" width="11.85546875" style="4" bestFit="1" customWidth="1"/>
    <col min="19" max="19" width="15.85546875" style="4" bestFit="1" customWidth="1"/>
    <col min="20" max="20" width="14" style="4" bestFit="1" customWidth="1"/>
    <col min="21" max="21" width="11.85546875" style="4" bestFit="1" customWidth="1"/>
    <col min="22" max="22" width="5.28515625" style="4" bestFit="1" customWidth="1"/>
    <col min="23" max="23" width="11.42578125" style="4"/>
    <col min="24" max="24" width="30.28515625" style="4" bestFit="1" customWidth="1"/>
    <col min="25" max="16384" width="11.42578125" style="4"/>
  </cols>
  <sheetData>
    <row r="1" spans="1:24" x14ac:dyDescent="0.25">
      <c r="A1" s="3" t="s">
        <v>115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1" t="s">
        <v>120</v>
      </c>
      <c r="P1" s="11" t="s">
        <v>121</v>
      </c>
      <c r="Q1" s="11" t="s">
        <v>122</v>
      </c>
      <c r="R1" s="11" t="s">
        <v>123</v>
      </c>
      <c r="S1" s="11" t="s">
        <v>126</v>
      </c>
      <c r="T1" s="11" t="s">
        <v>125</v>
      </c>
      <c r="U1" s="11" t="s">
        <v>124</v>
      </c>
      <c r="V1" s="11" t="s">
        <v>127</v>
      </c>
      <c r="X1" s="11" t="s">
        <v>130</v>
      </c>
    </row>
    <row r="2" spans="1:24" x14ac:dyDescent="0.25">
      <c r="A2" s="5"/>
      <c r="B2" s="5" t="s">
        <v>13</v>
      </c>
      <c r="C2" s="5" t="s">
        <v>14</v>
      </c>
      <c r="D2" s="5"/>
      <c r="E2" s="5" t="s">
        <v>15</v>
      </c>
      <c r="F2" s="9">
        <v>34699</v>
      </c>
      <c r="G2" s="5"/>
      <c r="H2" s="5" t="s">
        <v>16</v>
      </c>
      <c r="I2" s="5"/>
      <c r="J2" s="5"/>
      <c r="K2" s="5"/>
      <c r="L2" s="5"/>
      <c r="M2" s="7"/>
      <c r="N2" s="5"/>
      <c r="O2" s="7">
        <f>N2*M2</f>
        <v>0</v>
      </c>
      <c r="P2" s="7">
        <f>0.19*O2</f>
        <v>0</v>
      </c>
      <c r="Q2" s="7">
        <f>O2+P2</f>
        <v>0</v>
      </c>
      <c r="R2" s="5" t="str">
        <f>IF(ISBLANK(I2),"NO","SI")</f>
        <v>NO</v>
      </c>
      <c r="S2" s="5" t="str">
        <f>IF(AND(ISBLANK(I2),NOT(ISBLANK(K2))),"SI","NO")</f>
        <v>NO</v>
      </c>
      <c r="T2" s="5" t="str">
        <f>IF(AND(NOT(ISBLANK(B2)), OR(ISBLANK(I2),ISBLANK(K2 ))),"SI","NO")</f>
        <v>SI</v>
      </c>
      <c r="U2" s="5" t="str" cm="1">
        <f t="array" ref="U2">_xlfn.IFS(ISBLANK(B1),"No aplica",COUNTA(C1:H1)=6,"Completo",NOT(COUNTA(C1:H1)=6),"Incompleto")</f>
        <v>Completo</v>
      </c>
      <c r="V2" s="10">
        <f ca="1" xml:space="preserve"> IF(ISBLANK(F2),"",YEAR(TODAY())-YEAR(F2))</f>
        <v>30</v>
      </c>
      <c r="X2" s="5">
        <f>COUNTA(B2:N2)+COUNTBLANK(B2:N2)</f>
        <v>13</v>
      </c>
    </row>
    <row r="3" spans="1:24" x14ac:dyDescent="0.25">
      <c r="A3" s="5"/>
      <c r="B3" s="5" t="s">
        <v>17</v>
      </c>
      <c r="C3" s="5" t="s">
        <v>18</v>
      </c>
      <c r="D3" s="5" t="s">
        <v>19</v>
      </c>
      <c r="E3" s="5" t="s">
        <v>20</v>
      </c>
      <c r="F3" s="9">
        <v>35988</v>
      </c>
      <c r="G3" s="5">
        <v>945678321</v>
      </c>
      <c r="H3" s="5" t="s">
        <v>21</v>
      </c>
      <c r="I3" s="5">
        <v>11</v>
      </c>
      <c r="J3" s="6">
        <v>45232</v>
      </c>
      <c r="K3" s="5">
        <v>107</v>
      </c>
      <c r="L3" s="5" t="s">
        <v>22</v>
      </c>
      <c r="M3" s="7">
        <v>5000</v>
      </c>
      <c r="N3" s="5">
        <v>4</v>
      </c>
      <c r="O3" s="7">
        <f t="shared" ref="O3:O49" si="0">N3*M3</f>
        <v>20000</v>
      </c>
      <c r="P3" s="7">
        <f t="shared" ref="P3:P50" si="1">0.19*O3</f>
        <v>3800</v>
      </c>
      <c r="Q3" s="7">
        <f t="shared" ref="Q3:Q50" si="2">O3+P3</f>
        <v>23800</v>
      </c>
      <c r="R3" s="5" t="str">
        <f t="shared" ref="R3:R49" si="3">IF(ISBLANK(I3),"NO","SI")</f>
        <v>SI</v>
      </c>
      <c r="S3" s="5" t="str">
        <f t="shared" ref="S3:S49" si="4">IF(AND(ISBLANK(I3),NOT(ISBLANK(K3))),"SI","NO")</f>
        <v>NO</v>
      </c>
      <c r="T3" s="5" t="str">
        <f t="shared" ref="T3:T49" si="5">IF(AND(NOT(ISBLANK(B3)), OR(ISBLANK(I3),ISBLANK(K3 ))),"SI","NO")</f>
        <v>NO</v>
      </c>
      <c r="U3" s="5" t="str" cm="1">
        <f t="array" ref="U3">_xlfn.IFS(ISBLANK(B2),"No aplica",COUNTA(C2:H2)=6,"Completo",NOT(COUNTA(C2:H2)=6),"Incompleto")</f>
        <v>Incompleto</v>
      </c>
      <c r="V3" s="10">
        <f t="shared" ref="V3:V49" ca="1" si="6" xml:space="preserve"> IF(ISBLANK(F3),"",YEAR(TODAY())-YEAR(F3))</f>
        <v>26</v>
      </c>
      <c r="X3" s="5">
        <f t="shared" ref="X3:X49" si="7">COUNTA(B3:N3)+COUNTBLANK(B3:N3)</f>
        <v>13</v>
      </c>
    </row>
    <row r="4" spans="1:24" x14ac:dyDescent="0.25">
      <c r="A4" s="5"/>
      <c r="B4" s="5" t="s">
        <v>17</v>
      </c>
      <c r="C4" s="5" t="s">
        <v>18</v>
      </c>
      <c r="D4" s="5" t="s">
        <v>19</v>
      </c>
      <c r="E4" s="5" t="s">
        <v>20</v>
      </c>
      <c r="F4" s="9">
        <v>35988</v>
      </c>
      <c r="G4" s="5">
        <v>945678321</v>
      </c>
      <c r="H4" s="5" t="s">
        <v>21</v>
      </c>
      <c r="I4" s="5">
        <v>11</v>
      </c>
      <c r="J4" s="6">
        <v>45232</v>
      </c>
      <c r="K4" s="5">
        <v>109</v>
      </c>
      <c r="L4" s="5" t="s">
        <v>23</v>
      </c>
      <c r="M4" s="7">
        <v>3500</v>
      </c>
      <c r="N4" s="5">
        <v>7</v>
      </c>
      <c r="O4" s="7">
        <f t="shared" si="0"/>
        <v>24500</v>
      </c>
      <c r="P4" s="7">
        <f t="shared" si="1"/>
        <v>4655</v>
      </c>
      <c r="Q4" s="7">
        <f t="shared" si="2"/>
        <v>29155</v>
      </c>
      <c r="R4" s="5" t="str">
        <f t="shared" si="3"/>
        <v>SI</v>
      </c>
      <c r="S4" s="5" t="str">
        <f t="shared" si="4"/>
        <v>NO</v>
      </c>
      <c r="T4" s="5" t="str">
        <f t="shared" si="5"/>
        <v>NO</v>
      </c>
      <c r="U4" s="5" t="str" cm="1">
        <f t="array" ref="U4">_xlfn.IFS(ISBLANK(B3),"No aplica",COUNTA(C3:H3)=6,"Completo",NOT(COUNTA(C3:H3)=6),"Incompleto")</f>
        <v>Completo</v>
      </c>
      <c r="V4" s="10">
        <f t="shared" ca="1" si="6"/>
        <v>26</v>
      </c>
      <c r="X4" s="5">
        <f t="shared" si="7"/>
        <v>13</v>
      </c>
    </row>
    <row r="5" spans="1:24" x14ac:dyDescent="0.25">
      <c r="A5" s="5"/>
      <c r="B5" s="5" t="s">
        <v>17</v>
      </c>
      <c r="C5" s="5" t="s">
        <v>18</v>
      </c>
      <c r="D5" s="5" t="s">
        <v>19</v>
      </c>
      <c r="E5" s="5" t="s">
        <v>20</v>
      </c>
      <c r="F5" s="9">
        <v>35988</v>
      </c>
      <c r="G5" s="5">
        <v>945678321</v>
      </c>
      <c r="H5" s="5" t="s">
        <v>21</v>
      </c>
      <c r="I5" s="5">
        <v>16</v>
      </c>
      <c r="J5" s="6">
        <v>45244</v>
      </c>
      <c r="K5" s="5">
        <v>119</v>
      </c>
      <c r="L5" s="5" t="s">
        <v>24</v>
      </c>
      <c r="M5" s="7">
        <v>9000</v>
      </c>
      <c r="N5" s="5">
        <v>4</v>
      </c>
      <c r="O5" s="7">
        <f t="shared" si="0"/>
        <v>36000</v>
      </c>
      <c r="P5" s="7">
        <f t="shared" si="1"/>
        <v>6840</v>
      </c>
      <c r="Q5" s="7">
        <f t="shared" si="2"/>
        <v>42840</v>
      </c>
      <c r="R5" s="5" t="str">
        <f t="shared" si="3"/>
        <v>SI</v>
      </c>
      <c r="S5" s="5" t="str">
        <f t="shared" si="4"/>
        <v>NO</v>
      </c>
      <c r="T5" s="5" t="str">
        <f t="shared" si="5"/>
        <v>NO</v>
      </c>
      <c r="U5" s="5" t="str" cm="1">
        <f t="array" ref="U5">_xlfn.IFS(ISBLANK(B4),"No aplica",COUNTA(C4:H4)=6,"Completo",NOT(COUNTA(C4:H4)=6),"Incompleto")</f>
        <v>Completo</v>
      </c>
      <c r="V5" s="10">
        <f t="shared" ca="1" si="6"/>
        <v>26</v>
      </c>
      <c r="X5" s="5">
        <f t="shared" si="7"/>
        <v>13</v>
      </c>
    </row>
    <row r="6" spans="1:24" x14ac:dyDescent="0.25">
      <c r="A6" s="5"/>
      <c r="B6" s="5" t="s">
        <v>25</v>
      </c>
      <c r="C6" s="5" t="s">
        <v>26</v>
      </c>
      <c r="D6" s="5" t="s">
        <v>27</v>
      </c>
      <c r="E6" s="5" t="s">
        <v>28</v>
      </c>
      <c r="F6" s="9">
        <v>36661</v>
      </c>
      <c r="G6" s="5">
        <v>912345678</v>
      </c>
      <c r="H6" s="5" t="s">
        <v>29</v>
      </c>
      <c r="I6" s="5">
        <v>1</v>
      </c>
      <c r="J6" s="6">
        <v>45235</v>
      </c>
      <c r="K6" s="5">
        <v>101</v>
      </c>
      <c r="L6" s="5" t="s">
        <v>30</v>
      </c>
      <c r="M6" s="7">
        <v>1500</v>
      </c>
      <c r="N6" s="5">
        <v>3</v>
      </c>
      <c r="O6" s="7">
        <f t="shared" si="0"/>
        <v>4500</v>
      </c>
      <c r="P6" s="7">
        <f t="shared" si="1"/>
        <v>855</v>
      </c>
      <c r="Q6" s="7">
        <f t="shared" si="2"/>
        <v>5355</v>
      </c>
      <c r="R6" s="5" t="str">
        <f t="shared" si="3"/>
        <v>SI</v>
      </c>
      <c r="S6" s="5" t="str">
        <f t="shared" si="4"/>
        <v>NO</v>
      </c>
      <c r="T6" s="5" t="str">
        <f t="shared" si="5"/>
        <v>NO</v>
      </c>
      <c r="U6" s="5" t="str" cm="1">
        <f t="array" ref="U6">_xlfn.IFS(ISBLANK(B5),"No aplica",COUNTA(C5:H5)=6,"Completo",NOT(COUNTA(C5:H5)=6),"Incompleto")</f>
        <v>Completo</v>
      </c>
      <c r="V6" s="10">
        <f t="shared" ca="1" si="6"/>
        <v>24</v>
      </c>
      <c r="X6" s="5">
        <f t="shared" si="7"/>
        <v>13</v>
      </c>
    </row>
    <row r="7" spans="1:24" x14ac:dyDescent="0.25">
      <c r="A7" s="5"/>
      <c r="B7" s="5" t="s">
        <v>25</v>
      </c>
      <c r="C7" s="5" t="s">
        <v>26</v>
      </c>
      <c r="D7" s="5" t="s">
        <v>27</v>
      </c>
      <c r="E7" s="5" t="s">
        <v>28</v>
      </c>
      <c r="F7" s="9">
        <v>36661</v>
      </c>
      <c r="G7" s="5">
        <v>912345678</v>
      </c>
      <c r="H7" s="5" t="s">
        <v>29</v>
      </c>
      <c r="I7" s="5">
        <v>1</v>
      </c>
      <c r="J7" s="6">
        <v>45235</v>
      </c>
      <c r="K7" s="5">
        <v>103</v>
      </c>
      <c r="L7" s="5" t="s">
        <v>31</v>
      </c>
      <c r="M7" s="7">
        <v>18000</v>
      </c>
      <c r="N7" s="5">
        <v>6</v>
      </c>
      <c r="O7" s="7">
        <f t="shared" si="0"/>
        <v>108000</v>
      </c>
      <c r="P7" s="7">
        <f t="shared" si="1"/>
        <v>20520</v>
      </c>
      <c r="Q7" s="7">
        <f t="shared" si="2"/>
        <v>128520</v>
      </c>
      <c r="R7" s="5" t="str">
        <f t="shared" si="3"/>
        <v>SI</v>
      </c>
      <c r="S7" s="5" t="str">
        <f t="shared" si="4"/>
        <v>NO</v>
      </c>
      <c r="T7" s="5" t="str">
        <f t="shared" si="5"/>
        <v>NO</v>
      </c>
      <c r="U7" s="5" t="str" cm="1">
        <f t="array" ref="U7">_xlfn.IFS(ISBLANK(B6),"No aplica",COUNTA(C6:H6)=6,"Completo",NOT(COUNTA(C6:H6)=6),"Incompleto")</f>
        <v>Completo</v>
      </c>
      <c r="V7" s="10">
        <f t="shared" ca="1" si="6"/>
        <v>24</v>
      </c>
      <c r="X7" s="5">
        <f t="shared" si="7"/>
        <v>13</v>
      </c>
    </row>
    <row r="8" spans="1:24" x14ac:dyDescent="0.25">
      <c r="A8" s="5"/>
      <c r="B8" s="5" t="s">
        <v>25</v>
      </c>
      <c r="C8" s="5" t="s">
        <v>26</v>
      </c>
      <c r="D8" s="5" t="s">
        <v>27</v>
      </c>
      <c r="E8" s="5" t="s">
        <v>28</v>
      </c>
      <c r="F8" s="9">
        <v>36661</v>
      </c>
      <c r="G8" s="5">
        <v>912345678</v>
      </c>
      <c r="H8" s="5" t="s">
        <v>29</v>
      </c>
      <c r="I8" s="5">
        <v>1</v>
      </c>
      <c r="J8" s="6">
        <v>45235</v>
      </c>
      <c r="K8" s="5">
        <v>106</v>
      </c>
      <c r="L8" s="5" t="s">
        <v>32</v>
      </c>
      <c r="M8" s="7">
        <v>2500</v>
      </c>
      <c r="N8" s="5">
        <v>2</v>
      </c>
      <c r="O8" s="7">
        <f t="shared" si="0"/>
        <v>5000</v>
      </c>
      <c r="P8" s="7">
        <f t="shared" si="1"/>
        <v>950</v>
      </c>
      <c r="Q8" s="7">
        <f t="shared" si="2"/>
        <v>5950</v>
      </c>
      <c r="R8" s="5" t="str">
        <f t="shared" si="3"/>
        <v>SI</v>
      </c>
      <c r="S8" s="5" t="str">
        <f t="shared" si="4"/>
        <v>NO</v>
      </c>
      <c r="T8" s="5" t="str">
        <f t="shared" si="5"/>
        <v>NO</v>
      </c>
      <c r="U8" s="5" t="str" cm="1">
        <f t="array" ref="U8">_xlfn.IFS(ISBLANK(B7),"No aplica",COUNTA(C7:H7)=6,"Completo",NOT(COUNTA(C7:H7)=6),"Incompleto")</f>
        <v>Completo</v>
      </c>
      <c r="V8" s="10">
        <f t="shared" ca="1" si="6"/>
        <v>24</v>
      </c>
      <c r="X8" s="5">
        <f t="shared" si="7"/>
        <v>13</v>
      </c>
    </row>
    <row r="9" spans="1:24" x14ac:dyDescent="0.25">
      <c r="A9" s="5"/>
      <c r="B9" s="5" t="s">
        <v>33</v>
      </c>
      <c r="C9" s="5" t="s">
        <v>34</v>
      </c>
      <c r="D9" s="5"/>
      <c r="E9" s="5" t="s">
        <v>35</v>
      </c>
      <c r="F9" s="9">
        <v>32212</v>
      </c>
      <c r="G9" s="5">
        <v>912345678</v>
      </c>
      <c r="H9" s="5" t="s">
        <v>36</v>
      </c>
      <c r="I9" s="5">
        <v>3</v>
      </c>
      <c r="J9" s="6">
        <v>45239</v>
      </c>
      <c r="K9" s="5">
        <v>107</v>
      </c>
      <c r="L9" s="5" t="s">
        <v>22</v>
      </c>
      <c r="M9" s="7">
        <v>5000</v>
      </c>
      <c r="N9" s="5">
        <v>8</v>
      </c>
      <c r="O9" s="7">
        <f t="shared" si="0"/>
        <v>40000</v>
      </c>
      <c r="P9" s="7">
        <f t="shared" si="1"/>
        <v>7600</v>
      </c>
      <c r="Q9" s="7">
        <f t="shared" si="2"/>
        <v>47600</v>
      </c>
      <c r="R9" s="5" t="str">
        <f t="shared" si="3"/>
        <v>SI</v>
      </c>
      <c r="S9" s="5" t="str">
        <f t="shared" si="4"/>
        <v>NO</v>
      </c>
      <c r="T9" s="5" t="str">
        <f t="shared" si="5"/>
        <v>NO</v>
      </c>
      <c r="U9" s="5" t="str" cm="1">
        <f t="array" ref="U9">_xlfn.IFS(ISBLANK(B8),"No aplica",COUNTA(C8:H8)=6,"Completo",NOT(COUNTA(C8:H8)=6),"Incompleto")</f>
        <v>Completo</v>
      </c>
      <c r="V9" s="10">
        <f t="shared" ca="1" si="6"/>
        <v>36</v>
      </c>
      <c r="X9" s="5">
        <f t="shared" si="7"/>
        <v>13</v>
      </c>
    </row>
    <row r="10" spans="1:24" x14ac:dyDescent="0.25">
      <c r="A10" s="5"/>
      <c r="B10" s="5" t="s">
        <v>33</v>
      </c>
      <c r="C10" s="5" t="s">
        <v>34</v>
      </c>
      <c r="D10" s="5"/>
      <c r="E10" s="5" t="s">
        <v>35</v>
      </c>
      <c r="F10" s="9">
        <v>32212</v>
      </c>
      <c r="G10" s="5">
        <v>912345678</v>
      </c>
      <c r="H10" s="5" t="s">
        <v>36</v>
      </c>
      <c r="I10" s="5">
        <v>3</v>
      </c>
      <c r="J10" s="6">
        <v>45239</v>
      </c>
      <c r="K10" s="5">
        <v>110</v>
      </c>
      <c r="L10" s="5" t="s">
        <v>37</v>
      </c>
      <c r="M10" s="7">
        <v>2800</v>
      </c>
      <c r="N10" s="5">
        <v>4</v>
      </c>
      <c r="O10" s="7">
        <f t="shared" si="0"/>
        <v>11200</v>
      </c>
      <c r="P10" s="7">
        <f t="shared" si="1"/>
        <v>2128</v>
      </c>
      <c r="Q10" s="7">
        <f t="shared" si="2"/>
        <v>13328</v>
      </c>
      <c r="R10" s="5" t="str">
        <f t="shared" si="3"/>
        <v>SI</v>
      </c>
      <c r="S10" s="5" t="str">
        <f t="shared" si="4"/>
        <v>NO</v>
      </c>
      <c r="T10" s="5" t="str">
        <f t="shared" si="5"/>
        <v>NO</v>
      </c>
      <c r="U10" s="5" t="str" cm="1">
        <f t="array" ref="U10">_xlfn.IFS(ISBLANK(B9),"No aplica",COUNTA(C9:H9)=6,"Completo",NOT(COUNTA(C9:H9)=6),"Incompleto")</f>
        <v>Incompleto</v>
      </c>
      <c r="V10" s="10">
        <f t="shared" ca="1" si="6"/>
        <v>36</v>
      </c>
      <c r="X10" s="5">
        <f t="shared" si="7"/>
        <v>13</v>
      </c>
    </row>
    <row r="11" spans="1:24" x14ac:dyDescent="0.25">
      <c r="A11" s="5"/>
      <c r="B11" s="5" t="s">
        <v>38</v>
      </c>
      <c r="C11" s="5" t="s">
        <v>39</v>
      </c>
      <c r="D11" s="5" t="s">
        <v>40</v>
      </c>
      <c r="E11" s="5"/>
      <c r="F11" s="9">
        <v>34014</v>
      </c>
      <c r="G11" s="5">
        <v>977894512</v>
      </c>
      <c r="H11" s="5" t="s">
        <v>41</v>
      </c>
      <c r="I11" s="5"/>
      <c r="J11" s="5"/>
      <c r="K11" s="5"/>
      <c r="L11" s="5"/>
      <c r="M11" s="7"/>
      <c r="N11" s="5"/>
      <c r="O11" s="7">
        <f t="shared" si="0"/>
        <v>0</v>
      </c>
      <c r="P11" s="7">
        <f t="shared" si="1"/>
        <v>0</v>
      </c>
      <c r="Q11" s="7">
        <f t="shared" si="2"/>
        <v>0</v>
      </c>
      <c r="R11" s="5" t="str">
        <f t="shared" si="3"/>
        <v>NO</v>
      </c>
      <c r="S11" s="5" t="str">
        <f t="shared" si="4"/>
        <v>NO</v>
      </c>
      <c r="T11" s="5" t="str">
        <f t="shared" si="5"/>
        <v>SI</v>
      </c>
      <c r="U11" s="5" t="str" cm="1">
        <f t="array" ref="U11">_xlfn.IFS(ISBLANK(B10),"No aplica",COUNTA(C10:H10)=6,"Completo",NOT(COUNTA(C10:H10)=6),"Incompleto")</f>
        <v>Incompleto</v>
      </c>
      <c r="V11" s="10">
        <f t="shared" ca="1" si="6"/>
        <v>31</v>
      </c>
      <c r="X11" s="5">
        <f t="shared" si="7"/>
        <v>13</v>
      </c>
    </row>
    <row r="12" spans="1:24" x14ac:dyDescent="0.25">
      <c r="A12" s="5"/>
      <c r="B12" s="5" t="s">
        <v>42</v>
      </c>
      <c r="C12" s="5" t="s">
        <v>43</v>
      </c>
      <c r="D12" s="5"/>
      <c r="E12" s="5" t="s">
        <v>44</v>
      </c>
      <c r="F12" s="9">
        <v>37315</v>
      </c>
      <c r="G12" s="5">
        <v>967894512</v>
      </c>
      <c r="H12" s="5" t="s">
        <v>45</v>
      </c>
      <c r="I12" s="5">
        <v>12</v>
      </c>
      <c r="J12" s="6">
        <v>45234</v>
      </c>
      <c r="K12" s="5">
        <v>111</v>
      </c>
      <c r="L12" s="5" t="s">
        <v>46</v>
      </c>
      <c r="M12" s="7">
        <v>6000</v>
      </c>
      <c r="N12" s="5">
        <v>5</v>
      </c>
      <c r="O12" s="7">
        <f t="shared" si="0"/>
        <v>30000</v>
      </c>
      <c r="P12" s="7">
        <f t="shared" si="1"/>
        <v>5700</v>
      </c>
      <c r="Q12" s="7">
        <f t="shared" si="2"/>
        <v>35700</v>
      </c>
      <c r="R12" s="5" t="str">
        <f t="shared" si="3"/>
        <v>SI</v>
      </c>
      <c r="S12" s="5" t="str">
        <f t="shared" si="4"/>
        <v>NO</v>
      </c>
      <c r="T12" s="5" t="str">
        <f t="shared" si="5"/>
        <v>NO</v>
      </c>
      <c r="U12" s="5" t="str" cm="1">
        <f t="array" ref="U12">_xlfn.IFS(ISBLANK(B11),"No aplica",COUNTA(C11:H11)=6,"Completo",NOT(COUNTA(C11:H11)=6),"Incompleto")</f>
        <v>Incompleto</v>
      </c>
      <c r="V12" s="10">
        <f t="shared" ca="1" si="6"/>
        <v>22</v>
      </c>
      <c r="X12" s="5">
        <f t="shared" si="7"/>
        <v>13</v>
      </c>
    </row>
    <row r="13" spans="1:24" x14ac:dyDescent="0.25">
      <c r="A13" s="5"/>
      <c r="B13" s="5" t="s">
        <v>42</v>
      </c>
      <c r="C13" s="5" t="s">
        <v>43</v>
      </c>
      <c r="D13" s="5"/>
      <c r="E13" s="5" t="s">
        <v>44</v>
      </c>
      <c r="F13" s="9">
        <v>37315</v>
      </c>
      <c r="G13" s="5">
        <v>967894512</v>
      </c>
      <c r="H13" s="5" t="s">
        <v>45</v>
      </c>
      <c r="I13" s="5">
        <v>17</v>
      </c>
      <c r="J13" s="6">
        <v>45247</v>
      </c>
      <c r="K13" s="5">
        <v>120</v>
      </c>
      <c r="L13" s="5" t="s">
        <v>47</v>
      </c>
      <c r="M13" s="7">
        <v>2500</v>
      </c>
      <c r="N13" s="5">
        <v>2</v>
      </c>
      <c r="O13" s="7">
        <f t="shared" si="0"/>
        <v>5000</v>
      </c>
      <c r="P13" s="7">
        <f t="shared" si="1"/>
        <v>950</v>
      </c>
      <c r="Q13" s="7">
        <f t="shared" si="2"/>
        <v>5950</v>
      </c>
      <c r="R13" s="5" t="str">
        <f t="shared" si="3"/>
        <v>SI</v>
      </c>
      <c r="S13" s="5" t="str">
        <f t="shared" si="4"/>
        <v>NO</v>
      </c>
      <c r="T13" s="5" t="str">
        <f t="shared" si="5"/>
        <v>NO</v>
      </c>
      <c r="U13" s="5" t="str" cm="1">
        <f t="array" ref="U13">_xlfn.IFS(ISBLANK(B12),"No aplica",COUNTA(C12:H12)=6,"Completo",NOT(COUNTA(C12:H12)=6),"Incompleto")</f>
        <v>Incompleto</v>
      </c>
      <c r="V13" s="10">
        <f t="shared" ca="1" si="6"/>
        <v>22</v>
      </c>
      <c r="X13" s="5">
        <f t="shared" si="7"/>
        <v>13</v>
      </c>
    </row>
    <row r="14" spans="1:24" x14ac:dyDescent="0.25">
      <c r="A14" s="5"/>
      <c r="B14" s="5" t="s">
        <v>48</v>
      </c>
      <c r="C14" s="5" t="s">
        <v>49</v>
      </c>
      <c r="D14" s="5" t="s">
        <v>50</v>
      </c>
      <c r="E14" s="5"/>
      <c r="F14" s="9">
        <v>36499</v>
      </c>
      <c r="G14" s="5">
        <v>934567890</v>
      </c>
      <c r="H14" s="5" t="s">
        <v>51</v>
      </c>
      <c r="I14" s="5">
        <v>4</v>
      </c>
      <c r="J14" s="6">
        <v>45242</v>
      </c>
      <c r="K14" s="5">
        <v>112</v>
      </c>
      <c r="L14" s="5" t="s">
        <v>52</v>
      </c>
      <c r="M14" s="7">
        <v>2000</v>
      </c>
      <c r="N14" s="5">
        <v>7</v>
      </c>
      <c r="O14" s="7">
        <f t="shared" si="0"/>
        <v>14000</v>
      </c>
      <c r="P14" s="7">
        <f t="shared" si="1"/>
        <v>2660</v>
      </c>
      <c r="Q14" s="7">
        <f t="shared" si="2"/>
        <v>16660</v>
      </c>
      <c r="R14" s="5" t="str">
        <f t="shared" si="3"/>
        <v>SI</v>
      </c>
      <c r="S14" s="5" t="str">
        <f t="shared" si="4"/>
        <v>NO</v>
      </c>
      <c r="T14" s="5" t="str">
        <f t="shared" si="5"/>
        <v>NO</v>
      </c>
      <c r="U14" s="5" t="str" cm="1">
        <f t="array" ref="U14">_xlfn.IFS(ISBLANK(B13),"No aplica",COUNTA(C13:H13)=6,"Completo",NOT(COUNTA(C13:H13)=6),"Incompleto")</f>
        <v>Incompleto</v>
      </c>
      <c r="V14" s="10">
        <f t="shared" ca="1" si="6"/>
        <v>25</v>
      </c>
      <c r="X14" s="5">
        <f t="shared" si="7"/>
        <v>13</v>
      </c>
    </row>
    <row r="15" spans="1:24" x14ac:dyDescent="0.25">
      <c r="A15" s="5"/>
      <c r="B15" s="5" t="s">
        <v>53</v>
      </c>
      <c r="C15" s="5" t="s">
        <v>54</v>
      </c>
      <c r="D15" s="5" t="s">
        <v>55</v>
      </c>
      <c r="E15" s="5" t="s">
        <v>56</v>
      </c>
      <c r="F15" s="9"/>
      <c r="G15" s="5"/>
      <c r="H15" s="5" t="s">
        <v>57</v>
      </c>
      <c r="I15" s="5">
        <v>5</v>
      </c>
      <c r="J15" s="6">
        <v>45245</v>
      </c>
      <c r="K15" s="5">
        <v>113</v>
      </c>
      <c r="L15" s="5" t="s">
        <v>58</v>
      </c>
      <c r="M15" s="7">
        <v>1200</v>
      </c>
      <c r="N15" s="5">
        <v>3</v>
      </c>
      <c r="O15" s="7">
        <f t="shared" si="0"/>
        <v>3600</v>
      </c>
      <c r="P15" s="7">
        <f t="shared" si="1"/>
        <v>684</v>
      </c>
      <c r="Q15" s="7">
        <f t="shared" si="2"/>
        <v>4284</v>
      </c>
      <c r="R15" s="5" t="str">
        <f t="shared" si="3"/>
        <v>SI</v>
      </c>
      <c r="S15" s="5" t="str">
        <f t="shared" si="4"/>
        <v>NO</v>
      </c>
      <c r="T15" s="5" t="str">
        <f t="shared" si="5"/>
        <v>NO</v>
      </c>
      <c r="U15" s="5" t="str" cm="1">
        <f t="array" ref="U15">_xlfn.IFS(ISBLANK(B14),"No aplica",COUNTA(C14:H14)=6,"Completo",NOT(COUNTA(C14:H14)=6),"Incompleto")</f>
        <v>Incompleto</v>
      </c>
      <c r="V15" s="10" t="str">
        <f t="shared" ca="1" si="6"/>
        <v/>
      </c>
      <c r="X15" s="5">
        <f t="shared" si="7"/>
        <v>13</v>
      </c>
    </row>
    <row r="16" spans="1:24" x14ac:dyDescent="0.25">
      <c r="A16" s="5"/>
      <c r="B16" s="5" t="s">
        <v>59</v>
      </c>
      <c r="C16" s="5" t="s">
        <v>60</v>
      </c>
      <c r="D16" s="5" t="s">
        <v>61</v>
      </c>
      <c r="E16" s="5"/>
      <c r="F16" s="9">
        <v>33763</v>
      </c>
      <c r="G16" s="5">
        <v>923478965</v>
      </c>
      <c r="H16" s="5"/>
      <c r="I16" s="5"/>
      <c r="J16" s="5"/>
      <c r="K16" s="5"/>
      <c r="L16" s="5"/>
      <c r="M16" s="7"/>
      <c r="N16" s="5"/>
      <c r="O16" s="7">
        <f t="shared" si="0"/>
        <v>0</v>
      </c>
      <c r="P16" s="7">
        <f t="shared" si="1"/>
        <v>0</v>
      </c>
      <c r="Q16" s="7">
        <f t="shared" si="2"/>
        <v>0</v>
      </c>
      <c r="R16" s="5" t="str">
        <f t="shared" si="3"/>
        <v>NO</v>
      </c>
      <c r="S16" s="5" t="str">
        <f t="shared" si="4"/>
        <v>NO</v>
      </c>
      <c r="T16" s="5" t="str">
        <f t="shared" si="5"/>
        <v>SI</v>
      </c>
      <c r="U16" s="5" t="str" cm="1">
        <f t="array" ref="U16">_xlfn.IFS(ISBLANK(B15),"No aplica",COUNTA(C15:H15)=6,"Completo",NOT(COUNTA(C15:H15)=6),"Incompleto")</f>
        <v>Incompleto</v>
      </c>
      <c r="V16" s="10">
        <f t="shared" ca="1" si="6"/>
        <v>32</v>
      </c>
      <c r="X16" s="5">
        <f t="shared" si="7"/>
        <v>13</v>
      </c>
    </row>
    <row r="17" spans="1:24" x14ac:dyDescent="0.25">
      <c r="A17" s="5"/>
      <c r="B17" s="5" t="s">
        <v>62</v>
      </c>
      <c r="C17" s="5" t="s">
        <v>63</v>
      </c>
      <c r="D17" s="5" t="s">
        <v>64</v>
      </c>
      <c r="E17" s="5"/>
      <c r="F17" s="9">
        <v>35525</v>
      </c>
      <c r="G17" s="5">
        <v>923478965</v>
      </c>
      <c r="H17" s="5" t="s">
        <v>65</v>
      </c>
      <c r="I17" s="5">
        <v>18</v>
      </c>
      <c r="J17" s="6">
        <v>45250</v>
      </c>
      <c r="K17" s="5">
        <v>101</v>
      </c>
      <c r="L17" s="5" t="s">
        <v>30</v>
      </c>
      <c r="M17" s="7">
        <v>1500</v>
      </c>
      <c r="N17" s="5">
        <v>9</v>
      </c>
      <c r="O17" s="7">
        <f t="shared" si="0"/>
        <v>13500</v>
      </c>
      <c r="P17" s="7">
        <f t="shared" si="1"/>
        <v>2565</v>
      </c>
      <c r="Q17" s="7">
        <f t="shared" si="2"/>
        <v>16065</v>
      </c>
      <c r="R17" s="5" t="str">
        <f t="shared" si="3"/>
        <v>SI</v>
      </c>
      <c r="S17" s="5" t="str">
        <f t="shared" si="4"/>
        <v>NO</v>
      </c>
      <c r="T17" s="5" t="str">
        <f t="shared" si="5"/>
        <v>NO</v>
      </c>
      <c r="U17" s="5" t="str" cm="1">
        <f t="array" ref="U17">_xlfn.IFS(ISBLANK(B16),"No aplica",COUNTA(C16:H16)=6,"Completo",NOT(COUNTA(C16:H16)=6),"Incompleto")</f>
        <v>Incompleto</v>
      </c>
      <c r="V17" s="10">
        <f t="shared" ca="1" si="6"/>
        <v>27</v>
      </c>
      <c r="X17" s="5">
        <f t="shared" si="7"/>
        <v>13</v>
      </c>
    </row>
    <row r="18" spans="1:24" x14ac:dyDescent="0.25">
      <c r="A18" s="5"/>
      <c r="B18" s="5" t="s">
        <v>62</v>
      </c>
      <c r="C18" s="5" t="s">
        <v>63</v>
      </c>
      <c r="D18" s="5" t="s">
        <v>64</v>
      </c>
      <c r="E18" s="5"/>
      <c r="F18" s="9">
        <v>35525</v>
      </c>
      <c r="G18" s="5">
        <v>923478965</v>
      </c>
      <c r="H18" s="5" t="s">
        <v>65</v>
      </c>
      <c r="I18" s="5">
        <v>18</v>
      </c>
      <c r="J18" s="6">
        <v>45250</v>
      </c>
      <c r="K18" s="5">
        <v>102</v>
      </c>
      <c r="L18" s="5" t="s">
        <v>66</v>
      </c>
      <c r="M18" s="7">
        <v>1200</v>
      </c>
      <c r="N18" s="5">
        <v>2</v>
      </c>
      <c r="O18" s="7">
        <f t="shared" si="0"/>
        <v>2400</v>
      </c>
      <c r="P18" s="7">
        <f t="shared" si="1"/>
        <v>456</v>
      </c>
      <c r="Q18" s="7">
        <f t="shared" si="2"/>
        <v>2856</v>
      </c>
      <c r="R18" s="5" t="str">
        <f t="shared" si="3"/>
        <v>SI</v>
      </c>
      <c r="S18" s="5" t="str">
        <f t="shared" si="4"/>
        <v>NO</v>
      </c>
      <c r="T18" s="5" t="str">
        <f t="shared" si="5"/>
        <v>NO</v>
      </c>
      <c r="U18" s="5" t="str" cm="1">
        <f t="array" ref="U18">_xlfn.IFS(ISBLANK(B17),"No aplica",COUNTA(C17:H17)=6,"Completo",NOT(COUNTA(C17:H17)=6),"Incompleto")</f>
        <v>Incompleto</v>
      </c>
      <c r="V18" s="10">
        <f t="shared" ca="1" si="6"/>
        <v>27</v>
      </c>
      <c r="X18" s="5">
        <f t="shared" si="7"/>
        <v>13</v>
      </c>
    </row>
    <row r="19" spans="1:24" x14ac:dyDescent="0.25">
      <c r="A19" s="5"/>
      <c r="B19" s="5" t="s">
        <v>62</v>
      </c>
      <c r="C19" s="5" t="s">
        <v>63</v>
      </c>
      <c r="D19" s="5" t="s">
        <v>64</v>
      </c>
      <c r="E19" s="5"/>
      <c r="F19" s="9">
        <v>35525</v>
      </c>
      <c r="G19" s="5">
        <v>923478965</v>
      </c>
      <c r="H19" s="5" t="s">
        <v>65</v>
      </c>
      <c r="I19" s="5">
        <v>18</v>
      </c>
      <c r="J19" s="6">
        <v>45250</v>
      </c>
      <c r="K19" s="5">
        <v>103</v>
      </c>
      <c r="L19" s="5" t="s">
        <v>31</v>
      </c>
      <c r="M19" s="7">
        <v>18000</v>
      </c>
      <c r="N19" s="5">
        <v>5</v>
      </c>
      <c r="O19" s="7">
        <f t="shared" si="0"/>
        <v>90000</v>
      </c>
      <c r="P19" s="7">
        <f t="shared" si="1"/>
        <v>17100</v>
      </c>
      <c r="Q19" s="7">
        <f t="shared" si="2"/>
        <v>107100</v>
      </c>
      <c r="R19" s="5" t="str">
        <f t="shared" si="3"/>
        <v>SI</v>
      </c>
      <c r="S19" s="5" t="str">
        <f t="shared" si="4"/>
        <v>NO</v>
      </c>
      <c r="T19" s="5" t="str">
        <f t="shared" si="5"/>
        <v>NO</v>
      </c>
      <c r="U19" s="5" t="str" cm="1">
        <f t="array" ref="U19">_xlfn.IFS(ISBLANK(B18),"No aplica",COUNTA(C18:H18)=6,"Completo",NOT(COUNTA(C18:H18)=6),"Incompleto")</f>
        <v>Incompleto</v>
      </c>
      <c r="V19" s="10">
        <f t="shared" ca="1" si="6"/>
        <v>27</v>
      </c>
      <c r="X19" s="5">
        <f t="shared" si="7"/>
        <v>13</v>
      </c>
    </row>
    <row r="20" spans="1:24" x14ac:dyDescent="0.25">
      <c r="A20" s="5"/>
      <c r="B20" s="5" t="s">
        <v>62</v>
      </c>
      <c r="C20" s="5" t="s">
        <v>63</v>
      </c>
      <c r="D20" s="5" t="s">
        <v>64</v>
      </c>
      <c r="E20" s="5"/>
      <c r="F20" s="9">
        <v>35525</v>
      </c>
      <c r="G20" s="5">
        <v>923478965</v>
      </c>
      <c r="H20" s="5" t="s">
        <v>65</v>
      </c>
      <c r="I20" s="5">
        <v>13</v>
      </c>
      <c r="J20" s="6">
        <v>45236</v>
      </c>
      <c r="K20" s="5">
        <v>112</v>
      </c>
      <c r="L20" s="5" t="s">
        <v>52</v>
      </c>
      <c r="M20" s="7">
        <v>2000</v>
      </c>
      <c r="N20" s="5">
        <v>8</v>
      </c>
      <c r="O20" s="7">
        <f t="shared" si="0"/>
        <v>16000</v>
      </c>
      <c r="P20" s="7">
        <f t="shared" si="1"/>
        <v>3040</v>
      </c>
      <c r="Q20" s="7">
        <f t="shared" si="2"/>
        <v>19040</v>
      </c>
      <c r="R20" s="5" t="str">
        <f t="shared" si="3"/>
        <v>SI</v>
      </c>
      <c r="S20" s="5" t="str">
        <f t="shared" si="4"/>
        <v>NO</v>
      </c>
      <c r="T20" s="5" t="str">
        <f t="shared" si="5"/>
        <v>NO</v>
      </c>
      <c r="U20" s="5" t="str" cm="1">
        <f t="array" ref="U20">_xlfn.IFS(ISBLANK(B19),"No aplica",COUNTA(C19:H19)=6,"Completo",NOT(COUNTA(C19:H19)=6),"Incompleto")</f>
        <v>Incompleto</v>
      </c>
      <c r="V20" s="10">
        <f t="shared" ca="1" si="6"/>
        <v>27</v>
      </c>
      <c r="X20" s="5">
        <f t="shared" si="7"/>
        <v>13</v>
      </c>
    </row>
    <row r="21" spans="1:24" x14ac:dyDescent="0.25">
      <c r="A21" s="5"/>
      <c r="B21" s="5" t="s">
        <v>67</v>
      </c>
      <c r="C21" s="5" t="s">
        <v>68</v>
      </c>
      <c r="D21" s="5"/>
      <c r="E21" s="5"/>
      <c r="F21" s="9">
        <v>33103</v>
      </c>
      <c r="G21" s="5">
        <v>978901234</v>
      </c>
      <c r="H21" s="5" t="s">
        <v>69</v>
      </c>
      <c r="I21" s="5">
        <v>6</v>
      </c>
      <c r="J21" s="6">
        <v>45248</v>
      </c>
      <c r="K21" s="5">
        <v>115</v>
      </c>
      <c r="L21" s="5" t="s">
        <v>70</v>
      </c>
      <c r="M21" s="7">
        <v>7000</v>
      </c>
      <c r="N21" s="5">
        <v>2</v>
      </c>
      <c r="O21" s="7">
        <f t="shared" si="0"/>
        <v>14000</v>
      </c>
      <c r="P21" s="7">
        <f t="shared" si="1"/>
        <v>2660</v>
      </c>
      <c r="Q21" s="7">
        <f t="shared" si="2"/>
        <v>16660</v>
      </c>
      <c r="R21" s="5" t="str">
        <f t="shared" si="3"/>
        <v>SI</v>
      </c>
      <c r="S21" s="5" t="str">
        <f t="shared" si="4"/>
        <v>NO</v>
      </c>
      <c r="T21" s="5" t="str">
        <f t="shared" si="5"/>
        <v>NO</v>
      </c>
      <c r="U21" s="5" t="str" cm="1">
        <f t="array" ref="U21">_xlfn.IFS(ISBLANK(B20),"No aplica",COUNTA(C20:H20)=6,"Completo",NOT(COUNTA(C20:H20)=6),"Incompleto")</f>
        <v>Incompleto</v>
      </c>
      <c r="V21" s="10">
        <f t="shared" ca="1" si="6"/>
        <v>34</v>
      </c>
      <c r="X21" s="5">
        <f t="shared" si="7"/>
        <v>13</v>
      </c>
    </row>
    <row r="22" spans="1:24" x14ac:dyDescent="0.25">
      <c r="A22" s="5"/>
      <c r="B22" s="5" t="s">
        <v>71</v>
      </c>
      <c r="C22" s="5" t="s">
        <v>72</v>
      </c>
      <c r="D22" s="5" t="s">
        <v>73</v>
      </c>
      <c r="E22" s="5" t="s">
        <v>74</v>
      </c>
      <c r="F22" s="9">
        <v>38467</v>
      </c>
      <c r="G22" s="5"/>
      <c r="H22" s="5" t="s">
        <v>75</v>
      </c>
      <c r="I22" s="5">
        <v>7</v>
      </c>
      <c r="J22" s="6">
        <v>45251</v>
      </c>
      <c r="K22" s="5">
        <v>116</v>
      </c>
      <c r="L22" s="5" t="s">
        <v>76</v>
      </c>
      <c r="M22" s="7">
        <v>5500</v>
      </c>
      <c r="N22" s="5">
        <v>5</v>
      </c>
      <c r="O22" s="7">
        <f t="shared" si="0"/>
        <v>27500</v>
      </c>
      <c r="P22" s="7">
        <f t="shared" si="1"/>
        <v>5225</v>
      </c>
      <c r="Q22" s="7">
        <f t="shared" si="2"/>
        <v>32725</v>
      </c>
      <c r="R22" s="5" t="str">
        <f t="shared" si="3"/>
        <v>SI</v>
      </c>
      <c r="S22" s="5" t="str">
        <f t="shared" si="4"/>
        <v>NO</v>
      </c>
      <c r="T22" s="5" t="str">
        <f t="shared" si="5"/>
        <v>NO</v>
      </c>
      <c r="U22" s="5" t="str" cm="1">
        <f t="array" ref="U22">_xlfn.IFS(ISBLANK(B21),"No aplica",COUNTA(C21:H21)=6,"Completo",NOT(COUNTA(C21:H21)=6),"Incompleto")</f>
        <v>Incompleto</v>
      </c>
      <c r="V22" s="10">
        <f t="shared" ca="1" si="6"/>
        <v>19</v>
      </c>
      <c r="X22" s="5">
        <f t="shared" si="7"/>
        <v>13</v>
      </c>
    </row>
    <row r="23" spans="1:24" x14ac:dyDescent="0.25">
      <c r="A23" s="5"/>
      <c r="B23" s="5" t="s">
        <v>71</v>
      </c>
      <c r="C23" s="5" t="s">
        <v>72</v>
      </c>
      <c r="D23" s="5" t="s">
        <v>73</v>
      </c>
      <c r="E23" s="5" t="s">
        <v>74</v>
      </c>
      <c r="F23" s="9">
        <v>38467</v>
      </c>
      <c r="G23" s="5"/>
      <c r="H23" s="5" t="s">
        <v>75</v>
      </c>
      <c r="I23" s="5">
        <v>7</v>
      </c>
      <c r="J23" s="6">
        <v>45251</v>
      </c>
      <c r="K23" s="5">
        <v>119</v>
      </c>
      <c r="L23" s="5" t="s">
        <v>24</v>
      </c>
      <c r="M23" s="7">
        <v>9000</v>
      </c>
      <c r="N23" s="5">
        <v>9</v>
      </c>
      <c r="O23" s="7">
        <f t="shared" si="0"/>
        <v>81000</v>
      </c>
      <c r="P23" s="7">
        <f t="shared" si="1"/>
        <v>15390</v>
      </c>
      <c r="Q23" s="7">
        <f t="shared" si="2"/>
        <v>96390</v>
      </c>
      <c r="R23" s="5" t="str">
        <f t="shared" si="3"/>
        <v>SI</v>
      </c>
      <c r="S23" s="5" t="str">
        <f t="shared" si="4"/>
        <v>NO</v>
      </c>
      <c r="T23" s="5" t="str">
        <f t="shared" si="5"/>
        <v>NO</v>
      </c>
      <c r="U23" s="5" t="str" cm="1">
        <f t="array" ref="U23">_xlfn.IFS(ISBLANK(B22),"No aplica",COUNTA(C22:H22)=6,"Completo",NOT(COUNTA(C22:H22)=6),"Incompleto")</f>
        <v>Incompleto</v>
      </c>
      <c r="V23" s="10">
        <f t="shared" ca="1" si="6"/>
        <v>19</v>
      </c>
      <c r="X23" s="5">
        <f t="shared" si="7"/>
        <v>13</v>
      </c>
    </row>
    <row r="24" spans="1:24" x14ac:dyDescent="0.25">
      <c r="A24" s="5"/>
      <c r="B24" s="5" t="s">
        <v>77</v>
      </c>
      <c r="C24" s="5" t="s">
        <v>78</v>
      </c>
      <c r="D24" s="5"/>
      <c r="E24" s="5" t="s">
        <v>79</v>
      </c>
      <c r="F24" s="9">
        <v>35355</v>
      </c>
      <c r="G24" s="5">
        <v>955678902</v>
      </c>
      <c r="H24" s="5" t="s">
        <v>80</v>
      </c>
      <c r="I24" s="5">
        <v>19</v>
      </c>
      <c r="J24" s="6">
        <v>45253</v>
      </c>
      <c r="K24" s="5">
        <v>104</v>
      </c>
      <c r="L24" s="5" t="s">
        <v>81</v>
      </c>
      <c r="M24" s="7">
        <v>2000</v>
      </c>
      <c r="N24" s="5">
        <v>3</v>
      </c>
      <c r="O24" s="7">
        <f t="shared" si="0"/>
        <v>6000</v>
      </c>
      <c r="P24" s="7">
        <f t="shared" si="1"/>
        <v>1140</v>
      </c>
      <c r="Q24" s="7">
        <f t="shared" si="2"/>
        <v>7140</v>
      </c>
      <c r="R24" s="5" t="str">
        <f t="shared" si="3"/>
        <v>SI</v>
      </c>
      <c r="S24" s="5" t="str">
        <f t="shared" si="4"/>
        <v>NO</v>
      </c>
      <c r="T24" s="5" t="str">
        <f t="shared" si="5"/>
        <v>NO</v>
      </c>
      <c r="U24" s="5" t="str" cm="1">
        <f t="array" ref="U24">_xlfn.IFS(ISBLANK(B23),"No aplica",COUNTA(C23:H23)=6,"Completo",NOT(COUNTA(C23:H23)=6),"Incompleto")</f>
        <v>Incompleto</v>
      </c>
      <c r="V24" s="10">
        <f t="shared" ca="1" si="6"/>
        <v>28</v>
      </c>
      <c r="X24" s="5">
        <f t="shared" si="7"/>
        <v>13</v>
      </c>
    </row>
    <row r="25" spans="1:24" x14ac:dyDescent="0.25">
      <c r="A25" s="5"/>
      <c r="B25" s="5" t="s">
        <v>77</v>
      </c>
      <c r="C25" s="5" t="s">
        <v>78</v>
      </c>
      <c r="D25" s="5"/>
      <c r="E25" s="5" t="s">
        <v>79</v>
      </c>
      <c r="F25" s="9">
        <v>35355</v>
      </c>
      <c r="G25" s="5">
        <v>955678902</v>
      </c>
      <c r="H25" s="5" t="s">
        <v>80</v>
      </c>
      <c r="I25" s="5">
        <v>19</v>
      </c>
      <c r="J25" s="6">
        <v>45253</v>
      </c>
      <c r="K25" s="5">
        <v>106</v>
      </c>
      <c r="L25" s="5" t="s">
        <v>32</v>
      </c>
      <c r="M25" s="7">
        <v>2500</v>
      </c>
      <c r="N25" s="5">
        <v>7</v>
      </c>
      <c r="O25" s="7">
        <f t="shared" si="0"/>
        <v>17500</v>
      </c>
      <c r="P25" s="7">
        <f t="shared" si="1"/>
        <v>3325</v>
      </c>
      <c r="Q25" s="7">
        <f t="shared" si="2"/>
        <v>20825</v>
      </c>
      <c r="R25" s="5" t="str">
        <f t="shared" si="3"/>
        <v>SI</v>
      </c>
      <c r="S25" s="5" t="str">
        <f t="shared" si="4"/>
        <v>NO</v>
      </c>
      <c r="T25" s="5" t="str">
        <f t="shared" si="5"/>
        <v>NO</v>
      </c>
      <c r="U25" s="5" t="str" cm="1">
        <f t="array" ref="U25">_xlfn.IFS(ISBLANK(B24),"No aplica",COUNTA(C24:H24)=6,"Completo",NOT(COUNTA(C24:H24)=6),"Incompleto")</f>
        <v>Incompleto</v>
      </c>
      <c r="V25" s="10">
        <f t="shared" ca="1" si="6"/>
        <v>28</v>
      </c>
      <c r="X25" s="5">
        <f t="shared" si="7"/>
        <v>13</v>
      </c>
    </row>
    <row r="26" spans="1:24" x14ac:dyDescent="0.25">
      <c r="A26" s="5"/>
      <c r="B26" s="5" t="s">
        <v>77</v>
      </c>
      <c r="C26" s="5" t="s">
        <v>78</v>
      </c>
      <c r="D26" s="5" t="s">
        <v>114</v>
      </c>
      <c r="E26" s="5" t="s">
        <v>79</v>
      </c>
      <c r="F26" s="9">
        <v>35355</v>
      </c>
      <c r="G26" s="5">
        <v>955678902</v>
      </c>
      <c r="H26" s="5" t="s">
        <v>80</v>
      </c>
      <c r="I26" s="5">
        <v>14</v>
      </c>
      <c r="J26" s="6">
        <v>45238</v>
      </c>
      <c r="K26" s="5">
        <v>113</v>
      </c>
      <c r="L26" s="5" t="s">
        <v>58</v>
      </c>
      <c r="M26" s="7">
        <v>1200</v>
      </c>
      <c r="N26" s="5">
        <v>3</v>
      </c>
      <c r="O26" s="7">
        <f t="shared" si="0"/>
        <v>3600</v>
      </c>
      <c r="P26" s="7">
        <f t="shared" si="1"/>
        <v>684</v>
      </c>
      <c r="Q26" s="7">
        <f t="shared" si="2"/>
        <v>4284</v>
      </c>
      <c r="R26" s="5" t="str">
        <f t="shared" si="3"/>
        <v>SI</v>
      </c>
      <c r="S26" s="5" t="str">
        <f t="shared" si="4"/>
        <v>NO</v>
      </c>
      <c r="T26" s="5" t="str">
        <f t="shared" si="5"/>
        <v>NO</v>
      </c>
      <c r="U26" s="5" t="str" cm="1">
        <f t="array" ref="U26">_xlfn.IFS(ISBLANK(B25),"No aplica",COUNTA(C25:H25)=6,"Completo",NOT(COUNTA(C25:H25)=6),"Incompleto")</f>
        <v>Incompleto</v>
      </c>
      <c r="V26" s="10">
        <f t="shared" ca="1" si="6"/>
        <v>28</v>
      </c>
      <c r="X26" s="5">
        <f t="shared" si="7"/>
        <v>13</v>
      </c>
    </row>
    <row r="27" spans="1:24" x14ac:dyDescent="0.25">
      <c r="A27" s="5"/>
      <c r="B27" s="5" t="s">
        <v>77</v>
      </c>
      <c r="C27" s="5" t="s">
        <v>78</v>
      </c>
      <c r="D27" s="5"/>
      <c r="E27" s="5" t="s">
        <v>79</v>
      </c>
      <c r="F27" s="9">
        <v>35355</v>
      </c>
      <c r="G27" s="5">
        <v>955678902</v>
      </c>
      <c r="H27" s="5" t="s">
        <v>80</v>
      </c>
      <c r="I27" s="5">
        <v>14</v>
      </c>
      <c r="J27" s="6">
        <v>45238</v>
      </c>
      <c r="K27" s="5">
        <v>116</v>
      </c>
      <c r="L27" s="5" t="s">
        <v>76</v>
      </c>
      <c r="M27" s="7">
        <v>5500</v>
      </c>
      <c r="N27" s="5">
        <v>1</v>
      </c>
      <c r="O27" s="7">
        <f t="shared" si="0"/>
        <v>5500</v>
      </c>
      <c r="P27" s="7">
        <f t="shared" si="1"/>
        <v>1045</v>
      </c>
      <c r="Q27" s="7">
        <f t="shared" si="2"/>
        <v>6545</v>
      </c>
      <c r="R27" s="5" t="str">
        <f t="shared" si="3"/>
        <v>SI</v>
      </c>
      <c r="S27" s="5" t="str">
        <f t="shared" si="4"/>
        <v>NO</v>
      </c>
      <c r="T27" s="5" t="str">
        <f t="shared" si="5"/>
        <v>NO</v>
      </c>
      <c r="U27" s="5" t="str" cm="1">
        <f t="array" ref="U27">_xlfn.IFS(ISBLANK(B26),"No aplica",COUNTA(C26:H26)=6,"Completo",NOT(COUNTA(C26:H26)=6),"Incompleto")</f>
        <v>Completo</v>
      </c>
      <c r="V27" s="10">
        <f t="shared" ca="1" si="6"/>
        <v>28</v>
      </c>
      <c r="X27" s="5">
        <f t="shared" si="7"/>
        <v>13</v>
      </c>
    </row>
    <row r="28" spans="1:24" x14ac:dyDescent="0.25">
      <c r="A28" s="5"/>
      <c r="B28" s="5" t="s">
        <v>82</v>
      </c>
      <c r="C28" s="5" t="s">
        <v>83</v>
      </c>
      <c r="D28" s="5"/>
      <c r="E28" s="5" t="s">
        <v>84</v>
      </c>
      <c r="F28" s="9"/>
      <c r="G28" s="5"/>
      <c r="H28" s="5" t="s">
        <v>85</v>
      </c>
      <c r="I28" s="5"/>
      <c r="J28" s="5"/>
      <c r="K28" s="5"/>
      <c r="L28" s="5"/>
      <c r="M28" s="7"/>
      <c r="N28" s="5"/>
      <c r="O28" s="7">
        <f t="shared" si="0"/>
        <v>0</v>
      </c>
      <c r="P28" s="7">
        <f t="shared" si="1"/>
        <v>0</v>
      </c>
      <c r="Q28" s="7">
        <f t="shared" si="2"/>
        <v>0</v>
      </c>
      <c r="R28" s="5" t="str">
        <f t="shared" si="3"/>
        <v>NO</v>
      </c>
      <c r="S28" s="5" t="str">
        <f t="shared" si="4"/>
        <v>NO</v>
      </c>
      <c r="T28" s="5" t="str">
        <f t="shared" si="5"/>
        <v>SI</v>
      </c>
      <c r="U28" s="5" t="str" cm="1">
        <f t="array" ref="U28">_xlfn.IFS(ISBLANK(B27),"No aplica",COUNTA(C27:H27)=6,"Completo",NOT(COUNTA(C27:H27)=6),"Incompleto")</f>
        <v>Incompleto</v>
      </c>
      <c r="V28" s="10" t="str">
        <f t="shared" ca="1" si="6"/>
        <v/>
      </c>
      <c r="X28" s="5">
        <f t="shared" si="7"/>
        <v>13</v>
      </c>
    </row>
    <row r="29" spans="1:24" x14ac:dyDescent="0.25">
      <c r="A29" s="5"/>
      <c r="B29" s="5" t="s">
        <v>86</v>
      </c>
      <c r="C29" s="5" t="s">
        <v>87</v>
      </c>
      <c r="D29" s="5" t="s">
        <v>88</v>
      </c>
      <c r="E29" s="5" t="s">
        <v>89</v>
      </c>
      <c r="F29" s="9">
        <v>31381</v>
      </c>
      <c r="G29" s="5">
        <v>923456789</v>
      </c>
      <c r="H29" s="5" t="s">
        <v>114</v>
      </c>
      <c r="I29" s="5">
        <v>8</v>
      </c>
      <c r="J29" s="6">
        <v>45254</v>
      </c>
      <c r="K29" s="5">
        <v>120</v>
      </c>
      <c r="L29" s="5" t="s">
        <v>47</v>
      </c>
      <c r="M29" s="7">
        <v>2500</v>
      </c>
      <c r="N29" s="5">
        <v>4</v>
      </c>
      <c r="O29" s="7">
        <f t="shared" si="0"/>
        <v>10000</v>
      </c>
      <c r="P29" s="7">
        <f t="shared" si="1"/>
        <v>1900</v>
      </c>
      <c r="Q29" s="7">
        <f t="shared" si="2"/>
        <v>11900</v>
      </c>
      <c r="R29" s="5" t="str">
        <f t="shared" si="3"/>
        <v>SI</v>
      </c>
      <c r="S29" s="5" t="str">
        <f t="shared" si="4"/>
        <v>NO</v>
      </c>
      <c r="T29" s="5" t="str">
        <f t="shared" si="5"/>
        <v>NO</v>
      </c>
      <c r="U29" s="5" t="str" cm="1">
        <f t="array" ref="U29">_xlfn.IFS(ISBLANK(B28),"No aplica",COUNTA(C28:H28)=6,"Completo",NOT(COUNTA(C28:H28)=6),"Incompleto")</f>
        <v>Incompleto</v>
      </c>
      <c r="V29" s="10">
        <f t="shared" ca="1" si="6"/>
        <v>39</v>
      </c>
      <c r="X29" s="5">
        <f t="shared" si="7"/>
        <v>13</v>
      </c>
    </row>
    <row r="30" spans="1:24" x14ac:dyDescent="0.25">
      <c r="A30" s="5"/>
      <c r="B30" s="5" t="s">
        <v>90</v>
      </c>
      <c r="C30" s="5" t="s">
        <v>91</v>
      </c>
      <c r="D30" s="5" t="s">
        <v>92</v>
      </c>
      <c r="E30" s="5" t="s">
        <v>93</v>
      </c>
      <c r="F30" s="9">
        <v>34992</v>
      </c>
      <c r="G30" s="5">
        <v>987654321</v>
      </c>
      <c r="H30" s="5" t="s">
        <v>94</v>
      </c>
      <c r="I30" s="5">
        <v>2</v>
      </c>
      <c r="J30" s="6">
        <v>45237</v>
      </c>
      <c r="K30" s="5">
        <v>102</v>
      </c>
      <c r="L30" s="5" t="s">
        <v>66</v>
      </c>
      <c r="M30" s="7">
        <v>1200</v>
      </c>
      <c r="N30" s="5">
        <v>5</v>
      </c>
      <c r="O30" s="7">
        <f t="shared" si="0"/>
        <v>6000</v>
      </c>
      <c r="P30" s="7">
        <f t="shared" si="1"/>
        <v>1140</v>
      </c>
      <c r="Q30" s="7">
        <f t="shared" si="2"/>
        <v>7140</v>
      </c>
      <c r="R30" s="5" t="str">
        <f t="shared" si="3"/>
        <v>SI</v>
      </c>
      <c r="S30" s="5" t="str">
        <f t="shared" si="4"/>
        <v>NO</v>
      </c>
      <c r="T30" s="5" t="str">
        <f t="shared" si="5"/>
        <v>NO</v>
      </c>
      <c r="U30" s="5" t="str" cm="1">
        <f t="array" ref="U30">_xlfn.IFS(ISBLANK(B29),"No aplica",COUNTA(C29:H29)=6,"Completo",NOT(COUNTA(C29:H29)=6),"Incompleto")</f>
        <v>Completo</v>
      </c>
      <c r="V30" s="10">
        <f t="shared" ca="1" si="6"/>
        <v>29</v>
      </c>
      <c r="X30" s="5">
        <f t="shared" si="7"/>
        <v>13</v>
      </c>
    </row>
    <row r="31" spans="1:24" x14ac:dyDescent="0.25">
      <c r="A31" s="5"/>
      <c r="B31" s="5" t="s">
        <v>90</v>
      </c>
      <c r="C31" s="5" t="s">
        <v>91</v>
      </c>
      <c r="D31" s="5" t="s">
        <v>92</v>
      </c>
      <c r="E31" s="5" t="s">
        <v>93</v>
      </c>
      <c r="F31" s="9">
        <v>34992</v>
      </c>
      <c r="G31" s="5">
        <v>987654321</v>
      </c>
      <c r="H31" s="5" t="s">
        <v>94</v>
      </c>
      <c r="I31" s="5">
        <v>2</v>
      </c>
      <c r="J31" s="6">
        <v>45237</v>
      </c>
      <c r="K31" s="5">
        <v>104</v>
      </c>
      <c r="L31" s="5" t="s">
        <v>81</v>
      </c>
      <c r="M31" s="7">
        <v>2000</v>
      </c>
      <c r="N31" s="5">
        <v>1</v>
      </c>
      <c r="O31" s="7">
        <f t="shared" si="0"/>
        <v>2000</v>
      </c>
      <c r="P31" s="7">
        <f t="shared" si="1"/>
        <v>380</v>
      </c>
      <c r="Q31" s="7">
        <f t="shared" si="2"/>
        <v>2380</v>
      </c>
      <c r="R31" s="5" t="str">
        <f t="shared" si="3"/>
        <v>SI</v>
      </c>
      <c r="S31" s="5" t="str">
        <f t="shared" si="4"/>
        <v>NO</v>
      </c>
      <c r="T31" s="5" t="str">
        <f t="shared" si="5"/>
        <v>NO</v>
      </c>
      <c r="U31" s="5" t="str" cm="1">
        <f t="array" ref="U31">_xlfn.IFS(ISBLANK(B30),"No aplica",COUNTA(C30:H30)=6,"Completo",NOT(COUNTA(C30:H30)=6),"Incompleto")</f>
        <v>Completo</v>
      </c>
      <c r="V31" s="10">
        <f t="shared" ca="1" si="6"/>
        <v>29</v>
      </c>
      <c r="X31" s="5">
        <f t="shared" si="7"/>
        <v>13</v>
      </c>
    </row>
    <row r="32" spans="1:24" x14ac:dyDescent="0.25">
      <c r="A32" s="5"/>
      <c r="B32" s="5" t="s">
        <v>95</v>
      </c>
      <c r="C32" s="5" t="s">
        <v>96</v>
      </c>
      <c r="D32" s="5" t="s">
        <v>97</v>
      </c>
      <c r="E32" s="5"/>
      <c r="F32" s="9"/>
      <c r="G32" s="5"/>
      <c r="H32" s="5"/>
      <c r="I32" s="5">
        <v>9</v>
      </c>
      <c r="J32" s="6">
        <v>45257</v>
      </c>
      <c r="K32" s="5">
        <v>101</v>
      </c>
      <c r="L32" s="5" t="s">
        <v>30</v>
      </c>
      <c r="M32" s="7">
        <v>1500</v>
      </c>
      <c r="N32" s="5">
        <v>6</v>
      </c>
      <c r="O32" s="7">
        <f t="shared" si="0"/>
        <v>9000</v>
      </c>
      <c r="P32" s="7">
        <f t="shared" si="1"/>
        <v>1710</v>
      </c>
      <c r="Q32" s="7">
        <f t="shared" si="2"/>
        <v>10710</v>
      </c>
      <c r="R32" s="5" t="str">
        <f t="shared" si="3"/>
        <v>SI</v>
      </c>
      <c r="S32" s="5" t="str">
        <f t="shared" si="4"/>
        <v>NO</v>
      </c>
      <c r="T32" s="5" t="str">
        <f t="shared" si="5"/>
        <v>NO</v>
      </c>
      <c r="U32" s="5" t="str" cm="1">
        <f t="array" ref="U32">_xlfn.IFS(ISBLANK(B31),"No aplica",COUNTA(C31:H31)=6,"Completo",NOT(COUNTA(C31:H31)=6),"Incompleto")</f>
        <v>Completo</v>
      </c>
      <c r="V32" s="10" t="str">
        <f t="shared" ca="1" si="6"/>
        <v/>
      </c>
      <c r="X32" s="5">
        <f t="shared" si="7"/>
        <v>13</v>
      </c>
    </row>
    <row r="33" spans="1:24" x14ac:dyDescent="0.25">
      <c r="A33" s="5"/>
      <c r="B33" s="5" t="s">
        <v>95</v>
      </c>
      <c r="C33" s="5" t="s">
        <v>96</v>
      </c>
      <c r="D33" s="5" t="s">
        <v>97</v>
      </c>
      <c r="E33" s="5"/>
      <c r="F33" s="9"/>
      <c r="G33" s="5"/>
      <c r="H33" s="5"/>
      <c r="I33" s="5">
        <v>9</v>
      </c>
      <c r="J33" s="6">
        <v>45257</v>
      </c>
      <c r="K33" s="5">
        <v>104</v>
      </c>
      <c r="L33" s="5" t="s">
        <v>81</v>
      </c>
      <c r="M33" s="7">
        <v>2000</v>
      </c>
      <c r="N33" s="5">
        <v>2</v>
      </c>
      <c r="O33" s="7">
        <f t="shared" si="0"/>
        <v>4000</v>
      </c>
      <c r="P33" s="7">
        <f t="shared" si="1"/>
        <v>760</v>
      </c>
      <c r="Q33" s="7">
        <f t="shared" si="2"/>
        <v>4760</v>
      </c>
      <c r="R33" s="5" t="str">
        <f t="shared" si="3"/>
        <v>SI</v>
      </c>
      <c r="S33" s="5" t="str">
        <f t="shared" si="4"/>
        <v>NO</v>
      </c>
      <c r="T33" s="5" t="str">
        <f t="shared" si="5"/>
        <v>NO</v>
      </c>
      <c r="U33" s="5" t="str" cm="1">
        <f t="array" ref="U33">_xlfn.IFS(ISBLANK(B32),"No aplica",COUNTA(C32:H32)=6,"Completo",NOT(COUNTA(C32:H32)=6),"Incompleto")</f>
        <v>Incompleto</v>
      </c>
      <c r="V33" s="10" t="str">
        <f t="shared" ca="1" si="6"/>
        <v/>
      </c>
      <c r="X33" s="5">
        <f t="shared" si="7"/>
        <v>13</v>
      </c>
    </row>
    <row r="34" spans="1:24" x14ac:dyDescent="0.25">
      <c r="A34" s="5"/>
      <c r="B34" s="5" t="s">
        <v>98</v>
      </c>
      <c r="C34" s="5" t="s">
        <v>99</v>
      </c>
      <c r="D34" s="5"/>
      <c r="E34" s="5" t="s">
        <v>100</v>
      </c>
      <c r="F34" s="9"/>
      <c r="G34" s="5"/>
      <c r="H34" s="5"/>
      <c r="I34" s="5">
        <v>10</v>
      </c>
      <c r="J34" s="6">
        <v>45259</v>
      </c>
      <c r="K34" s="5">
        <v>105</v>
      </c>
      <c r="L34" s="5" t="s">
        <v>101</v>
      </c>
      <c r="M34" s="7">
        <v>3000</v>
      </c>
      <c r="N34" s="5">
        <v>1</v>
      </c>
      <c r="O34" s="7">
        <f t="shared" si="0"/>
        <v>3000</v>
      </c>
      <c r="P34" s="7">
        <f t="shared" si="1"/>
        <v>570</v>
      </c>
      <c r="Q34" s="7">
        <f t="shared" si="2"/>
        <v>3570</v>
      </c>
      <c r="R34" s="5" t="str">
        <f t="shared" si="3"/>
        <v>SI</v>
      </c>
      <c r="S34" s="5" t="str">
        <f t="shared" si="4"/>
        <v>NO</v>
      </c>
      <c r="T34" s="5" t="str">
        <f t="shared" si="5"/>
        <v>NO</v>
      </c>
      <c r="U34" s="5" t="str" cm="1">
        <f t="array" ref="U34">_xlfn.IFS(ISBLANK(B33),"No aplica",COUNTA(C33:H33)=6,"Completo",NOT(COUNTA(C33:H33)=6),"Incompleto")</f>
        <v>Incompleto</v>
      </c>
      <c r="V34" s="10" t="str">
        <f t="shared" ca="1" si="6"/>
        <v/>
      </c>
      <c r="X34" s="5">
        <f t="shared" si="7"/>
        <v>13</v>
      </c>
    </row>
    <row r="35" spans="1:24" x14ac:dyDescent="0.25">
      <c r="A35" s="5"/>
      <c r="B35" s="5" t="s">
        <v>98</v>
      </c>
      <c r="C35" s="5" t="s">
        <v>99</v>
      </c>
      <c r="D35" s="5"/>
      <c r="E35" s="5" t="s">
        <v>100</v>
      </c>
      <c r="F35" s="9"/>
      <c r="G35" s="5"/>
      <c r="H35" s="5"/>
      <c r="I35" s="5">
        <v>10</v>
      </c>
      <c r="J35" s="6">
        <v>45259</v>
      </c>
      <c r="K35" s="5">
        <v>106</v>
      </c>
      <c r="L35" s="5" t="s">
        <v>32</v>
      </c>
      <c r="M35" s="7">
        <v>2500</v>
      </c>
      <c r="N35" s="5">
        <v>3</v>
      </c>
      <c r="O35" s="7">
        <f t="shared" si="0"/>
        <v>7500</v>
      </c>
      <c r="P35" s="7">
        <f t="shared" si="1"/>
        <v>1425</v>
      </c>
      <c r="Q35" s="7">
        <f t="shared" si="2"/>
        <v>8925</v>
      </c>
      <c r="R35" s="5" t="str">
        <f t="shared" si="3"/>
        <v>SI</v>
      </c>
      <c r="S35" s="5" t="str">
        <f t="shared" si="4"/>
        <v>NO</v>
      </c>
      <c r="T35" s="5" t="str">
        <f t="shared" si="5"/>
        <v>NO</v>
      </c>
      <c r="U35" s="5" t="str" cm="1">
        <f t="array" ref="U35">_xlfn.IFS(ISBLANK(B34),"No aplica",COUNTA(C34:H34)=6,"Completo",NOT(COUNTA(C34:H34)=6),"Incompleto")</f>
        <v>Incompleto</v>
      </c>
      <c r="V35" s="10" t="str">
        <f t="shared" ca="1" si="6"/>
        <v/>
      </c>
      <c r="X35" s="5">
        <f t="shared" si="7"/>
        <v>13</v>
      </c>
    </row>
    <row r="36" spans="1:24" x14ac:dyDescent="0.25">
      <c r="A36" s="5"/>
      <c r="B36" s="5" t="s">
        <v>102</v>
      </c>
      <c r="C36" s="5" t="s">
        <v>103</v>
      </c>
      <c r="D36" s="5" t="s">
        <v>104</v>
      </c>
      <c r="E36" s="5"/>
      <c r="F36" s="9">
        <v>37156</v>
      </c>
      <c r="G36" s="5">
        <v>912345672</v>
      </c>
      <c r="H36" s="5" t="s">
        <v>105</v>
      </c>
      <c r="I36" s="5">
        <v>20</v>
      </c>
      <c r="J36" s="6">
        <v>45256</v>
      </c>
      <c r="K36" s="5">
        <v>107</v>
      </c>
      <c r="L36" s="5" t="s">
        <v>22</v>
      </c>
      <c r="M36" s="7">
        <v>5000</v>
      </c>
      <c r="N36" s="5">
        <v>1</v>
      </c>
      <c r="O36" s="7">
        <f t="shared" si="0"/>
        <v>5000</v>
      </c>
      <c r="P36" s="7">
        <f t="shared" si="1"/>
        <v>950</v>
      </c>
      <c r="Q36" s="7">
        <f t="shared" si="2"/>
        <v>5950</v>
      </c>
      <c r="R36" s="5" t="str">
        <f t="shared" si="3"/>
        <v>SI</v>
      </c>
      <c r="S36" s="5" t="str">
        <f t="shared" si="4"/>
        <v>NO</v>
      </c>
      <c r="T36" s="5" t="str">
        <f t="shared" si="5"/>
        <v>NO</v>
      </c>
      <c r="U36" s="5" t="str" cm="1">
        <f t="array" ref="U36">_xlfn.IFS(ISBLANK(B35),"No aplica",COUNTA(C35:H35)=6,"Completo",NOT(COUNTA(C35:H35)=6),"Incompleto")</f>
        <v>Incompleto</v>
      </c>
      <c r="V36" s="10">
        <f t="shared" ca="1" si="6"/>
        <v>23</v>
      </c>
      <c r="X36" s="5">
        <f t="shared" si="7"/>
        <v>13</v>
      </c>
    </row>
    <row r="37" spans="1:24" x14ac:dyDescent="0.25">
      <c r="A37" s="5"/>
      <c r="B37" s="5" t="s">
        <v>102</v>
      </c>
      <c r="C37" s="5" t="s">
        <v>103</v>
      </c>
      <c r="D37" s="5" t="s">
        <v>104</v>
      </c>
      <c r="E37" s="5"/>
      <c r="F37" s="9">
        <v>37156</v>
      </c>
      <c r="G37" s="5">
        <v>912345672</v>
      </c>
      <c r="H37" s="5" t="s">
        <v>105</v>
      </c>
      <c r="I37" s="5">
        <v>15</v>
      </c>
      <c r="J37" s="6">
        <v>45241</v>
      </c>
      <c r="K37" s="5">
        <v>117</v>
      </c>
      <c r="L37" s="5" t="s">
        <v>106</v>
      </c>
      <c r="M37" s="7">
        <v>4800</v>
      </c>
      <c r="N37" s="5">
        <v>6</v>
      </c>
      <c r="O37" s="7">
        <f t="shared" si="0"/>
        <v>28800</v>
      </c>
      <c r="P37" s="7">
        <f t="shared" si="1"/>
        <v>5472</v>
      </c>
      <c r="Q37" s="7">
        <f t="shared" si="2"/>
        <v>34272</v>
      </c>
      <c r="R37" s="5" t="str">
        <f t="shared" si="3"/>
        <v>SI</v>
      </c>
      <c r="S37" s="5" t="str">
        <f t="shared" si="4"/>
        <v>NO</v>
      </c>
      <c r="T37" s="5" t="str">
        <f t="shared" si="5"/>
        <v>NO</v>
      </c>
      <c r="U37" s="5" t="str" cm="1">
        <f t="array" ref="U37">_xlfn.IFS(ISBLANK(B36),"No aplica",COUNTA(C36:H36)=6,"Completo",NOT(COUNTA(C36:H36)=6),"Incompleto")</f>
        <v>Incompleto</v>
      </c>
      <c r="V37" s="10">
        <f t="shared" ca="1" si="6"/>
        <v>23</v>
      </c>
      <c r="X37" s="5">
        <f t="shared" si="7"/>
        <v>13</v>
      </c>
    </row>
    <row r="38" spans="1:24" x14ac:dyDescent="0.25">
      <c r="A38" s="5"/>
      <c r="B38" s="5" t="s">
        <v>107</v>
      </c>
      <c r="C38" s="5" t="s">
        <v>108</v>
      </c>
      <c r="D38" s="5" t="s">
        <v>109</v>
      </c>
      <c r="E38" s="5"/>
      <c r="F38" s="9">
        <v>37928</v>
      </c>
      <c r="G38" s="5">
        <v>955678902</v>
      </c>
      <c r="H38" s="5" t="s">
        <v>110</v>
      </c>
      <c r="I38" s="5"/>
      <c r="J38" s="5"/>
      <c r="K38" s="5"/>
      <c r="L38" s="5"/>
      <c r="M38" s="7"/>
      <c r="N38" s="5"/>
      <c r="O38" s="7">
        <f t="shared" si="0"/>
        <v>0</v>
      </c>
      <c r="P38" s="7">
        <f t="shared" si="1"/>
        <v>0</v>
      </c>
      <c r="Q38" s="7">
        <f t="shared" si="2"/>
        <v>0</v>
      </c>
      <c r="R38" s="5" t="str">
        <f t="shared" si="3"/>
        <v>NO</v>
      </c>
      <c r="S38" s="5" t="str">
        <f t="shared" si="4"/>
        <v>NO</v>
      </c>
      <c r="T38" s="5" t="str">
        <f t="shared" si="5"/>
        <v>SI</v>
      </c>
      <c r="U38" s="5" t="str" cm="1">
        <f t="array" ref="U38">_xlfn.IFS(ISBLANK(B37),"No aplica",COUNTA(C37:H37)=6,"Completo",NOT(COUNTA(C37:H37)=6),"Incompleto")</f>
        <v>Incompleto</v>
      </c>
      <c r="V38" s="10">
        <f t="shared" ca="1" si="6"/>
        <v>21</v>
      </c>
      <c r="X38" s="5">
        <f t="shared" si="7"/>
        <v>13</v>
      </c>
    </row>
    <row r="39" spans="1:24" x14ac:dyDescent="0.25">
      <c r="A39" s="5"/>
      <c r="B39" s="5"/>
      <c r="C39" s="5"/>
      <c r="D39" s="5"/>
      <c r="E39" s="5"/>
      <c r="F39" s="9"/>
      <c r="G39" s="5"/>
      <c r="H39" s="5"/>
      <c r="I39" s="5"/>
      <c r="J39" s="5"/>
      <c r="K39" s="5">
        <v>108</v>
      </c>
      <c r="L39" s="5" t="s">
        <v>111</v>
      </c>
      <c r="M39" s="7">
        <v>1500</v>
      </c>
      <c r="N39" s="5"/>
      <c r="O39" s="7">
        <f t="shared" si="0"/>
        <v>0</v>
      </c>
      <c r="P39" s="7">
        <f t="shared" si="1"/>
        <v>0</v>
      </c>
      <c r="Q39" s="7">
        <f t="shared" si="2"/>
        <v>0</v>
      </c>
      <c r="R39" s="5" t="str">
        <f t="shared" si="3"/>
        <v>NO</v>
      </c>
      <c r="S39" s="5" t="str">
        <f t="shared" si="4"/>
        <v>SI</v>
      </c>
      <c r="T39" s="5" t="str">
        <f t="shared" si="5"/>
        <v>NO</v>
      </c>
      <c r="U39" s="5" t="str" cm="1">
        <f t="array" ref="U39">_xlfn.IFS(ISBLANK(B38),"No aplica",COUNTA(C38:H38)=6,"Completo",NOT(COUNTA(C38:H38)=6),"Incompleto")</f>
        <v>Incompleto</v>
      </c>
      <c r="V39" s="10" t="str">
        <f t="shared" ca="1" si="6"/>
        <v/>
      </c>
      <c r="X39" s="5">
        <f t="shared" si="7"/>
        <v>13</v>
      </c>
    </row>
    <row r="40" spans="1:24" x14ac:dyDescent="0.25">
      <c r="A40" s="5"/>
      <c r="B40" s="5"/>
      <c r="C40" s="5"/>
      <c r="D40" s="5"/>
      <c r="E40" s="5"/>
      <c r="F40" s="9"/>
      <c r="G40" s="5"/>
      <c r="H40" s="5"/>
      <c r="I40" s="5"/>
      <c r="J40" s="5"/>
      <c r="K40" s="5">
        <v>114</v>
      </c>
      <c r="L40" s="5" t="s">
        <v>112</v>
      </c>
      <c r="M40" s="7">
        <v>4000</v>
      </c>
      <c r="N40" s="5"/>
      <c r="O40" s="7">
        <f t="shared" si="0"/>
        <v>0</v>
      </c>
      <c r="P40" s="7">
        <f t="shared" si="1"/>
        <v>0</v>
      </c>
      <c r="Q40" s="7">
        <f t="shared" si="2"/>
        <v>0</v>
      </c>
      <c r="R40" s="5" t="str">
        <f t="shared" si="3"/>
        <v>NO</v>
      </c>
      <c r="S40" s="5" t="str">
        <f t="shared" si="4"/>
        <v>SI</v>
      </c>
      <c r="T40" s="5" t="str">
        <f t="shared" si="5"/>
        <v>NO</v>
      </c>
      <c r="U40" s="5" t="str" cm="1">
        <f t="array" ref="U40">_xlfn.IFS(ISBLANK(B39),"No aplica",COUNTA(C39:H39)=6,"Completo",NOT(COUNTA(C39:H39)=6),"Incompleto")</f>
        <v>No aplica</v>
      </c>
      <c r="V40" s="10" t="str">
        <f t="shared" ca="1" si="6"/>
        <v/>
      </c>
      <c r="X40" s="5">
        <f t="shared" si="7"/>
        <v>13</v>
      </c>
    </row>
    <row r="41" spans="1:24" x14ac:dyDescent="0.25">
      <c r="A41" s="5"/>
      <c r="B41" s="5"/>
      <c r="C41" s="5"/>
      <c r="D41" s="5"/>
      <c r="E41" s="5"/>
      <c r="F41" s="9"/>
      <c r="G41" s="5"/>
      <c r="H41" s="5"/>
      <c r="I41" s="5"/>
      <c r="J41" s="5"/>
      <c r="K41" s="5">
        <v>118</v>
      </c>
      <c r="L41" s="5" t="s">
        <v>113</v>
      </c>
      <c r="M41" s="7">
        <v>10000</v>
      </c>
      <c r="N41" s="5"/>
      <c r="O41" s="7">
        <f t="shared" si="0"/>
        <v>0</v>
      </c>
      <c r="P41" s="7">
        <f t="shared" si="1"/>
        <v>0</v>
      </c>
      <c r="Q41" s="7">
        <f t="shared" si="2"/>
        <v>0</v>
      </c>
      <c r="R41" s="5" t="str">
        <f t="shared" si="3"/>
        <v>NO</v>
      </c>
      <c r="S41" s="5" t="str">
        <f t="shared" si="4"/>
        <v>SI</v>
      </c>
      <c r="T41" s="5" t="str">
        <f t="shared" si="5"/>
        <v>NO</v>
      </c>
      <c r="U41" s="5" t="str" cm="1">
        <f t="array" ref="U41">_xlfn.IFS(ISBLANK(B40),"No aplica",COUNTA(C40:H40)=6,"Completo",NOT(COUNTA(C40:H40)=6),"Incompleto")</f>
        <v>No aplica</v>
      </c>
      <c r="V41" s="10" t="str">
        <f t="shared" ca="1" si="6"/>
        <v/>
      </c>
      <c r="X41" s="5">
        <f t="shared" si="7"/>
        <v>13</v>
      </c>
    </row>
    <row r="42" spans="1:24" x14ac:dyDescent="0.25">
      <c r="A42" s="5"/>
      <c r="B42" s="5" t="s">
        <v>17</v>
      </c>
      <c r="C42" s="5" t="s">
        <v>18</v>
      </c>
      <c r="D42" s="5" t="s">
        <v>19</v>
      </c>
      <c r="E42" s="5" t="s">
        <v>20</v>
      </c>
      <c r="F42" s="9">
        <v>35988</v>
      </c>
      <c r="G42" s="5">
        <v>945678321</v>
      </c>
      <c r="H42" s="5" t="s">
        <v>21</v>
      </c>
      <c r="I42" s="5">
        <v>21</v>
      </c>
      <c r="J42" s="6">
        <v>45232</v>
      </c>
      <c r="K42" s="5">
        <v>120</v>
      </c>
      <c r="L42" s="5" t="s">
        <v>47</v>
      </c>
      <c r="M42" s="7">
        <v>2500</v>
      </c>
      <c r="N42" s="5">
        <v>4</v>
      </c>
      <c r="O42" s="7">
        <f t="shared" si="0"/>
        <v>10000</v>
      </c>
      <c r="P42" s="7">
        <f t="shared" si="1"/>
        <v>1900</v>
      </c>
      <c r="Q42" s="7">
        <f t="shared" si="2"/>
        <v>11900</v>
      </c>
      <c r="R42" s="5" t="str">
        <f t="shared" si="3"/>
        <v>SI</v>
      </c>
      <c r="S42" s="5" t="str">
        <f t="shared" si="4"/>
        <v>NO</v>
      </c>
      <c r="T42" s="5" t="str">
        <f t="shared" si="5"/>
        <v>NO</v>
      </c>
      <c r="U42" s="5" t="str" cm="1">
        <f t="array" ref="U42">_xlfn.IFS(ISBLANK(B41),"No aplica",COUNTA(C41:H41)=6,"Completo",NOT(COUNTA(C41:H41)=6),"Incompleto")</f>
        <v>No aplica</v>
      </c>
      <c r="V42" s="10">
        <f t="shared" ca="1" si="6"/>
        <v>26</v>
      </c>
      <c r="X42" s="5">
        <f t="shared" si="7"/>
        <v>13</v>
      </c>
    </row>
    <row r="43" spans="1:24" x14ac:dyDescent="0.25">
      <c r="A43" s="5"/>
      <c r="B43" s="5" t="s">
        <v>17</v>
      </c>
      <c r="C43" s="5" t="s">
        <v>18</v>
      </c>
      <c r="D43" s="5" t="s">
        <v>19</v>
      </c>
      <c r="E43" s="5" t="s">
        <v>20</v>
      </c>
      <c r="F43" s="9">
        <v>35988</v>
      </c>
      <c r="G43" s="5">
        <v>945678321</v>
      </c>
      <c r="H43" s="5" t="s">
        <v>21</v>
      </c>
      <c r="I43" s="5">
        <v>21</v>
      </c>
      <c r="J43" s="6">
        <v>45232</v>
      </c>
      <c r="K43" s="5">
        <v>102</v>
      </c>
      <c r="L43" s="5" t="s">
        <v>66</v>
      </c>
      <c r="M43" s="7">
        <v>1200</v>
      </c>
      <c r="N43" s="5">
        <v>5</v>
      </c>
      <c r="O43" s="7">
        <f t="shared" si="0"/>
        <v>6000</v>
      </c>
      <c r="P43" s="7">
        <f t="shared" si="1"/>
        <v>1140</v>
      </c>
      <c r="Q43" s="7">
        <f t="shared" si="2"/>
        <v>7140</v>
      </c>
      <c r="R43" s="5" t="str">
        <f t="shared" si="3"/>
        <v>SI</v>
      </c>
      <c r="S43" s="5" t="str">
        <f t="shared" si="4"/>
        <v>NO</v>
      </c>
      <c r="T43" s="5" t="str">
        <f t="shared" si="5"/>
        <v>NO</v>
      </c>
      <c r="U43" s="5" t="str" cm="1">
        <f t="array" ref="U43">_xlfn.IFS(ISBLANK(B42),"No aplica",COUNTA(C42:H42)=6,"Completo",NOT(COUNTA(C42:H42)=6),"Incompleto")</f>
        <v>Completo</v>
      </c>
      <c r="V43" s="10">
        <f t="shared" ca="1" si="6"/>
        <v>26</v>
      </c>
      <c r="X43" s="5">
        <f t="shared" si="7"/>
        <v>13</v>
      </c>
    </row>
    <row r="44" spans="1:24" x14ac:dyDescent="0.25">
      <c r="A44" s="5"/>
      <c r="B44" s="5" t="s">
        <v>17</v>
      </c>
      <c r="C44" s="5" t="s">
        <v>18</v>
      </c>
      <c r="D44" s="5" t="s">
        <v>19</v>
      </c>
      <c r="E44" s="5" t="s">
        <v>20</v>
      </c>
      <c r="F44" s="9">
        <v>35988</v>
      </c>
      <c r="G44" s="5">
        <v>945678321</v>
      </c>
      <c r="H44" s="5" t="s">
        <v>21</v>
      </c>
      <c r="I44" s="5">
        <v>22</v>
      </c>
      <c r="J44" s="6">
        <v>45244</v>
      </c>
      <c r="K44" s="5">
        <v>104</v>
      </c>
      <c r="L44" s="5" t="s">
        <v>81</v>
      </c>
      <c r="M44" s="7">
        <v>2000</v>
      </c>
      <c r="N44" s="5">
        <v>1</v>
      </c>
      <c r="O44" s="7">
        <f t="shared" si="0"/>
        <v>2000</v>
      </c>
      <c r="P44" s="7">
        <f t="shared" si="1"/>
        <v>380</v>
      </c>
      <c r="Q44" s="7">
        <f t="shared" si="2"/>
        <v>2380</v>
      </c>
      <c r="R44" s="5" t="str">
        <f t="shared" si="3"/>
        <v>SI</v>
      </c>
      <c r="S44" s="5" t="str">
        <f t="shared" si="4"/>
        <v>NO</v>
      </c>
      <c r="T44" s="5" t="str">
        <f t="shared" si="5"/>
        <v>NO</v>
      </c>
      <c r="U44" s="5" t="str" cm="1">
        <f t="array" ref="U44">_xlfn.IFS(ISBLANK(B43),"No aplica",COUNTA(C43:H43)=6,"Completo",NOT(COUNTA(C43:H43)=6),"Incompleto")</f>
        <v>Completo</v>
      </c>
      <c r="V44" s="10">
        <f t="shared" ca="1" si="6"/>
        <v>26</v>
      </c>
      <c r="X44" s="5">
        <f t="shared" si="7"/>
        <v>13</v>
      </c>
    </row>
    <row r="45" spans="1:24" x14ac:dyDescent="0.25">
      <c r="A45" s="5"/>
      <c r="B45" s="5" t="s">
        <v>25</v>
      </c>
      <c r="C45" s="5" t="s">
        <v>26</v>
      </c>
      <c r="D45" s="5" t="s">
        <v>27</v>
      </c>
      <c r="E45" s="5" t="s">
        <v>28</v>
      </c>
      <c r="F45" s="9">
        <v>36661</v>
      </c>
      <c r="G45" s="5">
        <v>912345678</v>
      </c>
      <c r="H45" s="5" t="s">
        <v>29</v>
      </c>
      <c r="I45" s="5">
        <v>23</v>
      </c>
      <c r="J45" s="6">
        <v>45235</v>
      </c>
      <c r="K45" s="5">
        <v>101</v>
      </c>
      <c r="L45" s="5" t="s">
        <v>30</v>
      </c>
      <c r="M45" s="7">
        <v>1500</v>
      </c>
      <c r="N45" s="5">
        <v>6</v>
      </c>
      <c r="O45" s="7">
        <f t="shared" si="0"/>
        <v>9000</v>
      </c>
      <c r="P45" s="7">
        <f t="shared" si="1"/>
        <v>1710</v>
      </c>
      <c r="Q45" s="7">
        <f t="shared" si="2"/>
        <v>10710</v>
      </c>
      <c r="R45" s="5" t="str">
        <f t="shared" si="3"/>
        <v>SI</v>
      </c>
      <c r="S45" s="5" t="str">
        <f t="shared" si="4"/>
        <v>NO</v>
      </c>
      <c r="T45" s="5" t="str">
        <f t="shared" si="5"/>
        <v>NO</v>
      </c>
      <c r="U45" s="5" t="str" cm="1">
        <f t="array" ref="U45">_xlfn.IFS(ISBLANK(B44),"No aplica",COUNTA(C44:H44)=6,"Completo",NOT(COUNTA(C44:H44)=6),"Incompleto")</f>
        <v>Completo</v>
      </c>
      <c r="V45" s="10">
        <f t="shared" ca="1" si="6"/>
        <v>24</v>
      </c>
      <c r="X45" s="5">
        <f t="shared" si="7"/>
        <v>13</v>
      </c>
    </row>
    <row r="46" spans="1:24" x14ac:dyDescent="0.25">
      <c r="A46" s="5"/>
      <c r="B46" s="5" t="s">
        <v>25</v>
      </c>
      <c r="C46" s="5" t="s">
        <v>26</v>
      </c>
      <c r="D46" s="5" t="s">
        <v>27</v>
      </c>
      <c r="E46" s="5" t="s">
        <v>28</v>
      </c>
      <c r="F46" s="9">
        <v>36661</v>
      </c>
      <c r="G46" s="5">
        <v>912345678</v>
      </c>
      <c r="H46" s="5" t="s">
        <v>29</v>
      </c>
      <c r="I46" s="5">
        <v>23</v>
      </c>
      <c r="J46" s="6">
        <v>45235</v>
      </c>
      <c r="K46" s="5">
        <v>104</v>
      </c>
      <c r="L46" s="5" t="s">
        <v>81</v>
      </c>
      <c r="M46" s="7">
        <v>2000</v>
      </c>
      <c r="N46" s="5">
        <v>2</v>
      </c>
      <c r="O46" s="7">
        <f t="shared" si="0"/>
        <v>4000</v>
      </c>
      <c r="P46" s="7">
        <f t="shared" si="1"/>
        <v>760</v>
      </c>
      <c r="Q46" s="7">
        <f t="shared" si="2"/>
        <v>4760</v>
      </c>
      <c r="R46" s="5" t="str">
        <f t="shared" si="3"/>
        <v>SI</v>
      </c>
      <c r="S46" s="5" t="str">
        <f t="shared" si="4"/>
        <v>NO</v>
      </c>
      <c r="T46" s="5" t="str">
        <f t="shared" si="5"/>
        <v>NO</v>
      </c>
      <c r="U46" s="5" t="str" cm="1">
        <f t="array" ref="U46">_xlfn.IFS(ISBLANK(B45),"No aplica",COUNTA(C45:H45)=6,"Completo",NOT(COUNTA(C45:H45)=6),"Incompleto")</f>
        <v>Completo</v>
      </c>
      <c r="V46" s="10">
        <f t="shared" ca="1" si="6"/>
        <v>24</v>
      </c>
      <c r="X46" s="5">
        <f t="shared" si="7"/>
        <v>13</v>
      </c>
    </row>
    <row r="47" spans="1:24" x14ac:dyDescent="0.25">
      <c r="A47" s="5"/>
      <c r="B47" s="5" t="s">
        <v>25</v>
      </c>
      <c r="C47" s="5" t="s">
        <v>26</v>
      </c>
      <c r="D47" s="5" t="s">
        <v>27</v>
      </c>
      <c r="E47" s="5" t="s">
        <v>28</v>
      </c>
      <c r="F47" s="9">
        <v>36661</v>
      </c>
      <c r="G47" s="5">
        <v>912345678</v>
      </c>
      <c r="H47" s="5" t="s">
        <v>29</v>
      </c>
      <c r="I47" s="5">
        <v>23</v>
      </c>
      <c r="J47" s="6">
        <v>45235</v>
      </c>
      <c r="K47" s="5">
        <v>105</v>
      </c>
      <c r="L47" s="5" t="s">
        <v>101</v>
      </c>
      <c r="M47" s="7">
        <v>3000</v>
      </c>
      <c r="N47" s="5">
        <v>1</v>
      </c>
      <c r="O47" s="7">
        <f t="shared" si="0"/>
        <v>3000</v>
      </c>
      <c r="P47" s="7">
        <f t="shared" si="1"/>
        <v>570</v>
      </c>
      <c r="Q47" s="7">
        <f t="shared" si="2"/>
        <v>3570</v>
      </c>
      <c r="R47" s="5" t="str">
        <f t="shared" si="3"/>
        <v>SI</v>
      </c>
      <c r="S47" s="5" t="str">
        <f t="shared" si="4"/>
        <v>NO</v>
      </c>
      <c r="T47" s="5" t="str">
        <f t="shared" si="5"/>
        <v>NO</v>
      </c>
      <c r="U47" s="5" t="str" cm="1">
        <f t="array" ref="U47">_xlfn.IFS(ISBLANK(B46),"No aplica",COUNTA(C46:H46)=6,"Completo",NOT(COUNTA(C46:H46)=6),"Incompleto")</f>
        <v>Completo</v>
      </c>
      <c r="V47" s="10">
        <f t="shared" ca="1" si="6"/>
        <v>24</v>
      </c>
      <c r="X47" s="5">
        <f t="shared" si="7"/>
        <v>13</v>
      </c>
    </row>
    <row r="48" spans="1:24" x14ac:dyDescent="0.25">
      <c r="A48" s="5"/>
      <c r="B48" s="5" t="s">
        <v>33</v>
      </c>
      <c r="C48" s="5" t="s">
        <v>34</v>
      </c>
      <c r="D48" s="5"/>
      <c r="E48" s="5" t="s">
        <v>35</v>
      </c>
      <c r="F48" s="9">
        <v>32219</v>
      </c>
      <c r="G48" s="5">
        <v>912345678</v>
      </c>
      <c r="H48" s="5" t="s">
        <v>36</v>
      </c>
      <c r="I48" s="5">
        <v>24</v>
      </c>
      <c r="J48" s="6">
        <v>45239</v>
      </c>
      <c r="K48" s="5">
        <v>116</v>
      </c>
      <c r="L48" s="5" t="s">
        <v>76</v>
      </c>
      <c r="M48" s="7">
        <v>5500</v>
      </c>
      <c r="N48" s="5">
        <v>10</v>
      </c>
      <c r="O48" s="7">
        <f t="shared" si="0"/>
        <v>55000</v>
      </c>
      <c r="P48" s="7">
        <f t="shared" si="1"/>
        <v>10450</v>
      </c>
      <c r="Q48" s="7">
        <f t="shared" si="2"/>
        <v>65450</v>
      </c>
      <c r="R48" s="5" t="str">
        <f t="shared" si="3"/>
        <v>SI</v>
      </c>
      <c r="S48" s="5" t="str">
        <f t="shared" si="4"/>
        <v>NO</v>
      </c>
      <c r="T48" s="5" t="str">
        <f t="shared" si="5"/>
        <v>NO</v>
      </c>
      <c r="U48" s="5" t="str" cm="1">
        <f t="array" ref="U48">_xlfn.IFS(ISBLANK(B47),"No aplica",COUNTA(C47:H47)=6,"Completo",NOT(COUNTA(C47:H47)=6),"Incompleto")</f>
        <v>Completo</v>
      </c>
      <c r="V48" s="10">
        <f t="shared" ca="1" si="6"/>
        <v>36</v>
      </c>
      <c r="X48" s="5">
        <f t="shared" si="7"/>
        <v>13</v>
      </c>
    </row>
    <row r="49" spans="1:24" x14ac:dyDescent="0.25">
      <c r="A49" s="5"/>
      <c r="B49" s="5" t="s">
        <v>33</v>
      </c>
      <c r="C49" s="5" t="s">
        <v>34</v>
      </c>
      <c r="D49" s="5"/>
      <c r="E49" s="5" t="s">
        <v>35</v>
      </c>
      <c r="F49" s="9">
        <v>32219</v>
      </c>
      <c r="G49" s="5">
        <v>912345678</v>
      </c>
      <c r="H49" s="5" t="s">
        <v>36</v>
      </c>
      <c r="I49" s="5">
        <v>24</v>
      </c>
      <c r="J49" s="6">
        <v>45239</v>
      </c>
      <c r="K49" s="5">
        <v>119</v>
      </c>
      <c r="L49" s="5" t="s">
        <v>24</v>
      </c>
      <c r="M49" s="7">
        <v>9000</v>
      </c>
      <c r="N49" s="5">
        <v>20</v>
      </c>
      <c r="O49" s="7">
        <f t="shared" si="0"/>
        <v>180000</v>
      </c>
      <c r="P49" s="7">
        <f t="shared" si="1"/>
        <v>34200</v>
      </c>
      <c r="Q49" s="7">
        <f t="shared" si="2"/>
        <v>214200</v>
      </c>
      <c r="R49" s="5" t="str">
        <f t="shared" si="3"/>
        <v>SI</v>
      </c>
      <c r="S49" s="5" t="str">
        <f t="shared" si="4"/>
        <v>NO</v>
      </c>
      <c r="T49" s="5" t="str">
        <f t="shared" si="5"/>
        <v>NO</v>
      </c>
      <c r="U49" s="5" t="str" cm="1">
        <f t="array" ref="U49">_xlfn.IFS(ISBLANK(B48),"No aplica",COUNTA(C48:H48)=6,"Completo",NOT(COUNTA(C48:H48)=6),"Incompleto")</f>
        <v>Incompleto</v>
      </c>
      <c r="V49" s="10">
        <f t="shared" ca="1" si="6"/>
        <v>36</v>
      </c>
      <c r="X49" s="5">
        <f t="shared" si="7"/>
        <v>13</v>
      </c>
    </row>
    <row r="50" spans="1:24" x14ac:dyDescent="0.25">
      <c r="O50" s="8">
        <f>SUM(O2:O49)</f>
        <v>923100</v>
      </c>
      <c r="P50" s="8">
        <f t="shared" si="1"/>
        <v>175389</v>
      </c>
      <c r="Q50" s="8">
        <f t="shared" si="2"/>
        <v>1098489</v>
      </c>
    </row>
    <row r="51" spans="1:24" x14ac:dyDescent="0.25">
      <c r="A51" s="11" t="s">
        <v>116</v>
      </c>
      <c r="B51" s="5">
        <f t="shared" ref="B51:N51" si="8">COUNT(B2:B49)</f>
        <v>0</v>
      </c>
      <c r="C51" s="5">
        <f t="shared" si="8"/>
        <v>0</v>
      </c>
      <c r="D51" s="5">
        <f t="shared" si="8"/>
        <v>0</v>
      </c>
      <c r="E51" s="5">
        <f t="shared" si="8"/>
        <v>0</v>
      </c>
      <c r="F51" s="5">
        <f t="shared" si="8"/>
        <v>39</v>
      </c>
      <c r="G51" s="5">
        <f t="shared" si="8"/>
        <v>36</v>
      </c>
      <c r="H51" s="5">
        <f t="shared" si="8"/>
        <v>0</v>
      </c>
      <c r="I51" s="5">
        <f t="shared" si="8"/>
        <v>40</v>
      </c>
      <c r="J51" s="5">
        <f t="shared" si="8"/>
        <v>40</v>
      </c>
      <c r="K51" s="5">
        <f t="shared" si="8"/>
        <v>43</v>
      </c>
      <c r="L51" s="5">
        <f t="shared" si="8"/>
        <v>0</v>
      </c>
      <c r="M51" s="5">
        <f t="shared" si="8"/>
        <v>43</v>
      </c>
      <c r="N51" s="5">
        <f t="shared" si="8"/>
        <v>40</v>
      </c>
    </row>
    <row r="52" spans="1:24" x14ac:dyDescent="0.25">
      <c r="A52" s="11" t="s">
        <v>117</v>
      </c>
      <c r="B52" s="5">
        <f t="shared" ref="B52:N52" si="9">COUNTA(B2:B49)</f>
        <v>45</v>
      </c>
      <c r="C52" s="5">
        <f t="shared" si="9"/>
        <v>45</v>
      </c>
      <c r="D52" s="5">
        <f t="shared" si="9"/>
        <v>31</v>
      </c>
      <c r="E52" s="5">
        <f t="shared" si="9"/>
        <v>32</v>
      </c>
      <c r="F52" s="5">
        <f t="shared" si="9"/>
        <v>39</v>
      </c>
      <c r="G52" s="5">
        <f t="shared" si="9"/>
        <v>36</v>
      </c>
      <c r="H52" s="5">
        <f t="shared" si="9"/>
        <v>40</v>
      </c>
      <c r="I52" s="5">
        <f t="shared" si="9"/>
        <v>40</v>
      </c>
      <c r="J52" s="5">
        <f t="shared" si="9"/>
        <v>40</v>
      </c>
      <c r="K52" s="5">
        <f t="shared" si="9"/>
        <v>43</v>
      </c>
      <c r="L52" s="5">
        <f t="shared" si="9"/>
        <v>43</v>
      </c>
      <c r="M52" s="5">
        <f t="shared" si="9"/>
        <v>43</v>
      </c>
      <c r="N52" s="5">
        <f t="shared" si="9"/>
        <v>40</v>
      </c>
    </row>
    <row r="53" spans="1:24" x14ac:dyDescent="0.25">
      <c r="A53" s="11" t="s">
        <v>118</v>
      </c>
      <c r="B53" s="5">
        <f t="shared" ref="B53:N53" si="10">COUNTBLANK(B2:B49)</f>
        <v>3</v>
      </c>
      <c r="C53" s="5">
        <f t="shared" si="10"/>
        <v>3</v>
      </c>
      <c r="D53" s="5">
        <f t="shared" si="10"/>
        <v>17</v>
      </c>
      <c r="E53" s="5">
        <f t="shared" si="10"/>
        <v>16</v>
      </c>
      <c r="F53" s="5">
        <f t="shared" si="10"/>
        <v>9</v>
      </c>
      <c r="G53" s="5">
        <f t="shared" si="10"/>
        <v>12</v>
      </c>
      <c r="H53" s="5">
        <f t="shared" si="10"/>
        <v>8</v>
      </c>
      <c r="I53" s="5">
        <f t="shared" si="10"/>
        <v>8</v>
      </c>
      <c r="J53" s="5">
        <f t="shared" si="10"/>
        <v>8</v>
      </c>
      <c r="K53" s="5">
        <f t="shared" si="10"/>
        <v>5</v>
      </c>
      <c r="L53" s="5">
        <f t="shared" si="10"/>
        <v>5</v>
      </c>
      <c r="M53" s="5">
        <f t="shared" si="10"/>
        <v>5</v>
      </c>
      <c r="N53" s="5">
        <f t="shared" si="10"/>
        <v>8</v>
      </c>
    </row>
    <row r="54" spans="1:24" x14ac:dyDescent="0.25">
      <c r="A54" s="11" t="s">
        <v>119</v>
      </c>
      <c r="B54" s="5">
        <f>B53+B52</f>
        <v>48</v>
      </c>
      <c r="C54" s="5">
        <f t="shared" ref="C54:N54" si="11">C53+C52</f>
        <v>48</v>
      </c>
      <c r="D54" s="5">
        <f t="shared" si="11"/>
        <v>48</v>
      </c>
      <c r="E54" s="5">
        <f t="shared" si="11"/>
        <v>48</v>
      </c>
      <c r="F54" s="5">
        <f t="shared" si="11"/>
        <v>48</v>
      </c>
      <c r="G54" s="5">
        <f t="shared" si="11"/>
        <v>48</v>
      </c>
      <c r="H54" s="5">
        <f t="shared" si="11"/>
        <v>48</v>
      </c>
      <c r="I54" s="5">
        <f t="shared" si="11"/>
        <v>48</v>
      </c>
      <c r="J54" s="5">
        <f t="shared" si="11"/>
        <v>48</v>
      </c>
      <c r="K54" s="5">
        <f t="shared" si="11"/>
        <v>48</v>
      </c>
      <c r="L54" s="5">
        <f t="shared" si="11"/>
        <v>48</v>
      </c>
      <c r="M54" s="5">
        <f t="shared" si="11"/>
        <v>48</v>
      </c>
      <c r="N54" s="5">
        <f t="shared" si="11"/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768E-7259-4E30-9AA7-0BFF0F5408DA}">
  <dimension ref="A1:H21"/>
  <sheetViews>
    <sheetView workbookViewId="0">
      <selection activeCell="D4" sqref="D4"/>
    </sheetView>
  </sheetViews>
  <sheetFormatPr baseColWidth="10" defaultRowHeight="15" x14ac:dyDescent="0.25"/>
  <cols>
    <col min="1" max="1" width="11.85546875" style="4" bestFit="1" customWidth="1"/>
    <col min="2" max="2" width="16.85546875" style="4" bestFit="1" customWidth="1"/>
    <col min="3" max="3" width="22.85546875" style="4" bestFit="1" customWidth="1"/>
    <col min="4" max="4" width="12.85546875" style="4" bestFit="1" customWidth="1"/>
    <col min="5" max="5" width="17" style="4" bestFit="1" customWidth="1"/>
    <col min="6" max="6" width="10" style="4" bestFit="1" customWidth="1"/>
    <col min="7" max="7" width="23.42578125" style="4" bestFit="1" customWidth="1"/>
    <col min="8" max="16384" width="11.42578125" style="4"/>
  </cols>
  <sheetData>
    <row r="1" spans="1:8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1" t="s">
        <v>124</v>
      </c>
    </row>
    <row r="2" spans="1:8" x14ac:dyDescent="0.25">
      <c r="A2" s="5" t="s">
        <v>67</v>
      </c>
      <c r="B2" s="5" t="s">
        <v>68</v>
      </c>
      <c r="C2" s="5"/>
      <c r="D2" s="5"/>
      <c r="E2" s="6">
        <v>33103</v>
      </c>
      <c r="F2" s="5">
        <v>978901234</v>
      </c>
      <c r="G2" s="5" t="s">
        <v>69</v>
      </c>
      <c r="H2" s="5" t="str" cm="1">
        <f t="array" ref="H2">_xlfn.IFS(ISBLANK(A2),"No aplica",COUNTA(B2:G2)=6,"Completo",NOT(COUNTA(B2:G2)=6),"Incompleto")</f>
        <v>Incompleto</v>
      </c>
    </row>
    <row r="3" spans="1:8" x14ac:dyDescent="0.25">
      <c r="A3" s="5" t="s">
        <v>38</v>
      </c>
      <c r="B3" s="5" t="s">
        <v>39</v>
      </c>
      <c r="C3" s="5" t="s">
        <v>40</v>
      </c>
      <c r="D3" s="5"/>
      <c r="E3" s="6">
        <v>34014</v>
      </c>
      <c r="F3" s="5">
        <v>977894512</v>
      </c>
      <c r="G3" s="5" t="s">
        <v>41</v>
      </c>
      <c r="H3" s="5" t="str" cm="1">
        <f t="array" ref="H3">_xlfn.IFS(ISBLANK(A3),"No aplica",COUNTA(B3:G3)=6,"Completo",NOT(COUNTA(B3:G3)=6),"Incompleto")</f>
        <v>Incompleto</v>
      </c>
    </row>
    <row r="4" spans="1:8" x14ac:dyDescent="0.25">
      <c r="A4" s="5" t="s">
        <v>48</v>
      </c>
      <c r="B4" s="5" t="s">
        <v>49</v>
      </c>
      <c r="C4" s="5" t="s">
        <v>50</v>
      </c>
      <c r="D4" s="5"/>
      <c r="E4" s="6">
        <v>36499</v>
      </c>
      <c r="F4" s="5">
        <v>934567890</v>
      </c>
      <c r="G4" s="5" t="s">
        <v>51</v>
      </c>
      <c r="H4" s="5" t="str" cm="1">
        <f t="array" ref="H4">_xlfn.IFS(ISBLANK(A4),"No aplica",COUNTA(B4:G4)=6,"Completo",NOT(COUNTA(B4:G4)=6),"Incompleto")</f>
        <v>Incompleto</v>
      </c>
    </row>
    <row r="5" spans="1:8" x14ac:dyDescent="0.25">
      <c r="A5" s="5" t="s">
        <v>98</v>
      </c>
      <c r="B5" s="5" t="s">
        <v>99</v>
      </c>
      <c r="C5" s="5"/>
      <c r="D5" s="5" t="s">
        <v>100</v>
      </c>
      <c r="E5" s="5"/>
      <c r="F5" s="5"/>
      <c r="G5" s="5"/>
      <c r="H5" s="5" t="str" cm="1">
        <f t="array" ref="H5">_xlfn.IFS(ISBLANK(A5),"No aplica",COUNTA(B5:G5)=6,"Completo",NOT(COUNTA(B5:G5)=6),"Incompleto")</f>
        <v>Incompleto</v>
      </c>
    </row>
    <row r="6" spans="1:8" x14ac:dyDescent="0.25">
      <c r="A6" s="5" t="s">
        <v>53</v>
      </c>
      <c r="B6" s="5" t="s">
        <v>54</v>
      </c>
      <c r="C6" s="5" t="s">
        <v>55</v>
      </c>
      <c r="D6" s="5" t="s">
        <v>56</v>
      </c>
      <c r="E6" s="5"/>
      <c r="F6" s="5"/>
      <c r="G6" s="5" t="s">
        <v>57</v>
      </c>
      <c r="H6" s="5" t="str" cm="1">
        <f t="array" ref="H6">_xlfn.IFS(ISBLANK(A6),"No aplica",COUNTA(B6:G6)=6,"Completo",NOT(COUNTA(B6:G6)=6),"Incompleto")</f>
        <v>Incompleto</v>
      </c>
    </row>
    <row r="7" spans="1:8" x14ac:dyDescent="0.25">
      <c r="A7" s="5" t="s">
        <v>86</v>
      </c>
      <c r="B7" s="5" t="s">
        <v>87</v>
      </c>
      <c r="C7" s="5" t="s">
        <v>88</v>
      </c>
      <c r="D7" s="5" t="s">
        <v>89</v>
      </c>
      <c r="E7" s="6">
        <v>31381</v>
      </c>
      <c r="F7" s="5">
        <v>923456789</v>
      </c>
      <c r="G7" s="5"/>
      <c r="H7" s="5" t="str" cm="1">
        <f t="array" ref="H7">_xlfn.IFS(ISBLANK(A7),"No aplica",COUNTA(B7:G7)=6,"Completo",NOT(COUNTA(B7:G7)=6),"Incompleto")</f>
        <v>Incompleto</v>
      </c>
    </row>
    <row r="8" spans="1:8" x14ac:dyDescent="0.25">
      <c r="A8" s="5" t="s">
        <v>25</v>
      </c>
      <c r="B8" s="5" t="s">
        <v>26</v>
      </c>
      <c r="C8" s="5" t="s">
        <v>27</v>
      </c>
      <c r="D8" s="5" t="s">
        <v>28</v>
      </c>
      <c r="E8" s="6">
        <v>36661</v>
      </c>
      <c r="F8" s="5">
        <v>912345678</v>
      </c>
      <c r="G8" s="5" t="s">
        <v>29</v>
      </c>
      <c r="H8" s="5" t="str" cm="1">
        <f t="array" ref="H8">_xlfn.IFS(ISBLANK(A8),"No aplica",COUNTA(B8:G8)=6,"Completo",NOT(COUNTA(B8:G8)=6),"Incompleto")</f>
        <v>Completo</v>
      </c>
    </row>
    <row r="9" spans="1:8" x14ac:dyDescent="0.25">
      <c r="A9" s="5" t="s">
        <v>17</v>
      </c>
      <c r="B9" s="5" t="s">
        <v>18</v>
      </c>
      <c r="C9" s="5" t="s">
        <v>19</v>
      </c>
      <c r="D9" s="5" t="s">
        <v>20</v>
      </c>
      <c r="E9" s="6">
        <v>35988</v>
      </c>
      <c r="F9" s="5">
        <v>945678321</v>
      </c>
      <c r="G9" s="5" t="s">
        <v>21</v>
      </c>
      <c r="H9" s="5" t="str" cm="1">
        <f t="array" ref="H9">_xlfn.IFS(ISBLANK(A9),"No aplica",COUNTA(B9:G9)=6,"Completo",NOT(COUNTA(B9:G9)=6),"Incompleto")</f>
        <v>Completo</v>
      </c>
    </row>
    <row r="10" spans="1:8" x14ac:dyDescent="0.25">
      <c r="A10" s="5" t="s">
        <v>71</v>
      </c>
      <c r="B10" s="5" t="s">
        <v>72</v>
      </c>
      <c r="C10" s="5" t="s">
        <v>73</v>
      </c>
      <c r="D10" s="5" t="s">
        <v>74</v>
      </c>
      <c r="E10" s="6">
        <v>38467</v>
      </c>
      <c r="F10" s="5"/>
      <c r="G10" s="5" t="s">
        <v>75</v>
      </c>
      <c r="H10" s="5" t="str" cm="1">
        <f t="array" ref="H10">_xlfn.IFS(ISBLANK(A10),"No aplica",COUNTA(B10:G10)=6,"Completo",NOT(COUNTA(B10:G10)=6),"Incompleto")</f>
        <v>Incompleto</v>
      </c>
    </row>
    <row r="11" spans="1:8" x14ac:dyDescent="0.25">
      <c r="A11" s="5" t="s">
        <v>90</v>
      </c>
      <c r="B11" s="5" t="s">
        <v>91</v>
      </c>
      <c r="C11" s="5" t="s">
        <v>92</v>
      </c>
      <c r="D11" s="5" t="s">
        <v>93</v>
      </c>
      <c r="E11" s="6">
        <v>34992</v>
      </c>
      <c r="F11" s="5">
        <v>987654321</v>
      </c>
      <c r="G11" s="5" t="s">
        <v>94</v>
      </c>
      <c r="H11" s="5" t="str" cm="1">
        <f t="array" ref="H11">_xlfn.IFS(ISBLANK(A11),"No aplica",COUNTA(B11:G11)=6,"Completo",NOT(COUNTA(B11:G11)=6),"Incompleto")</f>
        <v>Completo</v>
      </c>
    </row>
    <row r="12" spans="1:8" x14ac:dyDescent="0.25">
      <c r="A12" s="5" t="s">
        <v>95</v>
      </c>
      <c r="B12" s="5" t="s">
        <v>96</v>
      </c>
      <c r="C12" s="5" t="s">
        <v>97</v>
      </c>
      <c r="D12" s="5"/>
      <c r="E12" s="5"/>
      <c r="F12" s="5"/>
      <c r="G12" s="5"/>
      <c r="H12" s="5" t="str" cm="1">
        <f t="array" ref="H12">_xlfn.IFS(ISBLANK(A12),"No aplica",COUNTA(B12:G12)=6,"Completo",NOT(COUNTA(B12:G12)=6),"Incompleto")</f>
        <v>Incompleto</v>
      </c>
    </row>
    <row r="13" spans="1:8" x14ac:dyDescent="0.25">
      <c r="A13" s="5" t="s">
        <v>77</v>
      </c>
      <c r="B13" s="5" t="s">
        <v>78</v>
      </c>
      <c r="C13" s="5"/>
      <c r="D13" s="5" t="s">
        <v>79</v>
      </c>
      <c r="E13" s="6">
        <v>35355</v>
      </c>
      <c r="F13" s="5">
        <v>955678902</v>
      </c>
      <c r="G13" s="5" t="s">
        <v>80</v>
      </c>
      <c r="H13" s="5" t="str" cm="1">
        <f t="array" ref="H13">_xlfn.IFS(ISBLANK(A13),"No aplica",COUNTA(B13:G13)=6,"Completo",NOT(COUNTA(B13:G13)=6),"Incompleto")</f>
        <v>Incompleto</v>
      </c>
    </row>
    <row r="14" spans="1:8" x14ac:dyDescent="0.25">
      <c r="A14" s="5" t="s">
        <v>42</v>
      </c>
      <c r="B14" s="5" t="s">
        <v>43</v>
      </c>
      <c r="C14" s="5"/>
      <c r="D14" s="5" t="s">
        <v>44</v>
      </c>
      <c r="E14" s="6">
        <v>37315</v>
      </c>
      <c r="F14" s="5">
        <v>967894512</v>
      </c>
      <c r="G14" s="5" t="s">
        <v>45</v>
      </c>
      <c r="H14" s="5" t="str" cm="1">
        <f t="array" ref="H14">_xlfn.IFS(ISBLANK(A14),"No aplica",COUNTA(B14:G14)=6,"Completo",NOT(COUNTA(B14:G14)=6),"Incompleto")</f>
        <v>Incompleto</v>
      </c>
    </row>
    <row r="15" spans="1:8" x14ac:dyDescent="0.25">
      <c r="A15" s="5" t="s">
        <v>59</v>
      </c>
      <c r="B15" s="5" t="s">
        <v>60</v>
      </c>
      <c r="C15" s="5" t="s">
        <v>61</v>
      </c>
      <c r="D15" s="5"/>
      <c r="E15" s="6">
        <v>33763</v>
      </c>
      <c r="F15" s="5">
        <v>923478965</v>
      </c>
      <c r="G15" s="5"/>
      <c r="H15" s="5" t="str" cm="1">
        <f t="array" ref="H15">_xlfn.IFS(ISBLANK(A15),"No aplica",COUNTA(B15:G15)=6,"Completo",NOT(COUNTA(B15:G15)=6),"Incompleto")</f>
        <v>Incompleto</v>
      </c>
    </row>
    <row r="16" spans="1:8" x14ac:dyDescent="0.25">
      <c r="A16" s="5" t="s">
        <v>107</v>
      </c>
      <c r="B16" s="5" t="s">
        <v>108</v>
      </c>
      <c r="C16" s="5" t="s">
        <v>109</v>
      </c>
      <c r="D16" s="5"/>
      <c r="E16" s="6">
        <v>37928</v>
      </c>
      <c r="F16" s="5">
        <v>955678902</v>
      </c>
      <c r="G16" s="5" t="s">
        <v>110</v>
      </c>
      <c r="H16" s="5" t="str" cm="1">
        <f t="array" ref="H16">_xlfn.IFS(ISBLANK(A16),"No aplica",COUNTA(B16:G16)=6,"Completo",NOT(COUNTA(B16:G16)=6),"Incompleto")</f>
        <v>Incompleto</v>
      </c>
    </row>
    <row r="17" spans="1:8" x14ac:dyDescent="0.25">
      <c r="A17" s="5" t="s">
        <v>33</v>
      </c>
      <c r="B17" s="5" t="s">
        <v>34</v>
      </c>
      <c r="C17" s="5"/>
      <c r="D17" s="5" t="s">
        <v>35</v>
      </c>
      <c r="E17" s="6">
        <v>32212</v>
      </c>
      <c r="F17" s="5">
        <v>912345678</v>
      </c>
      <c r="G17" s="5" t="s">
        <v>36</v>
      </c>
      <c r="H17" s="5" t="str" cm="1">
        <f t="array" ref="H17">_xlfn.IFS(ISBLANK(A17),"No aplica",COUNTA(B17:G17)=6,"Completo",NOT(COUNTA(B17:G17)=6),"Incompleto")</f>
        <v>Incompleto</v>
      </c>
    </row>
    <row r="18" spans="1:8" x14ac:dyDescent="0.25">
      <c r="A18" s="5" t="s">
        <v>82</v>
      </c>
      <c r="B18" s="5" t="s">
        <v>83</v>
      </c>
      <c r="C18" s="5"/>
      <c r="D18" s="5" t="s">
        <v>84</v>
      </c>
      <c r="E18" s="5"/>
      <c r="F18" s="5"/>
      <c r="G18" s="5" t="s">
        <v>85</v>
      </c>
      <c r="H18" s="5" t="str" cm="1">
        <f t="array" ref="H18">_xlfn.IFS(ISBLANK(A18),"No aplica",COUNTA(B18:G18)=6,"Completo",NOT(COUNTA(B18:G18)=6),"Incompleto")</f>
        <v>Incompleto</v>
      </c>
    </row>
    <row r="19" spans="1:8" x14ac:dyDescent="0.25">
      <c r="A19" s="5" t="s">
        <v>102</v>
      </c>
      <c r="B19" s="5" t="s">
        <v>103</v>
      </c>
      <c r="C19" s="5" t="s">
        <v>104</v>
      </c>
      <c r="D19" s="5"/>
      <c r="E19" s="6">
        <v>37156</v>
      </c>
      <c r="F19" s="5">
        <v>912345672</v>
      </c>
      <c r="G19" s="5" t="s">
        <v>105</v>
      </c>
      <c r="H19" s="5" t="str" cm="1">
        <f t="array" ref="H19">_xlfn.IFS(ISBLANK(A19),"No aplica",COUNTA(B19:G19)=6,"Completo",NOT(COUNTA(B19:G19)=6),"Incompleto")</f>
        <v>Incompleto</v>
      </c>
    </row>
    <row r="20" spans="1:8" x14ac:dyDescent="0.25">
      <c r="A20" s="5" t="s">
        <v>13</v>
      </c>
      <c r="B20" s="5" t="s">
        <v>14</v>
      </c>
      <c r="C20" s="5"/>
      <c r="D20" s="5" t="s">
        <v>15</v>
      </c>
      <c r="E20" s="6">
        <v>34699</v>
      </c>
      <c r="F20" s="5"/>
      <c r="G20" s="5" t="s">
        <v>16</v>
      </c>
      <c r="H20" s="5" t="str" cm="1">
        <f t="array" ref="H20">_xlfn.IFS(ISBLANK(A20),"No aplica",COUNTA(B20:G20)=6,"Completo",NOT(COUNTA(B20:G20)=6),"Incompleto")</f>
        <v>Incompleto</v>
      </c>
    </row>
    <row r="21" spans="1:8" x14ac:dyDescent="0.25">
      <c r="A21" s="5" t="s">
        <v>62</v>
      </c>
      <c r="B21" s="5" t="s">
        <v>63</v>
      </c>
      <c r="C21" s="5" t="s">
        <v>64</v>
      </c>
      <c r="D21" s="5"/>
      <c r="E21" s="6">
        <v>35525</v>
      </c>
      <c r="F21" s="5">
        <v>923478965</v>
      </c>
      <c r="G21" s="5" t="s">
        <v>65</v>
      </c>
      <c r="H21" s="5" t="str" cm="1">
        <f t="array" ref="H21">_xlfn.IFS(ISBLANK(A21),"No aplica",COUNTA(B21:G21)=6,"Completo",NOT(COUNTA(B21:G21)=6),"Incompleto")</f>
        <v>Incompleto</v>
      </c>
    </row>
  </sheetData>
  <autoFilter ref="A1:H1" xr:uid="{2BD1768E-7259-4E30-9AA7-0BFF0F5408DA}"/>
  <conditionalFormatting sqref="A1:H21">
    <cfRule type="expression" dxfId="6" priority="1">
      <formula>ISBLANK(A1)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5E00-0C26-433B-B0D1-2F7B47977B81}">
  <dimension ref="A1:C22"/>
  <sheetViews>
    <sheetView workbookViewId="0">
      <selection sqref="A1:B21"/>
    </sheetView>
  </sheetViews>
  <sheetFormatPr baseColWidth="10" defaultRowHeight="15" x14ac:dyDescent="0.25"/>
  <cols>
    <col min="1" max="1" width="15.85546875" bestFit="1" customWidth="1"/>
    <col min="2" max="2" width="17.140625" bestFit="1" customWidth="1"/>
    <col min="3" max="3" width="7.5703125" bestFit="1" customWidth="1"/>
  </cols>
  <sheetData>
    <row r="1" spans="1:3" x14ac:dyDescent="0.25">
      <c r="A1" s="19" t="s">
        <v>9</v>
      </c>
      <c r="B1" s="19" t="s">
        <v>10</v>
      </c>
      <c r="C1" s="19" t="s">
        <v>11</v>
      </c>
    </row>
    <row r="2" spans="1:3" x14ac:dyDescent="0.25">
      <c r="A2" s="14">
        <v>103</v>
      </c>
      <c r="B2" s="1" t="s">
        <v>31</v>
      </c>
      <c r="C2" s="2">
        <v>18000</v>
      </c>
    </row>
    <row r="3" spans="1:3" x14ac:dyDescent="0.25">
      <c r="A3" s="14">
        <v>113</v>
      </c>
      <c r="B3" s="1" t="s">
        <v>58</v>
      </c>
      <c r="C3" s="2">
        <v>1200</v>
      </c>
    </row>
    <row r="4" spans="1:3" x14ac:dyDescent="0.25">
      <c r="A4" s="14">
        <v>101</v>
      </c>
      <c r="B4" s="1" t="s">
        <v>30</v>
      </c>
      <c r="C4" s="2">
        <v>1500</v>
      </c>
    </row>
    <row r="5" spans="1:3" x14ac:dyDescent="0.25">
      <c r="A5" s="14">
        <v>106</v>
      </c>
      <c r="B5" s="1" t="s">
        <v>32</v>
      </c>
      <c r="C5" s="2">
        <v>2500</v>
      </c>
    </row>
    <row r="6" spans="1:3" x14ac:dyDescent="0.25">
      <c r="A6" s="14">
        <v>107</v>
      </c>
      <c r="B6" s="1" t="s">
        <v>22</v>
      </c>
      <c r="C6" s="2">
        <v>5000</v>
      </c>
    </row>
    <row r="7" spans="1:3" x14ac:dyDescent="0.25">
      <c r="A7" s="14">
        <v>117</v>
      </c>
      <c r="B7" s="1" t="s">
        <v>106</v>
      </c>
      <c r="C7" s="2">
        <v>4800</v>
      </c>
    </row>
    <row r="8" spans="1:3" x14ac:dyDescent="0.25">
      <c r="A8" s="14">
        <v>118</v>
      </c>
      <c r="B8" s="1" t="s">
        <v>113</v>
      </c>
      <c r="C8" s="2">
        <v>10000</v>
      </c>
    </row>
    <row r="9" spans="1:3" x14ac:dyDescent="0.25">
      <c r="A9" s="14">
        <v>102</v>
      </c>
      <c r="B9" s="1" t="s">
        <v>66</v>
      </c>
      <c r="C9" s="2">
        <v>1200</v>
      </c>
    </row>
    <row r="10" spans="1:3" x14ac:dyDescent="0.25">
      <c r="A10" s="14">
        <v>115</v>
      </c>
      <c r="B10" s="1" t="s">
        <v>70</v>
      </c>
      <c r="C10" s="2">
        <v>7000</v>
      </c>
    </row>
    <row r="11" spans="1:3" x14ac:dyDescent="0.25">
      <c r="A11" s="14">
        <v>109</v>
      </c>
      <c r="B11" s="1" t="s">
        <v>23</v>
      </c>
      <c r="C11" s="2">
        <v>3500</v>
      </c>
    </row>
    <row r="12" spans="1:3" x14ac:dyDescent="0.25">
      <c r="A12" s="14">
        <v>104</v>
      </c>
      <c r="B12" s="1" t="s">
        <v>81</v>
      </c>
      <c r="C12" s="2">
        <v>2000</v>
      </c>
    </row>
    <row r="13" spans="1:3" x14ac:dyDescent="0.25">
      <c r="A13" s="14">
        <v>120</v>
      </c>
      <c r="B13" s="1" t="s">
        <v>47</v>
      </c>
      <c r="C13" s="2">
        <v>2500</v>
      </c>
    </row>
    <row r="14" spans="1:3" x14ac:dyDescent="0.25">
      <c r="A14" s="14">
        <v>114</v>
      </c>
      <c r="B14" s="1" t="s">
        <v>112</v>
      </c>
      <c r="C14" s="2">
        <v>4000</v>
      </c>
    </row>
    <row r="15" spans="1:3" x14ac:dyDescent="0.25">
      <c r="A15" s="14">
        <v>105</v>
      </c>
      <c r="B15" s="1" t="s">
        <v>101</v>
      </c>
      <c r="C15" s="2">
        <v>3000</v>
      </c>
    </row>
    <row r="16" spans="1:3" x14ac:dyDescent="0.25">
      <c r="A16" s="14">
        <v>110</v>
      </c>
      <c r="B16" s="1" t="s">
        <v>37</v>
      </c>
      <c r="C16" s="2">
        <v>2800</v>
      </c>
    </row>
    <row r="17" spans="1:3" x14ac:dyDescent="0.25">
      <c r="A17" s="14">
        <v>108</v>
      </c>
      <c r="B17" s="1" t="s">
        <v>111</v>
      </c>
      <c r="C17" s="2">
        <v>1500</v>
      </c>
    </row>
    <row r="18" spans="1:3" x14ac:dyDescent="0.25">
      <c r="A18" s="14">
        <v>119</v>
      </c>
      <c r="B18" s="1" t="s">
        <v>24</v>
      </c>
      <c r="C18" s="2">
        <v>9000</v>
      </c>
    </row>
    <row r="19" spans="1:3" x14ac:dyDescent="0.25">
      <c r="A19" s="14">
        <v>111</v>
      </c>
      <c r="B19" s="1" t="s">
        <v>46</v>
      </c>
      <c r="C19" s="2">
        <v>6000</v>
      </c>
    </row>
    <row r="20" spans="1:3" x14ac:dyDescent="0.25">
      <c r="A20" s="14">
        <v>116</v>
      </c>
      <c r="B20" s="1" t="s">
        <v>76</v>
      </c>
      <c r="C20" s="2">
        <v>5500</v>
      </c>
    </row>
    <row r="21" spans="1:3" x14ac:dyDescent="0.25">
      <c r="A21" s="14">
        <v>112</v>
      </c>
      <c r="B21" s="1" t="s">
        <v>52</v>
      </c>
      <c r="C21" s="2">
        <v>2000</v>
      </c>
    </row>
    <row r="22" spans="1:3" x14ac:dyDescent="0.25">
      <c r="A22" s="15"/>
    </row>
  </sheetData>
  <autoFilter ref="A1:C44" xr:uid="{24735E00-0C26-433B-B0D1-2F7B47977B81}"/>
  <sortState xmlns:xlrd2="http://schemas.microsoft.com/office/spreadsheetml/2017/richdata2" ref="A2:C21">
    <sortCondition ref="B2:B2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8039-0701-40A0-9463-7F508A03F94A}">
  <dimension ref="A1:H41"/>
  <sheetViews>
    <sheetView workbookViewId="0">
      <pane ySplit="1" topLeftCell="A6" activePane="bottomLeft" state="frozen"/>
      <selection pane="bottomLeft" activeCell="C7" sqref="C7:C41"/>
    </sheetView>
  </sheetViews>
  <sheetFormatPr baseColWidth="10" defaultRowHeight="15" x14ac:dyDescent="0.25"/>
  <cols>
    <col min="1" max="1" width="10.7109375" style="4" bestFit="1" customWidth="1"/>
    <col min="2" max="2" width="14.7109375" style="4" bestFit="1" customWidth="1"/>
    <col min="3" max="3" width="10.42578125" style="4" bestFit="1" customWidth="1"/>
    <col min="4" max="4" width="15.85546875" style="4" bestFit="1" customWidth="1"/>
    <col min="5" max="5" width="8.5703125" style="4" bestFit="1" customWidth="1"/>
    <col min="6" max="6" width="13" style="4" bestFit="1" customWidth="1"/>
    <col min="7" max="16384" width="11.42578125" style="4"/>
  </cols>
  <sheetData>
    <row r="1" spans="1:8" x14ac:dyDescent="0.25">
      <c r="A1" s="18" t="s">
        <v>0</v>
      </c>
      <c r="B1" s="18" t="s">
        <v>7</v>
      </c>
      <c r="C1" s="18" t="s">
        <v>8</v>
      </c>
      <c r="D1" s="18" t="s">
        <v>9</v>
      </c>
      <c r="E1" s="18" t="s">
        <v>12</v>
      </c>
      <c r="F1" s="13" t="s">
        <v>120</v>
      </c>
      <c r="G1" s="11" t="s">
        <v>121</v>
      </c>
      <c r="H1" s="11" t="s">
        <v>128</v>
      </c>
    </row>
    <row r="2" spans="1:8" x14ac:dyDescent="0.25">
      <c r="A2" s="5" t="s">
        <v>25</v>
      </c>
      <c r="B2" s="5">
        <v>1</v>
      </c>
      <c r="C2" s="6">
        <v>45235</v>
      </c>
      <c r="D2" s="10">
        <v>101</v>
      </c>
      <c r="E2" s="5">
        <v>3</v>
      </c>
      <c r="F2" s="7">
        <f>E2*VLOOKUP(D2,Productos!$A$1:$C$21,3,0)</f>
        <v>4500</v>
      </c>
      <c r="G2" s="7">
        <f>F2*Valores!$B$1</f>
        <v>855</v>
      </c>
      <c r="H2" s="7">
        <f>F2+G2</f>
        <v>5355</v>
      </c>
    </row>
    <row r="3" spans="1:8" x14ac:dyDescent="0.25">
      <c r="A3" s="5" t="s">
        <v>25</v>
      </c>
      <c r="B3" s="5">
        <v>1</v>
      </c>
      <c r="C3" s="6">
        <v>45235</v>
      </c>
      <c r="D3" s="10">
        <v>103</v>
      </c>
      <c r="E3" s="5">
        <v>6</v>
      </c>
      <c r="F3" s="7">
        <f>E3*VLOOKUP(D3,Productos!$A$1:$C$21,3,0)</f>
        <v>108000</v>
      </c>
      <c r="G3" s="7">
        <f>F3*Valores!$B$1</f>
        <v>20520</v>
      </c>
      <c r="H3" s="7">
        <f t="shared" ref="H3:H41" si="0">F3+G3</f>
        <v>128520</v>
      </c>
    </row>
    <row r="4" spans="1:8" x14ac:dyDescent="0.25">
      <c r="A4" s="5" t="s">
        <v>25</v>
      </c>
      <c r="B4" s="5">
        <v>1</v>
      </c>
      <c r="C4" s="6">
        <v>45235</v>
      </c>
      <c r="D4" s="10">
        <v>106</v>
      </c>
      <c r="E4" s="5">
        <v>2</v>
      </c>
      <c r="F4" s="7">
        <f>E4*VLOOKUP(D4,Productos!$A$1:$C$21,3,0)</f>
        <v>5000</v>
      </c>
      <c r="G4" s="7">
        <f>F4*Valores!$B$1</f>
        <v>950</v>
      </c>
      <c r="H4" s="7">
        <f t="shared" si="0"/>
        <v>5950</v>
      </c>
    </row>
    <row r="5" spans="1:8" x14ac:dyDescent="0.25">
      <c r="A5" s="5" t="s">
        <v>90</v>
      </c>
      <c r="B5" s="5">
        <v>2</v>
      </c>
      <c r="C5" s="6">
        <v>45237</v>
      </c>
      <c r="D5" s="10">
        <v>102</v>
      </c>
      <c r="E5" s="5">
        <v>5</v>
      </c>
      <c r="F5" s="7">
        <f>E5*VLOOKUP(D5,Productos!$A$1:$C$21,3,0)</f>
        <v>6000</v>
      </c>
      <c r="G5" s="7">
        <f>F5*Valores!$B$1</f>
        <v>1140</v>
      </c>
      <c r="H5" s="7">
        <f t="shared" si="0"/>
        <v>7140</v>
      </c>
    </row>
    <row r="6" spans="1:8" x14ac:dyDescent="0.25">
      <c r="A6" s="5" t="s">
        <v>90</v>
      </c>
      <c r="B6" s="5">
        <v>2</v>
      </c>
      <c r="C6" s="6">
        <v>45237</v>
      </c>
      <c r="D6" s="10">
        <v>104</v>
      </c>
      <c r="E6" s="5">
        <v>1</v>
      </c>
      <c r="F6" s="7">
        <f>E6*VLOOKUP(D6,Productos!$A$1:$C$21,3,0)</f>
        <v>2000</v>
      </c>
      <c r="G6" s="7">
        <f>F6*Valores!$B$1</f>
        <v>380</v>
      </c>
      <c r="H6" s="7">
        <f t="shared" si="0"/>
        <v>2380</v>
      </c>
    </row>
    <row r="7" spans="1:8" x14ac:dyDescent="0.25">
      <c r="A7" s="5" t="s">
        <v>33</v>
      </c>
      <c r="B7" s="5">
        <v>3</v>
      </c>
      <c r="C7" s="6">
        <v>45239</v>
      </c>
      <c r="D7" s="10">
        <v>107</v>
      </c>
      <c r="E7" s="5">
        <v>8</v>
      </c>
      <c r="F7" s="7">
        <f>E7*VLOOKUP(D7,Productos!$A$1:$C$21,3,0)</f>
        <v>40000</v>
      </c>
      <c r="G7" s="7">
        <f>F7*Valores!$B$1</f>
        <v>7600</v>
      </c>
      <c r="H7" s="7">
        <f t="shared" si="0"/>
        <v>47600</v>
      </c>
    </row>
    <row r="8" spans="1:8" x14ac:dyDescent="0.25">
      <c r="A8" s="5" t="s">
        <v>33</v>
      </c>
      <c r="B8" s="5">
        <v>3</v>
      </c>
      <c r="C8" s="6">
        <v>45239</v>
      </c>
      <c r="D8" s="10">
        <v>110</v>
      </c>
      <c r="E8" s="5">
        <v>4</v>
      </c>
      <c r="F8" s="7">
        <f>E8*VLOOKUP(D8,Productos!$A$1:$C$21,3,0)</f>
        <v>11200</v>
      </c>
      <c r="G8" s="7">
        <f>F8*Valores!$B$1</f>
        <v>2128</v>
      </c>
      <c r="H8" s="7">
        <f t="shared" si="0"/>
        <v>13328</v>
      </c>
    </row>
    <row r="9" spans="1:8" x14ac:dyDescent="0.25">
      <c r="A9" s="5" t="s">
        <v>48</v>
      </c>
      <c r="B9" s="5">
        <v>4</v>
      </c>
      <c r="C9" s="6">
        <v>45242</v>
      </c>
      <c r="D9" s="10">
        <v>112</v>
      </c>
      <c r="E9" s="5">
        <v>7</v>
      </c>
      <c r="F9" s="7">
        <f>E9*VLOOKUP(D9,Productos!$A$1:$C$21,3,0)</f>
        <v>14000</v>
      </c>
      <c r="G9" s="7">
        <f>F9*Valores!$B$1</f>
        <v>2660</v>
      </c>
      <c r="H9" s="7">
        <f t="shared" si="0"/>
        <v>16660</v>
      </c>
    </row>
    <row r="10" spans="1:8" x14ac:dyDescent="0.25">
      <c r="A10" s="5" t="s">
        <v>53</v>
      </c>
      <c r="B10" s="5">
        <v>5</v>
      </c>
      <c r="C10" s="6">
        <v>45245</v>
      </c>
      <c r="D10" s="10">
        <v>113</v>
      </c>
      <c r="E10" s="5">
        <v>3</v>
      </c>
      <c r="F10" s="7">
        <f>E10*VLOOKUP(D10,Productos!$A$1:$C$21,3,0)</f>
        <v>3600</v>
      </c>
      <c r="G10" s="7">
        <f>F10*Valores!$B$1</f>
        <v>684</v>
      </c>
      <c r="H10" s="7">
        <f t="shared" si="0"/>
        <v>4284</v>
      </c>
    </row>
    <row r="11" spans="1:8" x14ac:dyDescent="0.25">
      <c r="A11" s="5" t="s">
        <v>67</v>
      </c>
      <c r="B11" s="5">
        <v>6</v>
      </c>
      <c r="C11" s="6">
        <v>45248</v>
      </c>
      <c r="D11" s="10">
        <v>115</v>
      </c>
      <c r="E11" s="5">
        <v>2</v>
      </c>
      <c r="F11" s="7">
        <f>E11*VLOOKUP(D11,Productos!$A$1:$C$21,3,0)</f>
        <v>14000</v>
      </c>
      <c r="G11" s="7">
        <f>F11*Valores!$B$1</f>
        <v>2660</v>
      </c>
      <c r="H11" s="7">
        <f t="shared" si="0"/>
        <v>16660</v>
      </c>
    </row>
    <row r="12" spans="1:8" x14ac:dyDescent="0.25">
      <c r="A12" s="5" t="s">
        <v>71</v>
      </c>
      <c r="B12" s="5">
        <v>7</v>
      </c>
      <c r="C12" s="6">
        <v>45251</v>
      </c>
      <c r="D12" s="10">
        <v>116</v>
      </c>
      <c r="E12" s="5">
        <v>5</v>
      </c>
      <c r="F12" s="7">
        <f>E12*VLOOKUP(D12,Productos!$A$1:$C$21,3,0)</f>
        <v>27500</v>
      </c>
      <c r="G12" s="7">
        <f>F12*Valores!$B$1</f>
        <v>5225</v>
      </c>
      <c r="H12" s="7">
        <f t="shared" si="0"/>
        <v>32725</v>
      </c>
    </row>
    <row r="13" spans="1:8" x14ac:dyDescent="0.25">
      <c r="A13" s="5" t="s">
        <v>71</v>
      </c>
      <c r="B13" s="5">
        <v>7</v>
      </c>
      <c r="C13" s="6">
        <v>45251</v>
      </c>
      <c r="D13" s="10">
        <v>119</v>
      </c>
      <c r="E13" s="5">
        <v>9</v>
      </c>
      <c r="F13" s="7">
        <f>E13*VLOOKUP(D13,Productos!$A$1:$C$21,3,0)</f>
        <v>81000</v>
      </c>
      <c r="G13" s="7">
        <f>F13*Valores!$B$1</f>
        <v>15390</v>
      </c>
      <c r="H13" s="7">
        <f t="shared" si="0"/>
        <v>96390</v>
      </c>
    </row>
    <row r="14" spans="1:8" x14ac:dyDescent="0.25">
      <c r="A14" s="5" t="s">
        <v>86</v>
      </c>
      <c r="B14" s="5">
        <v>8</v>
      </c>
      <c r="C14" s="6">
        <v>45254</v>
      </c>
      <c r="D14" s="10">
        <v>120</v>
      </c>
      <c r="E14" s="5">
        <v>4</v>
      </c>
      <c r="F14" s="7">
        <f>E14*VLOOKUP(D14,Productos!$A$1:$C$21,3,0)</f>
        <v>10000</v>
      </c>
      <c r="G14" s="7">
        <f>F14*Valores!$B$1</f>
        <v>1900</v>
      </c>
      <c r="H14" s="7">
        <f t="shared" si="0"/>
        <v>11900</v>
      </c>
    </row>
    <row r="15" spans="1:8" x14ac:dyDescent="0.25">
      <c r="A15" s="5" t="s">
        <v>95</v>
      </c>
      <c r="B15" s="5">
        <v>9</v>
      </c>
      <c r="C15" s="6">
        <v>45257</v>
      </c>
      <c r="D15" s="10">
        <v>101</v>
      </c>
      <c r="E15" s="5">
        <v>6</v>
      </c>
      <c r="F15" s="7">
        <f>E15*VLOOKUP(D15,Productos!$A$1:$C$21,3,0)</f>
        <v>9000</v>
      </c>
      <c r="G15" s="7">
        <f>F15*Valores!$B$1</f>
        <v>1710</v>
      </c>
      <c r="H15" s="7">
        <f t="shared" si="0"/>
        <v>10710</v>
      </c>
    </row>
    <row r="16" spans="1:8" x14ac:dyDescent="0.25">
      <c r="A16" s="5" t="s">
        <v>95</v>
      </c>
      <c r="B16" s="5">
        <v>9</v>
      </c>
      <c r="C16" s="6">
        <v>45257</v>
      </c>
      <c r="D16" s="10">
        <v>104</v>
      </c>
      <c r="E16" s="5">
        <v>2</v>
      </c>
      <c r="F16" s="7">
        <f>E16*VLOOKUP(D16,Productos!$A$1:$C$21,3,0)</f>
        <v>4000</v>
      </c>
      <c r="G16" s="7">
        <f>F16*Valores!$B$1</f>
        <v>760</v>
      </c>
      <c r="H16" s="7">
        <f t="shared" si="0"/>
        <v>4760</v>
      </c>
    </row>
    <row r="17" spans="1:8" x14ac:dyDescent="0.25">
      <c r="A17" s="5" t="s">
        <v>98</v>
      </c>
      <c r="B17" s="5">
        <v>10</v>
      </c>
      <c r="C17" s="6">
        <v>45259</v>
      </c>
      <c r="D17" s="10">
        <v>105</v>
      </c>
      <c r="E17" s="5">
        <v>1</v>
      </c>
      <c r="F17" s="7">
        <f>E17*VLOOKUP(D17,Productos!$A$1:$C$21,3,0)</f>
        <v>3000</v>
      </c>
      <c r="G17" s="7">
        <f>F17*Valores!$B$1</f>
        <v>570</v>
      </c>
      <c r="H17" s="7">
        <f t="shared" si="0"/>
        <v>3570</v>
      </c>
    </row>
    <row r="18" spans="1:8" x14ac:dyDescent="0.25">
      <c r="A18" s="5" t="s">
        <v>98</v>
      </c>
      <c r="B18" s="5">
        <v>10</v>
      </c>
      <c r="C18" s="6">
        <v>45259</v>
      </c>
      <c r="D18" s="10">
        <v>106</v>
      </c>
      <c r="E18" s="5">
        <v>3</v>
      </c>
      <c r="F18" s="7">
        <f>E18*VLOOKUP(D18,Productos!$A$1:$C$21,3,0)</f>
        <v>7500</v>
      </c>
      <c r="G18" s="7">
        <f>F18*Valores!$B$1</f>
        <v>1425</v>
      </c>
      <c r="H18" s="7">
        <f t="shared" si="0"/>
        <v>8925</v>
      </c>
    </row>
    <row r="19" spans="1:8" x14ac:dyDescent="0.25">
      <c r="A19" s="5" t="s">
        <v>17</v>
      </c>
      <c r="B19" s="5">
        <v>11</v>
      </c>
      <c r="C19" s="6">
        <v>45232</v>
      </c>
      <c r="D19" s="10">
        <v>107</v>
      </c>
      <c r="E19" s="5">
        <v>4</v>
      </c>
      <c r="F19" s="7">
        <f>E19*VLOOKUP(D19,Productos!$A$1:$C$21,3,0)</f>
        <v>20000</v>
      </c>
      <c r="G19" s="7">
        <f>F19*Valores!$B$1</f>
        <v>3800</v>
      </c>
      <c r="H19" s="7">
        <f t="shared" si="0"/>
        <v>23800</v>
      </c>
    </row>
    <row r="20" spans="1:8" x14ac:dyDescent="0.25">
      <c r="A20" s="5" t="s">
        <v>17</v>
      </c>
      <c r="B20" s="5">
        <v>11</v>
      </c>
      <c r="C20" s="6">
        <v>45232</v>
      </c>
      <c r="D20" s="10">
        <v>109</v>
      </c>
      <c r="E20" s="5">
        <v>7</v>
      </c>
      <c r="F20" s="7">
        <f>E20*VLOOKUP(D20,Productos!$A$1:$C$21,3,0)</f>
        <v>24500</v>
      </c>
      <c r="G20" s="7">
        <f>F20*Valores!$B$1</f>
        <v>4655</v>
      </c>
      <c r="H20" s="7">
        <f t="shared" si="0"/>
        <v>29155</v>
      </c>
    </row>
    <row r="21" spans="1:8" x14ac:dyDescent="0.25">
      <c r="A21" s="5" t="s">
        <v>42</v>
      </c>
      <c r="B21" s="5">
        <v>12</v>
      </c>
      <c r="C21" s="6">
        <v>45234</v>
      </c>
      <c r="D21" s="10">
        <v>111</v>
      </c>
      <c r="E21" s="5">
        <v>5</v>
      </c>
      <c r="F21" s="7">
        <f>E21*VLOOKUP(D21,Productos!$A$1:$C$21,3,0)</f>
        <v>30000</v>
      </c>
      <c r="G21" s="7">
        <f>F21*Valores!$B$1</f>
        <v>5700</v>
      </c>
      <c r="H21" s="7">
        <f t="shared" si="0"/>
        <v>35700</v>
      </c>
    </row>
    <row r="22" spans="1:8" x14ac:dyDescent="0.25">
      <c r="A22" s="5" t="s">
        <v>62</v>
      </c>
      <c r="B22" s="5">
        <v>13</v>
      </c>
      <c r="C22" s="6">
        <v>45236</v>
      </c>
      <c r="D22" s="10">
        <v>112</v>
      </c>
      <c r="E22" s="5">
        <v>8</v>
      </c>
      <c r="F22" s="7">
        <f>E22*VLOOKUP(D22,Productos!$A$1:$C$21,3,0)</f>
        <v>16000</v>
      </c>
      <c r="G22" s="7">
        <f>F22*Valores!$B$1</f>
        <v>3040</v>
      </c>
      <c r="H22" s="7">
        <f t="shared" si="0"/>
        <v>19040</v>
      </c>
    </row>
    <row r="23" spans="1:8" x14ac:dyDescent="0.25">
      <c r="A23" s="5" t="s">
        <v>77</v>
      </c>
      <c r="B23" s="5">
        <v>14</v>
      </c>
      <c r="C23" s="6">
        <v>45238</v>
      </c>
      <c r="D23" s="10">
        <v>113</v>
      </c>
      <c r="E23" s="5">
        <v>3</v>
      </c>
      <c r="F23" s="7">
        <f>E23*VLOOKUP(D23,Productos!$A$1:$C$21,3,0)</f>
        <v>3600</v>
      </c>
      <c r="G23" s="7">
        <f>F23*Valores!$B$1</f>
        <v>684</v>
      </c>
      <c r="H23" s="7">
        <f t="shared" si="0"/>
        <v>4284</v>
      </c>
    </row>
    <row r="24" spans="1:8" x14ac:dyDescent="0.25">
      <c r="A24" s="5" t="s">
        <v>77</v>
      </c>
      <c r="B24" s="5">
        <v>14</v>
      </c>
      <c r="C24" s="6">
        <v>45238</v>
      </c>
      <c r="D24" s="10">
        <v>116</v>
      </c>
      <c r="E24" s="5">
        <v>1</v>
      </c>
      <c r="F24" s="7">
        <f>E24*VLOOKUP(D24,Productos!$A$1:$C$21,3,0)</f>
        <v>5500</v>
      </c>
      <c r="G24" s="7">
        <f>F24*Valores!$B$1</f>
        <v>1045</v>
      </c>
      <c r="H24" s="7">
        <f t="shared" si="0"/>
        <v>6545</v>
      </c>
    </row>
    <row r="25" spans="1:8" x14ac:dyDescent="0.25">
      <c r="A25" s="5" t="s">
        <v>102</v>
      </c>
      <c r="B25" s="5">
        <v>15</v>
      </c>
      <c r="C25" s="6">
        <v>45241</v>
      </c>
      <c r="D25" s="10">
        <v>117</v>
      </c>
      <c r="E25" s="5">
        <v>6</v>
      </c>
      <c r="F25" s="7">
        <f>E25*VLOOKUP(D25,Productos!$A$1:$C$21,3,0)</f>
        <v>28800</v>
      </c>
      <c r="G25" s="7">
        <f>F25*Valores!$B$1</f>
        <v>5472</v>
      </c>
      <c r="H25" s="7">
        <f t="shared" si="0"/>
        <v>34272</v>
      </c>
    </row>
    <row r="26" spans="1:8" x14ac:dyDescent="0.25">
      <c r="A26" s="5" t="s">
        <v>17</v>
      </c>
      <c r="B26" s="5">
        <v>16</v>
      </c>
      <c r="C26" s="6">
        <v>45244</v>
      </c>
      <c r="D26" s="10">
        <v>119</v>
      </c>
      <c r="E26" s="5">
        <v>4</v>
      </c>
      <c r="F26" s="7">
        <f>E26*VLOOKUP(D26,Productos!$A$1:$C$21,3,0)</f>
        <v>36000</v>
      </c>
      <c r="G26" s="7">
        <f>F26*Valores!$B$1</f>
        <v>6840</v>
      </c>
      <c r="H26" s="7">
        <f t="shared" si="0"/>
        <v>42840</v>
      </c>
    </row>
    <row r="27" spans="1:8" x14ac:dyDescent="0.25">
      <c r="A27" s="5" t="s">
        <v>42</v>
      </c>
      <c r="B27" s="5">
        <v>17</v>
      </c>
      <c r="C27" s="6">
        <v>45247</v>
      </c>
      <c r="D27" s="10">
        <v>120</v>
      </c>
      <c r="E27" s="5">
        <v>2</v>
      </c>
      <c r="F27" s="7">
        <f>E27*VLOOKUP(D27,Productos!$A$1:$C$21,3,0)</f>
        <v>5000</v>
      </c>
      <c r="G27" s="7">
        <f>F27*Valores!$B$1</f>
        <v>950</v>
      </c>
      <c r="H27" s="7">
        <f t="shared" si="0"/>
        <v>5950</v>
      </c>
    </row>
    <row r="28" spans="1:8" x14ac:dyDescent="0.25">
      <c r="A28" s="5" t="s">
        <v>62</v>
      </c>
      <c r="B28" s="5">
        <v>18</v>
      </c>
      <c r="C28" s="6">
        <v>45250</v>
      </c>
      <c r="D28" s="10">
        <v>101</v>
      </c>
      <c r="E28" s="5">
        <v>9</v>
      </c>
      <c r="F28" s="7">
        <f>E28*VLOOKUP(D28,Productos!$A$1:$C$21,3,0)</f>
        <v>13500</v>
      </c>
      <c r="G28" s="7">
        <f>F28*Valores!$B$1</f>
        <v>2565</v>
      </c>
      <c r="H28" s="7">
        <f t="shared" si="0"/>
        <v>16065</v>
      </c>
    </row>
    <row r="29" spans="1:8" x14ac:dyDescent="0.25">
      <c r="A29" s="5" t="s">
        <v>62</v>
      </c>
      <c r="B29" s="5">
        <v>18</v>
      </c>
      <c r="C29" s="6">
        <v>45250</v>
      </c>
      <c r="D29" s="10">
        <v>102</v>
      </c>
      <c r="E29" s="5">
        <v>2</v>
      </c>
      <c r="F29" s="7">
        <f>E29*VLOOKUP(D29,Productos!$A$1:$C$21,3,0)</f>
        <v>2400</v>
      </c>
      <c r="G29" s="7">
        <f>F29*Valores!$B$1</f>
        <v>456</v>
      </c>
      <c r="H29" s="7">
        <f t="shared" si="0"/>
        <v>2856</v>
      </c>
    </row>
    <row r="30" spans="1:8" x14ac:dyDescent="0.25">
      <c r="A30" s="5" t="s">
        <v>62</v>
      </c>
      <c r="B30" s="5">
        <v>18</v>
      </c>
      <c r="C30" s="6">
        <v>45250</v>
      </c>
      <c r="D30" s="10">
        <v>103</v>
      </c>
      <c r="E30" s="5">
        <v>5</v>
      </c>
      <c r="F30" s="7">
        <f>E30*VLOOKUP(D30,Productos!$A$1:$C$21,3,0)</f>
        <v>90000</v>
      </c>
      <c r="G30" s="7">
        <f>F30*Valores!$B$1</f>
        <v>17100</v>
      </c>
      <c r="H30" s="7">
        <f t="shared" si="0"/>
        <v>107100</v>
      </c>
    </row>
    <row r="31" spans="1:8" x14ac:dyDescent="0.25">
      <c r="A31" s="5" t="s">
        <v>77</v>
      </c>
      <c r="B31" s="5">
        <v>19</v>
      </c>
      <c r="C31" s="6">
        <v>45253</v>
      </c>
      <c r="D31" s="10">
        <v>104</v>
      </c>
      <c r="E31" s="5">
        <v>3</v>
      </c>
      <c r="F31" s="7">
        <f>E31*VLOOKUP(D31,Productos!$A$1:$C$21,3,0)</f>
        <v>6000</v>
      </c>
      <c r="G31" s="7">
        <f>F31*Valores!$B$1</f>
        <v>1140</v>
      </c>
      <c r="H31" s="7">
        <f t="shared" si="0"/>
        <v>7140</v>
      </c>
    </row>
    <row r="32" spans="1:8" x14ac:dyDescent="0.25">
      <c r="A32" s="5" t="s">
        <v>77</v>
      </c>
      <c r="B32" s="5">
        <v>19</v>
      </c>
      <c r="C32" s="6">
        <v>45253</v>
      </c>
      <c r="D32" s="10">
        <v>106</v>
      </c>
      <c r="E32" s="5">
        <v>7</v>
      </c>
      <c r="F32" s="7">
        <f>E32*VLOOKUP(D32,Productos!$A$1:$C$21,3,0)</f>
        <v>17500</v>
      </c>
      <c r="G32" s="7">
        <f>F32*Valores!$B$1</f>
        <v>3325</v>
      </c>
      <c r="H32" s="7">
        <f t="shared" si="0"/>
        <v>20825</v>
      </c>
    </row>
    <row r="33" spans="1:8" x14ac:dyDescent="0.25">
      <c r="A33" s="5" t="s">
        <v>102</v>
      </c>
      <c r="B33" s="5">
        <v>20</v>
      </c>
      <c r="C33" s="6">
        <v>45256</v>
      </c>
      <c r="D33" s="10">
        <v>107</v>
      </c>
      <c r="E33" s="5">
        <v>1</v>
      </c>
      <c r="F33" s="7">
        <f>E33*VLOOKUP(D33,Productos!$A$1:$C$21,3,0)</f>
        <v>5000</v>
      </c>
      <c r="G33" s="7">
        <f>F33*Valores!$B$1</f>
        <v>950</v>
      </c>
      <c r="H33" s="7">
        <f t="shared" si="0"/>
        <v>5950</v>
      </c>
    </row>
    <row r="34" spans="1:8" x14ac:dyDescent="0.25">
      <c r="A34" s="5" t="s">
        <v>17</v>
      </c>
      <c r="B34" s="5">
        <v>21</v>
      </c>
      <c r="C34" s="6">
        <v>45232</v>
      </c>
      <c r="D34" s="10">
        <v>120</v>
      </c>
      <c r="E34" s="5">
        <v>4</v>
      </c>
      <c r="F34" s="7">
        <f>E34*VLOOKUP(D34,Productos!$A$1:$C$21,3,0)</f>
        <v>10000</v>
      </c>
      <c r="G34" s="7">
        <f>F34*Valores!$B$1</f>
        <v>1900</v>
      </c>
      <c r="H34" s="7">
        <f t="shared" si="0"/>
        <v>11900</v>
      </c>
    </row>
    <row r="35" spans="1:8" x14ac:dyDescent="0.25">
      <c r="A35" s="5" t="s">
        <v>17</v>
      </c>
      <c r="B35" s="5">
        <v>21</v>
      </c>
      <c r="C35" s="6">
        <v>45232</v>
      </c>
      <c r="D35" s="10">
        <v>102</v>
      </c>
      <c r="E35" s="5">
        <v>5</v>
      </c>
      <c r="F35" s="7">
        <f>E35*VLOOKUP(D35,Productos!$A$1:$C$21,3,0)</f>
        <v>6000</v>
      </c>
      <c r="G35" s="7">
        <f>F35*Valores!$B$1</f>
        <v>1140</v>
      </c>
      <c r="H35" s="7">
        <f t="shared" si="0"/>
        <v>7140</v>
      </c>
    </row>
    <row r="36" spans="1:8" x14ac:dyDescent="0.25">
      <c r="A36" s="5" t="s">
        <v>17</v>
      </c>
      <c r="B36" s="5">
        <v>22</v>
      </c>
      <c r="C36" s="6">
        <v>45244</v>
      </c>
      <c r="D36" s="10">
        <v>104</v>
      </c>
      <c r="E36" s="5">
        <v>1</v>
      </c>
      <c r="F36" s="7">
        <f>E36*VLOOKUP(D36,Productos!$A$1:$C$21,3,0)</f>
        <v>2000</v>
      </c>
      <c r="G36" s="7">
        <f>F36*Valores!$B$1</f>
        <v>380</v>
      </c>
      <c r="H36" s="7">
        <f t="shared" si="0"/>
        <v>2380</v>
      </c>
    </row>
    <row r="37" spans="1:8" x14ac:dyDescent="0.25">
      <c r="A37" s="5" t="s">
        <v>25</v>
      </c>
      <c r="B37" s="5">
        <v>23</v>
      </c>
      <c r="C37" s="6">
        <v>45235</v>
      </c>
      <c r="D37" s="10">
        <v>101</v>
      </c>
      <c r="E37" s="5">
        <v>6</v>
      </c>
      <c r="F37" s="7">
        <f>E37*VLOOKUP(D37,Productos!$A$1:$C$21,3,0)</f>
        <v>9000</v>
      </c>
      <c r="G37" s="7">
        <f>F37*Valores!$B$1</f>
        <v>1710</v>
      </c>
      <c r="H37" s="7">
        <f t="shared" si="0"/>
        <v>10710</v>
      </c>
    </row>
    <row r="38" spans="1:8" x14ac:dyDescent="0.25">
      <c r="A38" s="5" t="s">
        <v>25</v>
      </c>
      <c r="B38" s="5">
        <v>23</v>
      </c>
      <c r="C38" s="6">
        <v>45235</v>
      </c>
      <c r="D38" s="10">
        <v>104</v>
      </c>
      <c r="E38" s="5">
        <v>2</v>
      </c>
      <c r="F38" s="7">
        <f>E38*VLOOKUP(D38,Productos!$A$1:$C$21,3,0)</f>
        <v>4000</v>
      </c>
      <c r="G38" s="7">
        <f>F38*Valores!$B$1</f>
        <v>760</v>
      </c>
      <c r="H38" s="7">
        <f t="shared" si="0"/>
        <v>4760</v>
      </c>
    </row>
    <row r="39" spans="1:8" x14ac:dyDescent="0.25">
      <c r="A39" s="5" t="s">
        <v>25</v>
      </c>
      <c r="B39" s="5">
        <v>23</v>
      </c>
      <c r="C39" s="6">
        <v>45235</v>
      </c>
      <c r="D39" s="10">
        <v>105</v>
      </c>
      <c r="E39" s="5">
        <v>1</v>
      </c>
      <c r="F39" s="7">
        <f>E39*VLOOKUP(D39,Productos!$A$1:$C$21,3,0)</f>
        <v>3000</v>
      </c>
      <c r="G39" s="7">
        <f>F39*Valores!$B$1</f>
        <v>570</v>
      </c>
      <c r="H39" s="7">
        <f t="shared" si="0"/>
        <v>3570</v>
      </c>
    </row>
    <row r="40" spans="1:8" x14ac:dyDescent="0.25">
      <c r="A40" s="5" t="s">
        <v>33</v>
      </c>
      <c r="B40" s="5">
        <v>24</v>
      </c>
      <c r="C40" s="6">
        <v>45239</v>
      </c>
      <c r="D40" s="10">
        <v>116</v>
      </c>
      <c r="E40" s="5">
        <v>10</v>
      </c>
      <c r="F40" s="7">
        <f>E40*VLOOKUP(D40,Productos!$A$1:$C$21,3,0)</f>
        <v>55000</v>
      </c>
      <c r="G40" s="7">
        <f>F40*Valores!$B$1</f>
        <v>10450</v>
      </c>
      <c r="H40" s="7">
        <f t="shared" si="0"/>
        <v>65450</v>
      </c>
    </row>
    <row r="41" spans="1:8" x14ac:dyDescent="0.25">
      <c r="A41" s="5" t="s">
        <v>33</v>
      </c>
      <c r="B41" s="5">
        <v>24</v>
      </c>
      <c r="C41" s="6">
        <v>45239</v>
      </c>
      <c r="D41" s="10">
        <v>119</v>
      </c>
      <c r="E41" s="5">
        <v>20</v>
      </c>
      <c r="F41" s="7">
        <f>E41*VLOOKUP(D41,Productos!$A$1:$C$21,3,0)</f>
        <v>180000</v>
      </c>
      <c r="G41" s="7">
        <f>F41*Valores!$B$1</f>
        <v>34200</v>
      </c>
      <c r="H41" s="7">
        <f t="shared" si="0"/>
        <v>214200</v>
      </c>
    </row>
  </sheetData>
  <autoFilter ref="A1:H1" xr:uid="{0B038039-0701-40A0-9463-7F508A03F94A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844ADF9-2446-4493-AA62-1F354F4E42A8}">
            <x14:iconSet custom="1">
              <x14:cfvo type="percent">
                <xm:f>0</xm:f>
              </x14:cfvo>
              <x14:cfvo type="num" gte="0">
                <xm:f>5000</xm:f>
              </x14:cfvo>
              <x14:cfvo type="num">
                <xm:f>50000</xm:f>
              </x14:cfvo>
              <x14:cfIcon iconSet="3Flags" iconId="0"/>
              <x14:cfIcon iconSet="NoIcons" iconId="0"/>
              <x14:cfIcon iconSet="3Symbols" iconId="2"/>
            </x14:iconSet>
          </x14:cfRule>
          <xm:sqref>F2:F41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1117-0A9E-4FB6-9987-6FA6C6ACFF77}">
  <dimension ref="A1:L25"/>
  <sheetViews>
    <sheetView workbookViewId="0">
      <selection activeCell="F2" sqref="F2"/>
    </sheetView>
  </sheetViews>
  <sheetFormatPr baseColWidth="10" defaultRowHeight="15" x14ac:dyDescent="0.25"/>
  <cols>
    <col min="1" max="1" width="14.7109375" style="4" bestFit="1" customWidth="1"/>
    <col min="2" max="2" width="10.42578125" style="4" bestFit="1" customWidth="1"/>
    <col min="3" max="3" width="30.28515625" style="4" customWidth="1"/>
    <col min="4" max="10" width="11.42578125" style="4"/>
    <col min="11" max="11" width="16.85546875" style="4" bestFit="1" customWidth="1"/>
    <col min="12" max="16384" width="11.42578125" style="4"/>
  </cols>
  <sheetData>
    <row r="1" spans="1:12" x14ac:dyDescent="0.25">
      <c r="A1" s="18" t="s">
        <v>7</v>
      </c>
      <c r="B1" s="18" t="s">
        <v>8</v>
      </c>
      <c r="C1" s="11" t="s">
        <v>129</v>
      </c>
      <c r="D1" s="11" t="s">
        <v>120</v>
      </c>
      <c r="E1" s="11" t="s">
        <v>121</v>
      </c>
      <c r="F1" s="11" t="s">
        <v>128</v>
      </c>
    </row>
    <row r="2" spans="1:12" x14ac:dyDescent="0.25">
      <c r="A2" s="5">
        <v>1</v>
      </c>
      <c r="B2" s="6">
        <v>45235</v>
      </c>
      <c r="C2" s="6" t="str">
        <f>_xlfn.CONCAT(_xlfn.XLOOKUP(_xlfn.XLOOKUP(Resumen!A2,Boletas!$B$4:$B$41,Boletas!$A$4:$A$41),Clientes!$A$2:$A$21,Clientes!$B$2:$B$21)," - ",_xlfn.XLOOKUP(_xlfn.XLOOKUP(Resumen!A2,Boletas!$B$4:$B$41,Boletas!$A$4:$A$41),Clientes!$A$2:$A$21,Clientes!$F$2:$F$21))</f>
        <v>Juan Pérez - 912345678</v>
      </c>
      <c r="D2" s="7">
        <f>SUMIFS(Boletas!$F$2:$F$41,Boletas!$B$2:$B$41,Resumen!A2)</f>
        <v>117500</v>
      </c>
      <c r="E2" s="7">
        <f>SUMIFS(Boletas!$G$2:$G$41,Boletas!$B$2:$B$41,Resumen!A2)</f>
        <v>22325</v>
      </c>
      <c r="F2" s="7">
        <f>SUMIFS(Boletas!$H$2:$H$41,Boletas!$B$2:$B$41,Resumen!A2)</f>
        <v>139825</v>
      </c>
    </row>
    <row r="3" spans="1:12" x14ac:dyDescent="0.25">
      <c r="A3" s="5">
        <v>2</v>
      </c>
      <c r="B3" s="6">
        <v>45237</v>
      </c>
      <c r="C3" s="6" t="str">
        <f>_xlfn.CONCAT(_xlfn.XLOOKUP(_xlfn.XLOOKUP(Resumen!A3,Boletas!$B$4:$B$41,Boletas!$A$4:$A$41),Clientes!$A$2:$A$21,Clientes!$B$2:$B$21)," - ",_xlfn.XLOOKUP(_xlfn.XLOOKUP(Resumen!A3,Boletas!$B$4:$B$41,Boletas!$A$4:$A$41),Clientes!$A$2:$A$21,Clientes!$F$2:$F$21))</f>
        <v>María Sánchez - 987654321</v>
      </c>
      <c r="D3" s="7">
        <f>SUMIFS(Boletas!$F$2:$F$41,Boletas!$B$2:$B$41,Resumen!A3)</f>
        <v>8000</v>
      </c>
      <c r="E3" s="7">
        <f>SUMIFS(Boletas!$G$2:$G$41,Boletas!$B$2:$B$41,Resumen!A3)</f>
        <v>1520</v>
      </c>
      <c r="F3" s="7">
        <f>SUMIFS(Boletas!$H$2:$H$41,Boletas!$B$2:$B$41,Resumen!A3)</f>
        <v>9520</v>
      </c>
      <c r="J3" s="43" t="s">
        <v>131</v>
      </c>
      <c r="K3" s="43"/>
      <c r="L3" s="43"/>
    </row>
    <row r="4" spans="1:12" x14ac:dyDescent="0.25">
      <c r="A4" s="5">
        <v>3</v>
      </c>
      <c r="B4" s="6">
        <v>45239</v>
      </c>
      <c r="C4" s="6" t="str">
        <f>_xlfn.CONCAT(_xlfn.XLOOKUP(_xlfn.XLOOKUP(Resumen!A4,Boletas!$B$4:$B$41,Boletas!$A$4:$A$41),Clientes!$A$2:$A$21,Clientes!$B$2:$B$21)," - ",_xlfn.XLOOKUP(_xlfn.XLOOKUP(Resumen!A4,Boletas!$B$4:$B$41,Boletas!$A$4:$A$41),Clientes!$A$2:$A$21,Clientes!$F$2:$F$21))</f>
        <v>Pedro Rodríguez - 912345678</v>
      </c>
      <c r="D4" s="7">
        <f>SUMIFS(Boletas!$F$2:$F$41,Boletas!$B$2:$B$41,Resumen!A4)</f>
        <v>51200</v>
      </c>
      <c r="E4" s="7">
        <f>SUMIFS(Boletas!$G$2:$G$41,Boletas!$B$2:$B$41,Resumen!A4)</f>
        <v>9728</v>
      </c>
      <c r="F4" s="7">
        <f>SUMIFS(Boletas!$H$2:$H$41,Boletas!$B$2:$B$41,Resumen!A4)</f>
        <v>60928</v>
      </c>
      <c r="J4" s="11" t="s">
        <v>132</v>
      </c>
      <c r="K4" s="11" t="s">
        <v>133</v>
      </c>
      <c r="L4" s="11" t="s">
        <v>134</v>
      </c>
    </row>
    <row r="5" spans="1:12" x14ac:dyDescent="0.25">
      <c r="A5" s="5">
        <v>4</v>
      </c>
      <c r="B5" s="6">
        <v>45242</v>
      </c>
      <c r="C5" s="6" t="str">
        <f>_xlfn.CONCAT(_xlfn.XLOOKUP(_xlfn.XLOOKUP(Resumen!A5,Boletas!$B$4:$B$41,Boletas!$A$4:$A$41),Clientes!$A$2:$A$21,Clientes!$B$2:$B$21)," - ",_xlfn.XLOOKUP(_xlfn.XLOOKUP(Resumen!A5,Boletas!$B$4:$B$41,Boletas!$A$4:$A$41),Clientes!$A$2:$A$21,Clientes!$F$2:$F$21))</f>
        <v>Carla González - 934567890</v>
      </c>
      <c r="D5" s="7">
        <f>SUMIFS(Boletas!$F$2:$F$41,Boletas!$B$2:$B$41,Resumen!A5)</f>
        <v>14000</v>
      </c>
      <c r="E5" s="7">
        <f>SUMIFS(Boletas!$G$2:$G$41,Boletas!$B$2:$B$41,Resumen!A5)</f>
        <v>2660</v>
      </c>
      <c r="F5" s="7">
        <f>SUMIFS(Boletas!$H$2:$H$41,Boletas!$B$2:$B$41,Resumen!A5)</f>
        <v>16660</v>
      </c>
      <c r="J5" s="5">
        <v>1</v>
      </c>
      <c r="K5" s="5" t="str">
        <f>_xlfn.XLOOKUP(_xlfn.XLOOKUP(J5,Boletas!$B$4:$B$41,Boletas!$A$4:$A$41),Clientes!$A$2:$A$21,Clientes!$B$2:$B$21)</f>
        <v>Juan Pérez</v>
      </c>
      <c r="L5" s="7">
        <f>SUMIFS(Boletas!$H$2:$H$41,Boletas!$B$2:$B$41,J5)</f>
        <v>139825</v>
      </c>
    </row>
    <row r="6" spans="1:12" x14ac:dyDescent="0.25">
      <c r="A6" s="5">
        <v>5</v>
      </c>
      <c r="B6" s="6">
        <v>45245</v>
      </c>
      <c r="C6" s="6" t="str">
        <f>_xlfn.CONCAT(_xlfn.XLOOKUP(_xlfn.XLOOKUP(Resumen!A6,Boletas!$B$4:$B$41,Boletas!$A$4:$A$41),Clientes!$A$2:$A$21,Clientes!$B$2:$B$21)," - ",_xlfn.XLOOKUP(_xlfn.XLOOKUP(Resumen!A6,Boletas!$B$4:$B$41,Boletas!$A$4:$A$41),Clientes!$A$2:$A$21,Clientes!$F$2:$F$21))</f>
        <v xml:space="preserve">Diego Martínez - </v>
      </c>
      <c r="D6" s="7">
        <f>SUMIFS(Boletas!$F$2:$F$41,Boletas!$B$2:$B$41,Resumen!A6)</f>
        <v>3600</v>
      </c>
      <c r="E6" s="7">
        <f>SUMIFS(Boletas!$G$2:$G$41,Boletas!$B$2:$B$41,Resumen!A6)</f>
        <v>684</v>
      </c>
      <c r="F6" s="7">
        <f>SUMIFS(Boletas!$H$2:$H$41,Boletas!$B$2:$B$41,Resumen!A6)</f>
        <v>4284</v>
      </c>
      <c r="J6" s="5">
        <v>3</v>
      </c>
      <c r="K6" s="5" t="str">
        <f>_xlfn.XLOOKUP(_xlfn.XLOOKUP(J6,Boletas!$B$4:$B$41,Boletas!$A$4:$A$41),Clientes!$A$2:$A$21,Clientes!$B$2:$B$21)</f>
        <v>Pedro Rodríguez</v>
      </c>
      <c r="L6" s="7">
        <f>SUMIFS(Boletas!$H$2:$H$41,Boletas!$B$2:$B$41,J6)</f>
        <v>60928</v>
      </c>
    </row>
    <row r="7" spans="1:12" x14ac:dyDescent="0.25">
      <c r="A7" s="5">
        <v>6</v>
      </c>
      <c r="B7" s="6">
        <v>45248</v>
      </c>
      <c r="C7" s="6" t="str">
        <f>_xlfn.CONCAT(_xlfn.XLOOKUP(_xlfn.XLOOKUP(Resumen!A7,Boletas!$B$4:$B$41,Boletas!$A$4:$A$41),Clientes!$A$2:$A$21,Clientes!$B$2:$B$21)," - ",_xlfn.XLOOKUP(_xlfn.XLOOKUP(Resumen!A7,Boletas!$B$4:$B$41,Boletas!$A$4:$A$41),Clientes!$A$2:$A$21,Clientes!$F$2:$F$21))</f>
        <v>Ana López - 978901234</v>
      </c>
      <c r="D7" s="7">
        <f>SUMIFS(Boletas!$F$2:$F$41,Boletas!$B$2:$B$41,Resumen!A7)</f>
        <v>14000</v>
      </c>
      <c r="E7" s="7">
        <f>SUMIFS(Boletas!$G$2:$G$41,Boletas!$B$2:$B$41,Resumen!A7)</f>
        <v>2660</v>
      </c>
      <c r="F7" s="7">
        <f>SUMIFS(Boletas!$H$2:$H$41,Boletas!$B$2:$B$41,Resumen!A7)</f>
        <v>16660</v>
      </c>
      <c r="J7" s="5">
        <v>5</v>
      </c>
      <c r="K7" s="5" t="str">
        <f>_xlfn.XLOOKUP(_xlfn.XLOOKUP(J7,Boletas!$B$4:$B$41,Boletas!$A$4:$A$41),Clientes!$A$2:$A$21,Clientes!$B$2:$B$21)</f>
        <v>Diego Martínez</v>
      </c>
      <c r="L7" s="7">
        <f>SUMIFS(Boletas!$H$2:$H$41,Boletas!$B$2:$B$41,J7)</f>
        <v>4284</v>
      </c>
    </row>
    <row r="8" spans="1:12" x14ac:dyDescent="0.25">
      <c r="A8" s="5">
        <v>7</v>
      </c>
      <c r="B8" s="6">
        <v>45251</v>
      </c>
      <c r="C8" s="6" t="str">
        <f>_xlfn.CONCAT(_xlfn.XLOOKUP(_xlfn.XLOOKUP(Resumen!A8,Boletas!$B$4:$B$41,Boletas!$A$4:$A$41),Clientes!$A$2:$A$21,Clientes!$B$2:$B$21)," - ",_xlfn.XLOOKUP(_xlfn.XLOOKUP(Resumen!A8,Boletas!$B$4:$B$41,Boletas!$A$4:$A$41),Clientes!$A$2:$A$21,Clientes!$F$2:$F$21))</f>
        <v xml:space="preserve">Luisa Fernández - </v>
      </c>
      <c r="D8" s="7">
        <f>SUMIFS(Boletas!$F$2:$F$41,Boletas!$B$2:$B$41,Resumen!A8)</f>
        <v>108500</v>
      </c>
      <c r="E8" s="7">
        <f>SUMIFS(Boletas!$G$2:$G$41,Boletas!$B$2:$B$41,Resumen!A8)</f>
        <v>20615</v>
      </c>
      <c r="F8" s="7">
        <f>SUMIFS(Boletas!$H$2:$H$41,Boletas!$B$2:$B$41,Resumen!A8)</f>
        <v>129115</v>
      </c>
      <c r="J8" s="5">
        <v>7</v>
      </c>
      <c r="K8" s="5" t="str">
        <f>_xlfn.XLOOKUP(_xlfn.XLOOKUP(J8,Boletas!$B$4:$B$41,Boletas!$A$4:$A$41),Clientes!$A$2:$A$21,Clientes!$B$2:$B$21)</f>
        <v>Luisa Fernández</v>
      </c>
      <c r="L8" s="7">
        <f>SUMIFS(Boletas!$H$2:$H$41,Boletas!$B$2:$B$41,J8)</f>
        <v>129115</v>
      </c>
    </row>
    <row r="9" spans="1:12" x14ac:dyDescent="0.25">
      <c r="A9" s="5">
        <v>8</v>
      </c>
      <c r="B9" s="6">
        <v>45254</v>
      </c>
      <c r="C9" s="6" t="str">
        <f>_xlfn.CONCAT(_xlfn.XLOOKUP(_xlfn.XLOOKUP(Resumen!A9,Boletas!$B$4:$B$41,Boletas!$A$4:$A$41),Clientes!$A$2:$A$21,Clientes!$B$2:$B$21)," - ",_xlfn.XLOOKUP(_xlfn.XLOOKUP(Resumen!A9,Boletas!$B$4:$B$41,Boletas!$A$4:$A$41),Clientes!$A$2:$A$21,Clientes!$F$2:$F$21))</f>
        <v>Javier Torres - 923456789</v>
      </c>
      <c r="D9" s="7">
        <f>SUMIFS(Boletas!$F$2:$F$41,Boletas!$B$2:$B$41,Resumen!A9)</f>
        <v>10000</v>
      </c>
      <c r="E9" s="7">
        <f>SUMIFS(Boletas!$G$2:$G$41,Boletas!$B$2:$B$41,Resumen!A9)</f>
        <v>1900</v>
      </c>
      <c r="F9" s="7">
        <f>SUMIFS(Boletas!$H$2:$H$41,Boletas!$B$2:$B$41,Resumen!A9)</f>
        <v>11900</v>
      </c>
      <c r="J9" s="5">
        <v>9</v>
      </c>
      <c r="K9" s="5" t="str">
        <f>_xlfn.XLOOKUP(_xlfn.XLOOKUP(J9,Boletas!$B$4:$B$41,Boletas!$A$4:$A$41),Clientes!$A$2:$A$21,Clientes!$B$2:$B$21)</f>
        <v>Marta Ramírez</v>
      </c>
      <c r="L9" s="7">
        <f>SUMIFS(Boletas!$H$2:$H$41,Boletas!$B$2:$B$41,J9)</f>
        <v>15470</v>
      </c>
    </row>
    <row r="10" spans="1:12" x14ac:dyDescent="0.25">
      <c r="A10" s="5">
        <v>9</v>
      </c>
      <c r="B10" s="6">
        <v>45257</v>
      </c>
      <c r="C10" s="6" t="str">
        <f>_xlfn.CONCAT(_xlfn.XLOOKUP(_xlfn.XLOOKUP(Resumen!A10,Boletas!$B$4:$B$41,Boletas!$A$4:$A$41),Clientes!$A$2:$A$21,Clientes!$B$2:$B$21)," - ",_xlfn.XLOOKUP(_xlfn.XLOOKUP(Resumen!A10,Boletas!$B$4:$B$41,Boletas!$A$4:$A$41),Clientes!$A$2:$A$21,Clientes!$F$2:$F$21))</f>
        <v xml:space="preserve">Marta Ramírez - </v>
      </c>
      <c r="D10" s="7">
        <f>SUMIFS(Boletas!$F$2:$F$41,Boletas!$B$2:$B$41,Resumen!A10)</f>
        <v>13000</v>
      </c>
      <c r="E10" s="7">
        <f>SUMIFS(Boletas!$G$2:$G$41,Boletas!$B$2:$B$41,Resumen!A10)</f>
        <v>2470</v>
      </c>
      <c r="F10" s="7">
        <f>SUMIFS(Boletas!$H$2:$H$41,Boletas!$B$2:$B$41,Resumen!A10)</f>
        <v>15470</v>
      </c>
      <c r="J10" s="5">
        <v>11</v>
      </c>
      <c r="K10" s="5" t="str">
        <f>_xlfn.XLOOKUP(_xlfn.XLOOKUP(J10,Boletas!$B$4:$B$41,Boletas!$A$4:$A$41),Clientes!$A$2:$A$21,Clientes!$B$2:$B$21)</f>
        <v>Laura Rojas</v>
      </c>
      <c r="L10" s="7">
        <f>SUMIFS(Boletas!$H$2:$H$41,Boletas!$B$2:$B$41,J10)</f>
        <v>52955</v>
      </c>
    </row>
    <row r="11" spans="1:12" x14ac:dyDescent="0.25">
      <c r="A11" s="5">
        <v>10</v>
      </c>
      <c r="B11" s="6">
        <v>45259</v>
      </c>
      <c r="C11" s="6" t="str">
        <f>_xlfn.CONCAT(_xlfn.XLOOKUP(_xlfn.XLOOKUP(Resumen!A11,Boletas!$B$4:$B$41,Boletas!$A$4:$A$41),Clientes!$A$2:$A$21,Clientes!$B$2:$B$21)," - ",_xlfn.XLOOKUP(_xlfn.XLOOKUP(Resumen!A11,Boletas!$B$4:$B$41,Boletas!$A$4:$A$41),Clientes!$A$2:$A$21,Clientes!$F$2:$F$21))</f>
        <v xml:space="preserve">Daniel Silva - </v>
      </c>
      <c r="D11" s="7">
        <f>SUMIFS(Boletas!$F$2:$F$41,Boletas!$B$2:$B$41,Resumen!A11)</f>
        <v>10500</v>
      </c>
      <c r="E11" s="7">
        <f>SUMIFS(Boletas!$G$2:$G$41,Boletas!$B$2:$B$41,Resumen!A11)</f>
        <v>1995</v>
      </c>
      <c r="F11" s="7">
        <f>SUMIFS(Boletas!$H$2:$H$41,Boletas!$B$2:$B$41,Resumen!A11)</f>
        <v>12495</v>
      </c>
      <c r="J11" s="5">
        <v>13</v>
      </c>
      <c r="K11" s="5" t="str">
        <f>_xlfn.XLOOKUP(_xlfn.XLOOKUP(J11,Boletas!$B$4:$B$41,Boletas!$A$4:$A$41),Clientes!$A$2:$A$21,Clientes!$B$2:$B$21)</f>
        <v>Valentina Herrera</v>
      </c>
      <c r="L11" s="7">
        <f>SUMIFS(Boletas!$H$2:$H$41,Boletas!$B$2:$B$41,J11)</f>
        <v>19040</v>
      </c>
    </row>
    <row r="12" spans="1:12" x14ac:dyDescent="0.25">
      <c r="A12" s="5">
        <v>11</v>
      </c>
      <c r="B12" s="6">
        <v>45232</v>
      </c>
      <c r="C12" s="6" t="str">
        <f>_xlfn.CONCAT(_xlfn.XLOOKUP(_xlfn.XLOOKUP(Resumen!A12,Boletas!$B$4:$B$41,Boletas!$A$4:$A$41),Clientes!$A$2:$A$21,Clientes!$B$2:$B$21)," - ",_xlfn.XLOOKUP(_xlfn.XLOOKUP(Resumen!A12,Boletas!$B$4:$B$41,Boletas!$A$4:$A$41),Clientes!$A$2:$A$21,Clientes!$F$2:$F$21))</f>
        <v>Laura Rojas - 945678321</v>
      </c>
      <c r="D12" s="7">
        <f>SUMIFS(Boletas!$F$2:$F$41,Boletas!$B$2:$B$41,Resumen!A12)</f>
        <v>44500</v>
      </c>
      <c r="E12" s="7">
        <f>SUMIFS(Boletas!$G$2:$G$41,Boletas!$B$2:$B$41,Resumen!A12)</f>
        <v>8455</v>
      </c>
      <c r="F12" s="7">
        <f>SUMIFS(Boletas!$H$2:$H$41,Boletas!$B$2:$B$41,Resumen!A12)</f>
        <v>52955</v>
      </c>
      <c r="J12" s="5">
        <v>15</v>
      </c>
      <c r="K12" s="5" t="str">
        <f>_xlfn.XLOOKUP(_xlfn.XLOOKUP(J12,Boletas!$B$4:$B$41,Boletas!$A$4:$A$41),Clientes!$A$2:$A$21,Clientes!$B$2:$B$21)</f>
        <v>Sofía Pérez</v>
      </c>
      <c r="L12" s="7">
        <f>SUMIFS(Boletas!$H$2:$H$41,Boletas!$B$2:$B$41,J12)</f>
        <v>34272</v>
      </c>
    </row>
    <row r="13" spans="1:12" x14ac:dyDescent="0.25">
      <c r="A13" s="5">
        <v>12</v>
      </c>
      <c r="B13" s="6">
        <v>45234</v>
      </c>
      <c r="C13" s="6" t="str">
        <f>_xlfn.CONCAT(_xlfn.XLOOKUP(_xlfn.XLOOKUP(Resumen!A13,Boletas!$B$4:$B$41,Boletas!$A$4:$A$41),Clientes!$A$2:$A$21,Clientes!$B$2:$B$21)," - ",_xlfn.XLOOKUP(_xlfn.XLOOKUP(Resumen!A13,Boletas!$B$4:$B$41,Boletas!$A$4:$A$41),Clientes!$A$2:$A$21,Clientes!$F$2:$F$21))</f>
        <v>Mateo Díaz - 967894512</v>
      </c>
      <c r="D13" s="7">
        <f>SUMIFS(Boletas!$F$2:$F$41,Boletas!$B$2:$B$41,Resumen!A13)</f>
        <v>30000</v>
      </c>
      <c r="E13" s="7">
        <f>SUMIFS(Boletas!$G$2:$G$41,Boletas!$B$2:$B$41,Resumen!A13)</f>
        <v>5700</v>
      </c>
      <c r="F13" s="7">
        <f>SUMIFS(Boletas!$H$2:$H$41,Boletas!$B$2:$B$41,Resumen!A13)</f>
        <v>35700</v>
      </c>
      <c r="J13" s="5">
        <v>17</v>
      </c>
      <c r="K13" s="5" t="str">
        <f>_xlfn.XLOOKUP(_xlfn.XLOOKUP(J13,Boletas!$B$4:$B$41,Boletas!$A$4:$A$41),Clientes!$A$2:$A$21,Clientes!$B$2:$B$21)</f>
        <v>Mateo Díaz</v>
      </c>
      <c r="L13" s="7">
        <f>SUMIFS(Boletas!$H$2:$H$41,Boletas!$B$2:$B$41,J13)</f>
        <v>5950</v>
      </c>
    </row>
    <row r="14" spans="1:12" x14ac:dyDescent="0.25">
      <c r="A14" s="5">
        <v>13</v>
      </c>
      <c r="B14" s="6">
        <v>45236</v>
      </c>
      <c r="C14" s="6" t="str">
        <f>_xlfn.CONCAT(_xlfn.XLOOKUP(_xlfn.XLOOKUP(Resumen!A14,Boletas!$B$4:$B$41,Boletas!$A$4:$A$41),Clientes!$A$2:$A$21,Clientes!$B$2:$B$21)," - ",_xlfn.XLOOKUP(_xlfn.XLOOKUP(Resumen!A14,Boletas!$B$4:$B$41,Boletas!$A$4:$A$41),Clientes!$A$2:$A$21,Clientes!$F$2:$F$21))</f>
        <v>Valentina Herrera - 923478965</v>
      </c>
      <c r="D14" s="7">
        <f>SUMIFS(Boletas!$F$2:$F$41,Boletas!$B$2:$B$41,Resumen!A14)</f>
        <v>16000</v>
      </c>
      <c r="E14" s="7">
        <f>SUMIFS(Boletas!$G$2:$G$41,Boletas!$B$2:$B$41,Resumen!A14)</f>
        <v>3040</v>
      </c>
      <c r="F14" s="7">
        <f>SUMIFS(Boletas!$H$2:$H$41,Boletas!$B$2:$B$41,Resumen!A14)</f>
        <v>19040</v>
      </c>
      <c r="J14" s="5">
        <v>19</v>
      </c>
      <c r="K14" s="5" t="str">
        <f>_xlfn.XLOOKUP(_xlfn.XLOOKUP(J14,Boletas!$B$4:$B$41,Boletas!$A$4:$A$41),Clientes!$A$2:$A$21,Clientes!$B$2:$B$21)</f>
        <v>Martín Gómez</v>
      </c>
      <c r="L14" s="7">
        <f>SUMIFS(Boletas!$H$2:$H$41,Boletas!$B$2:$B$41,J14)</f>
        <v>27965</v>
      </c>
    </row>
    <row r="15" spans="1:12" x14ac:dyDescent="0.25">
      <c r="A15" s="5">
        <v>14</v>
      </c>
      <c r="B15" s="6">
        <v>45238</v>
      </c>
      <c r="C15" s="6" t="str">
        <f>_xlfn.CONCAT(_xlfn.XLOOKUP(_xlfn.XLOOKUP(Resumen!A15,Boletas!$B$4:$B$41,Boletas!$A$4:$A$41),Clientes!$A$2:$A$21,Clientes!$B$2:$B$21)," - ",_xlfn.XLOOKUP(_xlfn.XLOOKUP(Resumen!A15,Boletas!$B$4:$B$41,Boletas!$A$4:$A$41),Clientes!$A$2:$A$21,Clientes!$F$2:$F$21))</f>
        <v>Martín Gómez - 955678902</v>
      </c>
      <c r="D15" s="7">
        <f>SUMIFS(Boletas!$F$2:$F$41,Boletas!$B$2:$B$41,Resumen!A15)</f>
        <v>9100</v>
      </c>
      <c r="E15" s="7">
        <f>SUMIFS(Boletas!$G$2:$G$41,Boletas!$B$2:$B$41,Resumen!A15)</f>
        <v>1729</v>
      </c>
      <c r="F15" s="7">
        <f>SUMIFS(Boletas!$H$2:$H$41,Boletas!$B$2:$B$41,Resumen!A15)</f>
        <v>10829</v>
      </c>
    </row>
    <row r="16" spans="1:12" x14ac:dyDescent="0.25">
      <c r="A16" s="5">
        <v>15</v>
      </c>
      <c r="B16" s="6">
        <v>45241</v>
      </c>
      <c r="C16" s="6" t="str">
        <f>_xlfn.CONCAT(_xlfn.XLOOKUP(_xlfn.XLOOKUP(Resumen!A16,Boletas!$B$4:$B$41,Boletas!$A$4:$A$41),Clientes!$A$2:$A$21,Clientes!$B$2:$B$21)," - ",_xlfn.XLOOKUP(_xlfn.XLOOKUP(Resumen!A16,Boletas!$B$4:$B$41,Boletas!$A$4:$A$41),Clientes!$A$2:$A$21,Clientes!$F$2:$F$21))</f>
        <v>Sofía Pérez - 912345672</v>
      </c>
      <c r="D16" s="7">
        <f>SUMIFS(Boletas!$F$2:$F$41,Boletas!$B$2:$B$41,Resumen!A16)</f>
        <v>28800</v>
      </c>
      <c r="E16" s="7">
        <f>SUMIFS(Boletas!$G$2:$G$41,Boletas!$B$2:$B$41,Resumen!A16)</f>
        <v>5472</v>
      </c>
      <c r="F16" s="7">
        <f>SUMIFS(Boletas!$H$2:$H$41,Boletas!$B$2:$B$41,Resumen!A16)</f>
        <v>34272</v>
      </c>
    </row>
    <row r="17" spans="1:6" x14ac:dyDescent="0.25">
      <c r="A17" s="5">
        <v>16</v>
      </c>
      <c r="B17" s="6">
        <v>45244</v>
      </c>
      <c r="C17" s="6" t="str">
        <f>_xlfn.CONCAT(_xlfn.XLOOKUP(_xlfn.XLOOKUP(Resumen!A17,Boletas!$B$4:$B$41,Boletas!$A$4:$A$41),Clientes!$A$2:$A$21,Clientes!$B$2:$B$21)," - ",_xlfn.XLOOKUP(_xlfn.XLOOKUP(Resumen!A17,Boletas!$B$4:$B$41,Boletas!$A$4:$A$41),Clientes!$A$2:$A$21,Clientes!$F$2:$F$21))</f>
        <v>Laura Rojas - 945678321</v>
      </c>
      <c r="D17" s="7">
        <f>SUMIFS(Boletas!$F$2:$F$41,Boletas!$B$2:$B$41,Resumen!A17)</f>
        <v>36000</v>
      </c>
      <c r="E17" s="7">
        <f>SUMIFS(Boletas!$G$2:$G$41,Boletas!$B$2:$B$41,Resumen!A17)</f>
        <v>6840</v>
      </c>
      <c r="F17" s="7">
        <f>SUMIFS(Boletas!$H$2:$H$41,Boletas!$B$2:$B$41,Resumen!A17)</f>
        <v>42840</v>
      </c>
    </row>
    <row r="18" spans="1:6" x14ac:dyDescent="0.25">
      <c r="A18" s="5">
        <v>17</v>
      </c>
      <c r="B18" s="6">
        <v>45247</v>
      </c>
      <c r="C18" s="6" t="str">
        <f>_xlfn.CONCAT(_xlfn.XLOOKUP(_xlfn.XLOOKUP(Resumen!A18,Boletas!$B$4:$B$41,Boletas!$A$4:$A$41),Clientes!$A$2:$A$21,Clientes!$B$2:$B$21)," - ",_xlfn.XLOOKUP(_xlfn.XLOOKUP(Resumen!A18,Boletas!$B$4:$B$41,Boletas!$A$4:$A$41),Clientes!$A$2:$A$21,Clientes!$F$2:$F$21))</f>
        <v>Mateo Díaz - 967894512</v>
      </c>
      <c r="D18" s="7">
        <f>SUMIFS(Boletas!$F$2:$F$41,Boletas!$B$2:$B$41,Resumen!A18)</f>
        <v>5000</v>
      </c>
      <c r="E18" s="7">
        <f>SUMIFS(Boletas!$G$2:$G$41,Boletas!$B$2:$B$41,Resumen!A18)</f>
        <v>950</v>
      </c>
      <c r="F18" s="7">
        <f>SUMIFS(Boletas!$H$2:$H$41,Boletas!$B$2:$B$41,Resumen!A18)</f>
        <v>5950</v>
      </c>
    </row>
    <row r="19" spans="1:6" x14ac:dyDescent="0.25">
      <c r="A19" s="5">
        <v>18</v>
      </c>
      <c r="B19" s="6">
        <v>45250</v>
      </c>
      <c r="C19" s="6" t="str">
        <f>_xlfn.CONCAT(_xlfn.XLOOKUP(_xlfn.XLOOKUP(Resumen!A19,Boletas!$B$4:$B$41,Boletas!$A$4:$A$41),Clientes!$A$2:$A$21,Clientes!$B$2:$B$21)," - ",_xlfn.XLOOKUP(_xlfn.XLOOKUP(Resumen!A19,Boletas!$B$4:$B$41,Boletas!$A$4:$A$41),Clientes!$A$2:$A$21,Clientes!$F$2:$F$21))</f>
        <v>Valentina Herrera - 923478965</v>
      </c>
      <c r="D19" s="7">
        <f>SUMIFS(Boletas!$F$2:$F$41,Boletas!$B$2:$B$41,Resumen!A19)</f>
        <v>105900</v>
      </c>
      <c r="E19" s="7">
        <f>SUMIFS(Boletas!$G$2:$G$41,Boletas!$B$2:$B$41,Resumen!A19)</f>
        <v>20121</v>
      </c>
      <c r="F19" s="7">
        <f>SUMIFS(Boletas!$H$2:$H$41,Boletas!$B$2:$B$41,Resumen!A19)</f>
        <v>126021</v>
      </c>
    </row>
    <row r="20" spans="1:6" x14ac:dyDescent="0.25">
      <c r="A20" s="5">
        <v>19</v>
      </c>
      <c r="B20" s="6">
        <v>45253</v>
      </c>
      <c r="C20" s="6" t="str">
        <f>_xlfn.CONCAT(_xlfn.XLOOKUP(_xlfn.XLOOKUP(Resumen!A20,Boletas!$B$4:$B$41,Boletas!$A$4:$A$41),Clientes!$A$2:$A$21,Clientes!$B$2:$B$21)," - ",_xlfn.XLOOKUP(_xlfn.XLOOKUP(Resumen!A20,Boletas!$B$4:$B$41,Boletas!$A$4:$A$41),Clientes!$A$2:$A$21,Clientes!$F$2:$F$21))</f>
        <v>Martín Gómez - 955678902</v>
      </c>
      <c r="D20" s="7">
        <f>SUMIFS(Boletas!$F$2:$F$41,Boletas!$B$2:$B$41,Resumen!A20)</f>
        <v>23500</v>
      </c>
      <c r="E20" s="7">
        <f>SUMIFS(Boletas!$G$2:$G$41,Boletas!$B$2:$B$41,Resumen!A20)</f>
        <v>4465</v>
      </c>
      <c r="F20" s="7">
        <f>SUMIFS(Boletas!$H$2:$H$41,Boletas!$B$2:$B$41,Resumen!A20)</f>
        <v>27965</v>
      </c>
    </row>
    <row r="21" spans="1:6" x14ac:dyDescent="0.25">
      <c r="A21" s="5">
        <v>20</v>
      </c>
      <c r="B21" s="6">
        <v>45256</v>
      </c>
      <c r="C21" s="6" t="str">
        <f>_xlfn.CONCAT(_xlfn.XLOOKUP(_xlfn.XLOOKUP(Resumen!A21,Boletas!$B$4:$B$41,Boletas!$A$4:$A$41),Clientes!$A$2:$A$21,Clientes!$B$2:$B$21)," - ",_xlfn.XLOOKUP(_xlfn.XLOOKUP(Resumen!A21,Boletas!$B$4:$B$41,Boletas!$A$4:$A$41),Clientes!$A$2:$A$21,Clientes!$F$2:$F$21))</f>
        <v>Sofía Pérez - 912345672</v>
      </c>
      <c r="D21" s="7">
        <f>SUMIFS(Boletas!$F$2:$F$41,Boletas!$B$2:$B$41,Resumen!A21)</f>
        <v>5000</v>
      </c>
      <c r="E21" s="7">
        <f>SUMIFS(Boletas!$G$2:$G$41,Boletas!$B$2:$B$41,Resumen!A21)</f>
        <v>950</v>
      </c>
      <c r="F21" s="7">
        <f>SUMIFS(Boletas!$H$2:$H$41,Boletas!$B$2:$B$41,Resumen!A21)</f>
        <v>5950</v>
      </c>
    </row>
    <row r="22" spans="1:6" x14ac:dyDescent="0.25">
      <c r="A22" s="5">
        <v>21</v>
      </c>
      <c r="B22" s="6">
        <v>45232</v>
      </c>
      <c r="C22" s="6" t="str">
        <f>_xlfn.CONCAT(_xlfn.XLOOKUP(_xlfn.XLOOKUP(Resumen!A22,Boletas!$B$4:$B$41,Boletas!$A$4:$A$41),Clientes!$A$2:$A$21,Clientes!$B$2:$B$21)," - ",_xlfn.XLOOKUP(_xlfn.XLOOKUP(Resumen!A22,Boletas!$B$4:$B$41,Boletas!$A$4:$A$41),Clientes!$A$2:$A$21,Clientes!$F$2:$F$21))</f>
        <v>Laura Rojas - 945678321</v>
      </c>
      <c r="D22" s="7">
        <f>SUMIFS(Boletas!$F$2:$F$41,Boletas!$B$2:$B$41,Resumen!A22)</f>
        <v>16000</v>
      </c>
      <c r="E22" s="7">
        <f>SUMIFS(Boletas!$G$2:$G$41,Boletas!$B$2:$B$41,Resumen!A22)</f>
        <v>3040</v>
      </c>
      <c r="F22" s="7">
        <f>SUMIFS(Boletas!$H$2:$H$41,Boletas!$B$2:$B$41,Resumen!A22)</f>
        <v>19040</v>
      </c>
    </row>
    <row r="23" spans="1:6" x14ac:dyDescent="0.25">
      <c r="A23" s="5">
        <v>22</v>
      </c>
      <c r="B23" s="6">
        <v>45244</v>
      </c>
      <c r="C23" s="6" t="str">
        <f>_xlfn.CONCAT(_xlfn.XLOOKUP(_xlfn.XLOOKUP(Resumen!A23,Boletas!$B$4:$B$41,Boletas!$A$4:$A$41),Clientes!$A$2:$A$21,Clientes!$B$2:$B$21)," - ",_xlfn.XLOOKUP(_xlfn.XLOOKUP(Resumen!A23,Boletas!$B$4:$B$41,Boletas!$A$4:$A$41),Clientes!$A$2:$A$21,Clientes!$F$2:$F$21))</f>
        <v>Laura Rojas - 945678321</v>
      </c>
      <c r="D23" s="7">
        <f>SUMIFS(Boletas!$F$2:$F$41,Boletas!$B$2:$B$41,Resumen!A23)</f>
        <v>2000</v>
      </c>
      <c r="E23" s="7">
        <f>SUMIFS(Boletas!$G$2:$G$41,Boletas!$B$2:$B$41,Resumen!A23)</f>
        <v>380</v>
      </c>
      <c r="F23" s="7">
        <f>SUMIFS(Boletas!$H$2:$H$41,Boletas!$B$2:$B$41,Resumen!A23)</f>
        <v>2380</v>
      </c>
    </row>
    <row r="24" spans="1:6" x14ac:dyDescent="0.25">
      <c r="A24" s="5">
        <v>23</v>
      </c>
      <c r="B24" s="6">
        <v>45235</v>
      </c>
      <c r="C24" s="6" t="str">
        <f>_xlfn.CONCAT(_xlfn.XLOOKUP(_xlfn.XLOOKUP(Resumen!A24,Boletas!$B$4:$B$41,Boletas!$A$4:$A$41),Clientes!$A$2:$A$21,Clientes!$B$2:$B$21)," - ",_xlfn.XLOOKUP(_xlfn.XLOOKUP(Resumen!A24,Boletas!$B$4:$B$41,Boletas!$A$4:$A$41),Clientes!$A$2:$A$21,Clientes!$F$2:$F$21))</f>
        <v>Juan Pérez - 912345678</v>
      </c>
      <c r="D24" s="7">
        <f>SUMIFS(Boletas!$F$2:$F$41,Boletas!$B$2:$B$41,Resumen!A24)</f>
        <v>16000</v>
      </c>
      <c r="E24" s="7">
        <f>SUMIFS(Boletas!$G$2:$G$41,Boletas!$B$2:$B$41,Resumen!A24)</f>
        <v>3040</v>
      </c>
      <c r="F24" s="7">
        <f>SUMIFS(Boletas!$H$2:$H$41,Boletas!$B$2:$B$41,Resumen!A24)</f>
        <v>19040</v>
      </c>
    </row>
    <row r="25" spans="1:6" x14ac:dyDescent="0.25">
      <c r="A25" s="5">
        <v>24</v>
      </c>
      <c r="B25" s="6">
        <v>45239</v>
      </c>
      <c r="C25" s="6" t="str">
        <f>_xlfn.CONCAT(_xlfn.XLOOKUP(_xlfn.XLOOKUP(Resumen!A25,Boletas!$B$4:$B$41,Boletas!$A$4:$A$41),Clientes!$A$2:$A$21,Clientes!$B$2:$B$21)," - ",_xlfn.XLOOKUP(_xlfn.XLOOKUP(Resumen!A25,Boletas!$B$4:$B$41,Boletas!$A$4:$A$41),Clientes!$A$2:$A$21,Clientes!$F$2:$F$21))</f>
        <v>Pedro Rodríguez - 912345678</v>
      </c>
      <c r="D25" s="7">
        <f>SUMIFS(Boletas!$F$2:$F$41,Boletas!$B$2:$B$41,Resumen!A25)</f>
        <v>235000</v>
      </c>
      <c r="E25" s="7">
        <f>SUMIFS(Boletas!$G$2:$G$41,Boletas!$B$2:$B$41,Resumen!A25)</f>
        <v>44650</v>
      </c>
      <c r="F25" s="7">
        <f>SUMIFS(Boletas!$H$2:$H$41,Boletas!$B$2:$B$41,Resumen!A25)</f>
        <v>279650</v>
      </c>
    </row>
  </sheetData>
  <mergeCells count="1">
    <mergeCell ref="J3:L3"/>
  </mergeCells>
  <conditionalFormatting sqref="F2:F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5">
    <cfRule type="cellIs" dxfId="5" priority="1" operator="lessThan">
      <formula>10000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EE11-5FD0-4100-919C-2126805C24C5}">
  <dimension ref="A1:B1"/>
  <sheetViews>
    <sheetView workbookViewId="0">
      <selection activeCell="B1" sqref="B1"/>
    </sheetView>
  </sheetViews>
  <sheetFormatPr baseColWidth="10" defaultRowHeight="15" x14ac:dyDescent="0.25"/>
  <cols>
    <col min="1" max="16384" width="11.42578125" style="4"/>
  </cols>
  <sheetData>
    <row r="1" spans="1:2" x14ac:dyDescent="0.25">
      <c r="A1" s="12" t="s">
        <v>121</v>
      </c>
      <c r="B1" s="16">
        <v>0.19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17E6-3146-4E45-9D26-3CBEBF13B0DF}">
  <dimension ref="A1:R25"/>
  <sheetViews>
    <sheetView workbookViewId="0">
      <selection activeCell="H1" sqref="H1:R21"/>
    </sheetView>
  </sheetViews>
  <sheetFormatPr baseColWidth="10" defaultRowHeight="15" x14ac:dyDescent="0.25"/>
  <cols>
    <col min="1" max="1" width="14.7109375" style="4" bestFit="1" customWidth="1"/>
    <col min="2" max="2" width="13.42578125" style="4" customWidth="1"/>
    <col min="3" max="3" width="11.28515625" style="4" customWidth="1"/>
    <col min="4" max="7" width="11.42578125" style="4"/>
    <col min="8" max="8" width="15.85546875" style="4" bestFit="1" customWidth="1"/>
    <col min="9" max="9" width="17.140625" style="4" bestFit="1" customWidth="1"/>
    <col min="10" max="10" width="8.5703125" style="4" bestFit="1" customWidth="1"/>
    <col min="11" max="12" width="11.42578125" style="4"/>
    <col min="13" max="13" width="15.85546875" style="4" bestFit="1" customWidth="1"/>
    <col min="14" max="14" width="17.140625" style="4" bestFit="1" customWidth="1"/>
    <col min="15" max="15" width="11.85546875" style="4" bestFit="1" customWidth="1"/>
    <col min="16" max="16" width="10.7109375" style="4" bestFit="1" customWidth="1"/>
    <col min="17" max="17" width="16.85546875" style="4" bestFit="1" customWidth="1"/>
    <col min="18" max="16384" width="11.42578125" style="4"/>
  </cols>
  <sheetData>
    <row r="1" spans="1:18" x14ac:dyDescent="0.25">
      <c r="A1" s="18" t="s">
        <v>7</v>
      </c>
      <c r="B1" s="18" t="s">
        <v>8</v>
      </c>
      <c r="C1" s="17" t="s">
        <v>128</v>
      </c>
      <c r="H1" s="18" t="s">
        <v>9</v>
      </c>
      <c r="I1" s="18" t="s">
        <v>10</v>
      </c>
      <c r="J1" s="17" t="s">
        <v>128</v>
      </c>
      <c r="P1" s="18" t="s">
        <v>136</v>
      </c>
      <c r="Q1" s="18" t="s">
        <v>133</v>
      </c>
      <c r="R1" s="17" t="s">
        <v>135</v>
      </c>
    </row>
    <row r="2" spans="1:18" x14ac:dyDescent="0.25">
      <c r="A2" s="5">
        <v>1</v>
      </c>
      <c r="B2" s="6">
        <v>45235</v>
      </c>
      <c r="C2" s="7">
        <v>139825</v>
      </c>
      <c r="H2" s="10">
        <v>103</v>
      </c>
      <c r="I2" s="5" t="s">
        <v>31</v>
      </c>
      <c r="J2" s="7">
        <f>SUMIFS(Boletas!$F$2:$F$41,Boletas!$D$2:$D$41,Gráficos!H2)</f>
        <v>198000</v>
      </c>
      <c r="P2" s="5" t="s">
        <v>67</v>
      </c>
      <c r="Q2" s="5" t="s">
        <v>68</v>
      </c>
      <c r="R2" s="7">
        <f>SUMIFS(Boletas!$H$2:$H$41,Boletas!$A$2:$A$41,Gráficos!P2)</f>
        <v>16660</v>
      </c>
    </row>
    <row r="3" spans="1:18" x14ac:dyDescent="0.25">
      <c r="A3" s="5">
        <v>2</v>
      </c>
      <c r="B3" s="6">
        <v>45237</v>
      </c>
      <c r="C3" s="7">
        <v>9520</v>
      </c>
      <c r="H3" s="10">
        <v>113</v>
      </c>
      <c r="I3" s="5" t="s">
        <v>58</v>
      </c>
      <c r="J3" s="7">
        <f>SUMIFS(Boletas!$F$2:$F$41,Boletas!$D$2:$D$41,Gráficos!H3)</f>
        <v>7200</v>
      </c>
      <c r="P3" s="5" t="s">
        <v>38</v>
      </c>
      <c r="Q3" s="5" t="s">
        <v>39</v>
      </c>
      <c r="R3" s="7">
        <f>SUMIFS(Boletas!$H$2:$H$41,Boletas!$A$2:$A$41,Gráficos!P3)</f>
        <v>0</v>
      </c>
    </row>
    <row r="4" spans="1:18" x14ac:dyDescent="0.25">
      <c r="A4" s="5">
        <v>3</v>
      </c>
      <c r="B4" s="6">
        <v>45239</v>
      </c>
      <c r="C4" s="7">
        <v>60928</v>
      </c>
      <c r="H4" s="10">
        <v>101</v>
      </c>
      <c r="I4" s="5" t="s">
        <v>30</v>
      </c>
      <c r="J4" s="7">
        <f>SUMIFS(Boletas!$F$2:$F$41,Boletas!$D$2:$D$41,Gráficos!H4)</f>
        <v>36000</v>
      </c>
      <c r="P4" s="5" t="s">
        <v>48</v>
      </c>
      <c r="Q4" s="5" t="s">
        <v>49</v>
      </c>
      <c r="R4" s="7">
        <f>SUMIFS(Boletas!$H$2:$H$41,Boletas!$A$2:$A$41,Gráficos!P4)</f>
        <v>16660</v>
      </c>
    </row>
    <row r="5" spans="1:18" x14ac:dyDescent="0.25">
      <c r="A5" s="5">
        <v>4</v>
      </c>
      <c r="B5" s="6">
        <v>45242</v>
      </c>
      <c r="C5" s="7">
        <v>16660</v>
      </c>
      <c r="H5" s="10">
        <v>106</v>
      </c>
      <c r="I5" s="5" t="s">
        <v>32</v>
      </c>
      <c r="J5" s="7">
        <f>SUMIFS(Boletas!$F$2:$F$41,Boletas!$D$2:$D$41,Gráficos!H5)</f>
        <v>30000</v>
      </c>
      <c r="P5" s="5" t="s">
        <v>98</v>
      </c>
      <c r="Q5" s="5" t="s">
        <v>99</v>
      </c>
      <c r="R5" s="7">
        <f>SUMIFS(Boletas!$H$2:$H$41,Boletas!$A$2:$A$41,Gráficos!P5)</f>
        <v>12495</v>
      </c>
    </row>
    <row r="6" spans="1:18" x14ac:dyDescent="0.25">
      <c r="A6" s="5">
        <v>5</v>
      </c>
      <c r="B6" s="6">
        <v>45245</v>
      </c>
      <c r="C6" s="7">
        <v>4284</v>
      </c>
      <c r="H6" s="10">
        <v>107</v>
      </c>
      <c r="I6" s="5" t="s">
        <v>22</v>
      </c>
      <c r="J6" s="7">
        <f>SUMIFS(Boletas!$F$2:$F$41,Boletas!$D$2:$D$41,Gráficos!H6)</f>
        <v>65000</v>
      </c>
      <c r="P6" s="5" t="s">
        <v>53</v>
      </c>
      <c r="Q6" s="5" t="s">
        <v>54</v>
      </c>
      <c r="R6" s="7">
        <f>SUMIFS(Boletas!$H$2:$H$41,Boletas!$A$2:$A$41,Gráficos!P6)</f>
        <v>4284</v>
      </c>
    </row>
    <row r="7" spans="1:18" x14ac:dyDescent="0.25">
      <c r="A7" s="5">
        <v>6</v>
      </c>
      <c r="B7" s="6">
        <v>45248</v>
      </c>
      <c r="C7" s="7">
        <v>16660</v>
      </c>
      <c r="H7" s="10">
        <v>117</v>
      </c>
      <c r="I7" s="5" t="s">
        <v>106</v>
      </c>
      <c r="J7" s="7">
        <f>SUMIFS(Boletas!$F$2:$F$41,Boletas!$D$2:$D$41,Gráficos!H7)</f>
        <v>28800</v>
      </c>
      <c r="P7" s="5" t="s">
        <v>86</v>
      </c>
      <c r="Q7" s="5" t="s">
        <v>87</v>
      </c>
      <c r="R7" s="7">
        <f>SUMIFS(Boletas!$H$2:$H$41,Boletas!$A$2:$A$41,Gráficos!P7)</f>
        <v>11900</v>
      </c>
    </row>
    <row r="8" spans="1:18" x14ac:dyDescent="0.25">
      <c r="A8" s="5">
        <v>7</v>
      </c>
      <c r="B8" s="6">
        <v>45251</v>
      </c>
      <c r="C8" s="7">
        <v>129115</v>
      </c>
      <c r="H8" s="10">
        <v>118</v>
      </c>
      <c r="I8" s="5" t="s">
        <v>113</v>
      </c>
      <c r="J8" s="7">
        <f>SUMIFS(Boletas!$F$2:$F$41,Boletas!$D$2:$D$41,Gráficos!H8)</f>
        <v>0</v>
      </c>
      <c r="P8" s="5" t="s">
        <v>25</v>
      </c>
      <c r="Q8" s="5" t="s">
        <v>26</v>
      </c>
      <c r="R8" s="7">
        <f>SUMIFS(Boletas!$H$2:$H$41,Boletas!$A$2:$A$41,Gráficos!P8)</f>
        <v>158865</v>
      </c>
    </row>
    <row r="9" spans="1:18" x14ac:dyDescent="0.25">
      <c r="A9" s="5">
        <v>8</v>
      </c>
      <c r="B9" s="6">
        <v>45254</v>
      </c>
      <c r="C9" s="7">
        <v>11900</v>
      </c>
      <c r="H9" s="10">
        <v>102</v>
      </c>
      <c r="I9" s="5" t="s">
        <v>66</v>
      </c>
      <c r="J9" s="7">
        <f>SUMIFS(Boletas!$F$2:$F$41,Boletas!$D$2:$D$41,Gráficos!H9)</f>
        <v>14400</v>
      </c>
      <c r="P9" s="5" t="s">
        <v>17</v>
      </c>
      <c r="Q9" s="5" t="s">
        <v>18</v>
      </c>
      <c r="R9" s="7">
        <f>SUMIFS(Boletas!$H$2:$H$41,Boletas!$A$2:$A$41,Gráficos!P9)</f>
        <v>117215</v>
      </c>
    </row>
    <row r="10" spans="1:18" x14ac:dyDescent="0.25">
      <c r="A10" s="5">
        <v>9</v>
      </c>
      <c r="B10" s="6">
        <v>45257</v>
      </c>
      <c r="C10" s="7">
        <v>15470</v>
      </c>
      <c r="H10" s="10">
        <v>115</v>
      </c>
      <c r="I10" s="5" t="s">
        <v>70</v>
      </c>
      <c r="J10" s="7">
        <f>SUMIFS(Boletas!$F$2:$F$41,Boletas!$D$2:$D$41,Gráficos!H10)</f>
        <v>14000</v>
      </c>
      <c r="P10" s="5" t="s">
        <v>71</v>
      </c>
      <c r="Q10" s="5" t="s">
        <v>72</v>
      </c>
      <c r="R10" s="7">
        <f>SUMIFS(Boletas!$H$2:$H$41,Boletas!$A$2:$A$41,Gráficos!P10)</f>
        <v>129115</v>
      </c>
    </row>
    <row r="11" spans="1:18" x14ac:dyDescent="0.25">
      <c r="A11" s="5">
        <v>10</v>
      </c>
      <c r="B11" s="6">
        <v>45259</v>
      </c>
      <c r="C11" s="7">
        <v>12495</v>
      </c>
      <c r="H11" s="10">
        <v>109</v>
      </c>
      <c r="I11" s="5" t="s">
        <v>23</v>
      </c>
      <c r="J11" s="7">
        <f>SUMIFS(Boletas!$F$2:$F$41,Boletas!$D$2:$D$41,Gráficos!H11)</f>
        <v>24500</v>
      </c>
      <c r="P11" s="5" t="s">
        <v>90</v>
      </c>
      <c r="Q11" s="5" t="s">
        <v>91</v>
      </c>
      <c r="R11" s="7">
        <f>SUMIFS(Boletas!$H$2:$H$41,Boletas!$A$2:$A$41,Gráficos!P11)</f>
        <v>9520</v>
      </c>
    </row>
    <row r="12" spans="1:18" x14ac:dyDescent="0.25">
      <c r="A12" s="5">
        <v>11</v>
      </c>
      <c r="B12" s="6">
        <v>45232</v>
      </c>
      <c r="C12" s="7">
        <v>52955</v>
      </c>
      <c r="H12" s="10">
        <v>104</v>
      </c>
      <c r="I12" s="5" t="s">
        <v>81</v>
      </c>
      <c r="J12" s="7">
        <f>SUMIFS(Boletas!$F$2:$F$41,Boletas!$D$2:$D$41,Gráficos!H12)</f>
        <v>18000</v>
      </c>
      <c r="P12" s="5" t="s">
        <v>95</v>
      </c>
      <c r="Q12" s="5" t="s">
        <v>96</v>
      </c>
      <c r="R12" s="7">
        <f>SUMIFS(Boletas!$H$2:$H$41,Boletas!$A$2:$A$41,Gráficos!P12)</f>
        <v>15470</v>
      </c>
    </row>
    <row r="13" spans="1:18" x14ac:dyDescent="0.25">
      <c r="A13" s="5">
        <v>12</v>
      </c>
      <c r="B13" s="6">
        <v>45234</v>
      </c>
      <c r="C13" s="7">
        <v>35700</v>
      </c>
      <c r="H13" s="10">
        <v>120</v>
      </c>
      <c r="I13" s="5" t="s">
        <v>47</v>
      </c>
      <c r="J13" s="7">
        <f>SUMIFS(Boletas!$F$2:$F$41,Boletas!$D$2:$D$41,Gráficos!H13)</f>
        <v>25000</v>
      </c>
      <c r="P13" s="5" t="s">
        <v>77</v>
      </c>
      <c r="Q13" s="5" t="s">
        <v>78</v>
      </c>
      <c r="R13" s="7">
        <f>SUMIFS(Boletas!$H$2:$H$41,Boletas!$A$2:$A$41,Gráficos!P13)</f>
        <v>38794</v>
      </c>
    </row>
    <row r="14" spans="1:18" x14ac:dyDescent="0.25">
      <c r="A14" s="5">
        <v>13</v>
      </c>
      <c r="B14" s="6">
        <v>45236</v>
      </c>
      <c r="C14" s="7">
        <v>19040</v>
      </c>
      <c r="H14" s="10">
        <v>114</v>
      </c>
      <c r="I14" s="5" t="s">
        <v>112</v>
      </c>
      <c r="J14" s="7">
        <f>SUMIFS(Boletas!$F$2:$F$41,Boletas!$D$2:$D$41,Gráficos!H14)</f>
        <v>0</v>
      </c>
      <c r="P14" s="5" t="s">
        <v>42</v>
      </c>
      <c r="Q14" s="5" t="s">
        <v>43</v>
      </c>
      <c r="R14" s="7">
        <f>SUMIFS(Boletas!$H$2:$H$41,Boletas!$A$2:$A$41,Gráficos!P14)</f>
        <v>41650</v>
      </c>
    </row>
    <row r="15" spans="1:18" x14ac:dyDescent="0.25">
      <c r="A15" s="5">
        <v>14</v>
      </c>
      <c r="B15" s="6">
        <v>45238</v>
      </c>
      <c r="C15" s="7">
        <v>10829</v>
      </c>
      <c r="H15" s="10">
        <v>105</v>
      </c>
      <c r="I15" s="5" t="s">
        <v>101</v>
      </c>
      <c r="J15" s="7">
        <f>SUMIFS(Boletas!$F$2:$F$41,Boletas!$D$2:$D$41,Gráficos!H15)</f>
        <v>6000</v>
      </c>
      <c r="P15" s="5" t="s">
        <v>59</v>
      </c>
      <c r="Q15" s="5" t="s">
        <v>60</v>
      </c>
      <c r="R15" s="7">
        <f>SUMIFS(Boletas!$H$2:$H$41,Boletas!$A$2:$A$41,Gráficos!P15)</f>
        <v>0</v>
      </c>
    </row>
    <row r="16" spans="1:18" x14ac:dyDescent="0.25">
      <c r="A16" s="5">
        <v>15</v>
      </c>
      <c r="B16" s="6">
        <v>45241</v>
      </c>
      <c r="C16" s="7">
        <v>34272</v>
      </c>
      <c r="H16" s="10">
        <v>110</v>
      </c>
      <c r="I16" s="5" t="s">
        <v>37</v>
      </c>
      <c r="J16" s="7">
        <f>SUMIFS(Boletas!$F$2:$F$41,Boletas!$D$2:$D$41,Gráficos!H16)</f>
        <v>11200</v>
      </c>
      <c r="P16" s="5" t="s">
        <v>107</v>
      </c>
      <c r="Q16" s="5" t="s">
        <v>108</v>
      </c>
      <c r="R16" s="7">
        <f>SUMIFS(Boletas!$H$2:$H$41,Boletas!$A$2:$A$41,Gráficos!P16)</f>
        <v>0</v>
      </c>
    </row>
    <row r="17" spans="1:18" x14ac:dyDescent="0.25">
      <c r="A17" s="5">
        <v>16</v>
      </c>
      <c r="B17" s="6">
        <v>45244</v>
      </c>
      <c r="C17" s="7">
        <v>42840</v>
      </c>
      <c r="H17" s="10">
        <v>108</v>
      </c>
      <c r="I17" s="5" t="s">
        <v>111</v>
      </c>
      <c r="J17" s="7">
        <f>SUMIFS(Boletas!$F$2:$F$41,Boletas!$D$2:$D$41,Gráficos!H17)</f>
        <v>0</v>
      </c>
      <c r="P17" s="5" t="s">
        <v>33</v>
      </c>
      <c r="Q17" s="5" t="s">
        <v>34</v>
      </c>
      <c r="R17" s="7">
        <f>SUMIFS(Boletas!$H$2:$H$41,Boletas!$A$2:$A$41,Gráficos!P17)</f>
        <v>340578</v>
      </c>
    </row>
    <row r="18" spans="1:18" x14ac:dyDescent="0.25">
      <c r="A18" s="5">
        <v>17</v>
      </c>
      <c r="B18" s="6">
        <v>45247</v>
      </c>
      <c r="C18" s="7">
        <v>5950</v>
      </c>
      <c r="H18" s="10">
        <v>119</v>
      </c>
      <c r="I18" s="5" t="s">
        <v>24</v>
      </c>
      <c r="J18" s="7">
        <f>SUMIFS(Boletas!$F$2:$F$41,Boletas!$D$2:$D$41,Gráficos!H18)</f>
        <v>297000</v>
      </c>
      <c r="P18" s="5" t="s">
        <v>82</v>
      </c>
      <c r="Q18" s="5" t="s">
        <v>83</v>
      </c>
      <c r="R18" s="7">
        <f>SUMIFS(Boletas!$H$2:$H$41,Boletas!$A$2:$A$41,Gráficos!P18)</f>
        <v>0</v>
      </c>
    </row>
    <row r="19" spans="1:18" x14ac:dyDescent="0.25">
      <c r="A19" s="5">
        <v>18</v>
      </c>
      <c r="B19" s="6">
        <v>45250</v>
      </c>
      <c r="C19" s="7">
        <v>126021</v>
      </c>
      <c r="H19" s="10">
        <v>111</v>
      </c>
      <c r="I19" s="5" t="s">
        <v>46</v>
      </c>
      <c r="J19" s="7">
        <f>SUMIFS(Boletas!$F$2:$F$41,Boletas!$D$2:$D$41,Gráficos!H19)</f>
        <v>30000</v>
      </c>
      <c r="P19" s="5" t="s">
        <v>102</v>
      </c>
      <c r="Q19" s="5" t="s">
        <v>103</v>
      </c>
      <c r="R19" s="7">
        <f>SUMIFS(Boletas!$H$2:$H$41,Boletas!$A$2:$A$41,Gráficos!P19)</f>
        <v>40222</v>
      </c>
    </row>
    <row r="20" spans="1:18" x14ac:dyDescent="0.25">
      <c r="A20" s="5">
        <v>19</v>
      </c>
      <c r="B20" s="6">
        <v>45253</v>
      </c>
      <c r="C20" s="7">
        <v>27965</v>
      </c>
      <c r="H20" s="10">
        <v>116</v>
      </c>
      <c r="I20" s="5" t="s">
        <v>76</v>
      </c>
      <c r="J20" s="7">
        <f>SUMIFS(Boletas!$F$2:$F$41,Boletas!$D$2:$D$41,Gráficos!H20)</f>
        <v>88000</v>
      </c>
      <c r="P20" s="5" t="s">
        <v>13</v>
      </c>
      <c r="Q20" s="5" t="s">
        <v>14</v>
      </c>
      <c r="R20" s="7">
        <f>SUMIFS(Boletas!$H$2:$H$41,Boletas!$A$2:$A$41,Gráficos!P20)</f>
        <v>0</v>
      </c>
    </row>
    <row r="21" spans="1:18" x14ac:dyDescent="0.25">
      <c r="A21" s="5">
        <v>20</v>
      </c>
      <c r="B21" s="6">
        <v>45256</v>
      </c>
      <c r="C21" s="7">
        <v>5950</v>
      </c>
      <c r="H21" s="10">
        <v>112</v>
      </c>
      <c r="I21" s="5" t="s">
        <v>52</v>
      </c>
      <c r="J21" s="7">
        <f>SUMIFS(Boletas!$F$2:$F$41,Boletas!$D$2:$D$41,Gráficos!H21)</f>
        <v>30000</v>
      </c>
      <c r="P21" s="5" t="s">
        <v>62</v>
      </c>
      <c r="Q21" s="5" t="s">
        <v>63</v>
      </c>
      <c r="R21" s="7">
        <f>SUMIFS(Boletas!$H$2:$H$41,Boletas!$A$2:$A$41,Gráficos!P21)</f>
        <v>145061</v>
      </c>
    </row>
    <row r="22" spans="1:18" x14ac:dyDescent="0.25">
      <c r="A22" s="5">
        <v>21</v>
      </c>
      <c r="B22" s="6">
        <v>45232</v>
      </c>
      <c r="C22" s="7">
        <v>19040</v>
      </c>
    </row>
    <row r="23" spans="1:18" x14ac:dyDescent="0.25">
      <c r="A23" s="5">
        <v>22</v>
      </c>
      <c r="B23" s="6">
        <v>45244</v>
      </c>
      <c r="C23" s="7">
        <v>2380</v>
      </c>
    </row>
    <row r="24" spans="1:18" x14ac:dyDescent="0.25">
      <c r="A24" s="5">
        <v>23</v>
      </c>
      <c r="B24" s="6">
        <v>45235</v>
      </c>
      <c r="C24" s="7">
        <v>19040</v>
      </c>
    </row>
    <row r="25" spans="1:18" x14ac:dyDescent="0.25">
      <c r="A25" s="5">
        <v>24</v>
      </c>
      <c r="B25" s="6">
        <v>45239</v>
      </c>
      <c r="C25" s="7">
        <v>279650</v>
      </c>
    </row>
  </sheetData>
  <conditionalFormatting sqref="C2:C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Q21">
    <cfRule type="expression" dxfId="4" priority="2">
      <formula>ISBLANK(P2)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6187-56EC-47EE-9759-0F394E738BA0}">
  <dimension ref="A1:P21"/>
  <sheetViews>
    <sheetView workbookViewId="0">
      <selection activeCell="L20" sqref="L20"/>
    </sheetView>
  </sheetViews>
  <sheetFormatPr baseColWidth="10" defaultRowHeight="15" x14ac:dyDescent="0.25"/>
  <cols>
    <col min="2" max="2" width="20.28515625" style="25" bestFit="1" customWidth="1"/>
    <col min="6" max="6" width="20.42578125" bestFit="1" customWidth="1"/>
    <col min="7" max="7" width="21.7109375" bestFit="1" customWidth="1"/>
    <col min="8" max="8" width="10" bestFit="1" customWidth="1"/>
    <col min="14" max="14" width="10.7109375" bestFit="1" customWidth="1"/>
    <col min="15" max="15" width="16.85546875" bestFit="1" customWidth="1"/>
    <col min="16" max="16" width="14.85546875" customWidth="1"/>
  </cols>
  <sheetData>
    <row r="1" spans="1:16" x14ac:dyDescent="0.25">
      <c r="A1" s="22" t="s">
        <v>137</v>
      </c>
      <c r="B1" s="24" t="s">
        <v>128</v>
      </c>
      <c r="F1" s="32" t="s">
        <v>9</v>
      </c>
      <c r="G1" s="33" t="s">
        <v>10</v>
      </c>
      <c r="H1" s="34" t="s">
        <v>128</v>
      </c>
      <c r="I1" s="4"/>
      <c r="J1" s="4"/>
      <c r="K1" s="4"/>
      <c r="L1" s="4"/>
      <c r="M1" s="4"/>
      <c r="N1" s="32" t="s">
        <v>136</v>
      </c>
      <c r="O1" s="33" t="s">
        <v>133</v>
      </c>
      <c r="P1" s="34" t="s">
        <v>135</v>
      </c>
    </row>
    <row r="2" spans="1:16" x14ac:dyDescent="0.25">
      <c r="A2" s="21">
        <v>45235</v>
      </c>
      <c r="B2" s="26">
        <f>SUMIFS(Boletas!$H$1:$H$41,Boletas!$C$1:$C$41,Tabla1[[#This Row],[Fecha]])</f>
        <v>158865</v>
      </c>
      <c r="F2" s="29">
        <v>103</v>
      </c>
      <c r="G2" s="5" t="s">
        <v>31</v>
      </c>
      <c r="H2" s="31">
        <f>SUMIFS(Boletas!$F$2:$F$41,Boletas!$D$2:$D$41,Tabla2[[#This Row],[codigo_producto]])</f>
        <v>198000</v>
      </c>
      <c r="I2" s="4"/>
      <c r="J2" s="4"/>
      <c r="K2" s="4"/>
      <c r="L2" s="4"/>
      <c r="M2" s="4"/>
      <c r="N2" s="38" t="s">
        <v>67</v>
      </c>
      <c r="O2" s="5" t="s">
        <v>68</v>
      </c>
      <c r="P2" s="31">
        <f>SUMIFS(Boletas!$H$2:$H$41,Boletas!$A$2:$A$41,Tabla3[[#This Row],[Rut]])</f>
        <v>16660</v>
      </c>
    </row>
    <row r="3" spans="1:16" x14ac:dyDescent="0.25">
      <c r="A3" s="21">
        <v>45237</v>
      </c>
      <c r="B3" s="27">
        <f>SUMIFS(Boletas!$H$1:$H$41,Boletas!$C$1:$C$41,Tabla1[[#This Row],[Fecha]])</f>
        <v>9520</v>
      </c>
      <c r="F3" s="29">
        <v>113</v>
      </c>
      <c r="G3" s="5" t="s">
        <v>58</v>
      </c>
      <c r="H3" s="31">
        <f>SUMIFS(Boletas!$F$2:$F$41,Boletas!$D$2:$D$41,Tabla2[[#This Row],[codigo_producto]])</f>
        <v>7200</v>
      </c>
      <c r="I3" s="4"/>
      <c r="J3" s="4"/>
      <c r="K3" s="4"/>
      <c r="L3" s="4"/>
      <c r="M3" s="4"/>
      <c r="N3" s="38" t="s">
        <v>38</v>
      </c>
      <c r="O3" s="5" t="s">
        <v>39</v>
      </c>
      <c r="P3" s="31">
        <f>SUMIFS(Boletas!$H$2:$H$41,Boletas!$A$2:$A$41,Tabla3[[#This Row],[Rut]])</f>
        <v>0</v>
      </c>
    </row>
    <row r="4" spans="1:16" x14ac:dyDescent="0.25">
      <c r="A4" s="21">
        <v>45239</v>
      </c>
      <c r="B4" s="27">
        <f>SUMIFS(Boletas!$H$1:$H$41,Boletas!$C$1:$C$41,Tabla1[[#This Row],[Fecha]])</f>
        <v>340578</v>
      </c>
      <c r="F4" s="29">
        <v>101</v>
      </c>
      <c r="G4" s="5" t="s">
        <v>30</v>
      </c>
      <c r="H4" s="31">
        <f>SUMIFS(Boletas!$F$2:$F$41,Boletas!$D$2:$D$41,Tabla2[[#This Row],[codigo_producto]])</f>
        <v>36000</v>
      </c>
      <c r="I4" s="4"/>
      <c r="J4" s="4"/>
      <c r="K4" s="4"/>
      <c r="L4" s="4"/>
      <c r="M4" s="4"/>
      <c r="N4" s="38" t="s">
        <v>48</v>
      </c>
      <c r="O4" s="5" t="s">
        <v>49</v>
      </c>
      <c r="P4" s="31">
        <f>SUMIFS(Boletas!$H$2:$H$41,Boletas!$A$2:$A$41,Tabla3[[#This Row],[Rut]])</f>
        <v>16660</v>
      </c>
    </row>
    <row r="5" spans="1:16" x14ac:dyDescent="0.25">
      <c r="A5" s="21">
        <v>45242</v>
      </c>
      <c r="B5" s="27">
        <f>SUMIFS(Boletas!$H$1:$H$41,Boletas!$C$1:$C$41,Tabla1[[#This Row],[Fecha]])</f>
        <v>16660</v>
      </c>
      <c r="F5" s="29">
        <v>106</v>
      </c>
      <c r="G5" s="5" t="s">
        <v>32</v>
      </c>
      <c r="H5" s="31">
        <f>SUMIFS(Boletas!$F$2:$F$41,Boletas!$D$2:$D$41,Tabla2[[#This Row],[codigo_producto]])</f>
        <v>30000</v>
      </c>
      <c r="I5" s="4"/>
      <c r="J5" s="4"/>
      <c r="K5" s="4"/>
      <c r="L5" s="4"/>
      <c r="M5" s="4"/>
      <c r="N5" s="38" t="s">
        <v>98</v>
      </c>
      <c r="O5" s="5" t="s">
        <v>99</v>
      </c>
      <c r="P5" s="31">
        <f>SUMIFS(Boletas!$H$2:$H$41,Boletas!$A$2:$A$41,Tabla3[[#This Row],[Rut]])</f>
        <v>12495</v>
      </c>
    </row>
    <row r="6" spans="1:16" x14ac:dyDescent="0.25">
      <c r="A6" s="21">
        <v>45245</v>
      </c>
      <c r="B6" s="27">
        <f>SUMIFS(Boletas!$H$1:$H$41,Boletas!$C$1:$C$41,Tabla1[[#This Row],[Fecha]])</f>
        <v>4284</v>
      </c>
      <c r="F6" s="29">
        <v>107</v>
      </c>
      <c r="G6" s="5" t="s">
        <v>22</v>
      </c>
      <c r="H6" s="31">
        <f>SUMIFS(Boletas!$F$2:$F$41,Boletas!$D$2:$D$41,Tabla2[[#This Row],[codigo_producto]])</f>
        <v>65000</v>
      </c>
      <c r="I6" s="4"/>
      <c r="J6" s="4"/>
      <c r="K6" s="4"/>
      <c r="L6" s="4"/>
      <c r="M6" s="4"/>
      <c r="N6" s="38" t="s">
        <v>53</v>
      </c>
      <c r="O6" s="5" t="s">
        <v>54</v>
      </c>
      <c r="P6" s="31">
        <f>SUMIFS(Boletas!$H$2:$H$41,Boletas!$A$2:$A$41,Tabla3[[#This Row],[Rut]])</f>
        <v>4284</v>
      </c>
    </row>
    <row r="7" spans="1:16" x14ac:dyDescent="0.25">
      <c r="A7" s="21">
        <v>45248</v>
      </c>
      <c r="B7" s="27">
        <f>SUMIFS(Boletas!$H$1:$H$41,Boletas!$C$1:$C$41,Tabla1[[#This Row],[Fecha]])</f>
        <v>16660</v>
      </c>
      <c r="F7" s="29">
        <v>117</v>
      </c>
      <c r="G7" s="5" t="s">
        <v>106</v>
      </c>
      <c r="H7" s="31">
        <f>SUMIFS(Boletas!$F$2:$F$41,Boletas!$D$2:$D$41,Tabla2[[#This Row],[codigo_producto]])</f>
        <v>28800</v>
      </c>
      <c r="I7" s="4"/>
      <c r="J7" s="4"/>
      <c r="K7" s="4"/>
      <c r="L7" s="4"/>
      <c r="M7" s="4"/>
      <c r="N7" s="38" t="s">
        <v>86</v>
      </c>
      <c r="O7" s="5" t="s">
        <v>87</v>
      </c>
      <c r="P7" s="31">
        <f>SUMIFS(Boletas!$H$2:$H$41,Boletas!$A$2:$A$41,Tabla3[[#This Row],[Rut]])</f>
        <v>11900</v>
      </c>
    </row>
    <row r="8" spans="1:16" x14ac:dyDescent="0.25">
      <c r="A8" s="21">
        <v>45251</v>
      </c>
      <c r="B8" s="27">
        <f>SUMIFS(Boletas!$H$1:$H$41,Boletas!$C$1:$C$41,Tabla1[[#This Row],[Fecha]])</f>
        <v>129115</v>
      </c>
      <c r="F8" s="29">
        <v>118</v>
      </c>
      <c r="G8" s="5" t="s">
        <v>113</v>
      </c>
      <c r="H8" s="31">
        <f>SUMIFS(Boletas!$F$2:$F$41,Boletas!$D$2:$D$41,Tabla2[[#This Row],[codigo_producto]])</f>
        <v>0</v>
      </c>
      <c r="I8" s="4"/>
      <c r="J8" s="4"/>
      <c r="K8" s="4"/>
      <c r="L8" s="4"/>
      <c r="M8" s="4"/>
      <c r="N8" s="38" t="s">
        <v>25</v>
      </c>
      <c r="O8" s="5" t="s">
        <v>26</v>
      </c>
      <c r="P8" s="31">
        <f>SUMIFS(Boletas!$H$2:$H$41,Boletas!$A$2:$A$41,Tabla3[[#This Row],[Rut]])</f>
        <v>158865</v>
      </c>
    </row>
    <row r="9" spans="1:16" x14ac:dyDescent="0.25">
      <c r="A9" s="21">
        <v>45254</v>
      </c>
      <c r="B9" s="27">
        <f>SUMIFS(Boletas!$H$1:$H$41,Boletas!$C$1:$C$41,Tabla1[[#This Row],[Fecha]])</f>
        <v>11900</v>
      </c>
      <c r="F9" s="29">
        <v>102</v>
      </c>
      <c r="G9" s="5" t="s">
        <v>66</v>
      </c>
      <c r="H9" s="31">
        <f>SUMIFS(Boletas!$F$2:$F$41,Boletas!$D$2:$D$41,Tabla2[[#This Row],[codigo_producto]])</f>
        <v>14400</v>
      </c>
      <c r="I9" s="4"/>
      <c r="J9" s="4"/>
      <c r="K9" s="4"/>
      <c r="L9" s="4"/>
      <c r="M9" s="4"/>
      <c r="N9" s="38" t="s">
        <v>17</v>
      </c>
      <c r="O9" s="5" t="s">
        <v>18</v>
      </c>
      <c r="P9" s="31">
        <f>SUMIFS(Boletas!$H$2:$H$41,Boletas!$A$2:$A$41,Tabla3[[#This Row],[Rut]])</f>
        <v>117215</v>
      </c>
    </row>
    <row r="10" spans="1:16" x14ac:dyDescent="0.25">
      <c r="A10" s="21">
        <v>45257</v>
      </c>
      <c r="B10" s="27">
        <f>SUMIFS(Boletas!$H$1:$H$41,Boletas!$C$1:$C$41,Tabla1[[#This Row],[Fecha]])</f>
        <v>15470</v>
      </c>
      <c r="F10" s="29">
        <v>115</v>
      </c>
      <c r="G10" s="5" t="s">
        <v>70</v>
      </c>
      <c r="H10" s="31">
        <f>SUMIFS(Boletas!$F$2:$F$41,Boletas!$D$2:$D$41,Tabla2[[#This Row],[codigo_producto]])</f>
        <v>14000</v>
      </c>
      <c r="I10" s="4"/>
      <c r="J10" s="4"/>
      <c r="K10" s="4"/>
      <c r="L10" s="4"/>
      <c r="M10" s="4"/>
      <c r="N10" s="38" t="s">
        <v>71</v>
      </c>
      <c r="O10" s="5" t="s">
        <v>72</v>
      </c>
      <c r="P10" s="31">
        <f>SUMIFS(Boletas!$H$2:$H$41,Boletas!$A$2:$A$41,Tabla3[[#This Row],[Rut]])</f>
        <v>129115</v>
      </c>
    </row>
    <row r="11" spans="1:16" x14ac:dyDescent="0.25">
      <c r="A11" s="21">
        <v>45259</v>
      </c>
      <c r="B11" s="27">
        <f>SUMIFS(Boletas!$H$1:$H$41,Boletas!$C$1:$C$41,Tabla1[[#This Row],[Fecha]])</f>
        <v>12495</v>
      </c>
      <c r="F11" s="29">
        <v>109</v>
      </c>
      <c r="G11" s="5" t="s">
        <v>23</v>
      </c>
      <c r="H11" s="31">
        <f>SUMIFS(Boletas!$F$2:$F$41,Boletas!$D$2:$D$41,Tabla2[[#This Row],[codigo_producto]])</f>
        <v>24500</v>
      </c>
      <c r="I11" s="4"/>
      <c r="J11" s="4"/>
      <c r="K11" s="4"/>
      <c r="L11" s="4"/>
      <c r="M11" s="4"/>
      <c r="N11" s="38" t="s">
        <v>90</v>
      </c>
      <c r="O11" s="5" t="s">
        <v>91</v>
      </c>
      <c r="P11" s="31">
        <f>SUMIFS(Boletas!$H$2:$H$41,Boletas!$A$2:$A$41,Tabla3[[#This Row],[Rut]])</f>
        <v>9520</v>
      </c>
    </row>
    <row r="12" spans="1:16" x14ac:dyDescent="0.25">
      <c r="A12" s="21">
        <v>45232</v>
      </c>
      <c r="B12" s="27">
        <f>SUMIFS(Boletas!$H$1:$H$41,Boletas!$C$1:$C$41,Tabla1[[#This Row],[Fecha]])</f>
        <v>71995</v>
      </c>
      <c r="F12" s="29">
        <v>104</v>
      </c>
      <c r="G12" s="5" t="s">
        <v>81</v>
      </c>
      <c r="H12" s="31">
        <f>SUMIFS(Boletas!$F$2:$F$41,Boletas!$D$2:$D$41,Tabla2[[#This Row],[codigo_producto]])</f>
        <v>18000</v>
      </c>
      <c r="I12" s="4"/>
      <c r="J12" s="4"/>
      <c r="K12" s="4"/>
      <c r="L12" s="4"/>
      <c r="M12" s="4"/>
      <c r="N12" s="38" t="s">
        <v>95</v>
      </c>
      <c r="O12" s="5" t="s">
        <v>96</v>
      </c>
      <c r="P12" s="31">
        <f>SUMIFS(Boletas!$H$2:$H$41,Boletas!$A$2:$A$41,Tabla3[[#This Row],[Rut]])</f>
        <v>15470</v>
      </c>
    </row>
    <row r="13" spans="1:16" x14ac:dyDescent="0.25">
      <c r="A13" s="21">
        <v>45234</v>
      </c>
      <c r="B13" s="27">
        <f>SUMIFS(Boletas!$H$1:$H$41,Boletas!$C$1:$C$41,Tabla1[[#This Row],[Fecha]])</f>
        <v>35700</v>
      </c>
      <c r="F13" s="29">
        <v>120</v>
      </c>
      <c r="G13" s="5" t="s">
        <v>47</v>
      </c>
      <c r="H13" s="31">
        <f>SUMIFS(Boletas!$F$2:$F$41,Boletas!$D$2:$D$41,Tabla2[[#This Row],[codigo_producto]])</f>
        <v>25000</v>
      </c>
      <c r="I13" s="4"/>
      <c r="J13" s="4"/>
      <c r="K13" s="4"/>
      <c r="L13" s="4"/>
      <c r="M13" s="4"/>
      <c r="N13" s="38" t="s">
        <v>77</v>
      </c>
      <c r="O13" s="5" t="s">
        <v>78</v>
      </c>
      <c r="P13" s="31">
        <f>SUMIFS(Boletas!$H$2:$H$41,Boletas!$A$2:$A$41,Tabla3[[#This Row],[Rut]])</f>
        <v>38794</v>
      </c>
    </row>
    <row r="14" spans="1:16" x14ac:dyDescent="0.25">
      <c r="A14" s="21">
        <v>45236</v>
      </c>
      <c r="B14" s="27">
        <f>SUMIFS(Boletas!$H$1:$H$41,Boletas!$C$1:$C$41,Tabla1[[#This Row],[Fecha]])</f>
        <v>19040</v>
      </c>
      <c r="F14" s="29">
        <v>114</v>
      </c>
      <c r="G14" s="5" t="s">
        <v>112</v>
      </c>
      <c r="H14" s="31">
        <f>SUMIFS(Boletas!$F$2:$F$41,Boletas!$D$2:$D$41,Tabla2[[#This Row],[codigo_producto]])</f>
        <v>0</v>
      </c>
      <c r="I14" s="4"/>
      <c r="J14" s="4"/>
      <c r="K14" s="4"/>
      <c r="L14" s="4"/>
      <c r="M14" s="4"/>
      <c r="N14" s="38" t="s">
        <v>42</v>
      </c>
      <c r="O14" s="5" t="s">
        <v>43</v>
      </c>
      <c r="P14" s="31">
        <f>SUMIFS(Boletas!$H$2:$H$41,Boletas!$A$2:$A$41,Tabla3[[#This Row],[Rut]])</f>
        <v>41650</v>
      </c>
    </row>
    <row r="15" spans="1:16" x14ac:dyDescent="0.25">
      <c r="A15" s="21">
        <v>45238</v>
      </c>
      <c r="B15" s="27">
        <f>SUMIFS(Boletas!$H$1:$H$41,Boletas!$C$1:$C$41,Tabla1[[#This Row],[Fecha]])</f>
        <v>10829</v>
      </c>
      <c r="F15" s="29">
        <v>105</v>
      </c>
      <c r="G15" s="5" t="s">
        <v>101</v>
      </c>
      <c r="H15" s="31">
        <f>SUMIFS(Boletas!$F$2:$F$41,Boletas!$D$2:$D$41,Tabla2[[#This Row],[codigo_producto]])</f>
        <v>6000</v>
      </c>
      <c r="I15" s="4"/>
      <c r="J15" s="4"/>
      <c r="K15" s="4"/>
      <c r="L15" s="4"/>
      <c r="M15" s="4"/>
      <c r="N15" s="38" t="s">
        <v>59</v>
      </c>
      <c r="O15" s="5" t="s">
        <v>60</v>
      </c>
      <c r="P15" s="31">
        <f>SUMIFS(Boletas!$H$2:$H$41,Boletas!$A$2:$A$41,Tabla3[[#This Row],[Rut]])</f>
        <v>0</v>
      </c>
    </row>
    <row r="16" spans="1:16" x14ac:dyDescent="0.25">
      <c r="A16" s="21">
        <v>45241</v>
      </c>
      <c r="B16" s="27">
        <f>SUMIFS(Boletas!$H$1:$H$41,Boletas!$C$1:$C$41,Tabla1[[#This Row],[Fecha]])</f>
        <v>34272</v>
      </c>
      <c r="F16" s="29">
        <v>110</v>
      </c>
      <c r="G16" s="5" t="s">
        <v>37</v>
      </c>
      <c r="H16" s="31">
        <f>SUMIFS(Boletas!$F$2:$F$41,Boletas!$D$2:$D$41,Tabla2[[#This Row],[codigo_producto]])</f>
        <v>11200</v>
      </c>
      <c r="I16" s="4"/>
      <c r="J16" s="4"/>
      <c r="K16" s="4"/>
      <c r="L16" s="4"/>
      <c r="M16" s="4"/>
      <c r="N16" s="38" t="s">
        <v>107</v>
      </c>
      <c r="O16" s="5" t="s">
        <v>108</v>
      </c>
      <c r="P16" s="31">
        <f>SUMIFS(Boletas!$H$2:$H$41,Boletas!$A$2:$A$41,Tabla3[[#This Row],[Rut]])</f>
        <v>0</v>
      </c>
    </row>
    <row r="17" spans="1:16" x14ac:dyDescent="0.25">
      <c r="A17" s="21">
        <v>45244</v>
      </c>
      <c r="B17" s="27">
        <f>SUMIFS(Boletas!$H$1:$H$41,Boletas!$C$1:$C$41,Tabla1[[#This Row],[Fecha]])</f>
        <v>45220</v>
      </c>
      <c r="F17" s="29">
        <v>108</v>
      </c>
      <c r="G17" s="5" t="s">
        <v>111</v>
      </c>
      <c r="H17" s="31">
        <f>SUMIFS(Boletas!$F$2:$F$41,Boletas!$D$2:$D$41,Tabla2[[#This Row],[codigo_producto]])</f>
        <v>0</v>
      </c>
      <c r="I17" s="4"/>
      <c r="J17" s="4"/>
      <c r="K17" s="4"/>
      <c r="L17" s="4"/>
      <c r="M17" s="4"/>
      <c r="N17" s="38" t="s">
        <v>33</v>
      </c>
      <c r="O17" s="5" t="s">
        <v>34</v>
      </c>
      <c r="P17" s="31">
        <f>SUMIFS(Boletas!$H$2:$H$41,Boletas!$A$2:$A$41,Tabla3[[#This Row],[Rut]])</f>
        <v>340578</v>
      </c>
    </row>
    <row r="18" spans="1:16" x14ac:dyDescent="0.25">
      <c r="A18" s="21">
        <v>45247</v>
      </c>
      <c r="B18" s="27">
        <f>SUMIFS(Boletas!$H$1:$H$41,Boletas!$C$1:$C$41,Tabla1[[#This Row],[Fecha]])</f>
        <v>5950</v>
      </c>
      <c r="F18" s="29">
        <v>119</v>
      </c>
      <c r="G18" s="5" t="s">
        <v>24</v>
      </c>
      <c r="H18" s="31">
        <f>SUMIFS(Boletas!$F$2:$F$41,Boletas!$D$2:$D$41,Tabla2[[#This Row],[codigo_producto]])</f>
        <v>297000</v>
      </c>
      <c r="I18" s="4"/>
      <c r="J18" s="4"/>
      <c r="K18" s="4"/>
      <c r="L18" s="4"/>
      <c r="M18" s="4"/>
      <c r="N18" s="38" t="s">
        <v>82</v>
      </c>
      <c r="O18" s="5" t="s">
        <v>83</v>
      </c>
      <c r="P18" s="31">
        <f>SUMIFS(Boletas!$H$2:$H$41,Boletas!$A$2:$A$41,Tabla3[[#This Row],[Rut]])</f>
        <v>0</v>
      </c>
    </row>
    <row r="19" spans="1:16" x14ac:dyDescent="0.25">
      <c r="A19" s="21">
        <v>45250</v>
      </c>
      <c r="B19" s="27">
        <f>SUMIFS(Boletas!$H$1:$H$41,Boletas!$C$1:$C$41,Tabla1[[#This Row],[Fecha]])</f>
        <v>126021</v>
      </c>
      <c r="F19" s="29">
        <v>111</v>
      </c>
      <c r="G19" s="5" t="s">
        <v>46</v>
      </c>
      <c r="H19" s="31">
        <f>SUMIFS(Boletas!$F$2:$F$41,Boletas!$D$2:$D$41,Tabla2[[#This Row],[codigo_producto]])</f>
        <v>30000</v>
      </c>
      <c r="I19" s="4"/>
      <c r="J19" s="4"/>
      <c r="K19" s="4"/>
      <c r="L19" s="4"/>
      <c r="M19" s="4"/>
      <c r="N19" s="38" t="s">
        <v>102</v>
      </c>
      <c r="O19" s="5" t="s">
        <v>103</v>
      </c>
      <c r="P19" s="31">
        <f>SUMIFS(Boletas!$H$2:$H$41,Boletas!$A$2:$A$41,Tabla3[[#This Row],[Rut]])</f>
        <v>40222</v>
      </c>
    </row>
    <row r="20" spans="1:16" x14ac:dyDescent="0.25">
      <c r="A20" s="21">
        <v>45253</v>
      </c>
      <c r="B20" s="27">
        <f>SUMIFS(Boletas!$H$1:$H$41,Boletas!$C$1:$C$41,Tabla1[[#This Row],[Fecha]])</f>
        <v>27965</v>
      </c>
      <c r="F20" s="29">
        <v>116</v>
      </c>
      <c r="G20" s="5" t="s">
        <v>76</v>
      </c>
      <c r="H20" s="31">
        <f>SUMIFS(Boletas!$F$2:$F$41,Boletas!$D$2:$D$41,Tabla2[[#This Row],[codigo_producto]])</f>
        <v>88000</v>
      </c>
      <c r="I20" s="4"/>
      <c r="J20" s="4"/>
      <c r="K20" s="4"/>
      <c r="L20" s="4"/>
      <c r="M20" s="4"/>
      <c r="N20" s="38" t="s">
        <v>13</v>
      </c>
      <c r="O20" s="5" t="s">
        <v>14</v>
      </c>
      <c r="P20" s="31">
        <f>SUMIFS(Boletas!$H$2:$H$41,Boletas!$A$2:$A$41,Tabla3[[#This Row],[Rut]])</f>
        <v>0</v>
      </c>
    </row>
    <row r="21" spans="1:16" x14ac:dyDescent="0.25">
      <c r="A21" s="23">
        <v>45256</v>
      </c>
      <c r="B21" s="28">
        <f>SUMIFS(Boletas!$H$1:$H$41,Boletas!$C$1:$C$41,Tabla1[[#This Row],[Fecha]])</f>
        <v>5950</v>
      </c>
      <c r="F21" s="35">
        <v>112</v>
      </c>
      <c r="G21" s="36" t="s">
        <v>52</v>
      </c>
      <c r="H21" s="37">
        <f>SUMIFS(Boletas!$F$2:$F$41,Boletas!$D$2:$D$41,Tabla2[[#This Row],[codigo_producto]])</f>
        <v>30000</v>
      </c>
      <c r="I21" s="4"/>
      <c r="J21" s="4"/>
      <c r="K21" s="4"/>
      <c r="L21" s="4"/>
      <c r="M21" s="4"/>
      <c r="N21" s="39" t="s">
        <v>62</v>
      </c>
      <c r="O21" s="36" t="s">
        <v>63</v>
      </c>
      <c r="P21" s="37">
        <f>SUMIFS(Boletas!$H$2:$H$41,Boletas!$A$2:$A$41,Tabla3[[#This Row],[Rut]])</f>
        <v>145061</v>
      </c>
    </row>
  </sheetData>
  <conditionalFormatting sqref="N2:O21">
    <cfRule type="expression" dxfId="3" priority="1">
      <formula>ISBLANK(N2)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74A7-DE9C-4D7D-93BF-76DDF0EA0D73}">
  <dimension ref="A1:C41"/>
  <sheetViews>
    <sheetView topLeftCell="A7" workbookViewId="0">
      <selection activeCell="C36" sqref="C36"/>
    </sheetView>
  </sheetViews>
  <sheetFormatPr baseColWidth="10" defaultRowHeight="15" x14ac:dyDescent="0.25"/>
  <cols>
    <col min="1" max="1" width="27" style="4" bestFit="1" customWidth="1"/>
    <col min="2" max="2" width="19.140625" style="4" customWidth="1"/>
    <col min="3" max="3" width="20.85546875" style="4" customWidth="1"/>
    <col min="4" max="16384" width="11.42578125" style="4"/>
  </cols>
  <sheetData>
    <row r="1" spans="1:3" x14ac:dyDescent="0.25">
      <c r="B1" s="20" t="s">
        <v>128</v>
      </c>
      <c r="C1" s="20" t="s">
        <v>140</v>
      </c>
    </row>
    <row r="2" spans="1:3" x14ac:dyDescent="0.25">
      <c r="A2" s="5" t="s">
        <v>138</v>
      </c>
      <c r="B2" s="7">
        <f>MAX(Resumen!F2:F25)</f>
        <v>279650</v>
      </c>
      <c r="C2" s="10">
        <f>_xlfn.XLOOKUP(B2,Resumen!$F$2:$F$25,Resumen!$A$2:$A$25,0)</f>
        <v>24</v>
      </c>
    </row>
    <row r="3" spans="1:3" x14ac:dyDescent="0.25">
      <c r="A3" s="5" t="s">
        <v>139</v>
      </c>
      <c r="B3" s="7">
        <f>MIN(Resumen!F2:F25)</f>
        <v>2380</v>
      </c>
      <c r="C3" s="10">
        <f>_xlfn.XLOOKUP(B3,Resumen!$F$2:$F$25,Resumen!$A$2:$A$25,0)</f>
        <v>22</v>
      </c>
    </row>
    <row r="5" spans="1:3" x14ac:dyDescent="0.25">
      <c r="A5" s="44" t="s">
        <v>144</v>
      </c>
      <c r="B5" s="44"/>
    </row>
    <row r="6" spans="1:3" x14ac:dyDescent="0.25">
      <c r="A6" s="20" t="s">
        <v>141</v>
      </c>
      <c r="B6" s="7">
        <f>AVERAGE(Resumen!F2:F25)</f>
        <v>45770.375</v>
      </c>
    </row>
    <row r="7" spans="1:3" x14ac:dyDescent="0.25">
      <c r="A7" s="20" t="s">
        <v>142</v>
      </c>
      <c r="B7" s="7">
        <f>MEDIAN(Resumen!F2:F25)</f>
        <v>19040</v>
      </c>
    </row>
    <row r="8" spans="1:3" x14ac:dyDescent="0.25">
      <c r="A8" s="20" t="s">
        <v>143</v>
      </c>
      <c r="B8" s="7">
        <f>_xlfn.STDEV.S(Resumen!F2:F25)</f>
        <v>63961.315403590699</v>
      </c>
    </row>
    <row r="11" spans="1:3" x14ac:dyDescent="0.25">
      <c r="A11" s="32" t="s">
        <v>9</v>
      </c>
      <c r="B11" s="33" t="s">
        <v>10</v>
      </c>
      <c r="C11" s="34" t="s">
        <v>145</v>
      </c>
    </row>
    <row r="12" spans="1:3" x14ac:dyDescent="0.25">
      <c r="A12" s="29">
        <v>103</v>
      </c>
      <c r="B12" s="5" t="s">
        <v>31</v>
      </c>
      <c r="C12" s="41">
        <f>IFERROR(AVERAGEIF(Boletas!$D$2:$D$41,Cálculos!A12,Boletas!$E$2:$E$41),0)</f>
        <v>5.5</v>
      </c>
    </row>
    <row r="13" spans="1:3" x14ac:dyDescent="0.25">
      <c r="A13" s="29">
        <v>113</v>
      </c>
      <c r="B13" s="5" t="s">
        <v>58</v>
      </c>
      <c r="C13" s="41">
        <f>IFERROR(AVERAGEIF(Boletas!$D$2:$D$41,Cálculos!A13,Boletas!$E$2:$E$41),0)</f>
        <v>3</v>
      </c>
    </row>
    <row r="14" spans="1:3" x14ac:dyDescent="0.25">
      <c r="A14" s="29">
        <v>101</v>
      </c>
      <c r="B14" s="5" t="s">
        <v>30</v>
      </c>
      <c r="C14" s="41">
        <f>IFERROR(AVERAGEIF(Boletas!$D$2:$D$41,Cálculos!A14,Boletas!$E$2:$E$41),0)</f>
        <v>6</v>
      </c>
    </row>
    <row r="15" spans="1:3" x14ac:dyDescent="0.25">
      <c r="A15" s="29">
        <v>106</v>
      </c>
      <c r="B15" s="5" t="s">
        <v>32</v>
      </c>
      <c r="C15" s="41">
        <f>IFERROR(AVERAGEIF(Boletas!$D$2:$D$41,Cálculos!A15,Boletas!$E$2:$E$41),0)</f>
        <v>4</v>
      </c>
    </row>
    <row r="16" spans="1:3" x14ac:dyDescent="0.25">
      <c r="A16" s="29">
        <v>107</v>
      </c>
      <c r="B16" s="5" t="s">
        <v>22</v>
      </c>
      <c r="C16" s="41">
        <f>IFERROR(AVERAGEIF(Boletas!$D$2:$D$41,Cálculos!A16,Boletas!$E$2:$E$41),0)</f>
        <v>4.333333333333333</v>
      </c>
    </row>
    <row r="17" spans="1:3" x14ac:dyDescent="0.25">
      <c r="A17" s="29">
        <v>117</v>
      </c>
      <c r="B17" s="5" t="s">
        <v>106</v>
      </c>
      <c r="C17" s="41">
        <f>IFERROR(AVERAGEIF(Boletas!$D$2:$D$41,Cálculos!A17,Boletas!$E$2:$E$41),0)</f>
        <v>6</v>
      </c>
    </row>
    <row r="18" spans="1:3" x14ac:dyDescent="0.25">
      <c r="A18" s="29">
        <v>118</v>
      </c>
      <c r="B18" s="5" t="s">
        <v>113</v>
      </c>
      <c r="C18" s="41">
        <f>IFERROR(AVERAGEIF(Boletas!$D$2:$D$41,Cálculos!A18,Boletas!$E$2:$E$41),0)</f>
        <v>0</v>
      </c>
    </row>
    <row r="19" spans="1:3" x14ac:dyDescent="0.25">
      <c r="A19" s="29">
        <v>102</v>
      </c>
      <c r="B19" s="5" t="s">
        <v>66</v>
      </c>
      <c r="C19" s="41">
        <f>IFERROR(AVERAGEIF(Boletas!$D$2:$D$41,Cálculos!A19,Boletas!$E$2:$E$41),0)</f>
        <v>4</v>
      </c>
    </row>
    <row r="20" spans="1:3" x14ac:dyDescent="0.25">
      <c r="A20" s="29">
        <v>115</v>
      </c>
      <c r="B20" s="5" t="s">
        <v>70</v>
      </c>
      <c r="C20" s="41">
        <f>IFERROR(AVERAGEIF(Boletas!$D$2:$D$41,Cálculos!A20,Boletas!$E$2:$E$41),0)</f>
        <v>2</v>
      </c>
    </row>
    <row r="21" spans="1:3" x14ac:dyDescent="0.25">
      <c r="A21" s="29">
        <v>109</v>
      </c>
      <c r="B21" s="5" t="s">
        <v>23</v>
      </c>
      <c r="C21" s="41">
        <f>IFERROR(AVERAGEIF(Boletas!$D$2:$D$41,Cálculos!A21,Boletas!$E$2:$E$41),0)</f>
        <v>7</v>
      </c>
    </row>
    <row r="22" spans="1:3" x14ac:dyDescent="0.25">
      <c r="A22" s="29">
        <v>104</v>
      </c>
      <c r="B22" s="5" t="s">
        <v>81</v>
      </c>
      <c r="C22" s="41">
        <f>IFERROR(AVERAGEIF(Boletas!$D$2:$D$41,Cálculos!A22,Boletas!$E$2:$E$41),0)</f>
        <v>1.8</v>
      </c>
    </row>
    <row r="23" spans="1:3" x14ac:dyDescent="0.25">
      <c r="A23" s="29">
        <v>120</v>
      </c>
      <c r="B23" s="5" t="s">
        <v>47</v>
      </c>
      <c r="C23" s="41">
        <f>IFERROR(AVERAGEIF(Boletas!$D$2:$D$41,Cálculos!A23,Boletas!$E$2:$E$41),0)</f>
        <v>3.3333333333333335</v>
      </c>
    </row>
    <row r="24" spans="1:3" x14ac:dyDescent="0.25">
      <c r="A24" s="29">
        <v>114</v>
      </c>
      <c r="B24" s="5" t="s">
        <v>112</v>
      </c>
      <c r="C24" s="41">
        <f>IFERROR(AVERAGEIF(Boletas!$D$2:$D$41,Cálculos!A24,Boletas!$E$2:$E$41),0)</f>
        <v>0</v>
      </c>
    </row>
    <row r="25" spans="1:3" x14ac:dyDescent="0.25">
      <c r="A25" s="29">
        <v>105</v>
      </c>
      <c r="B25" s="5" t="s">
        <v>101</v>
      </c>
      <c r="C25" s="41">
        <f>IFERROR(AVERAGEIF(Boletas!$D$2:$D$41,Cálculos!A25,Boletas!$E$2:$E$41),0)</f>
        <v>1</v>
      </c>
    </row>
    <row r="26" spans="1:3" x14ac:dyDescent="0.25">
      <c r="A26" s="29">
        <v>110</v>
      </c>
      <c r="B26" s="5" t="s">
        <v>37</v>
      </c>
      <c r="C26" s="41">
        <f>IFERROR(AVERAGEIF(Boletas!$D$2:$D$41,Cálculos!A26,Boletas!$E$2:$E$41),0)</f>
        <v>4</v>
      </c>
    </row>
    <row r="27" spans="1:3" x14ac:dyDescent="0.25">
      <c r="A27" s="29">
        <v>108</v>
      </c>
      <c r="B27" s="5" t="s">
        <v>111</v>
      </c>
      <c r="C27" s="41">
        <f>IFERROR(AVERAGEIF(Boletas!$D$2:$D$41,Cálculos!A27,Boletas!$E$2:$E$41),0)</f>
        <v>0</v>
      </c>
    </row>
    <row r="28" spans="1:3" x14ac:dyDescent="0.25">
      <c r="A28" s="29">
        <v>119</v>
      </c>
      <c r="B28" s="5" t="s">
        <v>24</v>
      </c>
      <c r="C28" s="41">
        <f>IFERROR(AVERAGEIF(Boletas!$D$2:$D$41,Cálculos!A28,Boletas!$E$2:$E$41),0)</f>
        <v>11</v>
      </c>
    </row>
    <row r="29" spans="1:3" x14ac:dyDescent="0.25">
      <c r="A29" s="29">
        <v>111</v>
      </c>
      <c r="B29" s="5" t="s">
        <v>46</v>
      </c>
      <c r="C29" s="41">
        <f>IFERROR(AVERAGEIF(Boletas!$D$2:$D$41,Cálculos!A29,Boletas!$E$2:$E$41),0)</f>
        <v>5</v>
      </c>
    </row>
    <row r="30" spans="1:3" x14ac:dyDescent="0.25">
      <c r="A30" s="29">
        <v>116</v>
      </c>
      <c r="B30" s="5" t="s">
        <v>76</v>
      </c>
      <c r="C30" s="41">
        <f>IFERROR(AVERAGEIF(Boletas!$D$2:$D$41,Cálculos!A30,Boletas!$E$2:$E$41),0)</f>
        <v>5.333333333333333</v>
      </c>
    </row>
    <row r="31" spans="1:3" x14ac:dyDescent="0.25">
      <c r="A31" s="35">
        <v>112</v>
      </c>
      <c r="B31" s="36" t="s">
        <v>52</v>
      </c>
      <c r="C31" s="42">
        <f>IFERROR(AVERAGEIF(Boletas!$D$2:$D$41,Cálculos!A31,Boletas!$E$2:$E$41),0)</f>
        <v>7.5</v>
      </c>
    </row>
    <row r="34" spans="1:3" x14ac:dyDescent="0.25">
      <c r="B34" s="20" t="s">
        <v>147</v>
      </c>
      <c r="C34" s="20" t="s">
        <v>148</v>
      </c>
    </row>
    <row r="35" spans="1:3" x14ac:dyDescent="0.25">
      <c r="A35" s="30" t="s">
        <v>146</v>
      </c>
      <c r="B35" s="40">
        <f>MODE(Boletas!D2:D41)</f>
        <v>104</v>
      </c>
      <c r="C35" s="5" t="str">
        <f>_xlfn.XLOOKUP(B35,Productos!$A$2:$A$21,Productos!$B$2:$B$21)</f>
        <v>Harina</v>
      </c>
    </row>
    <row r="38" spans="1:3" x14ac:dyDescent="0.25">
      <c r="A38" s="44" t="s">
        <v>149</v>
      </c>
      <c r="B38" s="44"/>
    </row>
    <row r="39" spans="1:3" x14ac:dyDescent="0.25">
      <c r="A39" s="20" t="s">
        <v>150</v>
      </c>
      <c r="B39" s="7">
        <f>_xlfn.QUARTILE.EXC(Resumen!$F$2:$F$25,1)</f>
        <v>11096.75</v>
      </c>
    </row>
    <row r="40" spans="1:3" x14ac:dyDescent="0.25">
      <c r="A40" s="20" t="s">
        <v>151</v>
      </c>
      <c r="B40" s="7">
        <f>_xlfn.QUARTILE.EXC(Resumen!$F$2:$F$25,2)</f>
        <v>19040</v>
      </c>
    </row>
    <row r="41" spans="1:3" x14ac:dyDescent="0.25">
      <c r="A41" s="20" t="s">
        <v>152</v>
      </c>
      <c r="B41" s="7">
        <f>_xlfn.QUARTILE.EXC(Resumen!$F$2:$F$25,3)</f>
        <v>50426.25</v>
      </c>
    </row>
  </sheetData>
  <mergeCells count="2">
    <mergeCell ref="A5:B5"/>
    <mergeCell ref="A38:B38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BB19-BDA0-4D26-9187-5DED0CCF4B27}">
  <dimension ref="A1:J132"/>
  <sheetViews>
    <sheetView tabSelected="1" topLeftCell="A97" workbookViewId="0">
      <selection activeCell="A111" sqref="A111"/>
    </sheetView>
  </sheetViews>
  <sheetFormatPr baseColWidth="10" defaultRowHeight="15" x14ac:dyDescent="0.25"/>
  <cols>
    <col min="1" max="1" width="17.5703125" bestFit="1" customWidth="1"/>
    <col min="2" max="2" width="14.5703125" bestFit="1" customWidth="1"/>
    <col min="3" max="3" width="12.140625" bestFit="1" customWidth="1"/>
    <col min="4" max="4" width="14.5703125" bestFit="1" customWidth="1"/>
    <col min="5" max="5" width="12.140625" bestFit="1" customWidth="1"/>
    <col min="6" max="6" width="17.5703125" bestFit="1" customWidth="1"/>
    <col min="7" max="7" width="14.5703125" bestFit="1" customWidth="1"/>
    <col min="9" max="9" width="19.28515625" bestFit="1" customWidth="1"/>
    <col min="10" max="10" width="14.5703125" bestFit="1" customWidth="1"/>
  </cols>
  <sheetData>
    <row r="1" spans="1:10" x14ac:dyDescent="0.25">
      <c r="A1" s="46" t="s">
        <v>123</v>
      </c>
      <c r="B1" t="s">
        <v>160</v>
      </c>
      <c r="F1" s="46" t="s">
        <v>126</v>
      </c>
      <c r="G1" t="s">
        <v>158</v>
      </c>
      <c r="I1" s="46" t="s">
        <v>153</v>
      </c>
      <c r="J1" t="s">
        <v>159</v>
      </c>
    </row>
    <row r="2" spans="1:10" x14ac:dyDescent="0.25">
      <c r="I2" s="48" t="s">
        <v>68</v>
      </c>
      <c r="J2" s="45">
        <v>16660</v>
      </c>
    </row>
    <row r="3" spans="1:10" x14ac:dyDescent="0.25">
      <c r="A3" s="46" t="s">
        <v>153</v>
      </c>
      <c r="B3" t="s">
        <v>156</v>
      </c>
      <c r="C3" t="s">
        <v>157</v>
      </c>
      <c r="D3" t="s">
        <v>159</v>
      </c>
      <c r="F3" s="46" t="s">
        <v>153</v>
      </c>
      <c r="G3" t="s">
        <v>159</v>
      </c>
      <c r="I3" s="49" t="s">
        <v>70</v>
      </c>
      <c r="J3" s="45">
        <v>16660</v>
      </c>
    </row>
    <row r="4" spans="1:10" x14ac:dyDescent="0.25">
      <c r="A4" s="48">
        <v>1</v>
      </c>
      <c r="B4" s="50">
        <v>117500</v>
      </c>
      <c r="C4" s="50">
        <v>22325</v>
      </c>
      <c r="D4" s="50">
        <v>139825</v>
      </c>
      <c r="F4" s="48" t="s">
        <v>31</v>
      </c>
      <c r="G4" s="50">
        <v>235620</v>
      </c>
      <c r="I4" s="48" t="s">
        <v>39</v>
      </c>
      <c r="J4" s="45">
        <v>0</v>
      </c>
    </row>
    <row r="5" spans="1:10" x14ac:dyDescent="0.25">
      <c r="A5" s="49" t="s">
        <v>31</v>
      </c>
      <c r="B5" s="50">
        <v>108000</v>
      </c>
      <c r="C5" s="50">
        <v>20520</v>
      </c>
      <c r="D5" s="50">
        <v>128520</v>
      </c>
      <c r="F5" s="48" t="s">
        <v>58</v>
      </c>
      <c r="G5" s="50">
        <v>8568</v>
      </c>
      <c r="I5" s="49" t="s">
        <v>154</v>
      </c>
      <c r="J5" s="45">
        <v>0</v>
      </c>
    </row>
    <row r="6" spans="1:10" x14ac:dyDescent="0.25">
      <c r="A6" s="49" t="s">
        <v>30</v>
      </c>
      <c r="B6" s="50">
        <v>4500</v>
      </c>
      <c r="C6" s="50">
        <v>855</v>
      </c>
      <c r="D6" s="50">
        <v>5355</v>
      </c>
      <c r="F6" s="48" t="s">
        <v>30</v>
      </c>
      <c r="G6" s="50">
        <v>42840</v>
      </c>
      <c r="I6" s="48" t="s">
        <v>49</v>
      </c>
      <c r="J6" s="45">
        <v>16660</v>
      </c>
    </row>
    <row r="7" spans="1:10" x14ac:dyDescent="0.25">
      <c r="A7" s="49" t="s">
        <v>32</v>
      </c>
      <c r="B7" s="50">
        <v>5000</v>
      </c>
      <c r="C7" s="50">
        <v>950</v>
      </c>
      <c r="D7" s="50">
        <v>5950</v>
      </c>
      <c r="F7" s="48" t="s">
        <v>32</v>
      </c>
      <c r="G7" s="50">
        <v>35700</v>
      </c>
      <c r="I7" s="49" t="s">
        <v>52</v>
      </c>
      <c r="J7" s="45">
        <v>16660</v>
      </c>
    </row>
    <row r="8" spans="1:10" x14ac:dyDescent="0.25">
      <c r="A8" s="48">
        <v>2</v>
      </c>
      <c r="B8" s="50">
        <v>8000</v>
      </c>
      <c r="C8" s="50">
        <v>1520</v>
      </c>
      <c r="D8" s="50">
        <v>9520</v>
      </c>
      <c r="F8" s="48" t="s">
        <v>22</v>
      </c>
      <c r="G8" s="50">
        <v>77350</v>
      </c>
      <c r="I8" s="48" t="s">
        <v>99</v>
      </c>
      <c r="J8" s="45">
        <v>12495</v>
      </c>
    </row>
    <row r="9" spans="1:10" x14ac:dyDescent="0.25">
      <c r="A9" s="49" t="s">
        <v>66</v>
      </c>
      <c r="B9" s="50">
        <v>6000</v>
      </c>
      <c r="C9" s="50">
        <v>1140</v>
      </c>
      <c r="D9" s="50">
        <v>7140</v>
      </c>
      <c r="F9" s="48" t="s">
        <v>106</v>
      </c>
      <c r="G9" s="50">
        <v>34272</v>
      </c>
      <c r="I9" s="49" t="s">
        <v>32</v>
      </c>
      <c r="J9" s="45">
        <v>8925</v>
      </c>
    </row>
    <row r="10" spans="1:10" x14ac:dyDescent="0.25">
      <c r="A10" s="49" t="s">
        <v>81</v>
      </c>
      <c r="B10" s="50">
        <v>2000</v>
      </c>
      <c r="C10" s="50">
        <v>380</v>
      </c>
      <c r="D10" s="50">
        <v>2380</v>
      </c>
      <c r="F10" s="48" t="s">
        <v>113</v>
      </c>
      <c r="G10" s="50">
        <v>0</v>
      </c>
      <c r="I10" s="49" t="s">
        <v>101</v>
      </c>
      <c r="J10" s="45">
        <v>3570</v>
      </c>
    </row>
    <row r="11" spans="1:10" x14ac:dyDescent="0.25">
      <c r="A11" s="48">
        <v>3</v>
      </c>
      <c r="B11" s="50">
        <v>51200</v>
      </c>
      <c r="C11" s="50">
        <v>9728</v>
      </c>
      <c r="D11" s="50">
        <v>60928</v>
      </c>
      <c r="F11" s="48" t="s">
        <v>66</v>
      </c>
      <c r="G11" s="50">
        <v>17136</v>
      </c>
      <c r="I11" s="48" t="s">
        <v>54</v>
      </c>
      <c r="J11" s="45">
        <v>4284</v>
      </c>
    </row>
    <row r="12" spans="1:10" x14ac:dyDescent="0.25">
      <c r="A12" s="49" t="s">
        <v>22</v>
      </c>
      <c r="B12" s="50">
        <v>40000</v>
      </c>
      <c r="C12" s="50">
        <v>7600</v>
      </c>
      <c r="D12" s="50">
        <v>47600</v>
      </c>
      <c r="F12" s="48" t="s">
        <v>70</v>
      </c>
      <c r="G12" s="50">
        <v>16660</v>
      </c>
      <c r="I12" s="49" t="s">
        <v>58</v>
      </c>
      <c r="J12" s="45">
        <v>4284</v>
      </c>
    </row>
    <row r="13" spans="1:10" x14ac:dyDescent="0.25">
      <c r="A13" s="49" t="s">
        <v>37</v>
      </c>
      <c r="B13" s="50">
        <v>11200</v>
      </c>
      <c r="C13" s="50">
        <v>2128</v>
      </c>
      <c r="D13" s="50">
        <v>13328</v>
      </c>
      <c r="F13" s="48" t="s">
        <v>23</v>
      </c>
      <c r="G13" s="50">
        <v>29155</v>
      </c>
      <c r="I13" s="48" t="s">
        <v>87</v>
      </c>
      <c r="J13" s="45">
        <v>11900</v>
      </c>
    </row>
    <row r="14" spans="1:10" x14ac:dyDescent="0.25">
      <c r="A14" s="48">
        <v>4</v>
      </c>
      <c r="B14" s="50">
        <v>14000</v>
      </c>
      <c r="C14" s="50">
        <v>2660</v>
      </c>
      <c r="D14" s="50">
        <v>16660</v>
      </c>
      <c r="F14" s="48" t="s">
        <v>81</v>
      </c>
      <c r="G14" s="50">
        <v>21420</v>
      </c>
      <c r="I14" s="49" t="s">
        <v>47</v>
      </c>
      <c r="J14" s="45">
        <v>11900</v>
      </c>
    </row>
    <row r="15" spans="1:10" x14ac:dyDescent="0.25">
      <c r="A15" s="49" t="s">
        <v>52</v>
      </c>
      <c r="B15" s="50">
        <v>14000</v>
      </c>
      <c r="C15" s="50">
        <v>2660</v>
      </c>
      <c r="D15" s="50">
        <v>16660</v>
      </c>
      <c r="F15" s="48" t="s">
        <v>47</v>
      </c>
      <c r="G15" s="50">
        <v>29750</v>
      </c>
      <c r="I15" s="48" t="s">
        <v>26</v>
      </c>
      <c r="J15" s="45">
        <v>158865</v>
      </c>
    </row>
    <row r="16" spans="1:10" x14ac:dyDescent="0.25">
      <c r="A16" s="48">
        <v>5</v>
      </c>
      <c r="B16" s="50">
        <v>3600</v>
      </c>
      <c r="C16" s="50">
        <v>684</v>
      </c>
      <c r="D16" s="50">
        <v>4284</v>
      </c>
      <c r="F16" s="48" t="s">
        <v>112</v>
      </c>
      <c r="G16" s="50">
        <v>0</v>
      </c>
      <c r="I16" s="49" t="s">
        <v>31</v>
      </c>
      <c r="J16" s="45">
        <v>128520</v>
      </c>
    </row>
    <row r="17" spans="1:10" x14ac:dyDescent="0.25">
      <c r="A17" s="49" t="s">
        <v>58</v>
      </c>
      <c r="B17" s="50">
        <v>3600</v>
      </c>
      <c r="C17" s="50">
        <v>684</v>
      </c>
      <c r="D17" s="50">
        <v>4284</v>
      </c>
      <c r="F17" s="48" t="s">
        <v>101</v>
      </c>
      <c r="G17" s="50">
        <v>7140</v>
      </c>
      <c r="I17" s="49" t="s">
        <v>30</v>
      </c>
      <c r="J17" s="45">
        <v>16065</v>
      </c>
    </row>
    <row r="18" spans="1:10" x14ac:dyDescent="0.25">
      <c r="A18" s="48">
        <v>6</v>
      </c>
      <c r="B18" s="50">
        <v>14000</v>
      </c>
      <c r="C18" s="50">
        <v>2660</v>
      </c>
      <c r="D18" s="50">
        <v>16660</v>
      </c>
      <c r="F18" s="48" t="s">
        <v>37</v>
      </c>
      <c r="G18" s="50">
        <v>13328</v>
      </c>
      <c r="I18" s="49" t="s">
        <v>32</v>
      </c>
      <c r="J18" s="45">
        <v>5950</v>
      </c>
    </row>
    <row r="19" spans="1:10" x14ac:dyDescent="0.25">
      <c r="A19" s="49" t="s">
        <v>70</v>
      </c>
      <c r="B19" s="50">
        <v>14000</v>
      </c>
      <c r="C19" s="50">
        <v>2660</v>
      </c>
      <c r="D19" s="50">
        <v>16660</v>
      </c>
      <c r="F19" s="48" t="s">
        <v>111</v>
      </c>
      <c r="G19" s="50">
        <v>0</v>
      </c>
      <c r="I19" s="49" t="s">
        <v>81</v>
      </c>
      <c r="J19" s="45">
        <v>4760</v>
      </c>
    </row>
    <row r="20" spans="1:10" x14ac:dyDescent="0.25">
      <c r="A20" s="48">
        <v>7</v>
      </c>
      <c r="B20" s="50">
        <v>108500</v>
      </c>
      <c r="C20" s="50">
        <v>20615</v>
      </c>
      <c r="D20" s="50">
        <v>129115</v>
      </c>
      <c r="F20" s="48" t="s">
        <v>24</v>
      </c>
      <c r="G20" s="50">
        <v>353430</v>
      </c>
      <c r="I20" s="49" t="s">
        <v>101</v>
      </c>
      <c r="J20" s="45">
        <v>3570</v>
      </c>
    </row>
    <row r="21" spans="1:10" x14ac:dyDescent="0.25">
      <c r="A21" s="49" t="s">
        <v>24</v>
      </c>
      <c r="B21" s="50">
        <v>81000</v>
      </c>
      <c r="C21" s="50">
        <v>15390</v>
      </c>
      <c r="D21" s="50">
        <v>96390</v>
      </c>
      <c r="F21" s="48" t="s">
        <v>46</v>
      </c>
      <c r="G21" s="50">
        <v>35700</v>
      </c>
      <c r="I21" s="48" t="s">
        <v>18</v>
      </c>
      <c r="J21" s="45">
        <v>117215</v>
      </c>
    </row>
    <row r="22" spans="1:10" x14ac:dyDescent="0.25">
      <c r="A22" s="49" t="s">
        <v>76</v>
      </c>
      <c r="B22" s="50">
        <v>27500</v>
      </c>
      <c r="C22" s="50">
        <v>5225</v>
      </c>
      <c r="D22" s="50">
        <v>32725</v>
      </c>
      <c r="F22" s="48" t="s">
        <v>76</v>
      </c>
      <c r="G22" s="50">
        <v>104720</v>
      </c>
      <c r="I22" s="49" t="s">
        <v>22</v>
      </c>
      <c r="J22" s="45">
        <v>23800</v>
      </c>
    </row>
    <row r="23" spans="1:10" x14ac:dyDescent="0.25">
      <c r="A23" s="48">
        <v>8</v>
      </c>
      <c r="B23" s="50">
        <v>10000</v>
      </c>
      <c r="C23" s="50">
        <v>1900</v>
      </c>
      <c r="D23" s="50">
        <v>11900</v>
      </c>
      <c r="F23" s="48" t="s">
        <v>52</v>
      </c>
      <c r="G23" s="50">
        <v>35700</v>
      </c>
      <c r="I23" s="49" t="s">
        <v>66</v>
      </c>
      <c r="J23" s="45">
        <v>7140</v>
      </c>
    </row>
    <row r="24" spans="1:10" x14ac:dyDescent="0.25">
      <c r="A24" s="49" t="s">
        <v>47</v>
      </c>
      <c r="B24" s="50">
        <v>10000</v>
      </c>
      <c r="C24" s="50">
        <v>1900</v>
      </c>
      <c r="D24" s="50">
        <v>11900</v>
      </c>
      <c r="F24" s="48" t="s">
        <v>155</v>
      </c>
      <c r="G24" s="50">
        <v>1098489</v>
      </c>
      <c r="I24" s="49" t="s">
        <v>23</v>
      </c>
      <c r="J24" s="45">
        <v>29155</v>
      </c>
    </row>
    <row r="25" spans="1:10" x14ac:dyDescent="0.25">
      <c r="A25" s="48">
        <v>9</v>
      </c>
      <c r="B25" s="50">
        <v>13000</v>
      </c>
      <c r="C25" s="50">
        <v>2470</v>
      </c>
      <c r="D25" s="50">
        <v>15470</v>
      </c>
      <c r="I25" s="49" t="s">
        <v>81</v>
      </c>
      <c r="J25" s="45">
        <v>2380</v>
      </c>
    </row>
    <row r="26" spans="1:10" x14ac:dyDescent="0.25">
      <c r="A26" s="49" t="s">
        <v>30</v>
      </c>
      <c r="B26" s="50">
        <v>9000</v>
      </c>
      <c r="C26" s="50">
        <v>1710</v>
      </c>
      <c r="D26" s="50">
        <v>10710</v>
      </c>
      <c r="I26" s="49" t="s">
        <v>47</v>
      </c>
      <c r="J26" s="45">
        <v>11900</v>
      </c>
    </row>
    <row r="27" spans="1:10" x14ac:dyDescent="0.25">
      <c r="A27" s="49" t="s">
        <v>81</v>
      </c>
      <c r="B27" s="50">
        <v>4000</v>
      </c>
      <c r="C27" s="50">
        <v>760</v>
      </c>
      <c r="D27" s="50">
        <v>4760</v>
      </c>
      <c r="I27" s="49" t="s">
        <v>24</v>
      </c>
      <c r="J27" s="45">
        <v>42840</v>
      </c>
    </row>
    <row r="28" spans="1:10" x14ac:dyDescent="0.25">
      <c r="A28" s="48">
        <v>10</v>
      </c>
      <c r="B28" s="50">
        <v>10500</v>
      </c>
      <c r="C28" s="50">
        <v>1995</v>
      </c>
      <c r="D28" s="50">
        <v>12495</v>
      </c>
      <c r="I28" s="48" t="s">
        <v>72</v>
      </c>
      <c r="J28" s="45">
        <v>129115</v>
      </c>
    </row>
    <row r="29" spans="1:10" x14ac:dyDescent="0.25">
      <c r="A29" s="49" t="s">
        <v>32</v>
      </c>
      <c r="B29" s="50">
        <v>7500</v>
      </c>
      <c r="C29" s="50">
        <v>1425</v>
      </c>
      <c r="D29" s="50">
        <v>8925</v>
      </c>
      <c r="I29" s="49" t="s">
        <v>24</v>
      </c>
      <c r="J29" s="45">
        <v>96390</v>
      </c>
    </row>
    <row r="30" spans="1:10" x14ac:dyDescent="0.25">
      <c r="A30" s="49" t="s">
        <v>101</v>
      </c>
      <c r="B30" s="50">
        <v>3000</v>
      </c>
      <c r="C30" s="50">
        <v>570</v>
      </c>
      <c r="D30" s="50">
        <v>3570</v>
      </c>
      <c r="I30" s="49" t="s">
        <v>76</v>
      </c>
      <c r="J30" s="45">
        <v>32725</v>
      </c>
    </row>
    <row r="31" spans="1:10" x14ac:dyDescent="0.25">
      <c r="A31" s="48">
        <v>11</v>
      </c>
      <c r="B31" s="50">
        <v>44500</v>
      </c>
      <c r="C31" s="50">
        <v>8455</v>
      </c>
      <c r="D31" s="50">
        <v>52955</v>
      </c>
      <c r="I31" s="48" t="s">
        <v>91</v>
      </c>
      <c r="J31" s="45">
        <v>9520</v>
      </c>
    </row>
    <row r="32" spans="1:10" x14ac:dyDescent="0.25">
      <c r="A32" s="49" t="s">
        <v>22</v>
      </c>
      <c r="B32" s="50">
        <v>20000</v>
      </c>
      <c r="C32" s="50">
        <v>3800</v>
      </c>
      <c r="D32" s="50">
        <v>23800</v>
      </c>
      <c r="I32" s="49" t="s">
        <v>66</v>
      </c>
      <c r="J32" s="45">
        <v>7140</v>
      </c>
    </row>
    <row r="33" spans="1:10" x14ac:dyDescent="0.25">
      <c r="A33" s="49" t="s">
        <v>23</v>
      </c>
      <c r="B33" s="50">
        <v>24500</v>
      </c>
      <c r="C33" s="50">
        <v>4655</v>
      </c>
      <c r="D33" s="50">
        <v>29155</v>
      </c>
      <c r="I33" s="49" t="s">
        <v>81</v>
      </c>
      <c r="J33" s="45">
        <v>2380</v>
      </c>
    </row>
    <row r="34" spans="1:10" x14ac:dyDescent="0.25">
      <c r="A34" s="48">
        <v>12</v>
      </c>
      <c r="B34" s="50">
        <v>30000</v>
      </c>
      <c r="C34" s="50">
        <v>5700</v>
      </c>
      <c r="D34" s="50">
        <v>35700</v>
      </c>
      <c r="I34" s="48" t="s">
        <v>96</v>
      </c>
      <c r="J34" s="45">
        <v>15470</v>
      </c>
    </row>
    <row r="35" spans="1:10" x14ac:dyDescent="0.25">
      <c r="A35" s="49" t="s">
        <v>46</v>
      </c>
      <c r="B35" s="50">
        <v>30000</v>
      </c>
      <c r="C35" s="50">
        <v>5700</v>
      </c>
      <c r="D35" s="50">
        <v>35700</v>
      </c>
      <c r="I35" s="49" t="s">
        <v>30</v>
      </c>
      <c r="J35" s="45">
        <v>10710</v>
      </c>
    </row>
    <row r="36" spans="1:10" x14ac:dyDescent="0.25">
      <c r="A36" s="48">
        <v>13</v>
      </c>
      <c r="B36" s="50">
        <v>16000</v>
      </c>
      <c r="C36" s="50">
        <v>3040</v>
      </c>
      <c r="D36" s="50">
        <v>19040</v>
      </c>
      <c r="I36" s="49" t="s">
        <v>81</v>
      </c>
      <c r="J36" s="45">
        <v>4760</v>
      </c>
    </row>
    <row r="37" spans="1:10" x14ac:dyDescent="0.25">
      <c r="A37" s="49" t="s">
        <v>52</v>
      </c>
      <c r="B37" s="50">
        <v>16000</v>
      </c>
      <c r="C37" s="50">
        <v>3040</v>
      </c>
      <c r="D37" s="50">
        <v>19040</v>
      </c>
      <c r="I37" s="48" t="s">
        <v>78</v>
      </c>
      <c r="J37" s="45">
        <v>38794</v>
      </c>
    </row>
    <row r="38" spans="1:10" x14ac:dyDescent="0.25">
      <c r="A38" s="48">
        <v>14</v>
      </c>
      <c r="B38" s="50">
        <v>9100</v>
      </c>
      <c r="C38" s="50">
        <v>1729</v>
      </c>
      <c r="D38" s="50">
        <v>10829</v>
      </c>
      <c r="I38" s="49" t="s">
        <v>58</v>
      </c>
      <c r="J38" s="45">
        <v>4284</v>
      </c>
    </row>
    <row r="39" spans="1:10" x14ac:dyDescent="0.25">
      <c r="A39" s="49" t="s">
        <v>58</v>
      </c>
      <c r="B39" s="50">
        <v>3600</v>
      </c>
      <c r="C39" s="50">
        <v>684</v>
      </c>
      <c r="D39" s="50">
        <v>4284</v>
      </c>
      <c r="I39" s="49" t="s">
        <v>32</v>
      </c>
      <c r="J39" s="45">
        <v>20825</v>
      </c>
    </row>
    <row r="40" spans="1:10" x14ac:dyDescent="0.25">
      <c r="A40" s="49" t="s">
        <v>76</v>
      </c>
      <c r="B40" s="50">
        <v>5500</v>
      </c>
      <c r="C40" s="50">
        <v>1045</v>
      </c>
      <c r="D40" s="50">
        <v>6545</v>
      </c>
      <c r="I40" s="49" t="s">
        <v>81</v>
      </c>
      <c r="J40" s="45">
        <v>7140</v>
      </c>
    </row>
    <row r="41" spans="1:10" x14ac:dyDescent="0.25">
      <c r="A41" s="48">
        <v>15</v>
      </c>
      <c r="B41" s="50">
        <v>28800</v>
      </c>
      <c r="C41" s="50">
        <v>5472</v>
      </c>
      <c r="D41" s="50">
        <v>34272</v>
      </c>
      <c r="I41" s="49" t="s">
        <v>76</v>
      </c>
      <c r="J41" s="45">
        <v>6545</v>
      </c>
    </row>
    <row r="42" spans="1:10" x14ac:dyDescent="0.25">
      <c r="A42" s="49" t="s">
        <v>106</v>
      </c>
      <c r="B42" s="50">
        <v>28800</v>
      </c>
      <c r="C42" s="50">
        <v>5472</v>
      </c>
      <c r="D42" s="50">
        <v>34272</v>
      </c>
      <c r="I42" s="48" t="s">
        <v>43</v>
      </c>
      <c r="J42" s="45">
        <v>41650</v>
      </c>
    </row>
    <row r="43" spans="1:10" x14ac:dyDescent="0.25">
      <c r="A43" s="48">
        <v>16</v>
      </c>
      <c r="B43" s="50">
        <v>36000</v>
      </c>
      <c r="C43" s="50">
        <v>6840</v>
      </c>
      <c r="D43" s="50">
        <v>42840</v>
      </c>
      <c r="I43" s="49" t="s">
        <v>47</v>
      </c>
      <c r="J43" s="45">
        <v>5950</v>
      </c>
    </row>
    <row r="44" spans="1:10" x14ac:dyDescent="0.25">
      <c r="A44" s="49" t="s">
        <v>24</v>
      </c>
      <c r="B44" s="50">
        <v>36000</v>
      </c>
      <c r="C44" s="50">
        <v>6840</v>
      </c>
      <c r="D44" s="50">
        <v>42840</v>
      </c>
      <c r="I44" s="49" t="s">
        <v>46</v>
      </c>
      <c r="J44" s="45">
        <v>35700</v>
      </c>
    </row>
    <row r="45" spans="1:10" x14ac:dyDescent="0.25">
      <c r="A45" s="48">
        <v>17</v>
      </c>
      <c r="B45" s="50">
        <v>5000</v>
      </c>
      <c r="C45" s="50">
        <v>950</v>
      </c>
      <c r="D45" s="50">
        <v>5950</v>
      </c>
      <c r="I45" s="48" t="s">
        <v>60</v>
      </c>
      <c r="J45" s="45">
        <v>0</v>
      </c>
    </row>
    <row r="46" spans="1:10" x14ac:dyDescent="0.25">
      <c r="A46" s="49" t="s">
        <v>47</v>
      </c>
      <c r="B46" s="50">
        <v>5000</v>
      </c>
      <c r="C46" s="50">
        <v>950</v>
      </c>
      <c r="D46" s="50">
        <v>5950</v>
      </c>
      <c r="I46" s="49" t="s">
        <v>154</v>
      </c>
      <c r="J46" s="45">
        <v>0</v>
      </c>
    </row>
    <row r="47" spans="1:10" x14ac:dyDescent="0.25">
      <c r="A47" s="48">
        <v>18</v>
      </c>
      <c r="B47" s="50">
        <v>105900</v>
      </c>
      <c r="C47" s="50">
        <v>20121</v>
      </c>
      <c r="D47" s="50">
        <v>126021</v>
      </c>
      <c r="I47" s="48" t="s">
        <v>108</v>
      </c>
      <c r="J47" s="45">
        <v>0</v>
      </c>
    </row>
    <row r="48" spans="1:10" x14ac:dyDescent="0.25">
      <c r="A48" s="49" t="s">
        <v>31</v>
      </c>
      <c r="B48" s="50">
        <v>90000</v>
      </c>
      <c r="C48" s="50">
        <v>17100</v>
      </c>
      <c r="D48" s="50">
        <v>107100</v>
      </c>
      <c r="I48" s="49" t="s">
        <v>154</v>
      </c>
      <c r="J48" s="45">
        <v>0</v>
      </c>
    </row>
    <row r="49" spans="1:10" x14ac:dyDescent="0.25">
      <c r="A49" s="49" t="s">
        <v>30</v>
      </c>
      <c r="B49" s="50">
        <v>13500</v>
      </c>
      <c r="C49" s="50">
        <v>2565</v>
      </c>
      <c r="D49" s="50">
        <v>16065</v>
      </c>
      <c r="I49" s="48" t="s">
        <v>34</v>
      </c>
      <c r="J49" s="45">
        <v>340578</v>
      </c>
    </row>
    <row r="50" spans="1:10" x14ac:dyDescent="0.25">
      <c r="A50" s="49" t="s">
        <v>66</v>
      </c>
      <c r="B50" s="50">
        <v>2400</v>
      </c>
      <c r="C50" s="50">
        <v>456</v>
      </c>
      <c r="D50" s="50">
        <v>2856</v>
      </c>
      <c r="I50" s="49" t="s">
        <v>22</v>
      </c>
      <c r="J50" s="45">
        <v>47600</v>
      </c>
    </row>
    <row r="51" spans="1:10" x14ac:dyDescent="0.25">
      <c r="A51" s="48">
        <v>19</v>
      </c>
      <c r="B51" s="50">
        <v>23500</v>
      </c>
      <c r="C51" s="50">
        <v>4465</v>
      </c>
      <c r="D51" s="50">
        <v>27965</v>
      </c>
      <c r="I51" s="49" t="s">
        <v>37</v>
      </c>
      <c r="J51" s="45">
        <v>13328</v>
      </c>
    </row>
    <row r="52" spans="1:10" x14ac:dyDescent="0.25">
      <c r="A52" s="49" t="s">
        <v>32</v>
      </c>
      <c r="B52" s="50">
        <v>17500</v>
      </c>
      <c r="C52" s="50">
        <v>3325</v>
      </c>
      <c r="D52" s="50">
        <v>20825</v>
      </c>
      <c r="I52" s="49" t="s">
        <v>24</v>
      </c>
      <c r="J52" s="45">
        <v>214200</v>
      </c>
    </row>
    <row r="53" spans="1:10" x14ac:dyDescent="0.25">
      <c r="A53" s="49" t="s">
        <v>81</v>
      </c>
      <c r="B53" s="50">
        <v>6000</v>
      </c>
      <c r="C53" s="50">
        <v>1140</v>
      </c>
      <c r="D53" s="50">
        <v>7140</v>
      </c>
      <c r="I53" s="49" t="s">
        <v>76</v>
      </c>
      <c r="J53" s="45">
        <v>65450</v>
      </c>
    </row>
    <row r="54" spans="1:10" x14ac:dyDescent="0.25">
      <c r="A54" s="48">
        <v>20</v>
      </c>
      <c r="B54" s="50">
        <v>5000</v>
      </c>
      <c r="C54" s="50">
        <v>950</v>
      </c>
      <c r="D54" s="50">
        <v>5950</v>
      </c>
      <c r="I54" s="48" t="s">
        <v>83</v>
      </c>
      <c r="J54" s="45">
        <v>0</v>
      </c>
    </row>
    <row r="55" spans="1:10" x14ac:dyDescent="0.25">
      <c r="A55" s="49" t="s">
        <v>22</v>
      </c>
      <c r="B55" s="50">
        <v>5000</v>
      </c>
      <c r="C55" s="50">
        <v>950</v>
      </c>
      <c r="D55" s="50">
        <v>5950</v>
      </c>
      <c r="I55" s="49" t="s">
        <v>154</v>
      </c>
      <c r="J55" s="45">
        <v>0</v>
      </c>
    </row>
    <row r="56" spans="1:10" x14ac:dyDescent="0.25">
      <c r="A56" s="48">
        <v>21</v>
      </c>
      <c r="B56" s="50">
        <v>16000</v>
      </c>
      <c r="C56" s="50">
        <v>3040</v>
      </c>
      <c r="D56" s="50">
        <v>19040</v>
      </c>
      <c r="I56" s="48" t="s">
        <v>103</v>
      </c>
      <c r="J56" s="45">
        <v>40222</v>
      </c>
    </row>
    <row r="57" spans="1:10" x14ac:dyDescent="0.25">
      <c r="A57" s="49" t="s">
        <v>66</v>
      </c>
      <c r="B57" s="50">
        <v>6000</v>
      </c>
      <c r="C57" s="50">
        <v>1140</v>
      </c>
      <c r="D57" s="50">
        <v>7140</v>
      </c>
      <c r="I57" s="49" t="s">
        <v>22</v>
      </c>
      <c r="J57" s="45">
        <v>5950</v>
      </c>
    </row>
    <row r="58" spans="1:10" x14ac:dyDescent="0.25">
      <c r="A58" s="49" t="s">
        <v>47</v>
      </c>
      <c r="B58" s="50">
        <v>10000</v>
      </c>
      <c r="C58" s="50">
        <v>1900</v>
      </c>
      <c r="D58" s="50">
        <v>11900</v>
      </c>
      <c r="I58" s="49" t="s">
        <v>106</v>
      </c>
      <c r="J58" s="45">
        <v>34272</v>
      </c>
    </row>
    <row r="59" spans="1:10" x14ac:dyDescent="0.25">
      <c r="A59" s="48">
        <v>22</v>
      </c>
      <c r="B59" s="50">
        <v>2000</v>
      </c>
      <c r="C59" s="50">
        <v>380</v>
      </c>
      <c r="D59" s="50">
        <v>2380</v>
      </c>
      <c r="I59" s="48" t="s">
        <v>14</v>
      </c>
      <c r="J59" s="45">
        <v>0</v>
      </c>
    </row>
    <row r="60" spans="1:10" x14ac:dyDescent="0.25">
      <c r="A60" s="49" t="s">
        <v>81</v>
      </c>
      <c r="B60" s="50">
        <v>2000</v>
      </c>
      <c r="C60" s="50">
        <v>380</v>
      </c>
      <c r="D60" s="50">
        <v>2380</v>
      </c>
      <c r="I60" s="49" t="s">
        <v>154</v>
      </c>
      <c r="J60" s="45">
        <v>0</v>
      </c>
    </row>
    <row r="61" spans="1:10" x14ac:dyDescent="0.25">
      <c r="A61" s="48">
        <v>23</v>
      </c>
      <c r="B61" s="50">
        <v>16000</v>
      </c>
      <c r="C61" s="50">
        <v>3040</v>
      </c>
      <c r="D61" s="50">
        <v>19040</v>
      </c>
      <c r="I61" s="48" t="s">
        <v>63</v>
      </c>
      <c r="J61" s="45">
        <v>145061</v>
      </c>
    </row>
    <row r="62" spans="1:10" x14ac:dyDescent="0.25">
      <c r="A62" s="49" t="s">
        <v>30</v>
      </c>
      <c r="B62" s="50">
        <v>9000</v>
      </c>
      <c r="C62" s="50">
        <v>1710</v>
      </c>
      <c r="D62" s="50">
        <v>10710</v>
      </c>
      <c r="I62" s="49" t="s">
        <v>31</v>
      </c>
      <c r="J62" s="45">
        <v>107100</v>
      </c>
    </row>
    <row r="63" spans="1:10" x14ac:dyDescent="0.25">
      <c r="A63" s="49" t="s">
        <v>81</v>
      </c>
      <c r="B63" s="50">
        <v>4000</v>
      </c>
      <c r="C63" s="50">
        <v>760</v>
      </c>
      <c r="D63" s="50">
        <v>4760</v>
      </c>
      <c r="I63" s="49" t="s">
        <v>30</v>
      </c>
      <c r="J63" s="45">
        <v>16065</v>
      </c>
    </row>
    <row r="64" spans="1:10" x14ac:dyDescent="0.25">
      <c r="A64" s="49" t="s">
        <v>101</v>
      </c>
      <c r="B64" s="50">
        <v>3000</v>
      </c>
      <c r="C64" s="50">
        <v>570</v>
      </c>
      <c r="D64" s="50">
        <v>3570</v>
      </c>
      <c r="I64" s="49" t="s">
        <v>66</v>
      </c>
      <c r="J64" s="45">
        <v>2856</v>
      </c>
    </row>
    <row r="65" spans="1:10" x14ac:dyDescent="0.25">
      <c r="A65" s="48">
        <v>24</v>
      </c>
      <c r="B65" s="50">
        <v>235000</v>
      </c>
      <c r="C65" s="50">
        <v>44650</v>
      </c>
      <c r="D65" s="50">
        <v>279650</v>
      </c>
      <c r="I65" s="49" t="s">
        <v>52</v>
      </c>
      <c r="J65" s="45">
        <v>19040</v>
      </c>
    </row>
    <row r="66" spans="1:10" x14ac:dyDescent="0.25">
      <c r="A66" s="49" t="s">
        <v>24</v>
      </c>
      <c r="B66" s="50">
        <v>180000</v>
      </c>
      <c r="C66" s="50">
        <v>34200</v>
      </c>
      <c r="D66" s="50">
        <v>214200</v>
      </c>
      <c r="I66" s="48" t="s">
        <v>155</v>
      </c>
      <c r="J66" s="45">
        <v>1098489</v>
      </c>
    </row>
    <row r="67" spans="1:10" x14ac:dyDescent="0.25">
      <c r="A67" s="49" t="s">
        <v>76</v>
      </c>
      <c r="B67" s="50">
        <v>55000</v>
      </c>
      <c r="C67" s="50">
        <v>10450</v>
      </c>
      <c r="D67" s="50">
        <v>65450</v>
      </c>
    </row>
    <row r="68" spans="1:10" x14ac:dyDescent="0.25">
      <c r="A68" s="48" t="s">
        <v>155</v>
      </c>
      <c r="B68" s="50">
        <v>923100</v>
      </c>
      <c r="C68" s="50">
        <v>175389</v>
      </c>
      <c r="D68" s="50">
        <v>1098489</v>
      </c>
    </row>
    <row r="72" spans="1:10" x14ac:dyDescent="0.25">
      <c r="A72" s="46" t="s">
        <v>153</v>
      </c>
      <c r="B72" t="s">
        <v>159</v>
      </c>
    </row>
    <row r="73" spans="1:10" x14ac:dyDescent="0.25">
      <c r="A73" s="48">
        <v>19</v>
      </c>
      <c r="B73" s="45">
        <v>129115</v>
      </c>
    </row>
    <row r="74" spans="1:10" x14ac:dyDescent="0.25">
      <c r="A74" s="48">
        <v>21</v>
      </c>
      <c r="B74" s="45">
        <v>0</v>
      </c>
    </row>
    <row r="75" spans="1:10" x14ac:dyDescent="0.25">
      <c r="A75" s="48">
        <v>22</v>
      </c>
      <c r="B75" s="45">
        <v>41650</v>
      </c>
    </row>
    <row r="76" spans="1:10" x14ac:dyDescent="0.25">
      <c r="A76" s="48">
        <v>23</v>
      </c>
      <c r="B76" s="45">
        <v>40222</v>
      </c>
    </row>
    <row r="77" spans="1:10" x14ac:dyDescent="0.25">
      <c r="A77" s="48">
        <v>24</v>
      </c>
      <c r="B77" s="45">
        <v>158865</v>
      </c>
    </row>
    <row r="78" spans="1:10" x14ac:dyDescent="0.25">
      <c r="A78" s="48">
        <v>25</v>
      </c>
      <c r="B78" s="45">
        <v>16660</v>
      </c>
    </row>
    <row r="79" spans="1:10" x14ac:dyDescent="0.25">
      <c r="A79" s="48">
        <v>26</v>
      </c>
      <c r="B79" s="45">
        <v>117215</v>
      </c>
    </row>
    <row r="80" spans="1:10" x14ac:dyDescent="0.25">
      <c r="A80" s="48">
        <v>27</v>
      </c>
      <c r="B80" s="45">
        <v>145061</v>
      </c>
    </row>
    <row r="81" spans="1:2" x14ac:dyDescent="0.25">
      <c r="A81" s="48">
        <v>28</v>
      </c>
      <c r="B81" s="45">
        <v>38794</v>
      </c>
    </row>
    <row r="82" spans="1:2" x14ac:dyDescent="0.25">
      <c r="A82" s="48">
        <v>29</v>
      </c>
      <c r="B82" s="45">
        <v>9520</v>
      </c>
    </row>
    <row r="83" spans="1:2" x14ac:dyDescent="0.25">
      <c r="A83" s="48">
        <v>30</v>
      </c>
      <c r="B83" s="45">
        <v>0</v>
      </c>
    </row>
    <row r="84" spans="1:2" x14ac:dyDescent="0.25">
      <c r="A84" s="48">
        <v>31</v>
      </c>
      <c r="B84" s="45">
        <v>0</v>
      </c>
    </row>
    <row r="85" spans="1:2" x14ac:dyDescent="0.25">
      <c r="A85" s="48">
        <v>32</v>
      </c>
      <c r="B85" s="45">
        <v>0</v>
      </c>
    </row>
    <row r="86" spans="1:2" x14ac:dyDescent="0.25">
      <c r="A86" s="48">
        <v>34</v>
      </c>
      <c r="B86" s="45">
        <v>16660</v>
      </c>
    </row>
    <row r="87" spans="1:2" x14ac:dyDescent="0.25">
      <c r="A87" s="48">
        <v>36</v>
      </c>
      <c r="B87" s="45">
        <v>340578</v>
      </c>
    </row>
    <row r="88" spans="1:2" x14ac:dyDescent="0.25">
      <c r="A88" s="48">
        <v>39</v>
      </c>
      <c r="B88" s="45">
        <v>11900</v>
      </c>
    </row>
    <row r="89" spans="1:2" x14ac:dyDescent="0.25">
      <c r="A89" s="48" t="s">
        <v>155</v>
      </c>
      <c r="B89" s="45">
        <v>1066240</v>
      </c>
    </row>
    <row r="93" spans="1:2" x14ac:dyDescent="0.25">
      <c r="A93" s="46" t="s">
        <v>153</v>
      </c>
      <c r="B93" t="s">
        <v>159</v>
      </c>
    </row>
    <row r="94" spans="1:2" x14ac:dyDescent="0.25">
      <c r="A94" s="48" t="s">
        <v>20</v>
      </c>
      <c r="B94" s="45">
        <v>117215</v>
      </c>
    </row>
    <row r="95" spans="1:2" x14ac:dyDescent="0.25">
      <c r="A95" s="48" t="s">
        <v>15</v>
      </c>
      <c r="B95" s="45">
        <v>0</v>
      </c>
    </row>
    <row r="96" spans="1:2" x14ac:dyDescent="0.25">
      <c r="A96" s="48" t="s">
        <v>93</v>
      </c>
      <c r="B96" s="45">
        <v>9520</v>
      </c>
    </row>
    <row r="97" spans="1:2" x14ac:dyDescent="0.25">
      <c r="A97" s="48" t="s">
        <v>84</v>
      </c>
      <c r="B97" s="45">
        <v>0</v>
      </c>
    </row>
    <row r="98" spans="1:2" x14ac:dyDescent="0.25">
      <c r="A98" s="48" t="s">
        <v>79</v>
      </c>
      <c r="B98" s="45">
        <v>38794</v>
      </c>
    </row>
    <row r="99" spans="1:2" x14ac:dyDescent="0.25">
      <c r="A99" s="48" t="s">
        <v>56</v>
      </c>
      <c r="B99" s="45">
        <v>4284</v>
      </c>
    </row>
    <row r="100" spans="1:2" x14ac:dyDescent="0.25">
      <c r="A100" s="48" t="s">
        <v>100</v>
      </c>
      <c r="B100" s="45">
        <v>12495</v>
      </c>
    </row>
    <row r="101" spans="1:2" x14ac:dyDescent="0.25">
      <c r="A101" s="48" t="s">
        <v>74</v>
      </c>
      <c r="B101" s="45">
        <v>129115</v>
      </c>
    </row>
    <row r="102" spans="1:2" x14ac:dyDescent="0.25">
      <c r="A102" s="48" t="s">
        <v>28</v>
      </c>
      <c r="B102" s="45">
        <v>158865</v>
      </c>
    </row>
    <row r="103" spans="1:2" x14ac:dyDescent="0.25">
      <c r="A103" s="48" t="s">
        <v>89</v>
      </c>
      <c r="B103" s="45">
        <v>11900</v>
      </c>
    </row>
    <row r="104" spans="1:2" x14ac:dyDescent="0.25">
      <c r="A104" s="48" t="s">
        <v>35</v>
      </c>
      <c r="B104" s="45">
        <v>340578</v>
      </c>
    </row>
    <row r="105" spans="1:2" x14ac:dyDescent="0.25">
      <c r="A105" s="48" t="s">
        <v>44</v>
      </c>
      <c r="B105" s="45">
        <v>41650</v>
      </c>
    </row>
    <row r="106" spans="1:2" x14ac:dyDescent="0.25">
      <c r="A106" s="48" t="s">
        <v>155</v>
      </c>
      <c r="B106" s="45">
        <v>864416</v>
      </c>
    </row>
    <row r="111" spans="1:2" x14ac:dyDescent="0.25">
      <c r="A111" s="46" t="s">
        <v>153</v>
      </c>
      <c r="B111" t="s">
        <v>159</v>
      </c>
    </row>
    <row r="112" spans="1:2" x14ac:dyDescent="0.25">
      <c r="A112" s="47">
        <v>45232</v>
      </c>
      <c r="B112" s="45">
        <v>71995</v>
      </c>
    </row>
    <row r="113" spans="1:2" x14ac:dyDescent="0.25">
      <c r="A113" s="47">
        <v>45234</v>
      </c>
      <c r="B113" s="45">
        <v>35700</v>
      </c>
    </row>
    <row r="114" spans="1:2" x14ac:dyDescent="0.25">
      <c r="A114" s="47">
        <v>45235</v>
      </c>
      <c r="B114" s="45">
        <v>158865</v>
      </c>
    </row>
    <row r="115" spans="1:2" x14ac:dyDescent="0.25">
      <c r="A115" s="47">
        <v>45236</v>
      </c>
      <c r="B115" s="45">
        <v>19040</v>
      </c>
    </row>
    <row r="116" spans="1:2" x14ac:dyDescent="0.25">
      <c r="A116" s="47">
        <v>45237</v>
      </c>
      <c r="B116" s="45">
        <v>9520</v>
      </c>
    </row>
    <row r="117" spans="1:2" x14ac:dyDescent="0.25">
      <c r="A117" s="47">
        <v>45238</v>
      </c>
      <c r="B117" s="45">
        <v>10829</v>
      </c>
    </row>
    <row r="118" spans="1:2" x14ac:dyDescent="0.25">
      <c r="A118" s="47">
        <v>45239</v>
      </c>
      <c r="B118" s="45">
        <v>340578</v>
      </c>
    </row>
    <row r="119" spans="1:2" x14ac:dyDescent="0.25">
      <c r="A119" s="47">
        <v>45241</v>
      </c>
      <c r="B119" s="45">
        <v>34272</v>
      </c>
    </row>
    <row r="120" spans="1:2" x14ac:dyDescent="0.25">
      <c r="A120" s="47">
        <v>45242</v>
      </c>
      <c r="B120" s="45">
        <v>16660</v>
      </c>
    </row>
    <row r="121" spans="1:2" x14ac:dyDescent="0.25">
      <c r="A121" s="47">
        <v>45244</v>
      </c>
      <c r="B121" s="45">
        <v>45220</v>
      </c>
    </row>
    <row r="122" spans="1:2" x14ac:dyDescent="0.25">
      <c r="A122" s="47">
        <v>45245</v>
      </c>
      <c r="B122" s="45">
        <v>4284</v>
      </c>
    </row>
    <row r="123" spans="1:2" x14ac:dyDescent="0.25">
      <c r="A123" s="47">
        <v>45247</v>
      </c>
      <c r="B123" s="45">
        <v>5950</v>
      </c>
    </row>
    <row r="124" spans="1:2" x14ac:dyDescent="0.25">
      <c r="A124" s="47">
        <v>45248</v>
      </c>
      <c r="B124" s="45">
        <v>16660</v>
      </c>
    </row>
    <row r="125" spans="1:2" x14ac:dyDescent="0.25">
      <c r="A125" s="47">
        <v>45250</v>
      </c>
      <c r="B125" s="45">
        <v>126021</v>
      </c>
    </row>
    <row r="126" spans="1:2" x14ac:dyDescent="0.25">
      <c r="A126" s="47">
        <v>45251</v>
      </c>
      <c r="B126" s="45">
        <v>129115</v>
      </c>
    </row>
    <row r="127" spans="1:2" x14ac:dyDescent="0.25">
      <c r="A127" s="47">
        <v>45253</v>
      </c>
      <c r="B127" s="45">
        <v>27965</v>
      </c>
    </row>
    <row r="128" spans="1:2" x14ac:dyDescent="0.25">
      <c r="A128" s="47">
        <v>45254</v>
      </c>
      <c r="B128" s="45">
        <v>11900</v>
      </c>
    </row>
    <row r="129" spans="1:2" x14ac:dyDescent="0.25">
      <c r="A129" s="47">
        <v>45256</v>
      </c>
      <c r="B129" s="45">
        <v>5950</v>
      </c>
    </row>
    <row r="130" spans="1:2" x14ac:dyDescent="0.25">
      <c r="A130" s="47">
        <v>45257</v>
      </c>
      <c r="B130" s="45">
        <v>15470</v>
      </c>
    </row>
    <row r="131" spans="1:2" x14ac:dyDescent="0.25">
      <c r="A131" s="47">
        <v>45259</v>
      </c>
      <c r="B131" s="45">
        <v>12495</v>
      </c>
    </row>
    <row r="132" spans="1:2" x14ac:dyDescent="0.25">
      <c r="A132" s="48" t="s">
        <v>155</v>
      </c>
      <c r="B132" s="45">
        <v>1098489</v>
      </c>
    </row>
  </sheetData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Supermercado (BD práctica AE 1-</vt:lpstr>
      <vt:lpstr>Clientes</vt:lpstr>
      <vt:lpstr>Productos</vt:lpstr>
      <vt:lpstr>Boletas</vt:lpstr>
      <vt:lpstr>Resumen</vt:lpstr>
      <vt:lpstr>Valores</vt:lpstr>
      <vt:lpstr>Gráficos</vt:lpstr>
      <vt:lpstr>Gráficos Corregidos</vt:lpstr>
      <vt:lpstr>Cálculos</vt:lpstr>
      <vt:lpstr>Tablas dinámicas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Nuñez</dc:creator>
  <cp:lastModifiedBy>Nicolas Nuñez</cp:lastModifiedBy>
  <dcterms:created xsi:type="dcterms:W3CDTF">2024-02-06T01:12:10Z</dcterms:created>
  <dcterms:modified xsi:type="dcterms:W3CDTF">2024-02-09T19:25:48Z</dcterms:modified>
</cp:coreProperties>
</file>