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smifwebsite\ausmif\"/>
    </mc:Choice>
  </mc:AlternateContent>
  <xr:revisionPtr revIDLastSave="0" documentId="13_ncr:1_{0242E480-D15D-4DCD-BBB6-75A2323C6D63}" xr6:coauthVersionLast="47" xr6:coauthVersionMax="47" xr10:uidLastSave="{00000000-0000-0000-0000-000000000000}"/>
  <bookViews>
    <workbookView xWindow="-110" yWindow="-110" windowWidth="19420" windowHeight="11500" firstSheet="1" activeTab="1" xr2:uid="{8E62F0BB-DFF5-DE4B-9250-929F546166A9}"/>
  </bookViews>
  <sheets>
    <sheet name="Dashboard" sheetId="5" r:id="rId1"/>
    <sheet name="Transaction" sheetId="2" r:id="rId2"/>
    <sheet name="Sheet1" sheetId="8" r:id="rId3"/>
    <sheet name="Portfolio" sheetId="1" r:id="rId4"/>
    <sheet name="Calculations" sheetId="7" r:id="rId5"/>
    <sheet name="Ratios Calculations " sheetId="3" state="hidden" r:id="rId6"/>
    <sheet name="YTD Calculation" sheetId="4" state="hidden" r:id="rId7"/>
    <sheet name="Graphs" sheetId="6"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8" i="2" l="1" a="1"/>
  <c r="I28" i="2" s="1"/>
  <c r="I14" i="2" a="1"/>
  <c r="I14" i="2" s="1"/>
  <c r="I30" i="2" a="1"/>
  <c r="I30" i="2" s="1"/>
  <c r="I15" i="2" a="1"/>
  <c r="I15" i="2" s="1"/>
  <c r="C11" i="2" a="1"/>
  <c r="C11" i="2" s="1"/>
  <c r="G11" i="2" s="1"/>
  <c r="K11" i="2" s="1"/>
  <c r="C15" i="2" a="1"/>
  <c r="C15" i="2" s="1"/>
  <c r="N11" i="7"/>
  <c r="N4" i="7"/>
  <c r="N2" i="7"/>
  <c r="N3" i="7"/>
  <c r="N8" i="7"/>
  <c r="N10" i="7"/>
  <c r="N9" i="7"/>
  <c r="N5" i="7"/>
  <c r="N6" i="7"/>
  <c r="N7" i="7"/>
  <c r="N12" i="7"/>
  <c r="F29" i="7"/>
  <c r="B31" i="7"/>
  <c r="B36" i="7"/>
  <c r="E29" i="7"/>
  <c r="H26" i="1" a="1"/>
  <c r="H26" i="1" s="1"/>
  <c r="D29" i="7"/>
  <c r="C27" i="7"/>
  <c r="C3" i="7"/>
  <c r="C4" i="7"/>
  <c r="C5" i="7"/>
  <c r="C6" i="7"/>
  <c r="C7" i="7"/>
  <c r="C8" i="7"/>
  <c r="C9" i="7"/>
  <c r="C10" i="7"/>
  <c r="C11" i="7"/>
  <c r="C12" i="7"/>
  <c r="C13" i="7"/>
  <c r="C14" i="7"/>
  <c r="C15" i="7"/>
  <c r="C16" i="7"/>
  <c r="C17" i="7"/>
  <c r="C18" i="7"/>
  <c r="C19" i="7"/>
  <c r="C20" i="7"/>
  <c r="C21" i="7"/>
  <c r="C22" i="7"/>
  <c r="C23" i="7"/>
  <c r="C24" i="7"/>
  <c r="C25" i="7"/>
  <c r="C2" i="7"/>
  <c r="B27" i="7"/>
  <c r="I31" i="2" a="1"/>
  <c r="I31" i="2" s="1"/>
  <c r="I22" i="2" a="1"/>
  <c r="I22" i="2" s="1"/>
  <c r="B12" i="2" a="1"/>
  <c r="B12" i="2" s="1"/>
  <c r="C12" i="2" a="1"/>
  <c r="C12" i="2" s="1"/>
  <c r="G12" i="2" s="1"/>
  <c r="K12" i="2" s="1"/>
  <c r="F12" i="2"/>
  <c r="I12" i="2" a="1"/>
  <c r="I12" i="2" s="1"/>
  <c r="B13" i="2" a="1"/>
  <c r="B13" i="2" s="1"/>
  <c r="C13" i="2" a="1"/>
  <c r="C13" i="2" s="1"/>
  <c r="F13" i="2"/>
  <c r="I13" i="2" a="1"/>
  <c r="I13" i="2" s="1"/>
  <c r="G16" i="6"/>
  <c r="G15" i="6"/>
  <c r="G13" i="6"/>
  <c r="G14" i="6"/>
  <c r="G11" i="6"/>
  <c r="G12" i="6"/>
  <c r="G10" i="6"/>
  <c r="G8" i="6"/>
  <c r="G9" i="6"/>
  <c r="G7" i="6"/>
  <c r="G6" i="6"/>
  <c r="D30" i="6"/>
  <c r="D6" i="2"/>
  <c r="E11" i="1" a="1"/>
  <c r="E11" i="1" s="1"/>
  <c r="E6" i="1" a="1"/>
  <c r="E6"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1" i="2" a="1"/>
  <c r="C31" i="2" s="1"/>
  <c r="G31" i="2" s="1"/>
  <c r="K31" i="2" s="1"/>
  <c r="B6" i="1" a="1"/>
  <c r="B6" i="1" s="1"/>
  <c r="C6" i="1" a="1"/>
  <c r="C6" i="1" s="1"/>
  <c r="G6" i="1" a="1"/>
  <c r="G6" i="1" s="1"/>
  <c r="H6" i="1" a="1"/>
  <c r="H6" i="1" s="1"/>
  <c r="I6" i="1" a="1"/>
  <c r="I6" i="1" s="1"/>
  <c r="I34" i="2" a="1"/>
  <c r="I34" i="2" s="1"/>
  <c r="I33" i="2" a="1"/>
  <c r="I33" i="2" s="1"/>
  <c r="I32" i="2" a="1"/>
  <c r="I32" i="2" s="1"/>
  <c r="I29" i="2" a="1"/>
  <c r="I29" i="2" s="1"/>
  <c r="F12" i="5" s="1"/>
  <c r="I27" i="2" a="1"/>
  <c r="I27" i="2" s="1"/>
  <c r="I26" i="2" a="1"/>
  <c r="I26" i="2" s="1"/>
  <c r="I25" i="2" a="1"/>
  <c r="I25" i="2" s="1"/>
  <c r="I24" i="2" a="1"/>
  <c r="I24" i="2" s="1"/>
  <c r="I23" i="2" a="1"/>
  <c r="I23" i="2" s="1"/>
  <c r="I21" i="2" a="1"/>
  <c r="I21" i="2" s="1"/>
  <c r="I20" i="2" a="1"/>
  <c r="I20" i="2" s="1"/>
  <c r="I19" i="2" a="1"/>
  <c r="I19" i="2" s="1"/>
  <c r="I18" i="2" a="1"/>
  <c r="I18" i="2" s="1"/>
  <c r="I17" i="2" a="1"/>
  <c r="I17" i="2" s="1"/>
  <c r="I16" i="2" a="1"/>
  <c r="I16" i="2" s="1"/>
  <c r="I11" i="2" a="1"/>
  <c r="I11" i="2" s="1"/>
  <c r="I10" i="2" a="1"/>
  <c r="I10" i="2" s="1"/>
  <c r="I9" i="2" a="1"/>
  <c r="I9" i="2" s="1"/>
  <c r="I8" i="2" a="1"/>
  <c r="I8" i="2" s="1"/>
  <c r="I7" i="2" a="1"/>
  <c r="I7" i="2" s="1"/>
  <c r="I6" i="2" a="1"/>
  <c r="I6" i="2" s="1"/>
  <c r="F8" i="2"/>
  <c r="F7" i="2"/>
  <c r="F9" i="2"/>
  <c r="F10" i="2"/>
  <c r="F11" i="2"/>
  <c r="F14" i="2"/>
  <c r="F15" i="2"/>
  <c r="F16" i="2"/>
  <c r="F17" i="2"/>
  <c r="F18" i="2"/>
  <c r="F19" i="2"/>
  <c r="F20" i="2"/>
  <c r="F21" i="2"/>
  <c r="F22" i="2"/>
  <c r="F23" i="2"/>
  <c r="F24" i="2"/>
  <c r="F25" i="2"/>
  <c r="F26" i="2"/>
  <c r="F27" i="2"/>
  <c r="F28" i="2"/>
  <c r="F29" i="2"/>
  <c r="F30" i="2"/>
  <c r="F31" i="2"/>
  <c r="F32" i="2"/>
  <c r="F33" i="2"/>
  <c r="F34" i="2"/>
  <c r="I26" i="1" a="1"/>
  <c r="I26" i="1" s="1"/>
  <c r="G26" i="1" a="1"/>
  <c r="G26" i="1" s="1"/>
  <c r="E26" i="1" a="1"/>
  <c r="E26" i="1" s="1"/>
  <c r="B26" i="1" a="1"/>
  <c r="B26" i="1" s="1"/>
  <c r="C26" i="2" a="1"/>
  <c r="C26" i="2" s="1"/>
  <c r="B26" i="2" a="1"/>
  <c r="B26" i="2" s="1"/>
  <c r="C33" i="2" a="1"/>
  <c r="C33" i="2" s="1"/>
  <c r="G33" i="2" s="1"/>
  <c r="K33" i="2" s="1"/>
  <c r="B33" i="2" a="1"/>
  <c r="B33" i="2" s="1"/>
  <c r="I33" i="1" a="1"/>
  <c r="I33" i="1" s="1"/>
  <c r="H33" i="1" a="1"/>
  <c r="H33" i="1" s="1"/>
  <c r="G33" i="1" a="1"/>
  <c r="G33" i="1" s="1"/>
  <c r="E33" i="1" a="1"/>
  <c r="E33" i="1" s="1"/>
  <c r="B33" i="1" a="1"/>
  <c r="B33" i="1" s="1"/>
  <c r="F6" i="2"/>
  <c r="C6" i="2" a="1"/>
  <c r="C6" i="2" s="1"/>
  <c r="G6" i="2" s="1"/>
  <c r="C7" i="2" a="1"/>
  <c r="C7" i="2" s="1"/>
  <c r="G7" i="2" s="1"/>
  <c r="C8" i="2" a="1"/>
  <c r="C8" i="2" s="1"/>
  <c r="G8" i="2" s="1"/>
  <c r="K8" i="2" s="1"/>
  <c r="C9" i="2" a="1"/>
  <c r="C9" i="2" s="1"/>
  <c r="G9" i="2" s="1"/>
  <c r="K9" i="2" s="1"/>
  <c r="C10" i="2" a="1"/>
  <c r="C10" i="2" s="1"/>
  <c r="G10" i="2" s="1"/>
  <c r="K10" i="2" s="1"/>
  <c r="J14" i="2"/>
  <c r="C16" i="2" a="1"/>
  <c r="C16" i="2" s="1"/>
  <c r="C17" i="2" a="1"/>
  <c r="C17" i="2" s="1"/>
  <c r="G17" i="2" s="1"/>
  <c r="K17" i="2" s="1"/>
  <c r="C18" i="2" a="1"/>
  <c r="C18" i="2" s="1"/>
  <c r="G18" i="2" s="1"/>
  <c r="K18" i="2" s="1"/>
  <c r="C19" i="2" a="1"/>
  <c r="C19" i="2" s="1"/>
  <c r="G19" i="2" s="1"/>
  <c r="K19" i="2" s="1"/>
  <c r="C20" i="2" a="1"/>
  <c r="C20" i="2" s="1"/>
  <c r="G20" i="2" s="1"/>
  <c r="K20" i="2" s="1"/>
  <c r="C21" i="2" a="1"/>
  <c r="C21" i="2" s="1"/>
  <c r="G21" i="2" s="1"/>
  <c r="K21" i="2" s="1"/>
  <c r="C22" i="2" a="1"/>
  <c r="C22" i="2" s="1"/>
  <c r="G22" i="2" s="1"/>
  <c r="K22" i="2" s="1"/>
  <c r="C23" i="2" a="1"/>
  <c r="C23" i="2" s="1"/>
  <c r="G23" i="2" s="1"/>
  <c r="K23" i="2" s="1"/>
  <c r="C24" i="2" a="1"/>
  <c r="C24" i="2" s="1"/>
  <c r="G24" i="2" s="1"/>
  <c r="K24" i="2" s="1"/>
  <c r="C25" i="2" a="1"/>
  <c r="C25" i="2" s="1"/>
  <c r="G25" i="2" s="1"/>
  <c r="K25" i="2" s="1"/>
  <c r="C27" i="2" a="1"/>
  <c r="C27" i="2" s="1"/>
  <c r="G27" i="2" s="1"/>
  <c r="K27" i="2" s="1"/>
  <c r="C28" i="2" a="1"/>
  <c r="C28" i="2" s="1"/>
  <c r="G28" i="2" s="1"/>
  <c r="K28" i="2" s="1"/>
  <c r="C29" i="2" a="1"/>
  <c r="C29" i="2" s="1"/>
  <c r="C30" i="2" a="1"/>
  <c r="C30" i="2" s="1"/>
  <c r="G30" i="2" s="1"/>
  <c r="K30" i="2" s="1"/>
  <c r="C32" i="2" a="1"/>
  <c r="C32" i="2" s="1"/>
  <c r="G32" i="2" s="1"/>
  <c r="K32" i="2" s="1"/>
  <c r="C34" i="2" a="1"/>
  <c r="C34" i="2" s="1"/>
  <c r="G34" i="2" s="1"/>
  <c r="K34" i="2" s="1"/>
  <c r="B6" i="2" a="1"/>
  <c r="B6" i="2" s="1"/>
  <c r="B7" i="2" a="1"/>
  <c r="B7" i="2" s="1"/>
  <c r="B8" i="2" a="1"/>
  <c r="B8" i="2" s="1"/>
  <c r="B9" i="2" a="1"/>
  <c r="B9" i="2" s="1"/>
  <c r="B10" i="2" a="1"/>
  <c r="B10" i="2" s="1"/>
  <c r="B11" i="2" a="1"/>
  <c r="B11"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s="1"/>
  <c r="B27" i="2" a="1"/>
  <c r="B27" i="2" s="1"/>
  <c r="B28" i="2" a="1"/>
  <c r="B28" i="2" s="1"/>
  <c r="B29" i="2" a="1"/>
  <c r="B29" i="2" s="1"/>
  <c r="B30" i="2" a="1"/>
  <c r="B30" i="2" s="1"/>
  <c r="B31" i="2" a="1"/>
  <c r="B31" i="2" s="1"/>
  <c r="B32" i="2" a="1"/>
  <c r="B32" i="2" s="1"/>
  <c r="B34" i="2" a="1"/>
  <c r="B34" i="2" s="1"/>
  <c r="I7" i="1" a="1"/>
  <c r="I7" i="1" s="1"/>
  <c r="I8" i="1" a="1"/>
  <c r="I8" i="1" s="1"/>
  <c r="I9" i="1" a="1"/>
  <c r="I9" i="1" s="1"/>
  <c r="I10" i="1" a="1"/>
  <c r="I10" i="1" s="1"/>
  <c r="I11" i="1" a="1"/>
  <c r="I11" i="1" s="1"/>
  <c r="I12" i="1" a="1"/>
  <c r="I12" i="1" s="1"/>
  <c r="I13" i="1" a="1"/>
  <c r="I13"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7" i="1" a="1"/>
  <c r="I27" i="1" s="1"/>
  <c r="I28" i="1" a="1"/>
  <c r="I28" i="1" s="1"/>
  <c r="I29" i="1" a="1"/>
  <c r="I29" i="1" s="1"/>
  <c r="I30" i="1" a="1"/>
  <c r="I30" i="1" s="1"/>
  <c r="I31" i="1" a="1"/>
  <c r="I31" i="1" s="1"/>
  <c r="I32" i="1" a="1"/>
  <c r="I32" i="1" s="1"/>
  <c r="I34" i="1" a="1"/>
  <c r="I34" i="1" s="1"/>
  <c r="H31" i="1" a="1"/>
  <c r="H31"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7" i="1" a="1"/>
  <c r="H27" i="1" s="1"/>
  <c r="H30" i="1" a="1"/>
  <c r="H30" i="1" s="1"/>
  <c r="H32" i="1" a="1"/>
  <c r="H32"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7" i="1" a="1"/>
  <c r="G27" i="1" s="1"/>
  <c r="G28" i="1" a="1"/>
  <c r="G28" i="1" s="1"/>
  <c r="G29" i="1" a="1"/>
  <c r="G29" i="1" s="1"/>
  <c r="G30" i="1" a="1"/>
  <c r="G30" i="1" s="1"/>
  <c r="G31" i="1" a="1"/>
  <c r="G31" i="1" s="1"/>
  <c r="G32" i="1" a="1"/>
  <c r="G32" i="1" s="1"/>
  <c r="G34" i="1" a="1"/>
  <c r="G34" i="1" s="1"/>
  <c r="E7" i="1" a="1"/>
  <c r="E7" i="1" s="1"/>
  <c r="E8" i="1" a="1"/>
  <c r="E8" i="1" s="1"/>
  <c r="E9" i="1" a="1"/>
  <c r="E9" i="1" s="1"/>
  <c r="E10" i="1" a="1"/>
  <c r="E10"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7" i="1" a="1"/>
  <c r="E27" i="1" s="1"/>
  <c r="E28" i="1" a="1"/>
  <c r="E28" i="1" s="1"/>
  <c r="E29" i="1" a="1"/>
  <c r="E29" i="1" s="1"/>
  <c r="E30" i="1" a="1"/>
  <c r="E30" i="1" s="1"/>
  <c r="E31" i="1" a="1"/>
  <c r="E31" i="1" s="1"/>
  <c r="E32" i="1" a="1"/>
  <c r="E32" i="1" s="1"/>
  <c r="E34" i="1" a="1"/>
  <c r="E34" i="1" s="1"/>
  <c r="C7" i="1" a="1"/>
  <c r="C7" i="1" s="1"/>
  <c r="C8" i="1" a="1"/>
  <c r="C8"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7" i="1" a="1"/>
  <c r="B27" i="1" s="1"/>
  <c r="B28" i="1" a="1"/>
  <c r="B28" i="1" s="1"/>
  <c r="B29" i="1" a="1"/>
  <c r="B29" i="1" s="1"/>
  <c r="B30" i="1" a="1"/>
  <c r="B30" i="1" s="1"/>
  <c r="B31" i="1" a="1"/>
  <c r="B31" i="1" s="1"/>
  <c r="B32" i="1" a="1"/>
  <c r="B32" i="1" s="1"/>
  <c r="B34" i="1" a="1"/>
  <c r="B34" i="1" s="1"/>
  <c r="B24" i="4" a="1"/>
  <c r="B11" i="4" a="1"/>
  <c r="B28" i="4" a="1"/>
  <c r="G26" i="2" l="1"/>
  <c r="K26" i="2" s="1"/>
  <c r="G29" i="2"/>
  <c r="K29" i="2" s="1"/>
  <c r="G13" i="2"/>
  <c r="K6" i="2"/>
  <c r="G16" i="2"/>
  <c r="K16" i="2" s="1"/>
  <c r="G15" i="2"/>
  <c r="K15" i="2" s="1"/>
  <c r="G14" i="2"/>
  <c r="B24" i="4"/>
  <c r="J28" i="2" s="1"/>
  <c r="K7" i="2"/>
  <c r="B11" i="4"/>
  <c r="J15" i="2" s="1"/>
  <c r="B28" i="4"/>
  <c r="J32" i="2" s="1"/>
  <c r="B27" i="4" a="1"/>
  <c r="B3" i="4" a="1"/>
  <c r="B17" i="4" a="1"/>
  <c r="B27" i="4" l="1"/>
  <c r="J31" i="2" s="1"/>
  <c r="B17" i="4"/>
  <c r="J21" i="2" s="1"/>
  <c r="B7" i="5"/>
  <c r="C3" i="1"/>
  <c r="F3" i="2"/>
  <c r="D3" i="2"/>
  <c r="K13" i="2"/>
  <c r="K14" i="2"/>
  <c r="B3" i="4"/>
  <c r="J7" i="2" s="1"/>
  <c r="B12" i="4" a="1"/>
  <c r="H9" i="2" l="1"/>
  <c r="H11" i="2"/>
  <c r="H6" i="2"/>
  <c r="D3" i="1" s="1"/>
  <c r="H12" i="2"/>
  <c r="H17" i="2"/>
  <c r="H33" i="2"/>
  <c r="H20" i="2"/>
  <c r="H13" i="2"/>
  <c r="H22" i="2"/>
  <c r="H27" i="2"/>
  <c r="H28" i="2"/>
  <c r="H34" i="2"/>
  <c r="H31" i="2"/>
  <c r="H19" i="2"/>
  <c r="H16" i="2"/>
  <c r="H7" i="2"/>
  <c r="H14" i="2"/>
  <c r="H8" i="2"/>
  <c r="H23" i="2"/>
  <c r="H29" i="2"/>
  <c r="H25" i="2"/>
  <c r="H30" i="2"/>
  <c r="H32" i="2"/>
  <c r="H21" i="2"/>
  <c r="H10" i="2"/>
  <c r="H26" i="2"/>
  <c r="H15" i="2"/>
  <c r="H24" i="2"/>
  <c r="H18" i="2"/>
  <c r="B12" i="4"/>
  <c r="J16" i="2" s="1"/>
  <c r="B20" i="4" a="1"/>
  <c r="B6" i="4" a="1"/>
  <c r="B19" i="4" a="1"/>
  <c r="B29" i="4" a="1"/>
  <c r="B13" i="4" a="1"/>
  <c r="B9" i="4" a="1"/>
  <c r="B7" i="4" a="1"/>
  <c r="B9" i="4" l="1"/>
  <c r="J13" i="2" s="1"/>
  <c r="B13" i="4"/>
  <c r="J17" i="2" s="1"/>
  <c r="B19" i="4"/>
  <c r="J23" i="2" s="1"/>
  <c r="B29" i="4"/>
  <c r="J33" i="2" s="1"/>
  <c r="B7" i="4"/>
  <c r="B20" i="4"/>
  <c r="J24" i="2" s="1"/>
  <c r="B6" i="4"/>
  <c r="J10" i="2" s="1"/>
  <c r="E3" i="1"/>
  <c r="B12" i="5" a="1"/>
  <c r="B12" i="5" s="1"/>
  <c r="F7" i="5"/>
  <c r="B30" i="4" a="1"/>
  <c r="B23" i="4" a="1"/>
  <c r="B14" i="4" a="1"/>
  <c r="B21" i="4" a="1"/>
  <c r="B18" i="4" a="1"/>
  <c r="B2" i="4" a="1"/>
  <c r="B16" i="4" a="1"/>
  <c r="B15" i="4" a="1"/>
  <c r="B8" i="4" a="1"/>
  <c r="B26" i="4" a="1"/>
  <c r="B25" i="4" a="1"/>
  <c r="B22" i="4" a="1"/>
  <c r="B4" i="4" a="1"/>
  <c r="B5" i="4" a="1"/>
  <c r="B14" i="4" l="1"/>
  <c r="J18" i="2" s="1"/>
  <c r="B30" i="4"/>
  <c r="J34" i="2" s="1"/>
  <c r="B8" i="4"/>
  <c r="J12" i="2" s="1"/>
  <c r="B22" i="4"/>
  <c r="J26" i="2" s="1"/>
  <c r="B18" i="4"/>
  <c r="J22" i="2" s="1"/>
  <c r="B15" i="4"/>
  <c r="J19" i="2" s="1"/>
  <c r="B25" i="4"/>
  <c r="J29" i="2" s="1"/>
  <c r="H3" i="2" s="1"/>
  <c r="J12" i="5" s="1"/>
  <c r="B16" i="4"/>
  <c r="J20" i="2" s="1"/>
  <c r="B5" i="4"/>
  <c r="J9" i="2" s="1"/>
  <c r="B2" i="4"/>
  <c r="J6" i="2" s="1"/>
  <c r="B26" i="4"/>
  <c r="J30" i="2" s="1"/>
  <c r="B4" i="4"/>
  <c r="J8" i="2" s="1"/>
  <c r="B21" i="4"/>
  <c r="J25" i="2" s="1"/>
  <c r="B23" i="4"/>
  <c r="J27" i="2" s="1"/>
  <c r="E3" i="2"/>
  <c r="G3" i="2" l="1"/>
  <c r="J7"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0">
    <bk>
      <extLst>
        <ext uri="{3e2802c4-a4d2-4d8b-9148-e3be6c30e623}">
          <xlrd:rvb i="0"/>
        </ext>
      </extLst>
    </bk>
    <bk>
      <extLst>
        <ext uri="{3e2802c4-a4d2-4d8b-9148-e3be6c30e623}">
          <xlrd:rvb i="3"/>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futureMetadata>
  <cellMetadata count="1">
    <bk>
      <rc t="1" v="0"/>
    </bk>
  </cellMetadata>
  <valueMetadata count="6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valueMetadata>
</metadata>
</file>

<file path=xl/sharedStrings.xml><?xml version="1.0" encoding="utf-8"?>
<sst xmlns="http://schemas.openxmlformats.org/spreadsheetml/2006/main" count="197" uniqueCount="107">
  <si>
    <t>Portfolio Value</t>
  </si>
  <si>
    <t>Day Gain %</t>
  </si>
  <si>
    <t>YTD Gain</t>
  </si>
  <si>
    <t xml:space="preserve">Portfolio Dividend Yield </t>
  </si>
  <si>
    <t>S&amp;P Day Gain %</t>
  </si>
  <si>
    <t>S&amp;P YTD Gain</t>
  </si>
  <si>
    <t>SMIF PORTFOLIO TRACKER</t>
  </si>
  <si>
    <t xml:space="preserve">Portfolio Value </t>
  </si>
  <si>
    <t>Day Chnge %</t>
  </si>
  <si>
    <t>Day Change</t>
  </si>
  <si>
    <t xml:space="preserve">YTD Portfolio Change </t>
  </si>
  <si>
    <t xml:space="preserve">YTD S&amp;P 500 Change </t>
  </si>
  <si>
    <t>Stock</t>
  </si>
  <si>
    <t>Ticker</t>
  </si>
  <si>
    <t>Live Price</t>
  </si>
  <si>
    <t>Purchase Price</t>
  </si>
  <si>
    <t>Total Cost</t>
  </si>
  <si>
    <t>Quantity</t>
  </si>
  <si>
    <t>Total Value</t>
  </si>
  <si>
    <t>Weight</t>
  </si>
  <si>
    <t>YTD Change</t>
  </si>
  <si>
    <t>Gain / (Loss)</t>
  </si>
  <si>
    <t>.</t>
  </si>
  <si>
    <t>Portfolio P/E</t>
  </si>
  <si>
    <t>Portfolio Beta</t>
  </si>
  <si>
    <t>Company</t>
  </si>
  <si>
    <t>Sector</t>
  </si>
  <si>
    <t>Price</t>
  </si>
  <si>
    <t>Dividend Yield</t>
  </si>
  <si>
    <t>Market Cap</t>
  </si>
  <si>
    <t>P/E</t>
  </si>
  <si>
    <t>Beta</t>
  </si>
  <si>
    <t>Informational Technology</t>
  </si>
  <si>
    <t>Healthcare</t>
  </si>
  <si>
    <t>Consumer Discretionary</t>
  </si>
  <si>
    <t xml:space="preserve">Financials </t>
  </si>
  <si>
    <t xml:space="preserve">Industrials </t>
  </si>
  <si>
    <t>Consumer Staples</t>
  </si>
  <si>
    <t xml:space="preserve">Materials </t>
  </si>
  <si>
    <t>Communication Services</t>
  </si>
  <si>
    <t>Utilities</t>
  </si>
  <si>
    <t>Benchmark Index</t>
  </si>
  <si>
    <t xml:space="preserve">Informational Tecnology </t>
  </si>
  <si>
    <t>Amount</t>
  </si>
  <si>
    <t xml:space="preserve">Beta </t>
  </si>
  <si>
    <t xml:space="preserve">P/E </t>
  </si>
  <si>
    <t>Yield</t>
  </si>
  <si>
    <t xml:space="preserve">S&amp;P 500 </t>
  </si>
  <si>
    <t>SMIF</t>
  </si>
  <si>
    <t>AAPL</t>
  </si>
  <si>
    <t>Basic Materials</t>
  </si>
  <si>
    <t>ADBE</t>
  </si>
  <si>
    <t>Consumer Cyclical</t>
  </si>
  <si>
    <t>ADP</t>
  </si>
  <si>
    <t>Financial Services</t>
  </si>
  <si>
    <t>ALL</t>
  </si>
  <si>
    <t>Real Estate</t>
  </si>
  <si>
    <t>AMZN</t>
  </si>
  <si>
    <t>BRKB</t>
  </si>
  <si>
    <t>Energy</t>
  </si>
  <si>
    <t>CAT</t>
  </si>
  <si>
    <t>Industrials</t>
  </si>
  <si>
    <t>COST</t>
  </si>
  <si>
    <t>Technology</t>
  </si>
  <si>
    <t>DG</t>
  </si>
  <si>
    <t xml:space="preserve">Consumer Defensive </t>
  </si>
  <si>
    <t>DHR</t>
  </si>
  <si>
    <t>DIS</t>
  </si>
  <si>
    <t>GOOG</t>
  </si>
  <si>
    <t>HD</t>
  </si>
  <si>
    <t>HON</t>
  </si>
  <si>
    <t>LMT</t>
  </si>
  <si>
    <t>MA</t>
  </si>
  <si>
    <t>MSFT</t>
  </si>
  <si>
    <t>NKE</t>
  </si>
  <si>
    <t>SPY</t>
  </si>
  <si>
    <t>STLA</t>
  </si>
  <si>
    <t>VLTO</t>
  </si>
  <si>
    <t>WMT</t>
  </si>
  <si>
    <t>NVDA</t>
  </si>
  <si>
    <t>LUV</t>
  </si>
  <si>
    <t>Total:</t>
  </si>
  <si>
    <t>-</t>
  </si>
  <si>
    <t>Weighted:</t>
  </si>
  <si>
    <t xml:space="preserve">Jensen's Alpha </t>
  </si>
  <si>
    <t>r-p</t>
  </si>
  <si>
    <t>r-m</t>
  </si>
  <si>
    <t>r-f</t>
  </si>
  <si>
    <t>Sharpe Ratio</t>
  </si>
  <si>
    <t xml:space="preserve">Risk-Free Rate </t>
  </si>
  <si>
    <t xml:space="preserve">Equity Risk Premium </t>
  </si>
  <si>
    <t xml:space="preserve">Expected Return </t>
  </si>
  <si>
    <t>Standard Deviation</t>
  </si>
  <si>
    <t xml:space="preserve">Ticker </t>
  </si>
  <si>
    <t xml:space="preserve">YTD Price </t>
  </si>
  <si>
    <t>Date</t>
  </si>
  <si>
    <t>CRH</t>
  </si>
  <si>
    <t>JNJ</t>
  </si>
  <si>
    <t>NEE</t>
  </si>
  <si>
    <t>ON</t>
  </si>
  <si>
    <t>SNOW</t>
  </si>
  <si>
    <t>TTWO</t>
  </si>
  <si>
    <t>WEAV</t>
  </si>
  <si>
    <t>Financials</t>
  </si>
  <si>
    <t>Communications Services</t>
  </si>
  <si>
    <t>Materials</t>
  </si>
  <si>
    <t xml:space="preserve">Utilities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</si>
</sst>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7" formatCode="&quot;$&quot;#,##0.00_);\(&quot;$&quot;#,##0.00\)"/>
    <numFmt numFmtId="44" formatCode="_(&quot;$&quot;* #,##0.00_);_(&quot;$&quot;* \(#,##0.00\);_(&quot;$&quot;* &quot;-&quot;??_);_(@_)"/>
    <numFmt numFmtId="164" formatCode="_([$$-409]* #,##0.00_);_([$$-409]* \(#,##0.00\);_([$$-409]* &quot;-&quot;??_);_(@_)"/>
    <numFmt numFmtId="165" formatCode="_([$$-409]* #,##0_);_([$$-409]* \(#,##0\);_([$$-409]* &quot;-&quot;_);_(@_)"/>
    <numFmt numFmtId="166" formatCode="_(&quot;$&quot;* #,##0_);_(&quot;$&quot;* \(#,##0\);_(&quot;$&quot;* &quot;-&quot;??_);_(@_)"/>
    <numFmt numFmtId="167" formatCode="_([$€-2]\ * #,##0.00_);_([$€-2]\ * \(#,##0.00\);_([$€-2]\ * &quot;-&quot;??_);_(@_)"/>
    <numFmt numFmtId="168" formatCode="_([$€-2]\ * #,##0_);_([$€-2]\ * \(#,##0\);_([$€-2]\ * &quot;-&quot;_);_(@_)"/>
    <numFmt numFmtId="169" formatCode="&quot;$&quot;#,##0.00"/>
  </numFmts>
  <fonts count="16">
    <font>
      <sz val="12"/>
      <color theme="1"/>
      <name val="Aptos Narrow"/>
      <family val="2"/>
      <scheme val="minor"/>
    </font>
    <font>
      <b/>
      <sz val="14"/>
      <color theme="0"/>
      <name val="Aptos Narrow"/>
      <family val="2"/>
      <scheme val="minor"/>
    </font>
    <font>
      <sz val="12"/>
      <color theme="1"/>
      <name val="Aptos Narrow"/>
      <family val="2"/>
      <scheme val="minor"/>
    </font>
    <font>
      <sz val="8"/>
      <name val="Aptos Narrow"/>
      <family val="2"/>
      <scheme val="minor"/>
    </font>
    <font>
      <sz val="12"/>
      <color theme="0"/>
      <name val="Aptos Narrow"/>
      <family val="2"/>
      <scheme val="minor"/>
    </font>
    <font>
      <sz val="12"/>
      <color theme="3" tint="0.249977111117893"/>
      <name val="Aptos Narrow"/>
      <family val="2"/>
      <scheme val="minor"/>
    </font>
    <font>
      <b/>
      <sz val="26"/>
      <color theme="0"/>
      <name val="Aptos Narrow (Body)"/>
    </font>
    <font>
      <b/>
      <sz val="18"/>
      <color theme="0"/>
      <name val="Aptos Narrow (Body)"/>
    </font>
    <font>
      <sz val="16"/>
      <color theme="0"/>
      <name val="Aptos Narrow"/>
      <family val="2"/>
      <scheme val="minor"/>
    </font>
    <font>
      <b/>
      <sz val="18"/>
      <color theme="0"/>
      <name val="Aptos Narrow"/>
      <family val="2"/>
      <scheme val="minor"/>
    </font>
    <font>
      <b/>
      <sz val="16"/>
      <color theme="1"/>
      <name val="Aptos Narrow"/>
      <family val="2"/>
      <scheme val="minor"/>
    </font>
    <font>
      <b/>
      <sz val="16"/>
      <color theme="0"/>
      <name val="Aptos Narrow"/>
      <family val="2"/>
      <scheme val="minor"/>
    </font>
    <font>
      <sz val="14"/>
      <color theme="0"/>
      <name val="Aptos Narrow"/>
      <family val="2"/>
      <scheme val="minor"/>
    </font>
    <font>
      <b/>
      <sz val="16"/>
      <color theme="1"/>
      <name val="Aptos Narrow"/>
      <scheme val="minor"/>
    </font>
    <font>
      <b/>
      <sz val="16"/>
      <color theme="0"/>
      <name val="Aptos Narrow"/>
      <scheme val="minor"/>
    </font>
    <font>
      <sz val="11"/>
      <color rgb="FF000000"/>
      <name val="Calibri"/>
      <family val="2"/>
    </font>
  </fonts>
  <fills count="7">
    <fill>
      <patternFill patternType="none"/>
    </fill>
    <fill>
      <patternFill patternType="gray125"/>
    </fill>
    <fill>
      <patternFill patternType="solid">
        <fgColor theme="3" tint="9.9978637043366805E-2"/>
        <bgColor indexed="64"/>
      </patternFill>
    </fill>
    <fill>
      <patternFill patternType="solid">
        <fgColor theme="3" tint="0.89999084444715716"/>
        <bgColor indexed="64"/>
      </patternFill>
    </fill>
    <fill>
      <patternFill patternType="solid">
        <fgColor theme="3" tint="0.249977111117893"/>
        <bgColor indexed="64"/>
      </patternFill>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76">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0" fillId="3" borderId="0" xfId="0" applyFill="1" applyAlignment="1">
      <alignment horizontal="center"/>
    </xf>
    <xf numFmtId="0" fontId="5" fillId="0" borderId="0" xfId="0" applyFont="1"/>
    <xf numFmtId="0" fontId="0" fillId="5" borderId="0" xfId="0" applyFill="1" applyAlignment="1">
      <alignment horizontal="center"/>
    </xf>
    <xf numFmtId="164" fontId="0" fillId="5" borderId="0" xfId="0" applyNumberFormat="1" applyFill="1" applyAlignment="1">
      <alignment horizontal="center"/>
    </xf>
    <xf numFmtId="44" fontId="5" fillId="5" borderId="0" xfId="0" applyNumberFormat="1" applyFont="1" applyFill="1" applyAlignment="1">
      <alignment horizontal="center"/>
    </xf>
    <xf numFmtId="169" fontId="5" fillId="5" borderId="0" xfId="1" applyNumberFormat="1" applyFont="1" applyFill="1" applyAlignment="1">
      <alignment horizontal="center"/>
    </xf>
    <xf numFmtId="0" fontId="2" fillId="5" borderId="0" xfId="1" applyNumberFormat="1" applyFont="1" applyFill="1" applyAlignment="1">
      <alignment horizontal="center"/>
    </xf>
    <xf numFmtId="169" fontId="0" fillId="5" borderId="0" xfId="0" applyNumberFormat="1" applyFill="1" applyAlignment="1">
      <alignment horizontal="center"/>
    </xf>
    <xf numFmtId="10" fontId="0" fillId="5" borderId="0" xfId="2" applyNumberFormat="1" applyFont="1" applyFill="1" applyAlignment="1">
      <alignment horizontal="center" vertical="center"/>
    </xf>
    <xf numFmtId="44" fontId="5" fillId="5" borderId="0" xfId="0" applyNumberFormat="1" applyFont="1" applyFill="1"/>
    <xf numFmtId="169" fontId="5" fillId="5" borderId="0" xfId="0" applyNumberFormat="1" applyFont="1" applyFill="1" applyAlignment="1">
      <alignment horizontal="center"/>
    </xf>
    <xf numFmtId="1" fontId="2" fillId="5" borderId="0" xfId="1" applyNumberFormat="1" applyFont="1" applyFill="1" applyAlignment="1">
      <alignment horizontal="center"/>
    </xf>
    <xf numFmtId="10" fontId="0" fillId="5" borderId="0" xfId="0" applyNumberFormat="1" applyFill="1" applyAlignment="1">
      <alignment horizontal="center" vertical="center"/>
    </xf>
    <xf numFmtId="167" fontId="0" fillId="5" borderId="0" xfId="0" applyNumberFormat="1" applyFill="1" applyAlignment="1">
      <alignment horizontal="center"/>
    </xf>
    <xf numFmtId="10" fontId="0" fillId="5" borderId="0" xfId="2" applyNumberFormat="1" applyFont="1" applyFill="1" applyAlignment="1">
      <alignment horizontal="center"/>
    </xf>
    <xf numFmtId="169" fontId="8" fillId="4" borderId="0" xfId="2" applyNumberFormat="1" applyFont="1" applyFill="1" applyAlignment="1">
      <alignment horizontal="center" vertical="center"/>
    </xf>
    <xf numFmtId="169" fontId="12" fillId="4" borderId="0" xfId="0" applyNumberFormat="1" applyFont="1" applyFill="1" applyAlignment="1">
      <alignment horizontal="center" vertical="center"/>
    </xf>
    <xf numFmtId="10" fontId="12" fillId="4" borderId="0" xfId="2" applyNumberFormat="1" applyFont="1" applyFill="1" applyAlignment="1">
      <alignment horizontal="center" vertical="center"/>
    </xf>
    <xf numFmtId="2" fontId="8" fillId="4" borderId="0" xfId="2" applyNumberFormat="1" applyFont="1"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44" fontId="0" fillId="0" borderId="0" xfId="1" applyFont="1" applyAlignment="1">
      <alignment horizontal="center" vertical="center"/>
    </xf>
    <xf numFmtId="10" fontId="0" fillId="5" borderId="0" xfId="2" applyNumberFormat="1" applyFont="1" applyFill="1" applyBorder="1" applyAlignment="1">
      <alignment horizontal="center"/>
    </xf>
    <xf numFmtId="0" fontId="4" fillId="0" borderId="0" xfId="0" applyFont="1"/>
    <xf numFmtId="10" fontId="12" fillId="4" borderId="0" xfId="0" applyNumberFormat="1" applyFont="1" applyFill="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66" fontId="0" fillId="0" borderId="1" xfId="0" applyNumberFormat="1" applyBorder="1" applyAlignment="1">
      <alignment horizontal="center"/>
    </xf>
    <xf numFmtId="4" fontId="0" fillId="0" borderId="1" xfId="0" applyNumberFormat="1" applyBorder="1" applyAlignment="1">
      <alignment horizontal="center"/>
    </xf>
    <xf numFmtId="165" fontId="0" fillId="0" borderId="1" xfId="0" applyNumberFormat="1" applyBorder="1" applyAlignment="1">
      <alignment horizontal="center"/>
    </xf>
    <xf numFmtId="165" fontId="0" fillId="0" borderId="1" xfId="0" applyNumberFormat="1" applyBorder="1"/>
    <xf numFmtId="167" fontId="0" fillId="0" borderId="1" xfId="0" applyNumberFormat="1" applyBorder="1"/>
    <xf numFmtId="164" fontId="0" fillId="0" borderId="1" xfId="0" applyNumberFormat="1" applyBorder="1"/>
    <xf numFmtId="0" fontId="0" fillId="3" borderId="1" xfId="0" applyFill="1" applyBorder="1" applyAlignment="1">
      <alignment horizontal="center"/>
    </xf>
    <xf numFmtId="164" fontId="0" fillId="3" borderId="1" xfId="0" applyNumberFormat="1" applyFill="1" applyBorder="1"/>
    <xf numFmtId="165" fontId="0" fillId="3" borderId="1" xfId="0" applyNumberFormat="1" applyFill="1" applyBorder="1"/>
    <xf numFmtId="4" fontId="0" fillId="3" borderId="1" xfId="0" applyNumberFormat="1" applyFill="1" applyBorder="1" applyAlignment="1">
      <alignment horizontal="center"/>
    </xf>
    <xf numFmtId="168" fontId="0" fillId="0" borderId="1" xfId="0" applyNumberFormat="1" applyBorder="1"/>
    <xf numFmtId="164" fontId="0" fillId="3" borderId="0" xfId="0" applyNumberFormat="1" applyFill="1" applyAlignment="1">
      <alignment horizontal="center"/>
    </xf>
    <xf numFmtId="44" fontId="5" fillId="3" borderId="0" xfId="0" applyNumberFormat="1" applyFont="1" applyFill="1"/>
    <xf numFmtId="169" fontId="5" fillId="3" borderId="0" xfId="0" applyNumberFormat="1" applyFont="1" applyFill="1" applyAlignment="1">
      <alignment horizontal="center"/>
    </xf>
    <xf numFmtId="1" fontId="2" fillId="3" borderId="0" xfId="1" applyNumberFormat="1" applyFont="1" applyFill="1" applyAlignment="1">
      <alignment horizontal="center"/>
    </xf>
    <xf numFmtId="169" fontId="0" fillId="3" borderId="0" xfId="0" applyNumberFormat="1" applyFill="1" applyAlignment="1">
      <alignment horizontal="center"/>
    </xf>
    <xf numFmtId="10" fontId="0" fillId="3" borderId="0" xfId="2" applyNumberFormat="1" applyFont="1" applyFill="1" applyAlignment="1">
      <alignment horizontal="center"/>
    </xf>
    <xf numFmtId="169" fontId="0" fillId="5" borderId="0" xfId="2" applyNumberFormat="1" applyFont="1" applyFill="1" applyAlignment="1">
      <alignment horizontal="center"/>
    </xf>
    <xf numFmtId="2" fontId="8" fillId="4" borderId="0" xfId="0" applyNumberFormat="1" applyFont="1" applyFill="1" applyAlignment="1">
      <alignment horizontal="center" vertical="center"/>
    </xf>
    <xf numFmtId="10" fontId="0" fillId="0" borderId="1" xfId="0" applyNumberFormat="1" applyBorder="1" applyAlignment="1">
      <alignment horizontal="center"/>
    </xf>
    <xf numFmtId="9" fontId="1" fillId="2" borderId="0" xfId="2" applyFont="1" applyFill="1" applyAlignment="1">
      <alignment horizontal="center" vertical="center"/>
    </xf>
    <xf numFmtId="10" fontId="0" fillId="0" borderId="1" xfId="2" applyNumberFormat="1" applyFont="1" applyBorder="1" applyAlignment="1">
      <alignment horizontal="center"/>
    </xf>
    <xf numFmtId="9" fontId="0" fillId="0" borderId="1" xfId="2" applyFont="1" applyBorder="1" applyAlignment="1">
      <alignment horizontal="center"/>
    </xf>
    <xf numFmtId="10" fontId="0" fillId="3" borderId="1" xfId="2" applyNumberFormat="1" applyFont="1" applyFill="1" applyBorder="1" applyAlignment="1">
      <alignment horizontal="center"/>
    </xf>
    <xf numFmtId="169" fontId="0" fillId="5" borderId="0" xfId="2" applyNumberFormat="1" applyFont="1" applyFill="1" applyBorder="1" applyAlignment="1">
      <alignment horizontal="center"/>
    </xf>
    <xf numFmtId="10" fontId="0" fillId="0" borderId="0" xfId="0" applyNumberFormat="1"/>
    <xf numFmtId="7" fontId="0" fillId="0" borderId="0" xfId="0" applyNumberFormat="1"/>
    <xf numFmtId="0" fontId="0" fillId="3" borderId="0" xfId="0" applyFill="1"/>
    <xf numFmtId="7" fontId="0" fillId="3" borderId="0" xfId="0" applyNumberFormat="1" applyFill="1"/>
    <xf numFmtId="10" fontId="0" fillId="0" borderId="0" xfId="2" applyNumberFormat="1" applyFont="1"/>
    <xf numFmtId="2" fontId="0" fillId="0" borderId="0" xfId="0" applyNumberFormat="1"/>
    <xf numFmtId="10" fontId="15" fillId="0" borderId="0" xfId="0" applyNumberFormat="1" applyFont="1"/>
    <xf numFmtId="167" fontId="0" fillId="5" borderId="0" xfId="0" applyNumberFormat="1" applyFill="1" applyAlignment="1">
      <alignment horizontal="center" vertical="center"/>
    </xf>
    <xf numFmtId="0" fontId="0" fillId="0" borderId="0" xfId="0" applyAlignment="1">
      <alignment horizontal="center"/>
    </xf>
    <xf numFmtId="10" fontId="13" fillId="6" borderId="0" xfId="2" applyNumberFormat="1" applyFont="1" applyFill="1" applyAlignment="1">
      <alignment horizontal="center" vertical="center"/>
    </xf>
    <xf numFmtId="169" fontId="13" fillId="6" borderId="0" xfId="0" applyNumberFormat="1" applyFont="1" applyFill="1" applyAlignment="1">
      <alignment horizontal="center" vertical="center"/>
    </xf>
    <xf numFmtId="10" fontId="13" fillId="6" borderId="0" xfId="0" applyNumberFormat="1" applyFont="1" applyFill="1" applyAlignment="1">
      <alignment horizontal="center" vertical="center"/>
    </xf>
    <xf numFmtId="0" fontId="13" fillId="6" borderId="0" xfId="0" applyFont="1" applyFill="1" applyAlignment="1">
      <alignment horizontal="center" vertical="center"/>
    </xf>
    <xf numFmtId="0" fontId="14" fillId="4" borderId="0" xfId="0" applyFont="1" applyFill="1" applyAlignment="1">
      <alignment horizontal="center" vertical="center"/>
    </xf>
    <xf numFmtId="0" fontId="0" fillId="4" borderId="0" xfId="0" applyFill="1" applyAlignment="1">
      <alignment horizontal="center"/>
    </xf>
    <xf numFmtId="0" fontId="11" fillId="4" borderId="0" xfId="0" applyFont="1" applyFill="1" applyAlignment="1">
      <alignment horizontal="center" vertical="center"/>
    </xf>
    <xf numFmtId="0" fontId="6" fillId="4" borderId="0" xfId="0" applyFont="1" applyFill="1" applyAlignment="1">
      <alignment horizontal="center" vertical="center"/>
    </xf>
    <xf numFmtId="0" fontId="7" fillId="4" borderId="0" xfId="0" applyFont="1" applyFill="1" applyAlignment="1">
      <alignment horizontal="center" vertical="center"/>
    </xf>
    <xf numFmtId="0" fontId="4" fillId="4" borderId="0" xfId="0" applyFont="1" applyFill="1" applyAlignment="1">
      <alignment horizontal="center" vertical="center"/>
    </xf>
    <xf numFmtId="0" fontId="9" fillId="4" borderId="0" xfId="0" applyFont="1" applyFill="1" applyAlignment="1">
      <alignment horizontal="center" vertical="center"/>
    </xf>
    <xf numFmtId="0" fontId="10" fillId="3" borderId="0" xfId="0" applyFont="1" applyFill="1" applyAlignment="1">
      <alignment horizontal="center" vertical="center"/>
    </xf>
  </cellXfs>
  <cellStyles count="3">
    <cellStyle name="Currency" xfId="1" builtinId="4"/>
    <cellStyle name="Normal" xfId="0" builtinId="0"/>
    <cellStyle name="Percent" xfId="2" builtinId="5"/>
  </cellStyles>
  <dxfs count="27">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numFmt numFmtId="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409]* #,##0_);_([$$-409]* \(#,##0\);_([$$-409]*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border diagonalUp="0" diagonalDown="0">
        <left style="thin">
          <color indexed="64"/>
        </left>
        <right style="thin">
          <color indexed="64"/>
        </right>
        <top style="thin">
          <color indexed="64"/>
        </top>
        <bottom style="thin">
          <color indexed="64"/>
        </bottom>
        <vertical/>
        <horizontal/>
      </border>
    </dxf>
    <dxf>
      <numFmt numFmtId="164" formatCode="_([$$-409]* #,##0.00_);_([$$-409]* \(#,##0.00\);_([$$-409]*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4"/>
        <color theme="0"/>
        <name val="Aptos Narrow"/>
        <scheme val="minor"/>
      </font>
      <fill>
        <patternFill patternType="solid">
          <fgColor indexed="64"/>
          <bgColor theme="3" tint="9.9978637043366805E-2"/>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4" formatCode="0.00%"/>
      <fill>
        <patternFill>
          <fgColor indexed="64"/>
          <bgColor theme="0"/>
        </patternFill>
      </fill>
      <alignment horizontal="center" vertical="bottom" textRotation="0" wrapText="0" indent="0" justifyLastLine="0" shrinkToFit="0" readingOrder="0"/>
    </dxf>
    <dxf>
      <numFmt numFmtId="14" formatCode="0.00%"/>
      <fill>
        <patternFill patternType="solid">
          <fgColor indexed="64"/>
          <bgColor theme="0"/>
        </patternFill>
      </fill>
      <alignment horizontal="center" vertical="center" textRotation="0" wrapText="0" indent="0" justifyLastLine="0" shrinkToFit="0" readingOrder="0"/>
    </dxf>
    <dxf>
      <numFmt numFmtId="14" formatCode="0.00%"/>
      <fill>
        <patternFill>
          <fgColor indexed="64"/>
          <bgColor theme="0"/>
        </patternFill>
      </fill>
      <alignment horizontal="center" vertical="center" textRotation="0" wrapText="0" indent="0" justifyLastLine="0" shrinkToFit="0" readingOrder="0"/>
    </dxf>
    <dxf>
      <numFmt numFmtId="14" formatCode="0.00%"/>
      <fill>
        <patternFill patternType="solid">
          <fgColor indexed="64"/>
          <bgColor theme="0"/>
        </patternFill>
      </fill>
      <alignment horizontal="center" vertical="bottom" textRotation="0" wrapText="0" indent="0" justifyLastLine="0" shrinkToFit="0" readingOrder="0"/>
    </dxf>
    <dxf>
      <numFmt numFmtId="169" formatCode="&quot;$&quot;#,##0.00"/>
      <fill>
        <patternFill>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 formatCode="0"/>
      <fill>
        <patternFill>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3" tint="0.249977111117893"/>
        <name val="Aptos Narrow"/>
        <family val="2"/>
        <scheme val="minor"/>
      </font>
      <numFmt numFmtId="169" formatCode="&quot;$&quot;#,##0.00"/>
      <fill>
        <patternFill>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3" tint="0.249977111117893"/>
        <name val="Aptos Narrow"/>
        <family val="2"/>
        <scheme val="minor"/>
      </font>
      <numFmt numFmtId="34" formatCode="_(&quot;$&quot;* #,##0.00_);_(&quot;$&quot;* \(#,##0.00\);_(&quot;$&quot;* &quot;-&quot;??_);_(@_)"/>
      <fill>
        <patternFill>
          <fgColor indexed="64"/>
          <bgColor theme="0"/>
        </patternFill>
      </fill>
    </dxf>
    <dxf>
      <numFmt numFmtId="164" formatCode="_([$$-409]* #,##0.00_);_([$$-409]* \(#,##0.00\);_([$$-409]* &quot;-&quot;??_);_(@_)"/>
      <fill>
        <patternFill>
          <fgColor indexed="64"/>
          <bgColor theme="0"/>
        </patternFill>
      </fill>
      <alignment horizontal="center" vertical="bottom" textRotation="0" wrapText="0" indent="0" justifyLastLine="0" shrinkToFit="0" readingOrder="0"/>
    </dxf>
    <dxf>
      <fill>
        <patternFill>
          <fgColor indexed="64"/>
          <bgColor theme="0"/>
        </patternFill>
      </fill>
      <alignment horizontal="center" vertical="bottom" textRotation="0" wrapText="0" indent="0" justifyLastLine="0" shrinkToFit="0" readingOrder="0"/>
    </dxf>
    <dxf>
      <fill>
        <patternFill>
          <fgColor indexed="64"/>
          <bgColor theme="0"/>
        </patternFill>
      </fill>
      <alignment horizontal="center" vertical="bottom" textRotation="0" wrapText="0" indent="0" justifyLastLine="0" shrinkToFit="0" readingOrder="0"/>
    </dxf>
    <dxf>
      <fill>
        <patternFill>
          <fgColor indexed="64"/>
          <bgColor theme="0"/>
        </patternFill>
      </fill>
    </dxf>
    <dxf>
      <font>
        <b/>
        <i val="0"/>
        <strike val="0"/>
        <condense val="0"/>
        <extend val="0"/>
        <outline val="0"/>
        <shadow val="0"/>
        <u val="none"/>
        <vertAlign val="baseline"/>
        <sz val="14"/>
        <color theme="0"/>
        <name val="Aptos Narrow"/>
        <scheme val="minor"/>
      </font>
      <fill>
        <patternFill patternType="solid">
          <fgColor indexed="64"/>
          <bgColor theme="3" tint="9.9978637043366805E-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9">
  <a r="1">
    <v t="i">0</v>
  </a>
  <a r="1">
    <v>234.79</v>
  </a>
  <a r="1">
    <v>53.0961</v>
  </a>
  <a r="1">
    <v>106.55</v>
  </a>
  <a r="1">
    <v>472.65</v>
  </a>
  <a r="1">
    <v>327</v>
  </a>
  <a r="1">
    <v>185.64</v>
  </a>
  <a r="1">
    <v>345.08</v>
  </a>
  <a r="1">
    <v>139.56</v>
  </a>
  <a r="1">
    <v>650.65</v>
  </a>
  <a r="1">
    <v>149.93</v>
  </a>
  <a r="1">
    <v>370.87</v>
  </a>
  <a r="1">
    <v>456.12</v>
  </a>
  <a r="1">
    <v>143.81</v>
  </a>
  <a r="1">
    <v>209</v>
  </a>
  <a r="1">
    <v>61.57</v>
  </a>
  <a r="1">
    <v>11.54</v>
  </a>
  <a r="1">
    <v>292.70999999999998</v>
  </a>
  <a r="1">
    <v>81.45</v>
  </a>
  <a r="1">
    <v>23.05</v>
  </a>
  <a r="1">
    <v>233.42</v>
  </a>
  <a r="1">
    <v>189.12</v>
  </a>
  <a r="1">
    <v>140.43</v>
  </a>
  <a r="1">
    <v>81.02</v>
  </a>
  <a r="1">
    <v>159.26</v>
  </a>
  <a r="1">
    <v>580.07000000000005</v>
  </a>
  <a r="1">
    <v>159.97</v>
  </a>
  <a r="1">
    <v>421.89</v>
  </a>
  <a r="1">
    <v>90.71</v>
  </a>
</arrayData>
</file>

<file path=xl/richData/rdrichvalue.xml><?xml version="1.0" encoding="utf-8"?>
<rvData xmlns="http://schemas.microsoft.com/office/spreadsheetml/2017/richdata" count="155">
  <rv s="0">
    <v>0</v>
    <v>5</v>
  </rv>
  <rv s="1">
    <v>https://www.bing.com/financeapi/forcetrigger?t=a1mou2&amp;q=XNAS%3aAAPL&amp;form=skydnc</v>
    <v>Learn more on Bing</v>
  </rv>
  <rv s="2">
    <v>en-US</v>
    <v>a1mou2</v>
    <v>268435456</v>
    <v>1</v>
    <v>Powered by Refinitiv</v>
    <v>0</v>
    <v>APPLE INC. (XNAS:AAPL)</v>
    <v>2</v>
    <v>3</v>
    <v>Finance</v>
    <v>4</v>
    <v>260.10000000000002</v>
    <v>164.07499999999999</v>
    <v>1.1996</v>
    <v>-7.99</v>
    <v>4.7799999999999995E-3</v>
    <v>-3.3856000000000004E-2</v>
    <v>1.0900000000000001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231.83</v>
    <v>Computers, Phones &amp; Household Electronics</v>
    <v>Stock</v>
    <v>45691.912167291404</v>
    <v>1</v>
    <v>225.7</v>
    <v>3428784738700</v>
    <v>APPLE INC.</v>
    <v>APPLE INC.</v>
    <v>229.99</v>
    <v>33.895400000000002</v>
    <v>236</v>
    <v>228.01</v>
    <v>229.1</v>
    <v>15037870000</v>
    <v>AAPL</v>
    <v>APPLE INC. (XNAS:AAPL)</v>
    <v>72276419</v>
    <v>54727315</v>
    <v>1977</v>
  </rv>
  <rv s="3">
    <v>2</v>
  </rv>
  <rv s="1">
    <v>http://en.wikipedia.org/wiki/Public_domain</v>
    <v>Public domain</v>
  </rv>
  <rv s="1">
    <v>http://es.wikipedia.org/wiki/Adobe_(empresa)</v>
    <v>Wikipedia</v>
  </rv>
  <rv s="4">
    <v>4</v>
    <v>5</v>
  </rv>
  <rv s="5">
    <v>9</v>
    <v>https://www.bing.com/th?id=AMMS_503c684ccc667ad525fe1d703881df2c&amp;qlt=95</v>
    <v>6</v>
    <v>0</v>
    <v>https://www.bing.com/images/search?form=xlimg&amp;q=adobe+systems</v>
    <v>Image of ADOBE INC.</v>
  </rv>
  <rv s="1">
    <v>https://www.bing.com/financeapi/forcetrigger?t=a1mv7w&amp;q=XNAS%3aADBE&amp;form=skydnc</v>
    <v>Learn more on Bing</v>
  </rv>
  <rv s="6">
    <v>en-US</v>
    <v>a1mv7w</v>
    <v>268435456</v>
    <v>1</v>
    <v>Powered by Refinitiv</v>
    <v>5</v>
    <v>ADOBE INC. (XNAS:ADBE)</v>
    <v>7</v>
    <v>8</v>
    <v>Finance</v>
    <v>4</v>
    <v>634.58989999999994</v>
    <v>403.75</v>
    <v>1.3126</v>
    <v>1.1499999999999999</v>
    <v>1.6189999999999998E-3</v>
    <v>2.6290000000000003E-3</v>
    <v>0.71</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442.74</v>
    <v>7</v>
    <v>Software &amp; IT Services</v>
    <v>Stock</v>
    <v>45691.911737349219</v>
    <v>8</v>
    <v>430.88</v>
    <v>190926571260</v>
    <v>ADOBE INC.</v>
    <v>ADOBE INC.</v>
    <v>437.8</v>
    <v>35.286999999999999</v>
    <v>437.45</v>
    <v>438.6</v>
    <v>439.31</v>
    <v>435309100</v>
    <v>ADBE</v>
    <v>ADOBE INC. (XNAS:ADBE)</v>
    <v>3338798</v>
    <v>3703753</v>
    <v>1997</v>
  </rv>
  <rv s="3">
    <v>9</v>
  </rv>
  <rv s="1">
    <v>https://www.bing.com/financeapi/forcetrigger?t=a1mw4c&amp;q=XNAS%3aADP&amp;form=skydnc</v>
    <v>Learn more on Bing</v>
  </rv>
  <rv s="2">
    <v>en-US</v>
    <v>a1mw4c</v>
    <v>268435456</v>
    <v>1</v>
    <v>Powered by Refinitiv</v>
    <v>0</v>
    <v>AUTOMATIC DATA PROCESSING, INC. (XNAS:ADP)</v>
    <v>2</v>
    <v>3</v>
    <v>Finance</v>
    <v>4</v>
    <v>311.67129999999997</v>
    <v>231.27</v>
    <v>0.80589999999999995</v>
    <v>4.3099999999999996</v>
    <v>0</v>
    <v>1.4224000000000001E-2</v>
    <v>0</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1.1 million clients in 140 countries and territories.</v>
    <v>64000</v>
    <v>Nasdaq Stock Market</v>
    <v>XNAS</v>
    <v>XNAS</v>
    <v>One Adp Boulvard, ROSELAND, NJ, 07068 US</v>
    <v>307.94</v>
    <v>Software &amp; IT Services</v>
    <v>Stock</v>
    <v>45691.910308066406</v>
    <v>11</v>
    <v>302.71499999999997</v>
    <v>123286000000</v>
    <v>AUTOMATIC DATA PROCESSING, INC.</v>
    <v>AUTOMATIC DATA PROCESSING, INC.</v>
    <v>303.3</v>
    <v>31.942</v>
    <v>303.01</v>
    <v>307.32</v>
    <v>307.32</v>
    <v>406870900</v>
    <v>ADP</v>
    <v>AUTOMATIC DATA PROCESSING, INC. (XNAS:ADP)</v>
    <v>2168181</v>
    <v>1629008</v>
    <v>1961</v>
  </rv>
  <rv s="3">
    <v>12</v>
  </rv>
  <rv s="1">
    <v>https://www.bing.com/financeapi/forcetrigger?t=a1nanm&amp;q=XNYS%3aALL&amp;form=skydnc</v>
    <v>Learn more on Bing</v>
  </rv>
  <rv s="2">
    <v>en-US</v>
    <v>a1nanm</v>
    <v>268435456</v>
    <v>1</v>
    <v>Powered by Refinitiv</v>
    <v>0</v>
    <v>THE ALLSTATE CORPORATION (XNYS:ALL)</v>
    <v>2</v>
    <v>3</v>
    <v>Finance</v>
    <v>10</v>
    <v>209.88</v>
    <v>153.87</v>
    <v>0.51690000000000003</v>
    <v>-0.35</v>
    <v>0</v>
    <v>-1.82E-3</v>
    <v>0</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 operates through five segments: Allstate Protection, Protection Services, Allstate Health and Benefits, Run-off Property-Liability, and Corporate &amp; Other. The Allstate Protection segment offers private passenger auto, homeowners, other personal lines, and commercial insurance through agents, contact centers and online. The Protection Services segment includes Allstate Protection Plans, Allstate Dealer Services, Allstate Roadside, Arity &amp; Allstate Identity Protection. The Allstate Health and Benefits segment offers voluntary benefits and individual life and health products, and other health insurance products. The Run-off Property-Liability segment includes property and casualty insurance coverage.</v>
    <v>53000</v>
    <v>New York Stock Exchange</v>
    <v>XNYS</v>
    <v>XNYS</v>
    <v>3100 SANDERS ROAD, NORTHBROOK, IL, 60062 US</v>
    <v>192.77</v>
    <v>Insurance</v>
    <v>Stock</v>
    <v>45691.888977939059</v>
    <v>14</v>
    <v>187.49</v>
    <v>50836975930</v>
    <v>THE ALLSTATE CORPORATION</v>
    <v>THE ALLSTATE CORPORATION</v>
    <v>190.88</v>
    <v>12.396000000000001</v>
    <v>192.33</v>
    <v>191.98</v>
    <v>191.98</v>
    <v>264803500</v>
    <v>ALL</v>
    <v>THE ALLSTATE CORPORATION (XNYS:ALL)</v>
    <v>1223713</v>
    <v>1606765</v>
    <v>1992</v>
  </rv>
  <rv s="3">
    <v>15</v>
  </rv>
  <rv s="1">
    <v>https://www.bing.com/financeapi/forcetrigger?t=a1nhlh&amp;q=XNAS%3aAMZN&amp;form=skydnc</v>
    <v>Learn more on Bing</v>
  </rv>
  <rv s="2">
    <v>en-US</v>
    <v>a1nhlh</v>
    <v>268435456</v>
    <v>1</v>
    <v>Powered by Refinitiv</v>
    <v>0</v>
    <v>AMAZON.COM, INC. (XNAS:AMZN)</v>
    <v>2</v>
    <v>3</v>
    <v>Finance</v>
    <v>4</v>
    <v>241.77</v>
    <v>151.61000000000001</v>
    <v>1.1567000000000001</v>
    <v>-0.26</v>
    <v>7.9179999999999997E-3</v>
    <v>-1.0939999999999999E-3</v>
    <v>1.88</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Avenue North, SEATTLE, WA, 98109 US</v>
    <v>239.25</v>
    <v>Diversified Retail</v>
    <v>Stock</v>
    <v>45691.912201955471</v>
    <v>17</v>
    <v>232.9</v>
    <v>2496473674200</v>
    <v>AMAZON.COM, INC.</v>
    <v>AMAZON.COM, INC.</v>
    <v>234.06</v>
    <v>50.731900000000003</v>
    <v>237.68</v>
    <v>237.42</v>
    <v>239.3</v>
    <v>10515010000</v>
    <v>AMZN</v>
    <v>AMAZON.COM, INC. (XNAS:AMZN)</v>
    <v>37082906</v>
    <v>30572765</v>
    <v>1996</v>
  </rv>
  <rv s="3">
    <v>18</v>
  </rv>
  <rv s="1">
    <v>https://www.bing.com/financeapi/forcetrigger?t=b11ibh&amp;q=XWBO%3aBRKB&amp;form=skydnc</v>
    <v>Learn more on Bing</v>
  </rv>
  <rv s="7">
    <v>en-US</v>
    <v>b11ibh</v>
    <v>268435456</v>
    <v>1</v>
    <v>Powered by Refinitiv</v>
    <v>11</v>
    <v>BERKSHIRE HATHAWAY INC. (XWBO:BRKB)</v>
    <v>2</v>
    <v>12</v>
    <v>Finance</v>
    <v>13</v>
    <v>0.8841</v>
    <v>-2.85</v>
    <v>-6.2909999999999997E-3</v>
    <v>EUR</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396500</v>
    <v>Wiener Boerse</v>
    <v>XWBO</v>
    <v>XWBO</v>
    <v>3555 Farnam Street, OMAHA, NE, 68131 US</v>
    <v>453.5</v>
    <v>Consumer Goods Conglomerates</v>
    <v>Stock</v>
    <v>45691</v>
    <v>20</v>
    <v>448.4</v>
    <v>1010430000000</v>
    <v>BERKSHIRE HATHAWAY INC.</v>
    <v>BERKSHIRE HATHAWAY INC.</v>
    <v>452.5</v>
    <v>10.1248</v>
    <v>453</v>
    <v>450.15</v>
    <v>1437610</v>
    <v>BRKB</v>
    <v>BERKSHIRE HATHAWAY INC. (XWBO:BRKB)</v>
    <v>101</v>
    <v>1580</v>
    <v>1998</v>
  </rv>
  <rv s="3">
    <v>21</v>
  </rv>
  <rv s="1">
    <v>https://www.bing.com/financeapi/forcetrigger?t=a1p7zr&amp;q=XNYS%3aCAT&amp;form=skydnc</v>
    <v>Learn more on Bing</v>
  </rv>
  <rv s="2">
    <v>en-US</v>
    <v>a1p7zr</v>
    <v>268435456</v>
    <v>1</v>
    <v>Powered by Refinitiv</v>
    <v>0</v>
    <v>CATERPILLAR INC. (XNYS:CAT)</v>
    <v>2</v>
    <v>3</v>
    <v>Finance</v>
    <v>4</v>
    <v>418.5</v>
    <v>307.05</v>
    <v>1.1067</v>
    <v>-9.93</v>
    <v>7.1909999999999995E-3</v>
    <v>-2.6734000000000001E-2</v>
    <v>2.6</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368.55</v>
    <v>Machinery, Equipment &amp; Components</v>
    <v>Stock</v>
    <v>45691.911315092184</v>
    <v>23</v>
    <v>359.69</v>
    <v>174537931775</v>
    <v>CATERPILLAR INC.</v>
    <v>CATERPILLAR INC.</v>
    <v>364.14</v>
    <v>16.3797</v>
    <v>371.44</v>
    <v>361.51</v>
    <v>364.15</v>
    <v>482802500</v>
    <v>CAT</v>
    <v>CATERPILLAR INC. (XNYS:CAT)</v>
    <v>3072855</v>
    <v>2105937</v>
    <v>1986</v>
  </rv>
  <rv s="3">
    <v>24</v>
  </rv>
  <rv s="1">
    <v>https://www.bing.com/financeapi/forcetrigger?t=a1q6k2&amp;q=XNAS%3aCOST&amp;form=skydnc</v>
    <v>Learn more on Bing</v>
  </rv>
  <rv s="2">
    <v>en-US</v>
    <v>a1q6k2</v>
    <v>268435456</v>
    <v>1</v>
    <v>Powered by Refinitiv</v>
    <v>0</v>
    <v>COSTCO WHOLESALE CORPORATION (XNAS:COST)</v>
    <v>2</v>
    <v>3</v>
    <v>Finance</v>
    <v>4</v>
    <v>1009.6105</v>
    <v>697.27</v>
    <v>0.8397</v>
    <v>25.95</v>
    <v>1.114E-3</v>
    <v>2.6483E-2</v>
    <v>1.1200000000000001</v>
    <v>USD</v>
    <v>Costco Wholesale Corporation (Costco) operates membership warehouses and e-commerce sites that offer a selection of nationally branded and private-label products in a wide range of categories. The Company buys the majority of its merchandise directly from suppliers and route it to cross-docking consolidation points (depots) or directly to its warehouses. It operates 891 warehouses, including 614 in the United States and Puerto Rico, 108 in Canada, 40 in Mexico, 35 in Japan, 29 in the United Kingdom, 19 in Korea, 15 in Australia, 14 in Taiwan, seven in China, five in Spain, two in France, and one each in Iceland, New Zealand and Sweden. It also operates e-commerce sites in the United States, Canada, the United Kingdom, Mexico, Korea, Taiwan, Japan and Australia. The Company provides wide selection of merchandise, plus the convenience of specialty departments and exclusive member services.</v>
    <v>333000</v>
    <v>Nasdaq Stock Market</v>
    <v>XNAS</v>
    <v>XNAS</v>
    <v>999 Lake Dr, ISSAQUAH, WA, 98027- US</v>
    <v>1009.6105</v>
    <v>Diversified Retail</v>
    <v>Stock</v>
    <v>45691.912147256247</v>
    <v>26</v>
    <v>968.94</v>
    <v>446486830587</v>
    <v>COSTCO WHOLESALE CORPORATION</v>
    <v>COSTCO WHOLESALE CORPORATION</v>
    <v>972.38499999999999</v>
    <v>57.538800000000002</v>
    <v>979.88</v>
    <v>1005.83</v>
    <v>1006.95</v>
    <v>443898900</v>
    <v>COST</v>
    <v>COSTCO WHOLESALE CORPORATION (XNAS:COST)</v>
    <v>2666385</v>
    <v>1836131</v>
    <v>1987</v>
  </rv>
  <rv s="3">
    <v>27</v>
  </rv>
  <rv s="1">
    <v>https://www.bing.com/financeapi/forcetrigger?t=a1qbjc&amp;q=XNYS%3aCRH&amp;form=skydnc</v>
    <v>Learn more on Bing</v>
  </rv>
  <rv s="8">
    <v>en-US</v>
    <v>a1qbjc</v>
    <v>268435456</v>
    <v>1</v>
    <v>1</v>
    <v>Powered by Refinitiv</v>
    <v>14</v>
    <v>CRH PUBLIC LIMITED COMPANY (XNYS:CRH)</v>
    <v>2</v>
    <v>15</v>
    <v>Finance</v>
    <v>16</v>
    <v>94.14</v>
    <v>51.59</v>
    <v>0</v>
    <v>0</v>
    <v>USD</v>
    <v>CRH PLC is a provider of building materials solutions. The Company integrates building materials, products, and services by providing them to customers as complete solutions. Its segments include Americas Materials Solutions, Americas Building Solutions, Europe Materials Solutions and Europe Building Solutions. The Americas Materials Solutions segment provides solutions for the construction and maintenance of public infrastructure and commercial and residential buildings in North America. The Americas Building Solutions segment manufactures, supplies, and delivers solutions for the built environment in communities across North America. The Europe Materials Solutions segment provides solutions for the construction of public infrastructure and commercial and residential buildings to customers in construction markets in Europe. The Europe Building Solutions segment combines materials, products, and services to produce a range of architectural and infrastructural solutions.</v>
    <v>75838</v>
    <v>New York Stock Exchange</v>
    <v>XNYS</v>
    <v>XNYS</v>
    <v>Stonemason's Way, Rathfarnham, DUBLIN, DUBLIN, D16 KH51 IE</v>
    <v>92.4</v>
    <v>Construction Materials</v>
    <v>Stock</v>
    <v>45587.958333344533</v>
    <v>29</v>
    <v>91.01</v>
    <v>63535150000</v>
    <v>CRH PUBLIC LIMITED COMPANY</v>
    <v>CRH PUBLIC LIMITED COMPANY</v>
    <v>91.38</v>
    <v>92.23</v>
    <v>91.83</v>
    <v>679665700</v>
    <v>CRH</v>
    <v>CRH PUBLIC LIMITED COMPANY (XNYS:CRH)</v>
    <v>504</v>
    <v>3380535</v>
    <v>1949</v>
  </rv>
  <rv s="3">
    <v>30</v>
  </rv>
  <rv s="1">
    <v>https://www.bing.com/financeapi/forcetrigger?t=a1qyvh&amp;q=XNYS%3aDG&amp;form=skydnc</v>
    <v>Learn more on Bing</v>
  </rv>
  <rv s="2">
    <v>en-US</v>
    <v>a1qyvh</v>
    <v>268435456</v>
    <v>1</v>
    <v>Powered by Refinitiv</v>
    <v>0</v>
    <v>DOLLAR GENERAL CORPORATION (XNYS:DG)</v>
    <v>2</v>
    <v>3</v>
    <v>Finance</v>
    <v>4</v>
    <v>168.07</v>
    <v>66.430000000000007</v>
    <v>0.43240000000000001</v>
    <v>0.41</v>
    <v>5.457E-3</v>
    <v>5.77E-3</v>
    <v>0.39</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basic items for infants, toddlers, girls, boys, women and men, as well as socks, underwear, disposable diapers, shoes and accessories.</v>
    <v>185800</v>
    <v>New York Stock Exchange</v>
    <v>XNYS</v>
    <v>XNYS</v>
    <v>100 Mission Ridge, GOODLETTSVILLE, TN, 37072-2171 US</v>
    <v>72.69</v>
    <v>Diversified Retail</v>
    <v>Stock</v>
    <v>45691.909786191405</v>
    <v>32</v>
    <v>69.319999999999993</v>
    <v>15718089779</v>
    <v>DOLLAR GENERAL CORPORATION</v>
    <v>DOLLAR GENERAL CORPORATION</v>
    <v>70.09</v>
    <v>11.770200000000001</v>
    <v>71.06</v>
    <v>71.47</v>
    <v>71.86</v>
    <v>219925700</v>
    <v>DG</v>
    <v>DOLLAR GENERAL CORPORATION (XNYS:DG)</v>
    <v>3847297</v>
    <v>3464970</v>
    <v>1998</v>
  </rv>
  <rv s="3">
    <v>33</v>
  </rv>
  <rv s="1">
    <v>https://www.bing.com/financeapi/forcetrigger?t=a1r1r7&amp;q=XNYS%3aDHR&amp;form=skydnc</v>
    <v>Learn more on Bing</v>
  </rv>
  <rv s="2">
    <v>en-US</v>
    <v>a1r1r7</v>
    <v>268435456</v>
    <v>1</v>
    <v>Powered by Refinitiv</v>
    <v>0</v>
    <v>DANAHER CORPORATION (XNYS:DHR)</v>
    <v>2</v>
    <v>3</v>
    <v>Finance</v>
    <v>4</v>
    <v>281.7</v>
    <v>214.03</v>
    <v>0.83609999999999995</v>
    <v>-8.5399999999999991</v>
    <v>1.1200000000000001E-3</v>
    <v>-3.8341E-2</v>
    <v>0.24</v>
    <v>USD</v>
    <v>Danaher Corporation is a global life sciences and diagnostics innovator. The Company operates through three business segments: Biotechnology, Life Sciences and Diagnostics.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Life Sciences segment offers a range of instruments, consumables, services and software that are primarily used by customers to study genomics and the basic building blocks of life, including deoxyribonucleic acid (DNA)and ribonucleic acid (RNA), nucleic acid, proteins, metabolites and cells. The Diagnostics segment offers clinical instruments, consumables, software and services that hospitals, physicians’ offices, reference laboratories and other critical care settings use to diagnose disease and make treatment decisions.</v>
    <v>61000</v>
    <v>New York Stock Exchange</v>
    <v>XNYS</v>
    <v>XNYS</v>
    <v>2200 Pennsylvania Ave NW Ste 800W, WASHINGTON, DC, 20037-1701 US</v>
    <v>219.94</v>
    <v>Healthcare Equipment &amp; Supplies</v>
    <v>Stock</v>
    <v>45691.91172579844</v>
    <v>35</v>
    <v>214.03</v>
    <v>154031220000</v>
    <v>DANAHER CORPORATION</v>
    <v>DANAHER CORPORATION</v>
    <v>218</v>
    <v>40.520600000000002</v>
    <v>222.74</v>
    <v>214.2</v>
    <v>214.5</v>
    <v>719100000</v>
    <v>DHR</v>
    <v>DANAHER CORPORATION (XNYS:DHR)</v>
    <v>5785465</v>
    <v>3296176</v>
    <v>1986</v>
  </rv>
  <rv s="3">
    <v>36</v>
  </rv>
  <rv s="1">
    <v>http://en.wikipedia.org/wiki/The_Walt_Disney_Company</v>
    <v>Wikipedia</v>
  </rv>
  <rv s="4">
    <v>4</v>
    <v>38</v>
  </rv>
  <rv s="5">
    <v>9</v>
    <v>https://www.bing.com/th?id=AMMS_0aa288ba528f6f45e3de87d97e250136&amp;qlt=95</v>
    <v>39</v>
    <v>0</v>
    <v>https://www.bing.com/images/search?form=xlimg&amp;q=the+walt+disney+company</v>
    <v>Image of THE WALT DISNEY COMPANY</v>
  </rv>
  <rv s="1">
    <v>https://www.bing.com/financeapi/forcetrigger?t=a1r2z2&amp;q=XNYS%3aDIS&amp;form=skydnc</v>
    <v>Learn more on Bing</v>
  </rv>
  <rv s="6">
    <v>en-US</v>
    <v>a1r2z2</v>
    <v>268435456</v>
    <v>1</v>
    <v>Powered by Refinitiv</v>
    <v>5</v>
    <v>THE WALT DISNEY COMPANY (XNYS:DIS)</v>
    <v>7</v>
    <v>8</v>
    <v>Finance</v>
    <v>4</v>
    <v>123.74</v>
    <v>83.91</v>
    <v>1.4273</v>
    <v>1</v>
    <v>3.5530000000000002E-3</v>
    <v>8.8449999999999987E-3</v>
    <v>0.40500000000000003</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114.6</v>
    <v>40</v>
    <v>Media &amp; Publishing</v>
    <v>Stock</v>
    <v>45691.912151423436</v>
    <v>41</v>
    <v>110.86</v>
    <v>206272947600</v>
    <v>THE WALT DISNEY COMPANY</v>
    <v>THE WALT DISNEY COMPANY</v>
    <v>111.35</v>
    <v>41.989400000000003</v>
    <v>113.06</v>
    <v>114.06</v>
    <v>114.405</v>
    <v>1808460000</v>
    <v>DIS</v>
    <v>THE WALT DISNEY COMPANY (XNYS:DIS)</v>
    <v>8852592</v>
    <v>6772419</v>
    <v>2018</v>
  </rv>
  <rv s="3">
    <v>42</v>
  </rv>
  <rv s="1">
    <v>https://www.bing.com/financeapi/forcetrigger?t=a1u3p2&amp;q=XNAS%3aGOOG&amp;form=skydnc</v>
    <v>Learn more on Bing</v>
  </rv>
  <rv s="2">
    <v>en-US</v>
    <v>a1u3p2</v>
    <v>268435456</v>
    <v>1</v>
    <v>Powered by Refinitiv</v>
    <v>0</v>
    <v>ALPHABET INC. (XNAS:GOOG)</v>
    <v>2</v>
    <v>3</v>
    <v>Finance</v>
    <v>4</v>
    <v>207.08</v>
    <v>131.55000000000001</v>
    <v>0.99099999999999999</v>
    <v>-2.96</v>
    <v>7.6E-3</v>
    <v>-1.4397E-2</v>
    <v>1.54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205.22</v>
    <v>Software &amp; IT Services</v>
    <v>Stock</v>
    <v>45691.912173853903</v>
    <v>44</v>
    <v>201.66</v>
    <v>2506153000000</v>
    <v>ALPHABET INC.</v>
    <v>ALPHABET INC.</v>
    <v>202.215</v>
    <v>26.866800000000001</v>
    <v>205.6</v>
    <v>202.64</v>
    <v>204.18</v>
    <v>12241000000</v>
    <v>GOOG</v>
    <v>ALPHABET INC. (XNAS:GOOG)</v>
    <v>16561462</v>
    <v>15218438</v>
    <v>2015</v>
  </rv>
  <rv s="3">
    <v>45</v>
  </rv>
  <rv s="1">
    <v>https://www.bing.com/financeapi/forcetrigger?t=a1uj52&amp;q=XNYS%3aHD&amp;form=skydnc</v>
    <v>Learn more on Bing</v>
  </rv>
  <rv s="2">
    <v>en-US</v>
    <v>a1uj52</v>
    <v>268435456</v>
    <v>1</v>
    <v>Powered by Refinitiv</v>
    <v>0</v>
    <v>THE HOME DEPOT, INC. (XNYS:HD)</v>
    <v>2</v>
    <v>3</v>
    <v>Finance</v>
    <v>4</v>
    <v>439.37</v>
    <v>323.77</v>
    <v>1.0584</v>
    <v>-3.16</v>
    <v>7.8040000000000002E-3</v>
    <v>-7.6699999999999997E-3</v>
    <v>3.19</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411.9</v>
    <v>Specialty Retailers</v>
    <v>Stock</v>
    <v>45691.911177765622</v>
    <v>47</v>
    <v>401.01</v>
    <v>406106498132</v>
    <v>THE HOME DEPOT, INC.</v>
    <v>THE HOME DEPOT, INC.</v>
    <v>406.12</v>
    <v>27.770600000000002</v>
    <v>411.98</v>
    <v>408.82</v>
    <v>411.95</v>
    <v>993362600</v>
    <v>HD</v>
    <v>THE HOME DEPOT, INC. (XNYS:HD)</v>
    <v>2895326</v>
    <v>2911857</v>
    <v>1978</v>
  </rv>
  <rv s="3">
    <v>48</v>
  </rv>
  <rv s="1">
    <v>https://www.bing.com/financeapi/forcetrigger?t=a1ut3m&amp;q=XNAS%3aHON&amp;form=skydnc</v>
    <v>Learn more on Bing</v>
  </rv>
  <rv s="2">
    <v>en-US</v>
    <v>a1ut3m</v>
    <v>268435456</v>
    <v>1</v>
    <v>Powered by Refinitiv</v>
    <v>0</v>
    <v>HONEYWELL INTERNATIONAL INCORPORATION (XNAS:HON)</v>
    <v>2</v>
    <v>3</v>
    <v>Finance</v>
    <v>4</v>
    <v>242.77</v>
    <v>189.75</v>
    <v>1.0452999999999999</v>
    <v>-1.31</v>
    <v>0</v>
    <v>-5.8560000000000001E-3</v>
    <v>0</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223.3</v>
    <v>Consumer Goods Conglomerates</v>
    <v>Stock</v>
    <v>45691.910308089842</v>
    <v>50</v>
    <v>219.66329999999999</v>
    <v>144621524234</v>
    <v>HONEYWELL INTERNATIONAL INCORPORATION</v>
    <v>HONEYWELL INTERNATIONAL INCORPORATION</v>
    <v>222.5</v>
    <v>25.675999999999998</v>
    <v>223.72</v>
    <v>222.41</v>
    <v>222.41</v>
    <v>650247400</v>
    <v>HON</v>
    <v>HONEYWELL INTERNATIONAL INCORPORATION (XNAS:HON)</v>
    <v>3215204</v>
    <v>3301231</v>
    <v>1985</v>
  </rv>
  <rv s="3">
    <v>51</v>
  </rv>
  <rv s="1">
    <v>https://www.bing.com/financeapi/forcetrigger?t=a1w8ec&amp;q=XNYS%3aJNJ&amp;form=skydnc</v>
    <v>Learn more on Bing</v>
  </rv>
  <rv s="2">
    <v>en-US</v>
    <v>a1w8ec</v>
    <v>268435456</v>
    <v>1</v>
    <v>Powered by Refinitiv</v>
    <v>0</v>
    <v>JOHNSON &amp; JOHNSON (XNYS:JNJ)</v>
    <v>2</v>
    <v>3</v>
    <v>Finance</v>
    <v>4</v>
    <v>168.85</v>
    <v>140.68</v>
    <v>0.5111</v>
    <v>-0.28000000000000003</v>
    <v>2.0409999999999998E-3</v>
    <v>-1.8400000000000001E-3</v>
    <v>0.31</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152.465</v>
    <v>Pharmaceuticals</v>
    <v>Stock</v>
    <v>45691.912111307814</v>
    <v>53</v>
    <v>150.78</v>
    <v>365645705010</v>
    <v>JOHNSON &amp; JOHNSON</v>
    <v>JOHNSON &amp; JOHNSON</v>
    <v>152</v>
    <v>26.196200000000001</v>
    <v>152.15</v>
    <v>151.87</v>
    <v>152.18</v>
    <v>2407623000</v>
    <v>JNJ</v>
    <v>JOHNSON &amp; JOHNSON (XNYS:JNJ)</v>
    <v>6679846</v>
    <v>8732781</v>
    <v>1887</v>
  </rv>
  <rv s="3">
    <v>54</v>
  </rv>
  <rv s="1">
    <v>https://www.bing.com/financeapi/forcetrigger?t=a1wzw7&amp;q=XNYS%3aLMT&amp;form=skydnc</v>
    <v>Learn more on Bing</v>
  </rv>
  <rv s="2">
    <v>en-US</v>
    <v>a1wzw7</v>
    <v>268435456</v>
    <v>1</v>
    <v>Powered by Refinitiv</v>
    <v>0</v>
    <v>LOCKHEED MARTIN CORPORATION (XNYS:LMT)</v>
    <v>2</v>
    <v>3</v>
    <v>Finance</v>
    <v>4</v>
    <v>618.95000000000005</v>
    <v>413.92</v>
    <v>0.48230000000000001</v>
    <v>-7.55</v>
    <v>5.006E-3</v>
    <v>-1.6308E-2</v>
    <v>2.2799999999999998</v>
    <v>USD</v>
    <v>Lockheed Martin Corporation is a global aerospace and defense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Its Space segment is engaged in the research and design, development, engineering and production of satellites, space transportation systems, and strategic, advanced strike, and defensive systems.</v>
    <v>121000</v>
    <v>New York Stock Exchange</v>
    <v>XNYS</v>
    <v>XNYS</v>
    <v>6801 ROCKLEDGE DR, BETHESDA, MD, 20817 US</v>
    <v>461.33199999999999</v>
    <v>Aerospace &amp; Defense</v>
    <v>Stock</v>
    <v>45691.909656527343</v>
    <v>56</v>
    <v>453.57499999999999</v>
    <v>107194738860</v>
    <v>LOCKHEED MARTIN CORPORATION</v>
    <v>LOCKHEED MARTIN CORPORATION</v>
    <v>458.8</v>
    <v>20.450199999999999</v>
    <v>462.95</v>
    <v>455.4</v>
    <v>457.7</v>
    <v>235385900</v>
    <v>LMT</v>
    <v>LOCKHEED MARTIN CORPORATION (XNYS:LMT)</v>
    <v>1475001</v>
    <v>1299826</v>
    <v>1994</v>
  </rv>
  <rv s="3">
    <v>57</v>
  </rv>
  <rv s="1">
    <v>https://www.bing.com/financeapi/forcetrigger?t=a1x8w7&amp;q=XNYS%3aMA&amp;form=skydnc</v>
    <v>Learn more on Bing</v>
  </rv>
  <rv s="2">
    <v>en-US</v>
    <v>a1x8w7</v>
    <v>268435456</v>
    <v>1</v>
    <v>Powered by Refinitiv</v>
    <v>0</v>
    <v>MASTERCARD INCORPORATED. (XNYS:MA)</v>
    <v>2</v>
    <v>3</v>
    <v>Finance</v>
    <v>4</v>
    <v>576.94000000000005</v>
    <v>428.86</v>
    <v>1.1032</v>
    <v>8.9109999999999996</v>
    <v>4.522E-3</v>
    <v>1.6043000000000002E-2</v>
    <v>2.5499999999999998</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565</v>
    <v>Software &amp; IT Services</v>
    <v>Stock</v>
    <v>45691.910338923437</v>
    <v>59</v>
    <v>551.07000000000005</v>
    <v>515807674000</v>
    <v>MASTERCARD INCORPORATED.</v>
    <v>MASTERCARD INCORPORATED.</v>
    <v>552.64</v>
    <v>40.626100000000001</v>
    <v>555.42999999999995</v>
    <v>564.34100000000001</v>
    <v>566.5</v>
    <v>914000000</v>
    <v>MA</v>
    <v>MASTERCARD INCORPORATED. (XNYS:MA)</v>
    <v>3195095</v>
    <v>2601804</v>
    <v>2001</v>
  </rv>
  <rv s="3">
    <v>60</v>
  </rv>
  <rv s="1">
    <v>https://en.wikipedia.org/wiki/Microsoft</v>
    <v>Wikipedia</v>
  </rv>
  <rv s="4">
    <v>4</v>
    <v>62</v>
  </rv>
  <rv s="5">
    <v>9</v>
    <v>https://www.bing.com/th?id=AMMS_e6e837c7bf3a77408619758b7447855a&amp;qlt=95</v>
    <v>63</v>
    <v>0</v>
    <v>https://www.bing.com/images/search?form=xlimg&amp;q=microsoft</v>
    <v>Image of MICROSOFT CORPORATION</v>
  </rv>
  <rv s="1">
    <v>https://www.bing.com/financeapi/forcetrigger?t=a1xzim&amp;q=XNAS%3aMSFT&amp;form=skydnc</v>
    <v>Learn more on Bing</v>
  </rv>
  <rv s="6">
    <v>en-US</v>
    <v>a1xzim</v>
    <v>268435456</v>
    <v>1</v>
    <v>Powered by Refinitiv</v>
    <v>5</v>
    <v>MICROSOFT CORPORATION (XNAS:MSFT)</v>
    <v>7</v>
    <v>8</v>
    <v>Finance</v>
    <v>4</v>
    <v>468.35</v>
    <v>385.58</v>
    <v>0.89470000000000005</v>
    <v>-4.1399999999999997</v>
    <v>5.1830000000000001E-3</v>
    <v>-9.9740000000000002E-3</v>
    <v>2.13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415.41</v>
    <v>64</v>
    <v>Software &amp; IT Services</v>
    <v>Stock</v>
    <v>45691.912226330467</v>
    <v>65</v>
    <v>408.66</v>
    <v>3054771883440</v>
    <v>MICROSOFT CORPORATION</v>
    <v>MICROSOFT CORPORATION</v>
    <v>411.6</v>
    <v>33.100299999999997</v>
    <v>415.06</v>
    <v>410.92</v>
    <v>413.05</v>
    <v>7433982000</v>
    <v>MSFT</v>
    <v>MICROSOFT CORPORATION (XNAS:MSFT)</v>
    <v>25502440</v>
    <v>20898000</v>
    <v>1993</v>
  </rv>
  <rv s="3">
    <v>66</v>
  </rv>
  <rv s="1">
    <v>https://www.bing.com/financeapi/forcetrigger?t=a1ye2w&amp;q=XNYS%3aNEE&amp;form=skydnc</v>
    <v>Learn more on Bing</v>
  </rv>
  <rv s="2">
    <v>en-US</v>
    <v>a1ye2w</v>
    <v>268435456</v>
    <v>1</v>
    <v>Powered by Refinitiv</v>
    <v>0</v>
    <v>NEXTERA ENERGY, INC. (XNYS:NEE)</v>
    <v>2</v>
    <v>3</v>
    <v>Finance</v>
    <v>4</v>
    <v>86.1</v>
    <v>53.95</v>
    <v>0.57679999999999998</v>
    <v>-0.49</v>
    <v>4.7850000000000002E-3</v>
    <v>-6.8469999999999998E-3</v>
    <v>0.34</v>
    <v>USD</v>
    <v>NextEra Energy, Inc. is an electric power and energy infrastructure company. It operates through its wholly owned subsidiaries, NextEra Energy Resources, LLC and NextEra Energy Transmission, LLC (collectively, NEER) and Florida Power &amp; Light Company (FPL). Its segments include NEER and FPL. FPL segment is a rate-regulated electric utility engaged in the generation, transmission, distribution and sale of electric energy in Florida. FPL has approximately 33,276 megawatts (MW) of net generating capacity, approximately 90,000 circuit miles of transmission and distribution lines and 883 substations. The NEER segment owns, develops, constructs, manages and operates electric generation facilities in wholesale energy markets in the United States and Canada and also includes assets and investments in other businesses with a clean energy focus, such as battery storage and renewable fuels. It also owns, develops, constructs and operates rate-regulated transmission facilities in North America.</v>
    <v>16800</v>
    <v>New York Stock Exchange</v>
    <v>XNYS</v>
    <v>XNYS</v>
    <v>700 Universe Blvd, JUNO BEACH, FL, 33408 US</v>
    <v>71.790000000000006</v>
    <v>Electrical Utilities &amp; IPPs</v>
    <v>Stock</v>
    <v>45691.911148807812</v>
    <v>68</v>
    <v>70.19</v>
    <v>146148703350</v>
    <v>NEXTERA ENERGY, INC.</v>
    <v>NEXTERA ENERGY, INC.</v>
    <v>70.5</v>
    <v>21.0671</v>
    <v>71.56</v>
    <v>71.069999999999993</v>
    <v>71.39</v>
    <v>2056405000</v>
    <v>NEE</v>
    <v>NEXTERA ENERGY, INC. (XNYS:NEE)</v>
    <v>9127890</v>
    <v>10762291</v>
    <v>1984</v>
  </rv>
  <rv s="3">
    <v>69</v>
  </rv>
  <rv s="1">
    <v>https://www.bing.com/financeapi/forcetrigger?t=afgp6h&amp;q=XFRA%3aNKE&amp;form=skydnc</v>
    <v>Learn more on Bing</v>
  </rv>
  <rv s="7">
    <v>en-US</v>
    <v>afgp6h</v>
    <v>268435456</v>
    <v>1</v>
    <v>Powered by Refinitiv</v>
    <v>11</v>
    <v>NIKE, INC. (XFRA:NKE)</v>
    <v>2</v>
    <v>17</v>
    <v>Finance</v>
    <v>13</v>
    <v>1.0152000000000001</v>
    <v>-0.57999999999999996</v>
    <v>-7.7449999999999993E-3</v>
    <v>EUR</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Deutsche Boerse AG</v>
    <v>XFRA</v>
    <v>XFRA</v>
    <v>One Bowerman Dr, BEAVERTON, OR, 97005-6453 US</v>
    <v>74.5</v>
    <v>Textiles &amp; Apparel</v>
    <v>Stock</v>
    <v>45691.878472222219</v>
    <v>71</v>
    <v>71.48</v>
    <v>113744900000</v>
    <v>NIKE, INC.</v>
    <v>NIKE, INC.</v>
    <v>73</v>
    <v>24.53</v>
    <v>74.89</v>
    <v>74.31</v>
    <v>1479127000</v>
    <v>NKE</v>
    <v>NIKE, INC. (XFRA:NKE)</v>
    <v>2255</v>
    <v>11185720</v>
    <v>1969</v>
  </rv>
  <rv s="3">
    <v>72</v>
  </rv>
  <rv s="1">
    <v>https://www.bing.com/financeapi/forcetrigger?t=a1z8jc&amp;q=XNAS%3aON&amp;form=skydnc</v>
    <v>Learn more on Bing</v>
  </rv>
  <rv s="2">
    <v>en-US</v>
    <v>a1z8jc</v>
    <v>268435456</v>
    <v>1</v>
    <v>Powered by Refinitiv</v>
    <v>0</v>
    <v>ON SEMICONDUCTOR CORPORATION (XNAS:ON)</v>
    <v>2</v>
    <v>3</v>
    <v>Finance</v>
    <v>4</v>
    <v>85.16</v>
    <v>49.8</v>
    <v>1.6129</v>
    <v>-2.08</v>
    <v>8.7840000000000001E-3</v>
    <v>-3.9740000000000004E-2</v>
    <v>0.4415</v>
    <v>USD</v>
    <v>ON Semiconductor Corporation, together with its wholly owned subsidiaries, operates under the onsemi brand. The Company provides intelligent power and intelligent sensing solutions. Its segments include the Power Solutions Group (PSG), the Analog &amp; Mixed-Signal Group (AMG), and the Intelligent Sensing Group (ISG). PSG offers a range of analog, discrete, module and integrated semiconductor products that perform multiple application functions, including power switching, power conversion, and signal conditioning. AMG designs and develops analog, mixed-signal, power management integrated circuits (ICs) and sensor interface devices for a range of end-users in the automotive, industrial, compute and mobile end-markets. ISG designs and develops complementary metal oxide semiconductor (CMOS) image sensors, image signal processors, and single photon detectors. Its SWIR Vision Systems is a provider of colloidal quantum-dot-based (CQD) short wavelength infrared (SWIR) technology.</v>
    <v>30000</v>
    <v>Nasdaq Stock Market</v>
    <v>XNAS</v>
    <v>XNAS</v>
    <v>5701 NORTH PIMA ROAD, SCOTTSDALE, AZ, 85250 US</v>
    <v>51.46</v>
    <v>Semiconductors &amp; Semiconductor Equipment</v>
    <v>Stock</v>
    <v>45691.911956018521</v>
    <v>74</v>
    <v>49.8</v>
    <v>21400582350</v>
    <v>ON SEMICONDUCTOR CORPORATION</v>
    <v>ON SEMICONDUCTOR CORPORATION</v>
    <v>50.65</v>
    <v>12.4712</v>
    <v>52.34</v>
    <v>50.26</v>
    <v>50.701500000000003</v>
    <v>425797500</v>
    <v>ON</v>
    <v>ON SEMICONDUCTOR CORPORATION (XNAS:ON)</v>
    <v>8060450</v>
    <v>8206634</v>
    <v>2000</v>
  </rv>
  <rv s="3">
    <v>75</v>
  </rv>
  <rv s="1">
    <v>https://www.bing.com/financeapi/forcetrigger?t=bvlqa2&amp;q=XNYS%3aSNOW&amp;form=skydnc</v>
    <v>Learn more on Bing</v>
  </rv>
  <rv s="9">
    <v>en-US</v>
    <v>bvlqa2</v>
    <v>268435456</v>
    <v>1</v>
    <v>Powered by Refinitiv</v>
    <v>18</v>
    <v>SNOWFLAKE INC. (XNYS:SNOW)</v>
    <v>2</v>
    <v>19</v>
    <v>Finance</v>
    <v>4</v>
    <v>237.72</v>
    <v>107.13</v>
    <v>1.0732999999999999</v>
    <v>1.1000000000000001</v>
    <v>1.8790000000000001E-2</v>
    <v>6.0599999999999994E-3</v>
    <v>3.43</v>
    <v>USD</v>
    <v>Snowflake Inc. is a data cloud and artificial intelligence company. Its platform is the technology that powers the AI Data Cloud, enabling customers to consolidate data into a single source of truth to drive meaningful insights, apply artificial intelligence (AI) to solve business problems, build data applications, and share data and data products. It provides its platform through a customer-centric, and consumption-based business model. Its cloud-native architecture consists of three independently scalable but logically integrated layers across compute, storage, and cloud services. The compute layer provides dedicated resources to enable users to simultaneously access common data sets for many use cases with minimal latency. The storage layer ingests massive amounts and varieties of structured, semi-structured, and unstructured data to create a unified data record. Its ClearQuery platform allows users to rapidly search, explore, and analyze their data using natural language queries.</v>
    <v>7004</v>
    <v>New York Stock Exchange</v>
    <v>XNYS</v>
    <v>XNYS</v>
    <v>106 East Babcock Street, Suite 3A, BOZEMAN, MT, 59715 US</v>
    <v>184.5</v>
    <v>Software &amp; IT Services</v>
    <v>Stock</v>
    <v>45691.912040832809</v>
    <v>77</v>
    <v>175.25</v>
    <v>60279561000</v>
    <v>SNOWFLAKE INC.</v>
    <v>SNOWFLAKE INC.</v>
    <v>176.17</v>
    <v>181.51</v>
    <v>182.61</v>
    <v>185.97</v>
    <v>330100000</v>
    <v>SNOW</v>
    <v>SNOWFLAKE INC. (XNYS:SNOW)</v>
    <v>4356569</v>
    <v>4793035</v>
    <v>2012</v>
  </rv>
  <rv s="3">
    <v>78</v>
  </rv>
  <rv s="1">
    <v>https://www.bing.com/financeapi/forcetrigger?t=a23hqh&amp;q=ARCX%3aSPY&amp;form=skydnc</v>
    <v>Learn more on Bing</v>
  </rv>
  <rv s="10">
    <v>en-US</v>
    <v>a23hqh</v>
    <v>268435456</v>
    <v>1</v>
    <v>Powered by Refinitiv</v>
    <v>20</v>
    <v>SPDR S&amp;P 500 (ARCX:SPY)</v>
    <v>21</v>
    <v>22</v>
    <v>Finance</v>
    <v>23</v>
    <v>610.78</v>
    <v>490.23</v>
    <v>0.99819999999999998</v>
    <v>-4.1100000000000003</v>
    <v>5.3029999999999996E-3</v>
    <v>-6.8289999999999991E-3</v>
    <v>3.17</v>
    <v>USD</v>
    <v>NYSE Arca</v>
    <v>ARCX</v>
    <v>9.4499999999999998E-4</v>
    <v>600.29</v>
    <v>ETF</v>
    <v>45691.912180428124</v>
    <v>80</v>
    <v>590.49</v>
    <v>627680565767.93005</v>
    <v>SPDR S&amp;P 500</v>
    <v>592.66999999999996</v>
    <v>601.82000000000005</v>
    <v>597.71</v>
    <v>600.94000000000005</v>
    <v>SPY</v>
    <v>SPDR S&amp;P 500 (ARCX:SPY)</v>
    <v>65066293</v>
    <v>44369495</v>
  </rv>
  <rv s="3">
    <v>81</v>
  </rv>
  <rv s="1">
    <v>https://www.bing.com/financeapi/forcetrigger?t=a1snf2&amp;q=XNYS%3aSTLA&amp;form=skydnc</v>
    <v>Learn more on Bing</v>
  </rv>
  <rv s="2">
    <v>en-US</v>
    <v>a1snf2</v>
    <v>268435456</v>
    <v>1</v>
    <v>Powered by Refinitiv</v>
    <v>0</v>
    <v>Stellantis NV (XNYS:STLA)</v>
    <v>2</v>
    <v>24</v>
    <v>Finance</v>
    <v>4</v>
    <v>29.51</v>
    <v>12.12</v>
    <v>1.4999</v>
    <v>-0.505</v>
    <v>1.4215999999999999E-2</v>
    <v>-3.8462000000000003E-2</v>
    <v>0.1794</v>
    <v>USD</v>
    <v>Stellantis N.V., formerly Fiat Chrysler Automobiles N.V., is a holding Company based in the Netherlands and operates as an automaker and a mobility provider. The Company is engaged in designing, engineering, manufacturing, distributing and selling vehicles, components and production systems. The Company has industrial operations in more than 30 countries and sells its vehicles directly or through distributors and dealers in more than 130 countries. The Company designs, manufactures, distributes and sells vehicles for the mass-market under the Abarth, Alfa Romeo, Chrysler, Dodge, Fiat, Fiat Professional, Jeep, Lancia and Ram brands. In addition, the Company designs, manufactures, distributes and sells luxury vehicles under the Maserati brand. The Company's brand portfolio also includes Peugeot, Citroen, DS Automobiles, Opel and Vauxhall. It offers a wide variety of vehicle choices from luxury and mainstream passenger vehicles to pickup trucks, sport utility vehicle (SUVs).</v>
    <v>258275</v>
    <v>New York Stock Exchange</v>
    <v>XNYS</v>
    <v>XNYS</v>
    <v>Taurusavenue 1, HOOFDDORP, NOORD-HOLLAND, 2132 LS NL</v>
    <v>12.865</v>
    <v>Automobiles &amp; Auto Parts</v>
    <v>Stock</v>
    <v>45691.91071083281</v>
    <v>83</v>
    <v>12.39</v>
    <v>37538910000</v>
    <v>Stellantis NV</v>
    <v>Stellantis NV</v>
    <v>12.52</v>
    <v>2.6734</v>
    <v>13.13</v>
    <v>12.625</v>
    <v>12.7994</v>
    <v>2896073000</v>
    <v>STLA</v>
    <v>Stellantis NV (XNYS:STLA)</v>
    <v>18092742</v>
    <v>8350346</v>
    <v>2014</v>
  </rv>
  <rv s="3">
    <v>84</v>
  </rv>
  <rv s="1">
    <v>https://www.bing.com/financeapi/forcetrigger?t=a24mnm&amp;q=XNAS%3aTTWO&amp;form=skydnc</v>
    <v>Learn more on Bing</v>
  </rv>
  <rv s="2">
    <v>en-US</v>
    <v>a24mnm</v>
    <v>268435456</v>
    <v>1</v>
    <v>Powered by Refinitiv</v>
    <v>0</v>
    <v>TAKE-TWO INTERACTIVE SOFTWARE, INC. (XNAS:TTWO)</v>
    <v>2</v>
    <v>3</v>
    <v>Finance</v>
    <v>4</v>
    <v>192.5</v>
    <v>135.24</v>
    <v>0.88739999999999997</v>
    <v>0.56000000000000005</v>
    <v>3.3860000000000001E-3</v>
    <v>3.019E-3</v>
    <v>0.63</v>
    <v>USD</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 Corporation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12371</v>
    <v>Nasdaq Stock Market</v>
    <v>XNAS</v>
    <v>XNAS</v>
    <v>110 West 44Th Street, NEW YORK, NY, 10036 US</v>
    <v>187.59</v>
    <v>Software &amp; IT Services</v>
    <v>Stock</v>
    <v>45691.911738842187</v>
    <v>86</v>
    <v>182.89</v>
    <v>32678990318</v>
    <v>TAKE-TWO INTERACTIVE SOFTWARE, INC.</v>
    <v>TAKE-TWO INTERACTIVE SOFTWARE, INC.</v>
    <v>184.62</v>
    <v>0</v>
    <v>185.51</v>
    <v>186.07</v>
    <v>186.7</v>
    <v>175627400</v>
    <v>TTWO</v>
    <v>TAKE-TWO INTERACTIVE SOFTWARE, INC. (XNAS:TTWO)</v>
    <v>1739168</v>
    <v>1417430</v>
    <v>1993</v>
  </rv>
  <rv s="3">
    <v>87</v>
  </rv>
  <rv s="11">
    <v>en-US</v>
    <v>caydcw</v>
    <v>268435456</v>
    <v>1</v>
    <v>Powered by Refinitiv</v>
    <v>25</v>
    <v>VERALTO CORPORATION (XNYS:VLTO)</v>
    <v>26</v>
    <v>3</v>
    <v>Finance</v>
    <v>10</v>
    <v>115</v>
    <v>75.05</v>
    <v>0.77900000000000003</v>
    <v>-2.2200000000000002</v>
    <v>-1.6800000000000001E-3</v>
    <v>-2.1472000000000002E-2</v>
    <v>-0.17</v>
    <v>USD</v>
    <v>Veralto Corporation provides essential technology solutions that monitor, enhance, and protect key resources around the globe. The Company operates through two segments: Water Quality (WQ) and Product Quality &amp; Innovation (PQI). The WQ segment provides a comprehensive portfolio of water analytics and differentiated water treatment solutions that enable the reliable delivery of safe drinking water by public and private utilities from source water to the consumer and back into the water cycle. It provides proprietary precision instrumentation and advanced water treatment technologies under Hach, Trojan Technologies, ChemTreat, and other global WQ brands. Its PQI segment provides a broad set of solutions for brand owners and consumer packaged goods companies that enable speed to market as well as traceability and quality control of their products. The brands in this segment include Videojet, Linx, Esko, X-Rite, Pantone and others. TraceGains is complementary to its PQI segment.</v>
    <v>16000</v>
    <v>New York Stock Exchange</v>
    <v>XNYS</v>
    <v>XNYS</v>
    <v>225 Wyman Street, Suite 250, WALTHAM, MA, 02451 US</v>
    <v>102.59</v>
    <v>Professional &amp; Commercial Services</v>
    <v>Stock</v>
    <v>45691.898595346873</v>
    <v>100.49</v>
    <v>25020130126</v>
    <v>VERALTO CORPORATION</v>
    <v>VERALTO CORPORATION</v>
    <v>102.02</v>
    <v>31.220500000000001</v>
    <v>103.39</v>
    <v>101.17</v>
    <v>101</v>
    <v>247307800</v>
    <v>VLTO</v>
    <v>VERALTO CORPORATION (XNYS:VLTO)</v>
    <v>1484369</v>
    <v>1146142</v>
    <v>2022</v>
  </rv>
  <rv s="3">
    <v>89</v>
  </rv>
  <rv s="1">
    <v>https://www.bing.com/financeapi/forcetrigger?t=a25ya2&amp;q=XNYS%3aWMT&amp;form=skydnc</v>
    <v>Learn more on Bing</v>
  </rv>
  <rv s="2">
    <v>en-US</v>
    <v>a25ya2</v>
    <v>268435456</v>
    <v>1</v>
    <v>Powered by Refinitiv</v>
    <v>0</v>
    <v>WALMART INC. (XNYS:WMT)</v>
    <v>2</v>
    <v>3</v>
    <v>Finance</v>
    <v>4</v>
    <v>99.79</v>
    <v>55.846600000000002</v>
    <v>0.55210000000000004</v>
    <v>1.38</v>
    <v>1.9089999999999999E-3</v>
    <v>1.4058999999999999E-2</v>
    <v>0.19</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99.79</v>
    <v>Food &amp; Drug Retailing</v>
    <v>Stock</v>
    <v>45691.912199617967</v>
    <v>91</v>
    <v>96.47</v>
    <v>799643242440</v>
    <v>WALMART INC.</v>
    <v>WALMART INC.</v>
    <v>96.77</v>
    <v>50.2575</v>
    <v>98.16</v>
    <v>99.54</v>
    <v>99.73</v>
    <v>8033386000</v>
    <v>WMT</v>
    <v>WALMART INC. (XNYS:WMT)</v>
    <v>20430636</v>
    <v>14171463</v>
    <v>1969</v>
  </rv>
  <rv s="3">
    <v>92</v>
  </rv>
  <rv s="1">
    <v>https://www.bing.com/financeapi/forcetrigger?t=c3u6sm&amp;q=XNYS%3aWEAV&amp;form=skydnc</v>
    <v>Learn more on Bing</v>
  </rv>
  <rv s="9">
    <v>en-US</v>
    <v>c3u6sm</v>
    <v>268435456</v>
    <v>1</v>
    <v>Powered by Refinitiv</v>
    <v>18</v>
    <v>Weave Communications, Inc. (XNYS:WEAV)</v>
    <v>2</v>
    <v>19</v>
    <v>Finance</v>
    <v>4</v>
    <v>16.86</v>
    <v>8.1</v>
    <v>1.631</v>
    <v>4.4999999999999998E-2</v>
    <v>2.4405E-2</v>
    <v>2.7569999999999999E-3</v>
    <v>0.4</v>
    <v>USD</v>
    <v>Weave Communications, Inc. offers customer communications and engagement software platform for small and medium-sized businesses. The Company's products feature Customized Phone System, Text Messaging, Missed Call Text, Team Chat, Weave Reviews, Weave Email Marketing and Email Assistant, Text Connect and Digital Forms. Its cloud-based software platform streamlines the day-to-day operations of running a small business. It offers an all-in-one platform spanning all forms of communications and customer engagement ranging from answering phones, to scheduling appointments, to sending text reminders, to requesting client reviews, to collecting payments, to sending email marketing campaigns, and to verify insurance. Its customer base consists of dental and optometry service providers as well as various client service small businesses in other industries such as veterinary, optometry, veterinary, physical therapy, home services, audiology, medical specialty services and podiatry.</v>
    <v>844</v>
    <v>New York Stock Exchange</v>
    <v>XNYS</v>
    <v>XNYS</v>
    <v>1331 W Powell Way, LEHI, UT, 84043 US</v>
    <v>16.399999999999999</v>
    <v>Software &amp; IT Services</v>
    <v>Stock</v>
    <v>45691.90439241875</v>
    <v>94</v>
    <v>15.721</v>
    <v>1187624000</v>
    <v>Weave Communications, Inc.</v>
    <v>Weave Communications, Inc.</v>
    <v>15.86</v>
    <v>16.32</v>
    <v>16.364999999999998</v>
    <v>16.79</v>
    <v>72771110</v>
    <v>WEAV</v>
    <v>Weave Communications, Inc. (XNYS:WEAV)</v>
    <v>686271</v>
    <v>713123</v>
    <v>2015</v>
  </rv>
  <rv s="3">
    <v>95</v>
  </rv>
  <rv s="12">
    <v>12</v>
    <v>1</v>
  </rv>
  <rv s="13">
    <v>12</v>
    <v>P/E</v>
    <v>0</v>
  </rv>
  <rv s="14">
    <fb>185.64</fb>
    <v>27</v>
  </rv>
  <rv s="14">
    <fb>580.07000000000005</fb>
    <v>27</v>
  </rv>
  <rv s="14">
    <fb>233.42</fb>
    <v>27</v>
  </rv>
  <rv s="14">
    <fb>143.81</fb>
    <v>27</v>
  </rv>
  <rv s="14">
    <fb>149.93</fb>
    <v>27</v>
  </rv>
  <rv s="14">
    <fb>327</fb>
    <v>28</v>
  </rv>
  <rv s="14">
    <fb>292.70999999999998</fb>
    <v>27</v>
  </rv>
  <rv s="14">
    <fb>650.65</fb>
    <v>27</v>
  </rv>
  <rv s="14">
    <fb>140.43</fb>
    <v>27</v>
  </rv>
  <rv s="14">
    <fb>234.79</fb>
    <v>27</v>
  </rv>
  <rv s="14">
    <fb>90.71</fb>
    <v>27</v>
  </rv>
  <rv s="14">
    <fb>139.56</fb>
    <v>27</v>
  </rv>
  <rv s="14">
    <fb>345.08</fb>
    <v>27</v>
  </rv>
  <rv s="14">
    <fb>209</fb>
    <v>27</v>
  </rv>
  <rv s="14">
    <fb>159.97</fb>
    <v>27</v>
  </rv>
  <rv s="14">
    <fb>456.12</fb>
    <v>27</v>
  </rv>
  <rv s="14">
    <fb>421.89</fb>
    <v>27</v>
  </rv>
  <rv s="14">
    <fb>370.87</fb>
    <v>27</v>
  </rv>
  <rv s="14">
    <fb>61.57</fb>
    <v>27</v>
  </rv>
  <rv s="14">
    <fb>106.55</fb>
    <v>27</v>
  </rv>
  <rv s="14">
    <fb>81.45</fb>
    <v>27</v>
  </rv>
  <rv s="14">
    <fb>189.12</fb>
    <v>27</v>
  </rv>
  <rv s="14">
    <fb>472.65</fb>
    <v>27</v>
  </rv>
  <rv s="14">
    <fb>23.05</fb>
    <v>27</v>
  </rv>
  <rv s="14">
    <fb>159.26</fb>
    <v>27</v>
  </rv>
  <rv s="14">
    <fb>81.02</fb>
    <v>27</v>
  </rv>
  <rv s="14">
    <fb>53.0961</fb>
    <v>27</v>
  </rv>
  <rv s="14">
    <fb>11.54</fb>
    <v>27</v>
  </rv>
  <rv s="15">
    <v>29</v>
    <v>DHR</v>
    <v>Daily</v>
    <v>45293</v>
    <v>45293</v>
    <v>0</v>
    <v>1</v>
    <v>638397504000000000,638742164187774965,0</v>
    <v>0</v>
    <v>a1r1r7</v>
    <v>XNYS:DHR</v>
    <v>1</v>
  </rv>
  <rv s="15">
    <v>29</v>
    <v>WMT</v>
    <v>Daily</v>
    <v>45293</v>
    <v>45293</v>
    <v>0</v>
    <v>1</v>
    <v>638397504000000000,638742162253788087,0</v>
    <v>0</v>
    <v>a25ya2</v>
    <v>XNYS:WMT</v>
    <v>2</v>
  </rv>
  <rv s="15">
    <v>29</v>
    <v>NKE</v>
    <v>Daily</v>
    <v>45293</v>
    <v>45293</v>
    <v>0</v>
    <v>1</v>
    <v>638397504000000000,638742160509456283,0</v>
    <v>0</v>
    <v>a1yjxm</v>
    <v>XNYS:NKE</v>
    <v>3</v>
  </rv>
  <rv s="15">
    <v>29</v>
    <v>SPY</v>
    <v>Daily</v>
    <v>45293</v>
    <v>45293</v>
    <v>0</v>
    <v>1</v>
    <v>638397504000000000,638742162343168567,0</v>
    <v>0</v>
    <v>a23hqh</v>
    <v>ARCX:SPY</v>
    <v>4</v>
  </rv>
  <rv s="15">
    <v>30</v>
    <v>BRKB</v>
    <v>Daily</v>
    <v>45293</v>
    <v>45293</v>
    <v>0</v>
    <v>1</v>
    <v>638397504000000000,638742162253956941,0</v>
    <v>0</v>
    <v>b11ibh</v>
    <v>XWBO:BRKB</v>
    <v>5</v>
  </rv>
  <rv s="15">
    <v>29</v>
    <v>AAPL</v>
    <v>Daily</v>
    <v>45293</v>
    <v>45293</v>
    <v>0</v>
    <v>1</v>
    <v>638397504000000000,638742160509515399,0</v>
    <v>0</v>
    <v>a1mou2</v>
    <v>XNAS:AAPL</v>
    <v>6</v>
  </rv>
  <rv s="15">
    <v>29</v>
    <v>HD</v>
    <v>Daily</v>
    <v>45293</v>
    <v>45293</v>
    <v>0</v>
    <v>1</v>
    <v>638397504000000000,638742162518091414,0</v>
    <v>0</v>
    <v>a1uj52</v>
    <v>XNYS:HD</v>
    <v>7</v>
  </rv>
  <rv s="15">
    <v>29</v>
    <v>GOOG</v>
    <v>Daily</v>
    <v>45293</v>
    <v>45293</v>
    <v>0</v>
    <v>1</v>
    <v>638397504000000000,638742162264893216,0</v>
    <v>0</v>
    <v>a1u3p2</v>
    <v>XNAS:GOOG</v>
    <v>8</v>
  </rv>
  <rv s="15">
    <v>29</v>
    <v>COST</v>
    <v>Daily</v>
    <v>45293</v>
    <v>45293</v>
    <v>0</v>
    <v>1</v>
    <v>638397504000000000,638742162254123292,0</v>
    <v>0</v>
    <v>a1q6k2</v>
    <v>XNAS:COST</v>
    <v>9</v>
  </rv>
  <rv s="15">
    <v>29</v>
    <v>AMZN</v>
    <v>Daily</v>
    <v>45293</v>
    <v>45293</v>
    <v>0</v>
    <v>1</v>
    <v>638397504000000000,638742164188439979,0</v>
    <v>0</v>
    <v>a1nhlh</v>
    <v>XNAS:AMZN</v>
    <v>10</v>
  </rv>
  <rv s="15">
    <v>29</v>
    <v>MSFT</v>
    <v>Daily</v>
    <v>45293</v>
    <v>45293</v>
    <v>0</v>
    <v>1</v>
    <v>638397504000000000,638742162262303506,0</v>
    <v>0</v>
    <v>a1xzim</v>
    <v>XNAS:MSFT</v>
    <v>11</v>
  </rv>
  <rv s="15">
    <v>29</v>
    <v>LMT</v>
    <v>Daily</v>
    <v>45293</v>
    <v>45293</v>
    <v>0</v>
    <v>1</v>
    <v>638397504000000000,638742162343073522,0</v>
    <v>0</v>
    <v>a1wzw7</v>
    <v>XNYS:LMT</v>
    <v>12</v>
  </rv>
  <rv s="15">
    <v>29</v>
    <v>ALL</v>
    <v>Daily</v>
    <v>45293</v>
    <v>45293</v>
    <v>0</v>
    <v>1</v>
    <v>638397504000000000,638742162263289808,0</v>
    <v>0</v>
    <v>a1nanm</v>
    <v>XNYS:ALL</v>
    <v>13</v>
  </rv>
  <rv s="15">
    <v>29</v>
    <v>HON</v>
    <v>Daily</v>
    <v>45293</v>
    <v>45293</v>
    <v>0</v>
    <v>1</v>
    <v>638397504000000000,638742162263923007,0</v>
    <v>0</v>
    <v>a1ut3m</v>
    <v>XNAS:HON</v>
    <v>14</v>
  </rv>
  <rv s="15">
    <v>29</v>
    <v>NEE</v>
    <v>Daily</v>
    <v>45293</v>
    <v>45293</v>
    <v>0</v>
    <v>1</v>
    <v>638397504000000000,638742162264572528,0</v>
    <v>0</v>
    <v>a1ye2w</v>
    <v>XNYS:NEE</v>
    <v>15</v>
  </rv>
  <rv s="15">
    <v>29</v>
    <v>WEAV</v>
    <v>Daily</v>
    <v>45293</v>
    <v>45293</v>
    <v>0</v>
    <v>1</v>
    <v>638397504000000000,638742162343013180,0</v>
    <v>0</v>
    <v>c3u6sm</v>
    <v>XNYS:WEAV</v>
    <v>16</v>
  </rv>
  <rv s="15">
    <v>29</v>
    <v>CAT</v>
    <v>Daily</v>
    <v>45293</v>
    <v>45293</v>
    <v>0</v>
    <v>1</v>
    <v>638397504000000000,638742162343108412,0</v>
    <v>0</v>
    <v>a1p7zr</v>
    <v>XNYS:CAT</v>
    <v>17</v>
  </rv>
  <rv s="15">
    <v>29</v>
    <v>ON</v>
    <v>Daily</v>
    <v>45293</v>
    <v>45293</v>
    <v>0</v>
    <v>1</v>
    <v>638397504000000000,638742162343138697,0</v>
    <v>0</v>
    <v>a1z8jc</v>
    <v>XNAS:ON</v>
    <v>18</v>
  </rv>
  <rv s="15">
    <v>29</v>
    <v>STLA</v>
    <v>Daily</v>
    <v>45293</v>
    <v>45293</v>
    <v>0</v>
    <v>1</v>
    <v>638397504000000000,638742162518057746,0</v>
    <v>0</v>
    <v>a1snf2</v>
    <v>XNYS:STLA</v>
    <v>19</v>
  </rv>
  <rv s="15">
    <v>29</v>
    <v>ADP</v>
    <v>Daily</v>
    <v>45293</v>
    <v>45293</v>
    <v>0</v>
    <v>1</v>
    <v>638397504000000000,638742162517438263,0</v>
    <v>0</v>
    <v>a1mw4c</v>
    <v>XNAS:ADP</v>
    <v>20</v>
  </rv>
  <rv s="15">
    <v>29</v>
    <v>SNOW</v>
    <v>Daily</v>
    <v>45293</v>
    <v>45293</v>
    <v>0</v>
    <v>1</v>
    <v>638397504000000000,638742164185777123,0</v>
    <v>0</v>
    <v>bvlqa2</v>
    <v>XNYS:SNOW</v>
    <v>21</v>
  </rv>
  <rv s="15">
    <v>29</v>
    <v>DG</v>
    <v>Daily</v>
    <v>45293</v>
    <v>45293</v>
    <v>0</v>
    <v>1</v>
    <v>638397504000000000,638742164186114779,0</v>
    <v>0</v>
    <v>a1qyvh</v>
    <v>XNYS:DG</v>
    <v>22</v>
  </rv>
  <rv s="15">
    <v>29</v>
    <v>VLTO</v>
    <v>Daily</v>
    <v>45293</v>
    <v>45293</v>
    <v>0</v>
    <v>1</v>
    <v>638397504000000000,638742164186452939,0</v>
    <v>0</v>
    <v>caydcw</v>
    <v>XNYS:VLTO</v>
    <v>23</v>
  </rv>
  <rv s="15">
    <v>29</v>
    <v>TTWO</v>
    <v>Daily</v>
    <v>45293</v>
    <v>45293</v>
    <v>0</v>
    <v>1</v>
    <v>638397504000000000,638742164186780679,0</v>
    <v>0</v>
    <v>a24mnm</v>
    <v>XNAS:TTWO</v>
    <v>24</v>
  </rv>
  <rv s="15">
    <v>29</v>
    <v>ADBE</v>
    <v>Daily</v>
    <v>45293</v>
    <v>45293</v>
    <v>0</v>
    <v>1</v>
    <v>638397504000000000,638742164187111274,0</v>
    <v>0</v>
    <v>a1mv7w</v>
    <v>XNAS:ADBE</v>
    <v>25</v>
  </rv>
  <rv s="15">
    <v>29</v>
    <v>JNJ</v>
    <v>Daily</v>
    <v>45293</v>
    <v>45293</v>
    <v>0</v>
    <v>1</v>
    <v>638397504000000000,638742164187442982,0</v>
    <v>0</v>
    <v>a1w8ec</v>
    <v>XNYS:JNJ</v>
    <v>26</v>
  </rv>
  <rv s="15">
    <v>29</v>
    <v>MA</v>
    <v>Daily</v>
    <v>45293</v>
    <v>45293</v>
    <v>0</v>
    <v>1</v>
    <v>638397504000000000,638742164188773992,0</v>
    <v>0</v>
    <v>a1x8w7</v>
    <v>XNYS:MA</v>
    <v>27</v>
  </rv>
  <rv s="15">
    <v>29</v>
    <v>DIS</v>
    <v>Daily</v>
    <v>45293</v>
    <v>45293</v>
    <v>0</v>
    <v>1</v>
    <v>638397504000000000,638742164185189598,0</v>
    <v>0</v>
    <v>a1r2z2</v>
    <v>XNYS:DIS</v>
    <v>28</v>
  </rv>
</rvData>
</file>

<file path=xl/richData/rdrichvaluestructure.xml><?xml version="1.0" encoding="utf-8"?>
<rvStructures xmlns="http://schemas.microsoft.com/office/spreadsheetml/2017/richdata" count="16">
  <s t="_localImage">
    <k n="_rvRel:LocalImageIdentifier" t="i"/>
    <k n="CalcOrigin"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error">
    <k n="errorType" t="i"/>
    <k n="propagated" t="b"/>
  </s>
  <s t="_error">
    <k n="errorType" t="i"/>
    <k n="field" t="s"/>
    <k n="subType" t="i"/>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7">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v t="s">%OutdatedReason</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31">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v>
      <v>GMT</v>
      <v>Delayed 15 minutes</v>
      <v>from close</v>
      <v>from close</v>
    </spb>
    <spb s="0">
      <v>2</v>
      <v>Name</v>
      <v>LearnMoreOnLink</v>
    </spb>
    <spb s="9">
      <v>11</v>
      <v>2</v>
      <v>2</v>
      <v>11</v>
      <v>3</v>
      <v>11</v>
      <v>11</v>
      <v>11</v>
      <v>4</v>
      <v>4</v>
      <v>5</v>
      <v>6</v>
      <v>11</v>
      <v>4</v>
      <v>12</v>
      <v>8</v>
      <v>9</v>
      <v>4</v>
    </spb>
    <spb s="10">
      <v>Delayed 15 minutes</v>
      <v>from previous close</v>
      <v>from previous close</v>
      <v>GMT</v>
    </spb>
    <spb s="0">
      <v>3</v>
      <v>Name</v>
      <v>LearnMoreOnLink</v>
    </spb>
    <spb s="11">
      <v>1</v>
      <v>1</v>
      <v>3</v>
      <v>1</v>
      <v>1</v>
      <v>1</v>
      <v>4</v>
      <v>4</v>
      <v>5</v>
      <v>6</v>
      <v>1</v>
      <v>1</v>
      <v>1</v>
      <v>4</v>
      <v>7</v>
      <v>8</v>
      <v>9</v>
      <v>4</v>
    </spb>
    <spb s="12">
      <v>Delayed 15 minutes</v>
      <v>from previous close</v>
      <v>from previous close</v>
      <v>Source: Nasdaq</v>
      <v>GMT</v>
    </spb>
    <spb s="9">
      <v>11</v>
      <v>2</v>
      <v>2</v>
      <v>11</v>
      <v>3</v>
      <v>11</v>
      <v>11</v>
      <v>11</v>
      <v>4</v>
      <v>4</v>
      <v>5</v>
      <v>6</v>
      <v>11</v>
      <v>4</v>
      <v>7</v>
      <v>8</v>
      <v>9</v>
      <v>4</v>
    </spb>
    <spb s="0">
      <v>4</v>
      <v>Name</v>
      <v>LearnMoreOnLink</v>
    </spb>
    <spb s="13">
      <v>1</v>
      <v>2</v>
      <v>1</v>
      <v>3</v>
      <v>1</v>
      <v>1</v>
      <v>1</v>
      <v>4</v>
      <v>4</v>
      <v>5</v>
      <v>6</v>
      <v>1</v>
      <v>1</v>
      <v>1</v>
      <v>4</v>
      <v>7</v>
      <v>8</v>
      <v>9</v>
      <v>4</v>
      <v>1</v>
      <v>1</v>
      <v>5</v>
    </spb>
    <spb s="0">
      <v>5</v>
      <v>Name</v>
      <v>LearnMoreOnLink</v>
    </spb>
    <spb s="14">
      <v>1</v>
      <v>1</v>
      <v>1</v>
    </spb>
    <spb s="15">
      <v>1</v>
      <v>2</v>
      <v>1</v>
      <v>3</v>
      <v>1</v>
      <v>1</v>
      <v>1</v>
      <v>4</v>
      <v>5</v>
      <v>6</v>
      <v>1</v>
      <v>1</v>
      <v>5</v>
      <v>1</v>
      <v>4</v>
      <v>7</v>
      <v>9</v>
      <v>1</v>
      <v>1</v>
      <v>5</v>
    </spb>
    <spb s="16">
      <v>at close</v>
      <v>from previous close</v>
      <v>Source: Nasdaq Last Sale</v>
      <v>from previous close</v>
      <v>GMT</v>
      <v>Real-Time Nasdaq Last Sale</v>
      <v>from close</v>
      <v>from close</v>
    </spb>
    <spb s="3">
      <v>1</v>
      <v>2</v>
      <v>2</v>
      <v>1</v>
      <v>3</v>
      <v>1</v>
      <v>1</v>
      <v>1</v>
      <v>4</v>
      <v>4</v>
      <v>5</v>
      <v>13</v>
      <v>1</v>
      <v>1</v>
      <v>1</v>
      <v>4</v>
      <v>7</v>
      <v>8</v>
      <v>9</v>
      <v>4</v>
      <v>1</v>
      <v>1</v>
      <v>5</v>
    </spb>
    <spb s="17">
      <v>6</v>
      <v>Name</v>
    </spb>
    <spb s="18">
      <v>1</v>
      <v>1</v>
      <v>1</v>
    </spb>
    <spb s="19">
      <v>1</v>
    </spb>
    <spb s="19">
      <v>11</v>
    </spb>
    <spb s="20">
      <v>12</v>
      <v>1</v>
    </spb>
    <spb s="20">
      <v>12</v>
      <v>11</v>
    </spb>
  </spbData>
</supportingPropertyBags>
</file>

<file path=xl/richData/rdsupportingpropertybagstructure.xml><?xml version="1.0" encoding="utf-8"?>
<spbStructures xmlns="http://schemas.microsoft.com/office/spreadsheetml/2017/richdata2" count="2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Order" t="spba"/>
    <k n="TitleProperty" t="s"/>
  </s>
  <s>
    <k n="ExchangeID" t="spb"/>
    <k n="UniqueName" t="spb"/>
    <k n="`%ProviderInfo" t="spb"/>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Sty dxfid="7"/>
    <rSty dxfid="1">
      <rpv i="0">_([$€-x-euro2] * #,##0_);_([$€-x-euro2] * (#,##0);_([$€-x-euro2] * "-"_);_(@_)</rpv>
    </rSty>
  </richStyles>
</richStyleSheet>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F107C3-79ED-A545-9562-FA29FBA93EDA}" name="Table1" displayName="Table1" ref="A5:K34" totalsRowShown="0" headerRowDxfId="26" dataDxfId="25">
  <autoFilter ref="A5:K34" xr:uid="{1AF107C3-79ED-A545-9562-FA29FBA93EDA}"/>
  <tableColumns count="11">
    <tableColumn id="1" xr3:uid="{4232BB7B-6455-6642-AA22-B99F88FE0C33}" name="Stock" dataDxfId="24"/>
    <tableColumn id="2" xr3:uid="{BAD4D168-7092-8E4A-B105-1E050370803F}" name="Ticker" dataDxfId="23">
      <calculatedColumnFormula array="1">_FV(A6,"Ticker symbol",TRUE)</calculatedColumnFormula>
    </tableColumn>
    <tableColumn id="3" xr3:uid="{9709B63A-DBF3-DC4C-9BE1-A0BC046368A0}" name="Live Price" dataDxfId="22">
      <calculatedColumnFormula array="1">_FV(A6,"Price")</calculatedColumnFormula>
    </tableColumn>
    <tableColumn id="4" xr3:uid="{B0C86F05-3E1D-3048-B87C-381C3E592EFD}" name="Purchase Price" dataDxfId="21"/>
    <tableColumn id="5" xr3:uid="{F66EFFCE-BEB8-C14C-A6FD-B2D39C568CA2}" name="Total Cost" dataDxfId="20"/>
    <tableColumn id="6" xr3:uid="{3245D0F4-B4B9-864B-A88C-BA3F63D85246}" name="Quantity" dataDxfId="19" dataCellStyle="Currency">
      <calculatedColumnFormula>E6/D6</calculatedColumnFormula>
    </tableColumn>
    <tableColumn id="7" xr3:uid="{E5E1D829-A528-5946-B222-B6D78351F19E}" name="Total Value" dataDxfId="18">
      <calculatedColumnFormula>C6*F6</calculatedColumnFormula>
    </tableColumn>
    <tableColumn id="11" xr3:uid="{095D9047-9527-994B-ABB1-66C5D392290C}" name="Weight" dataDxfId="17" dataCellStyle="Percent">
      <calculatedColumnFormula>Table1[[#This Row],[Total Value]]/Portfolio!$C$3</calculatedColumnFormula>
    </tableColumn>
    <tableColumn id="9" xr3:uid="{F79E097D-1024-F942-906F-C36DDEF5C34D}" name="Day Change" dataDxfId="16">
      <calculatedColumnFormula array="1">_FV(Table1[[#This Row],[Stock]],"Change (%)",TRUE)</calculatedColumnFormula>
    </tableColumn>
    <tableColumn id="10" xr3:uid="{A7E0144C-AE2E-F248-BA08-7B6B3DC4923E}" name="YTD Change" dataDxfId="15">
      <calculatedColumnFormula>(Table1[[#This Row],[Live Price]]-'YTD Calculation'!B2)/'YTD Calculation'!B2</calculatedColumnFormula>
    </tableColumn>
    <tableColumn id="8" xr3:uid="{0EB04916-205F-D441-8725-90A4BE94B83F}" name="Gain / (Loss)" dataDxfId="14" dataCellStyle="Percent">
      <calculatedColumnFormula>(G6-E6)/E6</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A8D466-3824-1B4E-A380-402B49CE30AB}" name="Table2" displayName="Table2" ref="A5:I34" totalsRowShown="0" headerRowDxfId="13">
  <autoFilter ref="A5:I34" xr:uid="{3CA8D466-3824-1B4E-A380-402B49CE30AB}"/>
  <tableColumns count="9">
    <tableColumn id="1" xr3:uid="{17699EBF-0AB3-7146-AF9F-5B798B718E66}" name="Company" dataDxfId="12"/>
    <tableColumn id="2" xr3:uid="{341B3D50-A10D-2540-819C-B7A0536D398B}" name="Stock" dataDxfId="11">
      <calculatedColumnFormula array="1">_FV(A6,"Name")</calculatedColumnFormula>
    </tableColumn>
    <tableColumn id="3" xr3:uid="{3B58EA0F-91C3-E342-9157-9164542911ED}" name="Ticker" dataDxfId="10">
      <calculatedColumnFormula array="1">_FV(A6,"Ticker symbol",TRUE)</calculatedColumnFormula>
    </tableColumn>
    <tableColumn id="4" xr3:uid="{F20D4A00-2AB6-2D45-BC6C-665C06ADF068}" name="Sector" dataDxfId="9">
      <calculatedColumnFormula array="1">_FV(A6,"Industry")</calculatedColumnFormula>
    </tableColumn>
    <tableColumn id="5" xr3:uid="{465BFAD6-32D4-B547-A538-BF705DE95184}" name="Price" dataDxfId="8">
      <calculatedColumnFormula array="1">_FV(A6,"Price")</calculatedColumnFormula>
    </tableColumn>
    <tableColumn id="9" xr3:uid="{EB0D3089-2530-5843-803E-4F620A4D25EF}" name="Dividend Yield" dataDxfId="7"/>
    <tableColumn id="6" xr3:uid="{1B133570-1AAD-954D-9FE6-4D77E7193D83}" name="Market Cap" dataDxfId="6">
      <calculatedColumnFormula array="1">_FV(A6,"Market cap",TRUE)</calculatedColumnFormula>
    </tableColumn>
    <tableColumn id="7" xr3:uid="{68B68AF5-DBB9-984E-B428-E9DB51106BC6}" name="P/E" dataDxfId="5"/>
    <tableColumn id="8" xr3:uid="{DE7CE153-EBE9-1042-B007-23B8632B530C}" name="Beta" dataDxfId="4">
      <calculatedColumnFormula array="1">_FV(A6,"Beta")</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AEAC-F72B-5140-A5D2-A6BEEB89C39B}">
  <dimension ref="B6:P14"/>
  <sheetViews>
    <sheetView showGridLines="0" zoomScale="91" workbookViewId="0">
      <selection activeCell="B10" sqref="B10"/>
    </sheetView>
  </sheetViews>
  <sheetFormatPr defaultColWidth="11" defaultRowHeight="16"/>
  <sheetData>
    <row r="6" spans="2:16" ht="24" customHeight="1">
      <c r="B6" s="68" t="s">
        <v>0</v>
      </c>
      <c r="C6" s="68"/>
      <c r="D6" s="68"/>
      <c r="F6" s="68" t="s">
        <v>1</v>
      </c>
      <c r="G6" s="68"/>
      <c r="H6" s="68"/>
      <c r="J6" s="68" t="s">
        <v>2</v>
      </c>
      <c r="K6" s="68"/>
      <c r="L6" s="68"/>
      <c r="N6" s="63"/>
      <c r="O6" s="63"/>
      <c r="P6" s="63"/>
    </row>
    <row r="7" spans="2:16">
      <c r="B7" s="65">
        <f ca="1">SUM(Transaction!G6:G34)</f>
        <v>1105661.0689377724</v>
      </c>
      <c r="C7" s="65"/>
      <c r="D7" s="65"/>
      <c r="F7" s="66">
        <f ca="1">SUMPRODUCT(Transaction!I6:I34,Transaction!H6:H34)</f>
        <v>-3.8124458278748856E-3</v>
      </c>
      <c r="G7" s="66"/>
      <c r="H7" s="66"/>
      <c r="J7" s="66">
        <f ca="1">Transaction!G3</f>
        <v>0.2683590553868721</v>
      </c>
      <c r="K7" s="67"/>
      <c r="L7" s="67"/>
    </row>
    <row r="8" spans="2:16">
      <c r="B8" s="65"/>
      <c r="C8" s="65"/>
      <c r="D8" s="65"/>
      <c r="F8" s="66"/>
      <c r="G8" s="66"/>
      <c r="H8" s="66"/>
      <c r="J8" s="67"/>
      <c r="K8" s="67"/>
      <c r="L8" s="67"/>
    </row>
    <row r="9" spans="2:16">
      <c r="B9" s="65"/>
      <c r="C9" s="65"/>
      <c r="D9" s="65"/>
      <c r="F9" s="66"/>
      <c r="G9" s="66"/>
      <c r="H9" s="66"/>
      <c r="J9" s="67"/>
      <c r="K9" s="67"/>
      <c r="L9" s="67"/>
    </row>
    <row r="11" spans="2:16" ht="24" customHeight="1">
      <c r="B11" s="68" t="s">
        <v>3</v>
      </c>
      <c r="C11" s="68"/>
      <c r="D11" s="68"/>
      <c r="F11" s="68" t="s">
        <v>4</v>
      </c>
      <c r="G11" s="68"/>
      <c r="H11" s="68"/>
      <c r="J11" s="68" t="s">
        <v>5</v>
      </c>
      <c r="K11" s="68"/>
      <c r="L11" s="68"/>
    </row>
    <row r="12" spans="2:16">
      <c r="B12" s="64" cm="1">
        <f t="array" aca="1" ref="B12" ca="1">SUMPRODUCT(Transaction!H6:H34*Portfolio!F6:F34)</f>
        <v>1.1866760924519295E-2</v>
      </c>
      <c r="C12" s="64"/>
      <c r="D12" s="64"/>
      <c r="F12" s="66">
        <f ca="1">Transaction!I29</f>
        <v>-6.8289999999999991E-3</v>
      </c>
      <c r="G12" s="67"/>
      <c r="H12" s="67"/>
      <c r="J12" s="66">
        <f ca="1">Transaction!H3</f>
        <v>0.26459325081984569</v>
      </c>
      <c r="K12" s="67"/>
      <c r="L12" s="67"/>
    </row>
    <row r="13" spans="2:16">
      <c r="B13" s="64"/>
      <c r="C13" s="64"/>
      <c r="D13" s="64"/>
      <c r="F13" s="67"/>
      <c r="G13" s="67"/>
      <c r="H13" s="67"/>
      <c r="J13" s="67"/>
      <c r="K13" s="67"/>
      <c r="L13" s="67"/>
    </row>
    <row r="14" spans="2:16">
      <c r="B14" s="64"/>
      <c r="C14" s="64"/>
      <c r="D14" s="64"/>
      <c r="F14" s="67"/>
      <c r="G14" s="67"/>
      <c r="H14" s="67"/>
      <c r="J14" s="67"/>
      <c r="K14" s="67"/>
      <c r="L14" s="67"/>
    </row>
  </sheetData>
  <mergeCells count="13">
    <mergeCell ref="N6:P6"/>
    <mergeCell ref="B12:D14"/>
    <mergeCell ref="B7:D9"/>
    <mergeCell ref="F7:H9"/>
    <mergeCell ref="J7:L9"/>
    <mergeCell ref="J12:L14"/>
    <mergeCell ref="F12:H14"/>
    <mergeCell ref="B6:D6"/>
    <mergeCell ref="F6:H6"/>
    <mergeCell ref="J6:L6"/>
    <mergeCell ref="F11:H11"/>
    <mergeCell ref="B11:D11"/>
    <mergeCell ref="J11:L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43FCE-C479-F944-B42F-947A62DE2439}">
  <dimension ref="A1:K56"/>
  <sheetViews>
    <sheetView showGridLines="0" showRowColHeaders="0" tabSelected="1" zoomScale="85" zoomScaleNormal="85" workbookViewId="0">
      <pane xSplit="2" topLeftCell="C1" activePane="topRight" state="frozen"/>
      <selection activeCell="J31" sqref="J31"/>
      <selection pane="topRight" activeCell="C39" sqref="C39"/>
    </sheetView>
  </sheetViews>
  <sheetFormatPr defaultColWidth="11" defaultRowHeight="16"/>
  <cols>
    <col min="1" max="1" width="8.203125E-2" customWidth="1"/>
    <col min="2" max="2" width="31.5" customWidth="1"/>
    <col min="3" max="3" width="38.58203125" customWidth="1"/>
    <col min="4" max="4" width="31.5" customWidth="1"/>
    <col min="5" max="5" width="24.08203125" customWidth="1"/>
    <col min="6" max="6" width="26.58203125" customWidth="1"/>
    <col min="7" max="7" width="31.5" customWidth="1"/>
    <col min="8" max="9" width="29.83203125" customWidth="1"/>
    <col min="10" max="10" width="26.33203125" customWidth="1"/>
    <col min="11" max="11" width="22.33203125" customWidth="1"/>
  </cols>
  <sheetData>
    <row r="1" spans="1:11" ht="16" customHeight="1">
      <c r="A1" s="69" t="e" vm="1">
        <v>#VALUE!</v>
      </c>
      <c r="B1" s="71" t="s">
        <v>6</v>
      </c>
      <c r="C1" s="71"/>
      <c r="D1" s="70" t="s">
        <v>7</v>
      </c>
      <c r="E1" s="70" t="s">
        <v>8</v>
      </c>
      <c r="F1" s="70" t="s">
        <v>9</v>
      </c>
      <c r="G1" s="70" t="s">
        <v>10</v>
      </c>
      <c r="H1" s="70" t="s">
        <v>11</v>
      </c>
    </row>
    <row r="2" spans="1:11" ht="40" customHeight="1">
      <c r="A2" s="69"/>
      <c r="B2" s="71"/>
      <c r="C2" s="71"/>
      <c r="D2" s="70"/>
      <c r="E2" s="70"/>
      <c r="F2" s="70"/>
      <c r="G2" s="70"/>
      <c r="H2" s="70"/>
    </row>
    <row r="3" spans="1:11" ht="32.15" customHeight="1">
      <c r="A3" s="69"/>
      <c r="B3" s="71"/>
      <c r="C3" s="71"/>
      <c r="D3" s="19">
        <f ca="1">SUM(Table1[Total Value])</f>
        <v>1105661.0689377724</v>
      </c>
      <c r="E3" s="20">
        <f ca="1">SUMPRODUCT(Table1[Weight],Table1[Day Change])</f>
        <v>-3.8124458278748856E-3</v>
      </c>
      <c r="F3" s="19">
        <f ca="1">SUMPRODUCT(Table1[Total Value],Table1[Day Change])</f>
        <v>-4215.2729293154989</v>
      </c>
      <c r="G3" s="27">
        <f ca="1">(J6*H6)+SUMPRODUCT(J7:J13,H7:H13)+(K14*H14)+SUMPRODUCT(J15:J20,H15:H20)+(K21*H21)+SUMPRODUCT(J22:J24,H22:H24)+(K25*H25)+(J26*H26)+(K27*H27)+(K28*H28)+(J29*H29)+(J30*H30)+(K31*H31)+(J32*H32)+(H33*J33)+(K34*H34)</f>
        <v>0.2683590553868721</v>
      </c>
      <c r="H3" s="27">
        <f ca="1">J29</f>
        <v>0.26459325081984569</v>
      </c>
    </row>
    <row r="4" spans="1:11">
      <c r="F4" s="26"/>
    </row>
    <row r="5" spans="1:11" ht="22" customHeight="1">
      <c r="A5" s="2" t="s">
        <v>12</v>
      </c>
      <c r="B5" s="2" t="s">
        <v>13</v>
      </c>
      <c r="C5" s="2" t="s">
        <v>14</v>
      </c>
      <c r="D5" s="2" t="s">
        <v>15</v>
      </c>
      <c r="E5" s="2" t="s">
        <v>16</v>
      </c>
      <c r="F5" s="2" t="s">
        <v>17</v>
      </c>
      <c r="G5" s="2" t="s">
        <v>18</v>
      </c>
      <c r="H5" s="2" t="s">
        <v>19</v>
      </c>
      <c r="I5" s="2" t="s">
        <v>9</v>
      </c>
      <c r="J5" s="2" t="s">
        <v>20</v>
      </c>
      <c r="K5" s="2" t="s">
        <v>21</v>
      </c>
    </row>
    <row r="6" spans="1:11">
      <c r="A6" s="5" t="e" vm="2">
        <v>#VALUE!</v>
      </c>
      <c r="B6" s="5" t="str" cm="1">
        <f t="array" aca="1" ref="B6" ca="1">_FV(A6,"Ticker symbol",TRUE)</f>
        <v>AAPL</v>
      </c>
      <c r="C6" s="6" cm="1">
        <f t="array" aca="1" ref="C6" ca="1">_FV(A6,"Price")</f>
        <v>228.01</v>
      </c>
      <c r="D6" s="7">
        <f>164.75</f>
        <v>164.75</v>
      </c>
      <c r="E6" s="8">
        <v>13509.5</v>
      </c>
      <c r="F6" s="9">
        <f>E6/D6</f>
        <v>82</v>
      </c>
      <c r="G6" s="10">
        <f ca="1">C6*F6</f>
        <v>18696.82</v>
      </c>
      <c r="H6" s="17">
        <f ca="1">Table1[[#This Row],[Total Value]]/Portfolio!$C$3</f>
        <v>1.6910082596977349E-2</v>
      </c>
      <c r="I6" s="11" cm="1">
        <f t="array" aca="1" ref="I6" ca="1">_FV(Table1[[#This Row],[Stock]],"Change (%)",TRUE)</f>
        <v>-3.3856000000000004E-2</v>
      </c>
      <c r="J6" s="11">
        <f ca="1">(Table1[[#This Row],[Live Price]]-'YTD Calculation'!B2)/'YTD Calculation'!B2</f>
        <v>0.22823744882568417</v>
      </c>
      <c r="K6" s="25">
        <f ca="1">(G6-E6)/E6</f>
        <v>0.38397572078907433</v>
      </c>
    </row>
    <row r="7" spans="1:11">
      <c r="A7" s="5" t="e" vm="3">
        <v>#VALUE!</v>
      </c>
      <c r="B7" s="5" t="str" cm="1">
        <f t="array" aca="1" ref="B7" ca="1">_FV(A7,"Ticker symbol",TRUE)</f>
        <v>ADBE</v>
      </c>
      <c r="C7" s="6" cm="1">
        <f t="array" aca="1" ref="C7" ca="1">_FV(A7,"Price")</f>
        <v>438.6</v>
      </c>
      <c r="D7" s="12">
        <v>195.01</v>
      </c>
      <c r="E7" s="13">
        <v>9360.3700000000008</v>
      </c>
      <c r="F7" s="14">
        <f>E7/D7</f>
        <v>47.999435926362757</v>
      </c>
      <c r="G7" s="10">
        <f t="shared" ref="G7:G34" ca="1" si="0">C7*F7</f>
        <v>21052.552597302707</v>
      </c>
      <c r="H7" s="17">
        <f ca="1">Table1[[#This Row],[Total Value]]/Portfolio!$C$3</f>
        <v>1.9040692657767408E-2</v>
      </c>
      <c r="I7" s="15" cm="1">
        <f t="array" aca="1" ref="I7" ca="1">_FV(Table1[[#This Row],[Stock]],"Change (%)",TRUE)</f>
        <v>2.6290000000000003E-3</v>
      </c>
      <c r="J7" s="15">
        <f ca="1">(Table1[[#This Row],[Live Price]]-'YTD Calculation'!B3)/'YTD Calculation'!B3</f>
        <v>-0.24388435878428469</v>
      </c>
      <c r="K7" s="25">
        <f t="shared" ref="K7:K34" ca="1" si="1">(G7-E7)/E7</f>
        <v>1.2491154299779501</v>
      </c>
    </row>
    <row r="8" spans="1:11">
      <c r="A8" s="5" t="e" vm="4">
        <v>#VALUE!</v>
      </c>
      <c r="B8" s="5" t="str" cm="1">
        <f t="array" aca="1" ref="B8" ca="1">_FV(A8,"Ticker symbol",TRUE)</f>
        <v>ADP</v>
      </c>
      <c r="C8" s="6" cm="1">
        <f t="array" aca="1" ref="C8" ca="1">_FV(A8,"Price")</f>
        <v>307.32</v>
      </c>
      <c r="D8" s="12">
        <v>118</v>
      </c>
      <c r="E8" s="13">
        <v>17463.82</v>
      </c>
      <c r="F8" s="14">
        <f>E8/D8</f>
        <v>147.99847457627118</v>
      </c>
      <c r="G8" s="10">
        <f t="shared" ca="1" si="0"/>
        <v>45482.891206779655</v>
      </c>
      <c r="H8" s="17">
        <f ca="1">Table1[[#This Row],[Total Value]]/Portfolio!$C$3</f>
        <v>4.1136377579501691E-2</v>
      </c>
      <c r="I8" s="15" cm="1">
        <f t="array" aca="1" ref="I8" ca="1">_FV(Table1[[#This Row],[Stock]],"Change (%)",TRUE)</f>
        <v>1.4224000000000001E-2</v>
      </c>
      <c r="J8" s="15">
        <f ca="1">(Table1[[#This Row],[Live Price]]-'YTD Calculation'!B4)/'YTD Calculation'!B4</f>
        <v>0.31659669265701312</v>
      </c>
      <c r="K8" s="25">
        <f t="shared" ca="1" si="1"/>
        <v>1.6044067796610166</v>
      </c>
    </row>
    <row r="9" spans="1:11">
      <c r="A9" s="5" t="e" vm="5">
        <v>#VALUE!</v>
      </c>
      <c r="B9" s="5" t="str" cm="1">
        <f t="array" aca="1" ref="B9" ca="1">_FV(A9,"Ticker symbol",TRUE)</f>
        <v>ALL</v>
      </c>
      <c r="C9" s="6" cm="1">
        <f t="array" aca="1" ref="C9" ca="1">_FV(A9,"Price")</f>
        <v>191.98</v>
      </c>
      <c r="D9" s="12">
        <v>116.85</v>
      </c>
      <c r="E9" s="13">
        <v>3505.5</v>
      </c>
      <c r="F9" s="9">
        <f t="shared" ref="F9:F34" si="2">E9/D9</f>
        <v>30</v>
      </c>
      <c r="G9" s="10">
        <f t="shared" ca="1" si="0"/>
        <v>5759.4</v>
      </c>
      <c r="H9" s="17">
        <f ca="1">Table1[[#This Row],[Total Value]]/Portfolio!$C$3</f>
        <v>5.2090103936942942E-3</v>
      </c>
      <c r="I9" s="15" cm="1">
        <f t="array" aca="1" ref="I9" ca="1">_FV(Table1[[#This Row],[Stock]],"Change (%)",TRUE)</f>
        <v>-1.82E-3</v>
      </c>
      <c r="J9" s="15">
        <f ca="1">(Table1[[#This Row],[Live Price]]-'YTD Calculation'!B5)/'YTD Calculation'!B5</f>
        <v>0.33495584451707106</v>
      </c>
      <c r="K9" s="25">
        <f t="shared" ca="1" si="1"/>
        <v>0.6429610611895592</v>
      </c>
    </row>
    <row r="10" spans="1:11">
      <c r="A10" s="5" t="e" vm="6">
        <v>#VALUE!</v>
      </c>
      <c r="B10" s="5" t="str" cm="1">
        <f t="array" aca="1" ref="B10" ca="1">_FV(A10,"Ticker symbol",TRUE)</f>
        <v>AMZN</v>
      </c>
      <c r="C10" s="6" cm="1">
        <f t="array" aca="1" ref="C10" ca="1">_FV(A10,"Price")</f>
        <v>237.42</v>
      </c>
      <c r="D10" s="12">
        <v>68.48</v>
      </c>
      <c r="E10" s="13">
        <v>13696.55</v>
      </c>
      <c r="F10" s="14">
        <f t="shared" si="2"/>
        <v>200.00803154205605</v>
      </c>
      <c r="G10" s="10">
        <f t="shared" ca="1" si="0"/>
        <v>47485.906848714942</v>
      </c>
      <c r="H10" s="17">
        <f ca="1">Table1[[#This Row],[Total Value]]/Portfolio!$C$3</f>
        <v>4.2947977624223914E-2</v>
      </c>
      <c r="I10" s="15" cm="1">
        <f t="array" aca="1" ref="I10" ca="1">_FV(Table1[[#This Row],[Stock]],"Change (%)",TRUE)</f>
        <v>-1.0939999999999999E-3</v>
      </c>
      <c r="J10" s="15">
        <f ca="1">(Table1[[#This Row],[Live Price]]-'YTD Calculation'!B6)/'YTD Calculation'!B6</f>
        <v>0.58353898485960098</v>
      </c>
      <c r="K10" s="25">
        <f t="shared" ca="1" si="1"/>
        <v>2.4669976635514015</v>
      </c>
    </row>
    <row r="11" spans="1:11">
      <c r="A11" s="5" t="e" vm="7">
        <v>#VALUE!</v>
      </c>
      <c r="B11" s="5" t="str" cm="1">
        <f t="array" aca="1" ref="B11" ca="1">_FV(A11,"Ticker symbol",TRUE)</f>
        <v>BRKB</v>
      </c>
      <c r="C11" s="16" cm="1">
        <f t="array" aca="1" ref="C11" ca="1">_FV(A11,"Price")</f>
        <v>450.15</v>
      </c>
      <c r="D11" s="12">
        <v>103.38</v>
      </c>
      <c r="E11" s="13">
        <v>11164.57</v>
      </c>
      <c r="F11" s="14">
        <f t="shared" si="2"/>
        <v>107.99545366608629</v>
      </c>
      <c r="G11" s="10">
        <f t="shared" ca="1" si="0"/>
        <v>48614.153467788739</v>
      </c>
      <c r="H11" s="47">
        <f ca="1">Table1[[#This Row],[Total Value]]/Portfolio!$C$3</f>
        <v>4.3968404815494855E-2</v>
      </c>
      <c r="I11" s="15" cm="1">
        <f t="array" aca="1" ref="I11" ca="1">_FV(Table1[[#This Row],[Stock]],"Change (%)",TRUE)</f>
        <v>-6.2909999999999997E-3</v>
      </c>
      <c r="J11" s="62"/>
      <c r="K11" s="25">
        <f t="shared" ca="1" si="1"/>
        <v>3.3543238537434705</v>
      </c>
    </row>
    <row r="12" spans="1:11">
      <c r="A12" s="5" t="e" vm="8">
        <v>#VALUE!</v>
      </c>
      <c r="B12" s="5" t="str" cm="1">
        <f t="array" aca="1" ref="B12" ca="1">_FV(A12,"Ticker symbol",TRUE)</f>
        <v>CAT</v>
      </c>
      <c r="C12" s="6" cm="1">
        <f t="array" aca="1" ref="C12" ca="1">_FV(A12,"Price")</f>
        <v>361.51</v>
      </c>
      <c r="D12" s="12">
        <v>275.18</v>
      </c>
      <c r="E12" s="13">
        <v>27242.82</v>
      </c>
      <c r="F12" s="9">
        <f t="shared" si="2"/>
        <v>99</v>
      </c>
      <c r="G12" s="10">
        <f t="shared" ca="1" si="0"/>
        <v>35789.49</v>
      </c>
      <c r="H12" s="17">
        <f ca="1">Table1[[#This Row],[Total Value]]/Portfolio!$C$3</f>
        <v>3.2369313712368994E-2</v>
      </c>
      <c r="I12" s="15" cm="1">
        <f t="array" aca="1" ref="I12" ca="1">_FV(Table1[[#This Row],[Stock]],"Change (%)",TRUE)</f>
        <v>-2.6734000000000001E-2</v>
      </c>
      <c r="J12" s="15">
        <f ca="1">(Table1[[#This Row],[Live Price]]-'YTD Calculation'!B8)/'YTD Calculation'!B8</f>
        <v>0.23504492501110319</v>
      </c>
      <c r="K12" s="25">
        <f t="shared" ca="1" si="1"/>
        <v>0.3137219274656588</v>
      </c>
    </row>
    <row r="13" spans="1:11">
      <c r="A13" s="5" t="e" vm="9">
        <v>#VALUE!</v>
      </c>
      <c r="B13" s="5" t="str" cm="1">
        <f t="array" aca="1" ref="B13" ca="1">_FV(A13,"Ticker symbol",TRUE)</f>
        <v>COST</v>
      </c>
      <c r="C13" s="6" cm="1">
        <f t="array" aca="1" ref="C13" ca="1">_FV(A13,"Price")</f>
        <v>1005.83</v>
      </c>
      <c r="D13" s="12">
        <v>165.95</v>
      </c>
      <c r="E13" s="13">
        <v>11046.9</v>
      </c>
      <c r="F13" s="14">
        <f t="shared" si="2"/>
        <v>66.567640855679429</v>
      </c>
      <c r="G13" s="10">
        <f t="shared" ca="1" si="0"/>
        <v>66955.730201868049</v>
      </c>
      <c r="H13" s="17">
        <f ca="1">Table1[[#This Row],[Total Value]]/Portfolio!$C$3</f>
        <v>6.0557192509449187E-2</v>
      </c>
      <c r="I13" s="15" cm="1">
        <f t="array" aca="1" ref="I13" ca="1">_FV(Table1[[#This Row],[Stock]],"Change (%)",TRUE)</f>
        <v>2.6483E-2</v>
      </c>
      <c r="J13" s="15">
        <f ca="1">(Table1[[#This Row],[Live Price]]-'YTD Calculation'!B9)/'YTD Calculation'!B9</f>
        <v>0.54588488434642291</v>
      </c>
      <c r="K13" s="25">
        <f t="shared" ca="1" si="1"/>
        <v>5.0610424826755063</v>
      </c>
    </row>
    <row r="14" spans="1:11">
      <c r="A14" s="5" t="e" vm="10">
        <v>#VALUE!</v>
      </c>
      <c r="B14" s="5" t="str" cm="1">
        <f t="array" aca="1" ref="B14" ca="1">_FV(A14,"Ticker symbol",TRUE)</f>
        <v>CRH</v>
      </c>
      <c r="C14" s="6">
        <v>102.62</v>
      </c>
      <c r="D14" s="12">
        <v>79.63</v>
      </c>
      <c r="E14" s="13">
        <v>19907.48</v>
      </c>
      <c r="F14" s="14">
        <f t="shared" si="2"/>
        <v>249.99974883837751</v>
      </c>
      <c r="G14" s="10">
        <f t="shared" si="0"/>
        <v>25654.9742257943</v>
      </c>
      <c r="H14" s="17">
        <f ca="1">Table1[[#This Row],[Total Value]]/Portfolio!$C$3</f>
        <v>2.3203289820488547E-2</v>
      </c>
      <c r="I14" s="15" cm="1">
        <f t="array" aca="1" ref="I14" ca="1">_FV(Table1[[#This Row],[Stock]],"Change (%)",TRUE)</f>
        <v>0</v>
      </c>
      <c r="J14" s="15">
        <f>(Table1[[#This Row],[Live Price]]-'YTD Calculation'!B10)/'YTD Calculation'!B10</f>
        <v>0.5046920821114369</v>
      </c>
      <c r="K14" s="25">
        <f>(G14-E14)/E14</f>
        <v>0.28871028506844165</v>
      </c>
    </row>
    <row r="15" spans="1:11">
      <c r="A15" s="5" t="e" vm="11">
        <v>#VALUE!</v>
      </c>
      <c r="B15" s="5" t="str" cm="1">
        <f t="array" aca="1" ref="B15" ca="1">_FV(A15,"Ticker symbol",TRUE)</f>
        <v>DG</v>
      </c>
      <c r="C15" s="6" cm="1">
        <f t="array" aca="1" ref="C15" ca="1">_FV(A15,"Price")</f>
        <v>71.47</v>
      </c>
      <c r="D15" s="12">
        <v>62</v>
      </c>
      <c r="E15" s="13">
        <v>10000</v>
      </c>
      <c r="F15" s="14">
        <f t="shared" si="2"/>
        <v>161.29032258064515</v>
      </c>
      <c r="G15" s="10">
        <f t="shared" ca="1" si="0"/>
        <v>11527.419354838708</v>
      </c>
      <c r="H15" s="17">
        <f ca="1">Table1[[#This Row],[Total Value]]/Portfolio!$C$3</f>
        <v>1.042581644473862E-2</v>
      </c>
      <c r="I15" s="15" cm="1">
        <f t="array" aca="1" ref="I15" ca="1">_FV(Table1[[#This Row],[Stock]],"Change (%)",TRUE)</f>
        <v>5.77E-3</v>
      </c>
      <c r="J15" s="15">
        <f ca="1">(Table1[[#This Row],[Live Price]]-'YTD Calculation'!B11)/'YTD Calculation'!B11</f>
        <v>-0.49106316314177884</v>
      </c>
      <c r="K15" s="25">
        <f t="shared" ca="1" si="1"/>
        <v>0.15274193548387083</v>
      </c>
    </row>
    <row r="16" spans="1:11">
      <c r="A16" s="5" t="e" vm="12">
        <v>#VALUE!</v>
      </c>
      <c r="B16" s="5" t="str" cm="1">
        <f t="array" aca="1" ref="B16" ca="1">_FV(A16,"Ticker symbol",TRUE)</f>
        <v>DHR</v>
      </c>
      <c r="C16" s="6" cm="1">
        <f t="array" aca="1" ref="C16" ca="1">_FV(A16,"Price")</f>
        <v>214.2</v>
      </c>
      <c r="D16" s="12">
        <v>74.25</v>
      </c>
      <c r="E16" s="13">
        <v>12251.76</v>
      </c>
      <c r="F16" s="14">
        <f t="shared" si="2"/>
        <v>165.0068686868687</v>
      </c>
      <c r="G16" s="10">
        <f t="shared" ca="1" si="0"/>
        <v>35344.471272727271</v>
      </c>
      <c r="H16" s="17">
        <f ca="1">Table1[[#This Row],[Total Value]]/Portfolio!$C$3</f>
        <v>3.1966822623756948E-2</v>
      </c>
      <c r="I16" s="15" cm="1">
        <f t="array" aca="1" ref="I16" ca="1">_FV(Table1[[#This Row],[Stock]],"Change (%)",TRUE)</f>
        <v>-3.8341E-2</v>
      </c>
      <c r="J16" s="15">
        <f ca="1">(Table1[[#This Row],[Live Price]]-'YTD Calculation'!B12)/'YTD Calculation'!B12</f>
        <v>-8.7695387367434749E-2</v>
      </c>
      <c r="K16" s="25">
        <f t="shared" ca="1" si="1"/>
        <v>1.8848484848484846</v>
      </c>
    </row>
    <row r="17" spans="1:11">
      <c r="A17" s="5" t="e" vm="13">
        <v>#VALUE!</v>
      </c>
      <c r="B17" s="5" t="str" cm="1">
        <f t="array" aca="1" ref="B17" ca="1">_FV(A17,"Ticker symbol",TRUE)</f>
        <v>DIS</v>
      </c>
      <c r="C17" s="6" cm="1">
        <f t="array" aca="1" ref="C17" ca="1">_FV(A17,"Price")</f>
        <v>114.06</v>
      </c>
      <c r="D17" s="12">
        <v>101.9</v>
      </c>
      <c r="E17" s="13">
        <v>2038</v>
      </c>
      <c r="F17" s="14">
        <f t="shared" si="2"/>
        <v>20</v>
      </c>
      <c r="G17" s="10">
        <f t="shared" ca="1" si="0"/>
        <v>2281.1999999999998</v>
      </c>
      <c r="H17" s="17">
        <f ca="1">Table1[[#This Row],[Total Value]]/Portfolio!$C$3</f>
        <v>2.0632000746771233E-3</v>
      </c>
      <c r="I17" s="15" cm="1">
        <f t="array" aca="1" ref="I17" ca="1">_FV(Table1[[#This Row],[Stock]],"Change (%)",TRUE)</f>
        <v>8.8449999999999987E-3</v>
      </c>
      <c r="J17" s="15">
        <f ca="1">(Table1[[#This Row],[Live Price]]-'YTD Calculation'!B13)/'YTD Calculation'!B13</f>
        <v>0.25741373608201973</v>
      </c>
      <c r="K17" s="25">
        <f t="shared" ca="1" si="1"/>
        <v>0.11933267909715399</v>
      </c>
    </row>
    <row r="18" spans="1:11">
      <c r="A18" s="5" t="e" vm="14">
        <v>#VALUE!</v>
      </c>
      <c r="B18" s="5" t="str" cm="1">
        <f t="array" aca="1" ref="B18" ca="1">_FV(A18,"Ticker symbol",TRUE)</f>
        <v>GOOG</v>
      </c>
      <c r="C18" s="6" cm="1">
        <f t="array" aca="1" ref="C18" ca="1">_FV(A18,"Price")</f>
        <v>202.64</v>
      </c>
      <c r="D18" s="12">
        <v>25.58</v>
      </c>
      <c r="E18" s="13">
        <v>7469.55</v>
      </c>
      <c r="F18" s="14">
        <f t="shared" si="2"/>
        <v>292.00742767787335</v>
      </c>
      <c r="G18" s="10">
        <f t="shared" ca="1" si="0"/>
        <v>59172.38514464425</v>
      </c>
      <c r="H18" s="17">
        <f ca="1">Table1[[#This Row],[Total Value]]/Portfolio!$C$3</f>
        <v>5.351765274822616E-2</v>
      </c>
      <c r="I18" s="15" cm="1">
        <f t="array" aca="1" ref="I18" ca="1">_FV(Table1[[#This Row],[Stock]],"Change (%)",TRUE)</f>
        <v>-1.4397E-2</v>
      </c>
      <c r="J18" s="15">
        <f ca="1">(Table1[[#This Row],[Live Price]]-'YTD Calculation'!B14)/'YTD Calculation'!B14</f>
        <v>0.45199197477787317</v>
      </c>
      <c r="K18" s="25">
        <f t="shared" ca="1" si="1"/>
        <v>6.9218139171227513</v>
      </c>
    </row>
    <row r="19" spans="1:11">
      <c r="A19" s="5" t="e" vm="15">
        <v>#VALUE!</v>
      </c>
      <c r="B19" s="5" t="str" cm="1">
        <f t="array" aca="1" ref="B19" ca="1">_FV(A19,"Ticker symbol",TRUE)</f>
        <v>HD</v>
      </c>
      <c r="C19" s="6" cm="1">
        <f t="array" aca="1" ref="C19" ca="1">_FV(A19,"Price")</f>
        <v>408.82</v>
      </c>
      <c r="D19" s="12">
        <v>174.29</v>
      </c>
      <c r="E19" s="13">
        <v>12200.42</v>
      </c>
      <c r="F19" s="14">
        <f t="shared" si="2"/>
        <v>70.000688507659646</v>
      </c>
      <c r="G19" s="10">
        <f t="shared" ca="1" si="0"/>
        <v>28617.681475701414</v>
      </c>
      <c r="H19" s="17">
        <f ca="1">Table1[[#This Row],[Total Value]]/Portfolio!$C$3</f>
        <v>2.5882869786846084E-2</v>
      </c>
      <c r="I19" s="15" cm="1">
        <f t="array" aca="1" ref="I19" ca="1">_FV(Table1[[#This Row],[Stock]],"Change (%)",TRUE)</f>
        <v>-7.6699999999999997E-3</v>
      </c>
      <c r="J19" s="15">
        <f ca="1">(Table1[[#This Row],[Live Price]]-'YTD Calculation'!B15)/'YTD Calculation'!B15</f>
        <v>0.18471079170047527</v>
      </c>
      <c r="K19" s="25">
        <f t="shared" ca="1" si="1"/>
        <v>1.3456308451431522</v>
      </c>
    </row>
    <row r="20" spans="1:11">
      <c r="A20" s="5" t="e" vm="16">
        <v>#VALUE!</v>
      </c>
      <c r="B20" s="5" t="str" cm="1">
        <f t="array" aca="1" ref="B20" ca="1">_FV(A20,"Ticker symbol",TRUE)</f>
        <v>HON</v>
      </c>
      <c r="C20" s="6" cm="1">
        <f t="array" aca="1" ref="C20" ca="1">_FV(A20,"Price")</f>
        <v>222.41</v>
      </c>
      <c r="D20" s="12">
        <v>94.96</v>
      </c>
      <c r="E20" s="13">
        <v>10825.22</v>
      </c>
      <c r="F20" s="14">
        <f t="shared" si="2"/>
        <v>113.99768323504634</v>
      </c>
      <c r="G20" s="10">
        <f t="shared" ca="1" si="0"/>
        <v>25354.224728306657</v>
      </c>
      <c r="H20" s="17">
        <f ca="1">Table1[[#This Row],[Total Value]]/Portfolio!$C$3</f>
        <v>2.293128105945242E-2</v>
      </c>
      <c r="I20" s="15" cm="1">
        <f t="array" aca="1" ref="I20" ca="1">_FV(Table1[[#This Row],[Stock]],"Change (%)",TRUE)</f>
        <v>-5.8560000000000001E-3</v>
      </c>
      <c r="J20" s="15">
        <f ca="1">(Table1[[#This Row],[Live Price]]-'YTD Calculation'!B16)/'YTD Calculation'!B16</f>
        <v>6.416267942583731E-2</v>
      </c>
      <c r="K20" s="25">
        <f t="shared" ca="1" si="1"/>
        <v>1.3421440606571191</v>
      </c>
    </row>
    <row r="21" spans="1:11">
      <c r="A21" s="5" t="e" vm="17">
        <v>#VALUE!</v>
      </c>
      <c r="B21" s="5" t="str" cm="1">
        <f t="array" aca="1" ref="B21" ca="1">_FV(A21,"Ticker symbol",TRUE)</f>
        <v>JNJ</v>
      </c>
      <c r="C21" s="6" cm="1">
        <f t="array" aca="1" ref="C21" ca="1">_FV(A21,"Price")</f>
        <v>151.87</v>
      </c>
      <c r="D21" s="12">
        <v>154.33000000000001</v>
      </c>
      <c r="E21" s="13">
        <v>20614.560000000001</v>
      </c>
      <c r="F21" s="14">
        <f t="shared" si="2"/>
        <v>133.57454804639409</v>
      </c>
      <c r="G21" s="10">
        <f t="shared" ca="1" si="0"/>
        <v>20285.96661180587</v>
      </c>
      <c r="H21" s="17">
        <f ca="1">Table1[[#This Row],[Total Value]]/Portfolio!$C$3</f>
        <v>1.8347364469742021E-2</v>
      </c>
      <c r="I21" s="15" cm="1">
        <f t="array" aca="1" ref="I21" ca="1">_FV(Table1[[#This Row],[Stock]],"Change (%)",TRUE)</f>
        <v>-1.8400000000000001E-3</v>
      </c>
      <c r="J21" s="15">
        <f ca="1">(Table1[[#This Row],[Live Price]]-'YTD Calculation'!B17)/'YTD Calculation'!B17</f>
        <v>-5.063449396761889E-2</v>
      </c>
      <c r="K21" s="25">
        <f t="shared" ca="1" si="1"/>
        <v>-1.5939869111643953E-2</v>
      </c>
    </row>
    <row r="22" spans="1:11">
      <c r="A22" s="5" t="e" vm="18">
        <v>#VALUE!</v>
      </c>
      <c r="B22" s="5" t="str" cm="1">
        <f t="array" aca="1" ref="B22" ca="1">_FV(A22,"Ticker symbol",TRUE)</f>
        <v>LMT</v>
      </c>
      <c r="C22" s="6" cm="1">
        <f t="array" aca="1" ref="C22" ca="1">_FV(A22,"Price")</f>
        <v>455.4</v>
      </c>
      <c r="D22" s="12">
        <v>312.20999999999998</v>
      </c>
      <c r="E22" s="13">
        <v>10825.22</v>
      </c>
      <c r="F22" s="14">
        <f t="shared" si="2"/>
        <v>34.672880433041861</v>
      </c>
      <c r="G22" s="10">
        <f t="shared" ca="1" si="0"/>
        <v>15790.029749207262</v>
      </c>
      <c r="H22" s="17">
        <f ca="1">Table1[[#This Row],[Total Value]]/Portfolio!$C$3</f>
        <v>1.4281075994090137E-2</v>
      </c>
      <c r="I22" s="15" cm="1">
        <f t="array" aca="1" ref="I22" ca="1">_FV(Table1[[#This Row],[Stock]],"Change (%)",TRUE)</f>
        <v>-1.6308E-2</v>
      </c>
      <c r="J22" s="15">
        <f ca="1">(Table1[[#This Row],[Live Price]]-'YTD Calculation'!B18)/'YTD Calculation'!B18</f>
        <v>-1.5785319652723566E-3</v>
      </c>
      <c r="K22" s="25">
        <f t="shared" ca="1" si="1"/>
        <v>0.45863361199192842</v>
      </c>
    </row>
    <row r="23" spans="1:11">
      <c r="A23" s="5" t="e" vm="19">
        <v>#VALUE!</v>
      </c>
      <c r="B23" s="5" t="str" cm="1">
        <f t="array" aca="1" ref="B23" ca="1">_FV(A23,"Ticker symbol",TRUE)</f>
        <v>MA</v>
      </c>
      <c r="C23" s="6" cm="1">
        <f t="array" aca="1" ref="C23" ca="1">_FV(A23,"Price")</f>
        <v>564.34100000000001</v>
      </c>
      <c r="D23" s="12">
        <v>90.26</v>
      </c>
      <c r="E23" s="13">
        <v>8845.27</v>
      </c>
      <c r="F23" s="14">
        <f t="shared" si="2"/>
        <v>97.997673387990247</v>
      </c>
      <c r="G23" s="10">
        <f t="shared" ca="1" si="0"/>
        <v>55304.104997451803</v>
      </c>
      <c r="H23" s="17">
        <f ca="1">Table1[[#This Row],[Total Value]]/Portfolio!$C$3</f>
        <v>5.0019039786381739E-2</v>
      </c>
      <c r="I23" s="15" cm="1">
        <f t="array" aca="1" ref="I23" ca="1">_FV(Table1[[#This Row],[Stock]],"Change (%)",TRUE)</f>
        <v>1.6043000000000002E-2</v>
      </c>
      <c r="J23" s="15">
        <f ca="1">(Table1[[#This Row],[Live Price]]-'YTD Calculation'!B19)/'YTD Calculation'!B19</f>
        <v>0.33764962430965423</v>
      </c>
      <c r="K23" s="25">
        <f t="shared" ca="1" si="1"/>
        <v>5.2523930866385991</v>
      </c>
    </row>
    <row r="24" spans="1:11">
      <c r="A24" s="5" t="e" vm="20">
        <v>#VALUE!</v>
      </c>
      <c r="B24" s="5" t="str" cm="1">
        <f t="array" aca="1" ref="B24" ca="1">_FV(A24,"Ticker symbol",TRUE)</f>
        <v>MSFT</v>
      </c>
      <c r="C24" s="6" cm="1">
        <f t="array" aca="1" ref="C24" ca="1">_FV(A24,"Price")</f>
        <v>410.92</v>
      </c>
      <c r="D24" s="12">
        <v>154.66</v>
      </c>
      <c r="E24" s="13">
        <v>17321.53</v>
      </c>
      <c r="F24" s="14">
        <f t="shared" si="2"/>
        <v>111.99747833958359</v>
      </c>
      <c r="G24" s="10">
        <f t="shared" ca="1" si="0"/>
        <v>46022.003799301696</v>
      </c>
      <c r="H24" s="47">
        <f ca="1">Table1[[#This Row],[Total Value]]/Portfolio!$C$3</f>
        <v>4.1623970574921142E-2</v>
      </c>
      <c r="I24" s="15" cm="1">
        <f t="array" aca="1" ref="I24" ca="1">_FV(Table1[[#This Row],[Stock]],"Change (%)",TRUE)</f>
        <v>-9.9740000000000002E-3</v>
      </c>
      <c r="J24" s="15">
        <f ca="1">(Table1[[#This Row],[Live Price]]-'YTD Calculation'!B20)/'YTD Calculation'!B20</f>
        <v>0.10798932240407692</v>
      </c>
      <c r="K24" s="25">
        <f t="shared" ca="1" si="1"/>
        <v>1.6569248674511836</v>
      </c>
    </row>
    <row r="25" spans="1:11">
      <c r="A25" s="5" t="e" vm="21">
        <v>#VALUE!</v>
      </c>
      <c r="B25" s="5" t="str" cm="1">
        <f t="array" aca="1" ref="B25" ca="1">_FV(A25,"Ticker symbol",TRUE)</f>
        <v>NEE</v>
      </c>
      <c r="C25" s="6" cm="1">
        <f t="array" aca="1" ref="C25" ca="1">_FV(A25,"Price")</f>
        <v>71.069999999999993</v>
      </c>
      <c r="D25" s="12">
        <v>65.91</v>
      </c>
      <c r="E25" s="13">
        <v>21224.01</v>
      </c>
      <c r="F25" s="14">
        <f t="shared" si="2"/>
        <v>322.01502048247607</v>
      </c>
      <c r="G25" s="10">
        <f t="shared" ca="1" si="0"/>
        <v>22885.607505689572</v>
      </c>
      <c r="H25" s="17">
        <f ca="1">Table1[[#This Row],[Total Value]]/Portfolio!$C$3</f>
        <v>2.0698574046453647E-2</v>
      </c>
      <c r="I25" s="15" cm="1">
        <f t="array" aca="1" ref="I25" ca="1">_FV(Table1[[#This Row],[Stock]],"Change (%)",TRUE)</f>
        <v>-6.8469999999999998E-3</v>
      </c>
      <c r="J25" s="15">
        <f ca="1">(Table1[[#This Row],[Live Price]]-'YTD Calculation'!B21)/'YTD Calculation'!B21</f>
        <v>0.15429592333928849</v>
      </c>
      <c r="K25" s="25">
        <f t="shared" ca="1" si="1"/>
        <v>7.8288575329995294E-2</v>
      </c>
    </row>
    <row r="26" spans="1:11">
      <c r="A26" s="5" t="e" vm="22">
        <v>#VALUE!</v>
      </c>
      <c r="B26" s="5" t="str" cm="1">
        <f t="array" aca="1" ref="B26" ca="1">_FV(A26,"Ticker symbol",TRUE)</f>
        <v>NKE</v>
      </c>
      <c r="C26" s="16" cm="1">
        <f t="array" aca="1" ref="C26" ca="1">_FV(A26,"Price")</f>
        <v>74.31</v>
      </c>
      <c r="D26" s="12">
        <v>131.91</v>
      </c>
      <c r="E26" s="13">
        <v>11736.61</v>
      </c>
      <c r="F26" s="14">
        <f t="shared" si="2"/>
        <v>88.974376468804493</v>
      </c>
      <c r="G26" s="10">
        <f t="shared" ca="1" si="0"/>
        <v>6611.6859153968617</v>
      </c>
      <c r="H26" s="17">
        <f ca="1">Table1[[#This Row],[Total Value]]/Portfolio!$C$3</f>
        <v>5.9798487087447351E-3</v>
      </c>
      <c r="I26" s="15" cm="1">
        <f t="array" aca="1" ref="I26" ca="1">_FV(Table1[[#This Row],[Stock]],"Change (%)",TRUE)</f>
        <v>-7.7449999999999993E-3</v>
      </c>
      <c r="J26" s="15">
        <f ca="1">(Table1[[#This Row],[Live Price]]-'YTD Calculation'!B22)/'YTD Calculation'!B22</f>
        <v>-0.30258094791177848</v>
      </c>
      <c r="K26" s="25">
        <f t="shared" ca="1" si="1"/>
        <v>-0.43666136001819422</v>
      </c>
    </row>
    <row r="27" spans="1:11">
      <c r="A27" s="5" t="e" vm="23">
        <v>#VALUE!</v>
      </c>
      <c r="B27" s="5" t="str" cm="1">
        <f t="array" aca="1" ref="B27" ca="1">_FV(A27,"Ticker symbol",TRUE)</f>
        <v>ON</v>
      </c>
      <c r="C27" s="6" cm="1">
        <f t="array" aca="1" ref="C27" ca="1">_FV(A27,"Price")</f>
        <v>50.26</v>
      </c>
      <c r="D27" s="12">
        <v>71.45</v>
      </c>
      <c r="E27" s="13">
        <v>14289</v>
      </c>
      <c r="F27" s="14">
        <f t="shared" si="2"/>
        <v>199.98600419874037</v>
      </c>
      <c r="G27" s="10">
        <f t="shared" ca="1" si="0"/>
        <v>10051.296571028692</v>
      </c>
      <c r="H27" s="17">
        <f ca="1">Table1[[#This Row],[Total Value]]/Portfolio!$C$3</f>
        <v>9.090757424140063E-3</v>
      </c>
      <c r="I27" s="15" cm="1">
        <f t="array" aca="1" ref="I27" ca="1">_FV(Table1[[#This Row],[Stock]],"Change (%)",TRUE)</f>
        <v>-3.9740000000000004E-2</v>
      </c>
      <c r="J27" s="11">
        <f ca="1">(Table1[[#This Row],[Live Price]]-'YTD Calculation'!B23)/'YTD Calculation'!B23</f>
        <v>-0.38293431553100066</v>
      </c>
      <c r="K27" s="25">
        <f t="shared" ca="1" si="1"/>
        <v>-0.29657102869139257</v>
      </c>
    </row>
    <row r="28" spans="1:11">
      <c r="A28" s="5" t="e" vm="24">
        <v>#VALUE!</v>
      </c>
      <c r="B28" s="5" t="str" cm="1">
        <f t="array" aca="1" ref="B28" ca="1">_FV(A28,"Ticker symbol",TRUE)</f>
        <v>SNOW</v>
      </c>
      <c r="C28" s="6" cm="1">
        <f t="array" aca="1" ref="C28" ca="1">_FV(A28,"Price")</f>
        <v>182.61</v>
      </c>
      <c r="D28" s="12">
        <v>142.16999999999999</v>
      </c>
      <c r="E28" s="13">
        <v>20614.560000000001</v>
      </c>
      <c r="F28" s="14">
        <f t="shared" si="2"/>
        <v>144.99936695505383</v>
      </c>
      <c r="G28" s="10">
        <f t="shared" ca="1" si="0"/>
        <v>26478.334399662381</v>
      </c>
      <c r="H28" s="17">
        <f ca="1">Table1[[#This Row],[Total Value]]/Portfolio!$C$3</f>
        <v>2.3947966645059295E-2</v>
      </c>
      <c r="I28" s="15" cm="1">
        <f t="array" aca="1" ref="I28" ca="1">_FV(Table1[[#This Row],[Stock]],"Change (%)",TRUE)</f>
        <v>6.0599999999999994E-3</v>
      </c>
      <c r="J28" s="15">
        <f ca="1">(Table1[[#This Row],[Live Price]]-'YTD Calculation'!B24)/'YTD Calculation'!B24</f>
        <v>-3.4422588832487264E-2</v>
      </c>
      <c r="K28" s="25">
        <f ca="1">(G28-E28)/E28</f>
        <v>0.2844481958219035</v>
      </c>
    </row>
    <row r="29" spans="1:11">
      <c r="A29" s="5" t="e" vm="25">
        <v>#VALUE!</v>
      </c>
      <c r="B29" s="3" t="str" cm="1">
        <f t="array" aca="1" ref="B29" ca="1">_FV(A29,"Ticker symbol",TRUE)</f>
        <v>SPY</v>
      </c>
      <c r="C29" s="41" cm="1">
        <f t="array" aca="1" ref="C29" ca="1">_FV(A29,"Price")</f>
        <v>597.71</v>
      </c>
      <c r="D29" s="42">
        <v>229.7</v>
      </c>
      <c r="E29" s="43">
        <v>123346.38</v>
      </c>
      <c r="F29" s="44">
        <f t="shared" si="2"/>
        <v>536.98902916848067</v>
      </c>
      <c r="G29" s="45">
        <f t="shared" ca="1" si="0"/>
        <v>320963.71262429259</v>
      </c>
      <c r="H29" s="46">
        <f ca="1">Table1[[#This Row],[Total Value]]/Portfolio!$C$3</f>
        <v>0.29029123086756409</v>
      </c>
      <c r="I29" s="15" cm="1">
        <f t="array" aca="1" ref="I29" ca="1">_FV(Table1[[#This Row],[Stock]],"Change (%)",TRUE)</f>
        <v>-6.8289999999999991E-3</v>
      </c>
      <c r="J29" s="15">
        <f ca="1">(Table1[[#This Row],[Live Price]]-'YTD Calculation'!B25)/'YTD Calculation'!B25</f>
        <v>0.26459325081984569</v>
      </c>
      <c r="K29" s="25">
        <f t="shared" ca="1" si="1"/>
        <v>1.6021332172398783</v>
      </c>
    </row>
    <row r="30" spans="1:11">
      <c r="A30" s="5" t="e" vm="26">
        <v>#VALUE!</v>
      </c>
      <c r="B30" s="5" t="str" cm="1">
        <f t="array" aca="1" ref="B30" ca="1">_FV(A30,"Ticker symbol",TRUE)</f>
        <v>STLA</v>
      </c>
      <c r="C30" s="6" cm="1">
        <f t="array" aca="1" ref="C30" ca="1">_FV(A30,"Price")</f>
        <v>12.625</v>
      </c>
      <c r="D30" s="12">
        <v>20.47</v>
      </c>
      <c r="E30" s="13">
        <v>20469.7</v>
      </c>
      <c r="F30" s="14">
        <f t="shared" si="2"/>
        <v>999.98534440644858</v>
      </c>
      <c r="G30" s="10">
        <f t="shared" ca="1" si="0"/>
        <v>12624.814973131413</v>
      </c>
      <c r="H30" s="17">
        <f ca="1">Table1[[#This Row],[Total Value]]/Portfolio!$C$3</f>
        <v>1.1418340871186041E-2</v>
      </c>
      <c r="I30" s="15" cm="1">
        <f t="array" aca="1" ref="I30" ca="1">_FV(Table1[[#This Row],[Stock]],"Change (%)",TRUE)</f>
        <v>-3.8462000000000003E-2</v>
      </c>
      <c r="J30" s="15">
        <f ca="1">(Table1[[#This Row],[Live Price]]-'YTD Calculation'!B26)/'YTD Calculation'!B26</f>
        <v>-0.45227765726681129</v>
      </c>
      <c r="K30" s="25">
        <f ca="1">(G30-E30)/E30</f>
        <v>-0.38324377137274052</v>
      </c>
    </row>
    <row r="31" spans="1:11">
      <c r="A31" s="5" t="e" vm="27">
        <v>#VALUE!</v>
      </c>
      <c r="B31" s="5" t="str" cm="1">
        <f t="array" aca="1" ref="B31" ca="1">_FV(A31,"Ticker symbol",TRUE)</f>
        <v>TTWO</v>
      </c>
      <c r="C31" s="6" cm="1">
        <f t="array" aca="1" ref="C31" ca="1">_FV(A31,"Price")</f>
        <v>186.07</v>
      </c>
      <c r="D31" s="12">
        <v>143.58000000000001</v>
      </c>
      <c r="E31" s="13">
        <v>9332.93</v>
      </c>
      <c r="F31" s="14">
        <f t="shared" si="2"/>
        <v>65.001601894414264</v>
      </c>
      <c r="G31" s="10">
        <f t="shared" ca="1" si="0"/>
        <v>12094.848064493663</v>
      </c>
      <c r="H31" s="17">
        <f ca="1">Table1[[#This Row],[Total Value]]/Portfolio!$C$3</f>
        <v>1.0939019564208218E-2</v>
      </c>
      <c r="I31" s="15" cm="1">
        <f t="array" aca="1" ref="I31" ca="1">_FV(Table1[[#This Row],[Stock]],"Change (%)",TRUE)</f>
        <v>3.019E-3</v>
      </c>
      <c r="J31" s="15">
        <f ca="1">(Table1[[#This Row],[Live Price]]-'YTD Calculation'!B27)/'YTD Calculation'!B27</f>
        <v>0.16834107748336058</v>
      </c>
      <c r="K31" s="25">
        <f t="shared" ca="1" si="1"/>
        <v>0.29593258113943449</v>
      </c>
    </row>
    <row r="32" spans="1:11">
      <c r="A32" s="5" t="e" vm="28">
        <v>#VALUE!</v>
      </c>
      <c r="B32" s="5" t="str" cm="1">
        <f t="array" aca="1" ref="B32" ca="1">_FV(A32,"Ticker symbol",TRUE)</f>
        <v>VLTO</v>
      </c>
      <c r="C32" s="6" cm="1">
        <f t="array" aca="1" ref="C32" ca="1">_FV(A32,"Price")</f>
        <v>101.17</v>
      </c>
      <c r="D32" s="12">
        <v>29.57</v>
      </c>
      <c r="E32" s="13">
        <v>1625.39</v>
      </c>
      <c r="F32" s="14">
        <f t="shared" si="2"/>
        <v>54.967534663510314</v>
      </c>
      <c r="G32" s="10">
        <f t="shared" ca="1" si="0"/>
        <v>5561.0654819073388</v>
      </c>
      <c r="H32" s="17">
        <f ca="1">Table1[[#This Row],[Total Value]]/Portfolio!$C$3</f>
        <v>5.0296294571083614E-3</v>
      </c>
      <c r="I32" s="15" cm="1">
        <f t="array" aca="1" ref="I32" ca="1">_FV(Table1[[#This Row],[Stock]],"Change (%)",TRUE)</f>
        <v>-2.1472000000000002E-2</v>
      </c>
      <c r="J32" s="11">
        <f ca="1">(Table1[[#This Row],[Live Price]]-'YTD Calculation'!B28)/'YTD Calculation'!B28</f>
        <v>0.24870402369785247</v>
      </c>
      <c r="K32" s="25">
        <f t="shared" ca="1" si="1"/>
        <v>2.4213730131890427</v>
      </c>
    </row>
    <row r="33" spans="1:11">
      <c r="A33" s="5" t="e" vm="29">
        <v>#VALUE!</v>
      </c>
      <c r="B33" s="5" t="str" cm="1">
        <f t="array" aca="1" ref="B33" ca="1">_FV(A33,"Ticker symbol",TRUE)</f>
        <v>WMT</v>
      </c>
      <c r="C33" s="6" cm="1">
        <f t="array" aca="1" ref="C33" ca="1">_FV(A33,"Price")</f>
        <v>99.54</v>
      </c>
      <c r="D33" s="12">
        <v>23.4</v>
      </c>
      <c r="E33" s="13">
        <v>13055.05</v>
      </c>
      <c r="F33" s="14">
        <f t="shared" si="2"/>
        <v>557.90811965811963</v>
      </c>
      <c r="G33" s="10">
        <f t="shared" ca="1" si="0"/>
        <v>55534.174230769233</v>
      </c>
      <c r="H33" s="17">
        <f ca="1">Table1[[#This Row],[Total Value]]/Portfolio!$C$3</f>
        <v>5.02271227512079E-2</v>
      </c>
      <c r="I33" s="15" cm="1">
        <f t="array" aca="1" ref="I33" ca="1">_FV(Table1[[#This Row],[Stock]],"Change (%)",TRUE)</f>
        <v>1.4058999999999999E-2</v>
      </c>
      <c r="J33" s="15">
        <f ca="1">(Table1[[#This Row],[Live Price]]-'YTD Calculation'!B29)/'YTD Calculation'!B29</f>
        <v>0.87471396204241003</v>
      </c>
      <c r="K33" s="25">
        <f t="shared" ca="1" si="1"/>
        <v>3.2538461538461538</v>
      </c>
    </row>
    <row r="34" spans="1:11">
      <c r="A34" s="5" t="e" vm="30">
        <v>#VALUE!</v>
      </c>
      <c r="B34" s="5" t="str" cm="1">
        <f t="array" aca="1" ref="B34" ca="1">_FV(A34,"Ticker symbol",TRUE)</f>
        <v>WEAV</v>
      </c>
      <c r="C34" s="6" cm="1">
        <f t="array" aca="1" ref="C34" ca="1">_FV(A34,"Price")</f>
        <v>16.364999999999998</v>
      </c>
      <c r="D34" s="12">
        <v>8.77</v>
      </c>
      <c r="E34" s="13">
        <v>9466.2000000000007</v>
      </c>
      <c r="F34" s="14">
        <f t="shared" si="2"/>
        <v>1079.3842645381985</v>
      </c>
      <c r="G34" s="10">
        <f t="shared" ca="1" si="0"/>
        <v>17664.123489167618</v>
      </c>
      <c r="H34" s="17">
        <f ca="1">Table1[[#This Row],[Total Value]]/Portfolio!$C$3</f>
        <v>1.5976074391529264E-2</v>
      </c>
      <c r="I34" s="15" cm="1">
        <f t="array" aca="1" ref="I34" ca="1">_FV(Table1[[#This Row],[Stock]],"Change (%)",TRUE)</f>
        <v>2.7569999999999999E-3</v>
      </c>
      <c r="J34" s="15">
        <f ca="1">(Table1[[#This Row],[Live Price]]-'YTD Calculation'!B30)/'YTD Calculation'!B30</f>
        <v>0.41811091854419408</v>
      </c>
      <c r="K34" s="25">
        <f t="shared" ca="1" si="1"/>
        <v>0.86602052451539335</v>
      </c>
    </row>
    <row r="35" spans="1:11">
      <c r="D35" s="4"/>
    </row>
    <row r="38" spans="1:11" ht="31" customHeight="1"/>
    <row r="56" spans="7:7">
      <c r="G56" t="s">
        <v>22</v>
      </c>
    </row>
  </sheetData>
  <mergeCells count="7">
    <mergeCell ref="A1:A3"/>
    <mergeCell ref="G1:G2"/>
    <mergeCell ref="H1:H2"/>
    <mergeCell ref="B1:C3"/>
    <mergeCell ref="D1:D2"/>
    <mergeCell ref="E1:E2"/>
    <mergeCell ref="F1:F2"/>
  </mergeCells>
  <phoneticPr fontId="3" type="noConversion"/>
  <conditionalFormatting sqref="I6:J34">
    <cfRule type="cellIs" dxfId="3" priority="1" operator="greaterThan">
      <formula>0</formula>
    </cfRule>
    <cfRule type="cellIs" dxfId="2" priority="2" operator="lessThan">
      <formula>0</formula>
    </cfRule>
  </conditionalFormatting>
  <conditionalFormatting sqref="K6:K34">
    <cfRule type="cellIs" dxfId="1" priority="3" operator="greaterThan">
      <formula>0</formula>
    </cfRule>
    <cfRule type="cellIs" dxfId="0" priority="4" operator="lessThan">
      <formula>0</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5A5FD-CEA0-4DBF-8AEE-FF62B3975EF7}">
  <dimension ref="A1"/>
  <sheetViews>
    <sheetView workbookViewId="0">
      <selection activeCell="C25" sqref="C25"/>
    </sheetView>
  </sheetViews>
  <sheetFormatPr defaultRowHeight="1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EDF1B-4576-4E4A-92F1-8124A20808D7}">
  <dimension ref="A1:J94"/>
  <sheetViews>
    <sheetView showGridLines="0" topLeftCell="B1" zoomScale="82" zoomScaleNormal="86" workbookViewId="0">
      <selection activeCell="C6" sqref="C6:C10"/>
    </sheetView>
  </sheetViews>
  <sheetFormatPr defaultColWidth="11" defaultRowHeight="16"/>
  <cols>
    <col min="1" max="1" width="7.58203125" hidden="1" customWidth="1"/>
    <col min="2" max="2" width="63" customWidth="1"/>
    <col min="3" max="3" width="37.08203125" customWidth="1"/>
    <col min="4" max="4" width="38" bestFit="1" customWidth="1"/>
    <col min="5" max="5" width="38" customWidth="1"/>
    <col min="6" max="6" width="28" customWidth="1"/>
    <col min="7" max="7" width="29.83203125" customWidth="1"/>
    <col min="8" max="8" width="13.08203125" customWidth="1"/>
    <col min="9" max="9" width="16.08203125" customWidth="1"/>
    <col min="11" max="11" width="19.83203125" customWidth="1"/>
    <col min="13" max="13" width="16.08203125" customWidth="1"/>
  </cols>
  <sheetData>
    <row r="1" spans="1:10" ht="18" customHeight="1">
      <c r="A1" s="71" t="s">
        <v>6</v>
      </c>
      <c r="B1" s="71"/>
      <c r="C1" s="72" t="s">
        <v>7</v>
      </c>
      <c r="D1" s="72" t="s">
        <v>23</v>
      </c>
      <c r="E1" s="74" t="s">
        <v>24</v>
      </c>
    </row>
    <row r="2" spans="1:10" ht="22" customHeight="1">
      <c r="A2" s="71"/>
      <c r="B2" s="71"/>
      <c r="C2" s="73"/>
      <c r="D2" s="73"/>
      <c r="E2" s="74"/>
    </row>
    <row r="3" spans="1:10" ht="30" customHeight="1">
      <c r="A3" s="71"/>
      <c r="B3" s="71"/>
      <c r="C3" s="18">
        <f ca="1">SUM(Table1[Total Value])</f>
        <v>1105661.0689377724</v>
      </c>
      <c r="D3" s="21" t="e" vm="31">
        <f ca="1">SUMPRODUCT(H6:H34,Table1[Weight])</f>
        <v>#VALUE!</v>
      </c>
      <c r="E3" s="48">
        <f ca="1">SUMPRODUCT(Table2[Beta],Transaction!H6:H34)</f>
        <v>0.96831770157673624</v>
      </c>
    </row>
    <row r="4" spans="1:10" ht="22" customHeight="1"/>
    <row r="5" spans="1:10" ht="22" customHeight="1">
      <c r="A5" s="2" t="s">
        <v>25</v>
      </c>
      <c r="B5" s="2" t="s">
        <v>12</v>
      </c>
      <c r="C5" s="2" t="s">
        <v>13</v>
      </c>
      <c r="D5" s="2" t="s">
        <v>26</v>
      </c>
      <c r="E5" s="2" t="s">
        <v>27</v>
      </c>
      <c r="F5" s="50" t="s">
        <v>28</v>
      </c>
      <c r="G5" s="2" t="s">
        <v>29</v>
      </c>
      <c r="H5" s="2" t="s">
        <v>30</v>
      </c>
      <c r="I5" s="2" t="s">
        <v>31</v>
      </c>
    </row>
    <row r="6" spans="1:10" ht="16" customHeight="1">
      <c r="A6" s="28" t="e" vm="2">
        <v>#VALUE!</v>
      </c>
      <c r="B6" s="28" t="str" cm="1">
        <f t="array" aca="1" ref="B6" ca="1">_FV(A6,"Name")</f>
        <v>APPLE INC.</v>
      </c>
      <c r="C6" s="28" t="str" cm="1">
        <f t="array" aca="1" ref="C6" ca="1">_FV(A6,"Ticker symbol",TRUE)</f>
        <v>AAPL</v>
      </c>
      <c r="D6" s="28" t="s">
        <v>32</v>
      </c>
      <c r="E6" s="29" cm="1">
        <f t="array" aca="1" ref="E6" ca="1">_FV(A6,"Price")</f>
        <v>228.01</v>
      </c>
      <c r="F6" s="49">
        <v>4.3E-3</v>
      </c>
      <c r="G6" s="30" cm="1">
        <f t="array" aca="1" ref="G6" ca="1">_FV(A6,"Market cap",TRUE)</f>
        <v>3428784738700</v>
      </c>
      <c r="H6" s="31" cm="1">
        <f t="array" aca="1" ref="H6" ca="1">_FV(A6,"P/E",TRUE)</f>
        <v>33.895400000000002</v>
      </c>
      <c r="I6" s="31" cm="1">
        <f t="array" aca="1" ref="I6" ca="1">_FV(A6,"Beta")</f>
        <v>1.1996</v>
      </c>
      <c r="J6" s="1"/>
    </row>
    <row r="7" spans="1:10">
      <c r="A7" s="28" t="e" vm="3">
        <v>#VALUE!</v>
      </c>
      <c r="B7" s="28" t="str" cm="1">
        <f t="array" aca="1" ref="B7" ca="1">_FV(A7,"Name")</f>
        <v>ADOBE INC.</v>
      </c>
      <c r="C7" s="28" t="str" cm="1">
        <f t="array" aca="1" ref="C7" ca="1">_FV(A7,"Ticker symbol",TRUE)</f>
        <v>ADBE</v>
      </c>
      <c r="D7" s="28" t="s">
        <v>32</v>
      </c>
      <c r="E7" s="29" cm="1">
        <f t="array" aca="1" ref="E7" ca="1">_FV(A7,"Price")</f>
        <v>438.6</v>
      </c>
      <c r="F7" s="49">
        <v>0</v>
      </c>
      <c r="G7" s="30" cm="1">
        <f t="array" aca="1" ref="G7" ca="1">_FV(A7,"Market cap",TRUE)</f>
        <v>190926571260</v>
      </c>
      <c r="H7" s="31" cm="1">
        <f t="array" aca="1" ref="H7" ca="1">_FV(A7,"P/E",TRUE)</f>
        <v>35.286999999999999</v>
      </c>
      <c r="I7" s="31" cm="1">
        <f t="array" aca="1" ref="I7" ca="1">_FV(A7,"Beta")</f>
        <v>1.3126</v>
      </c>
      <c r="J7" s="1"/>
    </row>
    <row r="8" spans="1:10">
      <c r="A8" s="28" t="e" vm="4">
        <v>#VALUE!</v>
      </c>
      <c r="B8" s="28" t="str" cm="1">
        <f t="array" aca="1" ref="B8" ca="1">_FV(A8,"Name")</f>
        <v>AUTOMATIC DATA PROCESSING, INC.</v>
      </c>
      <c r="C8" s="28" t="str" cm="1">
        <f t="array" aca="1" ref="C8" ca="1">_FV(A8,"Ticker symbol",TRUE)</f>
        <v>ADP</v>
      </c>
      <c r="D8" s="28" t="s">
        <v>32</v>
      </c>
      <c r="E8" s="29" cm="1">
        <f t="array" aca="1" ref="E8" ca="1">_FV(A8,"Price")</f>
        <v>307.32</v>
      </c>
      <c r="F8" s="51">
        <v>2.3900000000000001E-2</v>
      </c>
      <c r="G8" s="30" cm="1">
        <f t="array" aca="1" ref="G8" ca="1">_FV(A8,"Market cap",TRUE)</f>
        <v>123286000000</v>
      </c>
      <c r="H8" s="31" cm="1">
        <f t="array" aca="1" ref="H8" ca="1">_FV(A8,"P/E",TRUE)</f>
        <v>31.942</v>
      </c>
      <c r="I8" s="31" cm="1">
        <f t="array" aca="1" ref="I8" ca="1">_FV(A8,"Beta")</f>
        <v>0.80589999999999995</v>
      </c>
      <c r="J8" s="1"/>
    </row>
    <row r="9" spans="1:10">
      <c r="A9" s="28" t="e" vm="5">
        <v>#VALUE!</v>
      </c>
      <c r="B9" s="28" t="str" cm="1">
        <f t="array" aca="1" ref="B9" ca="1">_FV(A9,"Name")</f>
        <v>THE ALLSTATE CORPORATION</v>
      </c>
      <c r="C9" s="28" t="str" cm="1">
        <f t="array" aca="1" ref="C9" ca="1">_FV(A9,"Ticker symbol",TRUE)</f>
        <v>ALL</v>
      </c>
      <c r="D9" s="28" t="s">
        <v>33</v>
      </c>
      <c r="E9" s="29" cm="1">
        <f t="array" aca="1" ref="E9" ca="1">_FV(A9,"Price")</f>
        <v>191.98</v>
      </c>
      <c r="F9" s="51">
        <v>2.3E-2</v>
      </c>
      <c r="G9" s="32" cm="1">
        <f t="array" aca="1" ref="G9" ca="1">_FV(A9,"Market cap",TRUE)</f>
        <v>50836975930</v>
      </c>
      <c r="H9" s="31" cm="1">
        <f t="array" aca="1" ref="H9" ca="1">_FV(A9,"P/E",TRUE)</f>
        <v>12.396000000000001</v>
      </c>
      <c r="I9" s="31" cm="1">
        <f t="array" aca="1" ref="I9" ca="1">_FV(A9,"Beta")</f>
        <v>0.51690000000000003</v>
      </c>
      <c r="J9" s="1"/>
    </row>
    <row r="10" spans="1:10">
      <c r="A10" s="28" t="e" vm="6">
        <v>#VALUE!</v>
      </c>
      <c r="B10" s="28" t="str" cm="1">
        <f t="array" aca="1" ref="B10" ca="1">_FV(A10,"Name")</f>
        <v>AMAZON.COM, INC.</v>
      </c>
      <c r="C10" s="28" t="str" cm="1">
        <f t="array" aca="1" ref="C10" ca="1">_FV(A10,"Ticker symbol",TRUE)</f>
        <v>AMZN</v>
      </c>
      <c r="D10" s="28" t="s">
        <v>34</v>
      </c>
      <c r="E10" s="29" cm="1">
        <f t="array" aca="1" ref="E10" ca="1">_FV(A10,"Price")</f>
        <v>237.42</v>
      </c>
      <c r="F10" s="52">
        <v>0</v>
      </c>
      <c r="G10" s="33" cm="1">
        <f t="array" aca="1" ref="G10" ca="1">_FV(A10,"Market cap",TRUE)</f>
        <v>2496473674200</v>
      </c>
      <c r="H10" s="31" cm="1">
        <f t="array" aca="1" ref="H10" ca="1">_FV(A10,"P/E",TRUE)</f>
        <v>50.731900000000003</v>
      </c>
      <c r="I10" s="31" cm="1">
        <f t="array" aca="1" ref="I10" ca="1">_FV(A10,"Beta")</f>
        <v>1.1567000000000001</v>
      </c>
      <c r="J10" s="1"/>
    </row>
    <row r="11" spans="1:10">
      <c r="A11" s="28" t="e" vm="7">
        <v>#VALUE!</v>
      </c>
      <c r="B11" s="28" t="str" cm="1">
        <f t="array" aca="1" ref="B11" ca="1">_FV(A11,"Name")</f>
        <v>BERKSHIRE HATHAWAY INC.</v>
      </c>
      <c r="C11" s="28" t="str" cm="1">
        <f t="array" aca="1" ref="C11" ca="1">_FV(A11,"Ticker symbol",TRUE)</f>
        <v>BRKB</v>
      </c>
      <c r="D11" s="28" t="s">
        <v>35</v>
      </c>
      <c r="E11" s="34" cm="1">
        <f t="array" aca="1" ref="E11" ca="1">_FV(A11,"Price")</f>
        <v>450.15</v>
      </c>
      <c r="F11" s="52">
        <v>0</v>
      </c>
      <c r="G11" s="33" cm="1">
        <f t="array" aca="1" ref="G11" ca="1">_FV(A11,"Market cap",TRUE)</f>
        <v>1010430000000</v>
      </c>
      <c r="H11" s="31" cm="1">
        <f t="array" aca="1" ref="H11" ca="1">_FV(A11,"P/E",TRUE)</f>
        <v>10.1248</v>
      </c>
      <c r="I11" s="31" cm="1">
        <f t="array" aca="1" ref="I11" ca="1">_FV(A11,"Beta")</f>
        <v>0.8841</v>
      </c>
    </row>
    <row r="12" spans="1:10">
      <c r="A12" s="28" t="e" vm="8">
        <v>#VALUE!</v>
      </c>
      <c r="B12" s="28" t="str" cm="1">
        <f t="array" aca="1" ref="B12" ca="1">_FV(A12,"Name")</f>
        <v>CATERPILLAR INC.</v>
      </c>
      <c r="C12" s="28" t="str" cm="1">
        <f t="array" aca="1" ref="C12" ca="1">_FV(A12,"Ticker symbol",TRUE)</f>
        <v>CAT</v>
      </c>
      <c r="D12" s="28" t="s">
        <v>36</v>
      </c>
      <c r="E12" s="35" cm="1">
        <f t="array" aca="1" ref="E12" ca="1">_FV(A12,"Price")</f>
        <v>361.51</v>
      </c>
      <c r="F12" s="51">
        <v>1.72E-2</v>
      </c>
      <c r="G12" s="33" cm="1">
        <f t="array" aca="1" ref="G12" ca="1">_FV(A12,"Market cap",TRUE)</f>
        <v>174537931775</v>
      </c>
      <c r="H12" s="31" cm="1">
        <f t="array" aca="1" ref="H12" ca="1">_FV(A12,"P/E",TRUE)</f>
        <v>16.3797</v>
      </c>
      <c r="I12" s="31" cm="1">
        <f t="array" aca="1" ref="I12" ca="1">_FV(A12,"Beta")</f>
        <v>1.1067</v>
      </c>
    </row>
    <row r="13" spans="1:10">
      <c r="A13" s="28" t="e" vm="9">
        <v>#VALUE!</v>
      </c>
      <c r="B13" s="28" t="str" cm="1">
        <f t="array" aca="1" ref="B13" ca="1">_FV(A13,"Name")</f>
        <v>COSTCO WHOLESALE CORPORATION</v>
      </c>
      <c r="C13" s="28" t="str" cm="1">
        <f t="array" aca="1" ref="C13" ca="1">_FV(A13,"Ticker symbol",TRUE)</f>
        <v>COST</v>
      </c>
      <c r="D13" s="28" t="s">
        <v>37</v>
      </c>
      <c r="E13" s="35" cm="1">
        <f t="array" aca="1" ref="E13" ca="1">_FV(A13,"Price")</f>
        <v>1005.83</v>
      </c>
      <c r="F13" s="51">
        <v>5.1999999999999998E-3</v>
      </c>
      <c r="G13" s="33" cm="1">
        <f t="array" aca="1" ref="G13" ca="1">_FV(A13,"Market cap",TRUE)</f>
        <v>446486830587</v>
      </c>
      <c r="H13" s="31" cm="1">
        <f t="array" aca="1" ref="H13" ca="1">_FV(A13,"P/E",TRUE)</f>
        <v>57.538800000000002</v>
      </c>
      <c r="I13" s="31" cm="1">
        <f t="array" aca="1" ref="I13" ca="1">_FV(A13,"Beta")</f>
        <v>0.8397</v>
      </c>
    </row>
    <row r="14" spans="1:10">
      <c r="A14" s="28" t="e" vm="10">
        <v>#VALUE!</v>
      </c>
      <c r="B14" s="28" t="str" cm="1">
        <f t="array" aca="1" ref="B14" ca="1">_FV(A14,"Name")</f>
        <v>CRH PUBLIC LIMITED COMPANY</v>
      </c>
      <c r="C14" s="28" t="str" cm="1">
        <f t="array" aca="1" ref="C14" ca="1">_FV(A14,"Ticker symbol",TRUE)</f>
        <v>CRH</v>
      </c>
      <c r="D14" s="28" t="s">
        <v>38</v>
      </c>
      <c r="E14" s="35" cm="1">
        <f t="array" aca="1" ref="E14" ca="1">_FV(A14,"Price")</f>
        <v>91.83</v>
      </c>
      <c r="F14" s="51">
        <v>2.63E-2</v>
      </c>
      <c r="G14" s="33" cm="1">
        <f t="array" aca="1" ref="G14" ca="1">_FV(A14,"Market cap",TRUE)</f>
        <v>63535150000</v>
      </c>
      <c r="H14" s="31" t="e" cm="1" vm="32">
        <f t="array" ref="H14">_FV(A14,"P/E",TRUE)</f>
        <v>#VALUE!</v>
      </c>
      <c r="I14" s="31">
        <v>1.38</v>
      </c>
    </row>
    <row r="15" spans="1:10">
      <c r="A15" s="28" t="e" vm="11">
        <v>#VALUE!</v>
      </c>
      <c r="B15" s="28" t="str" cm="1">
        <f t="array" aca="1" ref="B15" ca="1">_FV(A15,"Name")</f>
        <v>DOLLAR GENERAL CORPORATION</v>
      </c>
      <c r="C15" s="28" t="str" cm="1">
        <f t="array" aca="1" ref="C15" ca="1">_FV(A15,"Ticker symbol",TRUE)</f>
        <v>DG</v>
      </c>
      <c r="D15" s="28" t="s">
        <v>37</v>
      </c>
      <c r="E15" s="35" cm="1">
        <f t="array" aca="1" ref="E15" ca="1">_FV(A15,"Price")</f>
        <v>71.47</v>
      </c>
      <c r="F15" s="51">
        <v>1.8499999999999999E-2</v>
      </c>
      <c r="G15" s="33" cm="1">
        <f t="array" aca="1" ref="G15" ca="1">_FV(A15,"Market cap",TRUE)</f>
        <v>15718089779</v>
      </c>
      <c r="H15" s="31" cm="1">
        <f t="array" aca="1" ref="H15" ca="1">_FV(A15,"P/E",TRUE)</f>
        <v>11.770200000000001</v>
      </c>
      <c r="I15" s="31" cm="1">
        <f t="array" aca="1" ref="I15" ca="1">_FV(A15,"Beta")</f>
        <v>0.43240000000000001</v>
      </c>
    </row>
    <row r="16" spans="1:10">
      <c r="A16" s="28" t="e" vm="12">
        <v>#VALUE!</v>
      </c>
      <c r="B16" s="28" t="str" cm="1">
        <f t="array" aca="1" ref="B16" ca="1">_FV(A16,"Name")</f>
        <v>DANAHER CORPORATION</v>
      </c>
      <c r="C16" s="28" t="str" cm="1">
        <f t="array" aca="1" ref="C16" ca="1">_FV(A16,"Ticker symbol",TRUE)</f>
        <v>DHR</v>
      </c>
      <c r="D16" s="28" t="s">
        <v>33</v>
      </c>
      <c r="E16" s="35" cm="1">
        <f t="array" aca="1" ref="E16" ca="1">_FV(A16,"Price")</f>
        <v>214.2</v>
      </c>
      <c r="F16" s="51">
        <v>4.4999999999999997E-3</v>
      </c>
      <c r="G16" s="33" cm="1">
        <f t="array" aca="1" ref="G16" ca="1">_FV(A16,"Market cap",TRUE)</f>
        <v>154031220000</v>
      </c>
      <c r="H16" s="31" cm="1">
        <f t="array" aca="1" ref="H16" ca="1">_FV(A16,"P/E",TRUE)</f>
        <v>40.520600000000002</v>
      </c>
      <c r="I16" s="31" cm="1">
        <f t="array" aca="1" ref="I16" ca="1">_FV(A16,"Beta")</f>
        <v>0.83609999999999995</v>
      </c>
    </row>
    <row r="17" spans="1:9">
      <c r="A17" s="28" t="e" vm="13">
        <v>#VALUE!</v>
      </c>
      <c r="B17" s="28" t="str" cm="1">
        <f t="array" aca="1" ref="B17" ca="1">_FV(A17,"Name")</f>
        <v>THE WALT DISNEY COMPANY</v>
      </c>
      <c r="C17" s="28" t="str" cm="1">
        <f t="array" aca="1" ref="C17" ca="1">_FV(A17,"Ticker symbol",TRUE)</f>
        <v>DIS</v>
      </c>
      <c r="D17" s="28" t="s">
        <v>39</v>
      </c>
      <c r="E17" s="35" cm="1">
        <f t="array" aca="1" ref="E17" ca="1">_FV(A17,"Price")</f>
        <v>114.06</v>
      </c>
      <c r="F17" s="51">
        <v>9.2999999999999992E-3</v>
      </c>
      <c r="G17" s="33" cm="1">
        <f t="array" aca="1" ref="G17" ca="1">_FV(A17,"Market cap",TRUE)</f>
        <v>206272947600</v>
      </c>
      <c r="H17" s="31" cm="1">
        <f t="array" aca="1" ref="H17" ca="1">_FV(A17,"P/E",TRUE)</f>
        <v>41.989400000000003</v>
      </c>
      <c r="I17" s="31" cm="1">
        <f t="array" aca="1" ref="I17" ca="1">_FV(A17,"Beta")</f>
        <v>1.4273</v>
      </c>
    </row>
    <row r="18" spans="1:9">
      <c r="A18" s="28" t="e" vm="14">
        <v>#VALUE!</v>
      </c>
      <c r="B18" s="28" t="str" cm="1">
        <f t="array" aca="1" ref="B18" ca="1">_FV(A18,"Name")</f>
        <v>ALPHABET INC.</v>
      </c>
      <c r="C18" s="28" t="str" cm="1">
        <f t="array" aca="1" ref="C18" ca="1">_FV(A18,"Ticker symbol",TRUE)</f>
        <v>GOOG</v>
      </c>
      <c r="D18" s="28" t="s">
        <v>32</v>
      </c>
      <c r="E18" s="35" cm="1">
        <f t="array" aca="1" ref="E18" ca="1">_FV(A18,"Price")</f>
        <v>202.64</v>
      </c>
      <c r="F18" s="51">
        <v>4.1999999999999997E-3</v>
      </c>
      <c r="G18" s="33" cm="1">
        <f t="array" aca="1" ref="G18" ca="1">_FV(A18,"Market cap",TRUE)</f>
        <v>2506153000000</v>
      </c>
      <c r="H18" s="31" cm="1">
        <f t="array" aca="1" ref="H18" ca="1">_FV(A18,"P/E",TRUE)</f>
        <v>26.866800000000001</v>
      </c>
      <c r="I18" s="31" cm="1">
        <f t="array" aca="1" ref="I18" ca="1">_FV(A18,"Beta")</f>
        <v>0.99099999999999999</v>
      </c>
    </row>
    <row r="19" spans="1:9">
      <c r="A19" s="28" t="e" vm="15">
        <v>#VALUE!</v>
      </c>
      <c r="B19" s="28" t="str" cm="1">
        <f t="array" aca="1" ref="B19" ca="1">_FV(A19,"Name")</f>
        <v>THE HOME DEPOT, INC.</v>
      </c>
      <c r="C19" s="28" t="str" cm="1">
        <f t="array" aca="1" ref="C19" ca="1">_FV(A19,"Ticker symbol",TRUE)</f>
        <v>HD</v>
      </c>
      <c r="D19" s="28" t="s">
        <v>37</v>
      </c>
      <c r="E19" s="35" cm="1">
        <f t="array" aca="1" ref="E19" ca="1">_FV(A19,"Price")</f>
        <v>408.82</v>
      </c>
      <c r="F19" s="51">
        <v>2.6100000000000002E-2</v>
      </c>
      <c r="G19" s="33" cm="1">
        <f t="array" aca="1" ref="G19" ca="1">_FV(A19,"Market cap",TRUE)</f>
        <v>406106498132</v>
      </c>
      <c r="H19" s="31" cm="1">
        <f t="array" aca="1" ref="H19" ca="1">_FV(A19,"P/E",TRUE)</f>
        <v>27.770600000000002</v>
      </c>
      <c r="I19" s="31" cm="1">
        <f t="array" aca="1" ref="I19" ca="1">_FV(A19,"Beta")</f>
        <v>1.0584</v>
      </c>
    </row>
    <row r="20" spans="1:9">
      <c r="A20" s="28" t="e" vm="16">
        <v>#VALUE!</v>
      </c>
      <c r="B20" s="28" t="str" cm="1">
        <f t="array" aca="1" ref="B20" ca="1">_FV(A20,"Name")</f>
        <v>HONEYWELL INTERNATIONAL INCORPORATION</v>
      </c>
      <c r="C20" s="28" t="str" cm="1">
        <f t="array" aca="1" ref="C20" ca="1">_FV(A20,"Ticker symbol",TRUE)</f>
        <v>HON</v>
      </c>
      <c r="D20" s="28" t="s">
        <v>36</v>
      </c>
      <c r="E20" s="35" cm="1">
        <f t="array" aca="1" ref="E20" ca="1">_FV(A20,"Price")</f>
        <v>222.41</v>
      </c>
      <c r="F20" s="51">
        <v>2.01E-2</v>
      </c>
      <c r="G20" s="33" cm="1">
        <f t="array" aca="1" ref="G20" ca="1">_FV(A20,"Market cap",TRUE)</f>
        <v>144621524234</v>
      </c>
      <c r="H20" s="31" cm="1">
        <f t="array" aca="1" ref="H20" ca="1">_FV(A20,"P/E",TRUE)</f>
        <v>25.675999999999998</v>
      </c>
      <c r="I20" s="31" cm="1">
        <f t="array" aca="1" ref="I20" ca="1">_FV(A20,"Beta")</f>
        <v>1.0452999999999999</v>
      </c>
    </row>
    <row r="21" spans="1:9">
      <c r="A21" s="28" t="e" vm="17">
        <v>#VALUE!</v>
      </c>
      <c r="B21" s="28" t="str" cm="1">
        <f t="array" aca="1" ref="B21" ca="1">_FV(A21,"Name")</f>
        <v>JOHNSON &amp; JOHNSON</v>
      </c>
      <c r="C21" s="28" t="str" cm="1">
        <f t="array" aca="1" ref="C21" ca="1">_FV(A21,"Ticker symbol",TRUE)</f>
        <v>JNJ</v>
      </c>
      <c r="D21" s="28" t="s">
        <v>33</v>
      </c>
      <c r="E21" s="35" cm="1">
        <f t="array" aca="1" ref="E21" ca="1">_FV(A21,"Price")</f>
        <v>151.87</v>
      </c>
      <c r="F21" s="51">
        <v>3.32E-2</v>
      </c>
      <c r="G21" s="33" cm="1">
        <f t="array" aca="1" ref="G21" ca="1">_FV(A21,"Market cap",TRUE)</f>
        <v>365645705010</v>
      </c>
      <c r="H21" s="31" cm="1">
        <f t="array" aca="1" ref="H21" ca="1">_FV(A21,"P/E",TRUE)</f>
        <v>26.196200000000001</v>
      </c>
      <c r="I21" s="31" cm="1">
        <f t="array" aca="1" ref="I21" ca="1">_FV(A21,"Beta")</f>
        <v>0.5111</v>
      </c>
    </row>
    <row r="22" spans="1:9">
      <c r="A22" s="28" t="e" vm="18">
        <v>#VALUE!</v>
      </c>
      <c r="B22" s="28" t="str" cm="1">
        <f t="array" aca="1" ref="B22" ca="1">_FV(A22,"Name")</f>
        <v>LOCKHEED MARTIN CORPORATION</v>
      </c>
      <c r="C22" s="28" t="str" cm="1">
        <f t="array" aca="1" ref="C22" ca="1">_FV(A22,"Ticker symbol",TRUE)</f>
        <v>LMT</v>
      </c>
      <c r="D22" s="28" t="s">
        <v>36</v>
      </c>
      <c r="E22" s="35" cm="1">
        <f t="array" aca="1" ref="E22" ca="1">_FV(A22,"Price")</f>
        <v>455.4</v>
      </c>
      <c r="F22" s="51">
        <v>2.7300000000000001E-2</v>
      </c>
      <c r="G22" s="33" cm="1">
        <f t="array" aca="1" ref="G22" ca="1">_FV(A22,"Market cap",TRUE)</f>
        <v>107194738860</v>
      </c>
      <c r="H22" s="31" cm="1">
        <f t="array" aca="1" ref="H22" ca="1">_FV(A22,"P/E",TRUE)</f>
        <v>20.450199999999999</v>
      </c>
      <c r="I22" s="31" cm="1">
        <f t="array" aca="1" ref="I22" ca="1">_FV(A22,"Beta")</f>
        <v>0.48230000000000001</v>
      </c>
    </row>
    <row r="23" spans="1:9">
      <c r="A23" s="28" t="e" vm="19">
        <v>#VALUE!</v>
      </c>
      <c r="B23" s="28" t="str" cm="1">
        <f t="array" aca="1" ref="B23" ca="1">_FV(A23,"Name")</f>
        <v>MASTERCARD INCORPORATED.</v>
      </c>
      <c r="C23" s="28" t="str" cm="1">
        <f t="array" aca="1" ref="C23" ca="1">_FV(A23,"Ticker symbol",TRUE)</f>
        <v>MA</v>
      </c>
      <c r="D23" s="28" t="s">
        <v>35</v>
      </c>
      <c r="E23" s="35" cm="1">
        <f t="array" aca="1" ref="E23" ca="1">_FV(A23,"Price")</f>
        <v>564.34100000000001</v>
      </c>
      <c r="F23" s="51">
        <v>6.1000000000000004E-3</v>
      </c>
      <c r="G23" s="33" cm="1">
        <f t="array" aca="1" ref="G23" ca="1">_FV(A23,"Market cap",TRUE)</f>
        <v>515807674000</v>
      </c>
      <c r="H23" s="31" cm="1">
        <f t="array" aca="1" ref="H23" ca="1">_FV(A23,"P/E",TRUE)</f>
        <v>40.626100000000001</v>
      </c>
      <c r="I23" s="31" cm="1">
        <f t="array" aca="1" ref="I23" ca="1">_FV(A23,"Beta")</f>
        <v>1.1032</v>
      </c>
    </row>
    <row r="24" spans="1:9">
      <c r="A24" s="28" t="e" vm="20">
        <v>#VALUE!</v>
      </c>
      <c r="B24" s="28" t="str" cm="1">
        <f t="array" aca="1" ref="B24" ca="1">_FV(A24,"Name")</f>
        <v>MICROSOFT CORPORATION</v>
      </c>
      <c r="C24" s="28" t="str" cm="1">
        <f t="array" aca="1" ref="C24" ca="1">_FV(A24,"Ticker symbol",TRUE)</f>
        <v>MSFT</v>
      </c>
      <c r="D24" s="28" t="s">
        <v>32</v>
      </c>
      <c r="E24" s="35" cm="1">
        <f t="array" aca="1" ref="E24" ca="1">_FV(A24,"Price")</f>
        <v>410.92</v>
      </c>
      <c r="F24" s="51">
        <v>6.4000000000000003E-3</v>
      </c>
      <c r="G24" s="33" cm="1">
        <f t="array" aca="1" ref="G24" ca="1">_FV(A24,"Market cap",TRUE)</f>
        <v>3054771883440</v>
      </c>
      <c r="H24" s="31" cm="1">
        <f t="array" aca="1" ref="H24" ca="1">_FV(A24,"P/E",TRUE)</f>
        <v>33.100299999999997</v>
      </c>
      <c r="I24" s="31" cm="1">
        <f t="array" aca="1" ref="I24" ca="1">_FV(A24,"Beta")</f>
        <v>0.89470000000000005</v>
      </c>
    </row>
    <row r="25" spans="1:9">
      <c r="A25" s="28" t="e" vm="21">
        <v>#VALUE!</v>
      </c>
      <c r="B25" s="28" t="str" cm="1">
        <f t="array" aca="1" ref="B25" ca="1">_FV(A25,"Name")</f>
        <v>NEXTERA ENERGY, INC.</v>
      </c>
      <c r="C25" s="28" t="str" cm="1">
        <f t="array" aca="1" ref="C25" ca="1">_FV(A25,"Ticker symbol",TRUE)</f>
        <v>NEE</v>
      </c>
      <c r="D25" s="28" t="s">
        <v>40</v>
      </c>
      <c r="E25" s="35" cm="1">
        <f t="array" aca="1" ref="E25" ca="1">_FV(A25,"Price")</f>
        <v>71.069999999999993</v>
      </c>
      <c r="F25" s="51">
        <v>2.8299999999999999E-2</v>
      </c>
      <c r="G25" s="33" cm="1">
        <f t="array" aca="1" ref="G25" ca="1">_FV(A25,"Market cap",TRUE)</f>
        <v>146148703350</v>
      </c>
      <c r="H25" s="31" cm="1">
        <f t="array" aca="1" ref="H25" ca="1">_FV(A25,"P/E",TRUE)</f>
        <v>21.0671</v>
      </c>
      <c r="I25" s="31" cm="1">
        <f t="array" aca="1" ref="I25" ca="1">_FV(A25,"Beta")</f>
        <v>0.57679999999999998</v>
      </c>
    </row>
    <row r="26" spans="1:9">
      <c r="A26" s="28" t="e" vm="22">
        <v>#VALUE!</v>
      </c>
      <c r="B26" s="28" t="str" cm="1">
        <f t="array" aca="1" ref="B26" ca="1">_FV(A26,"Name")</f>
        <v>NIKE, INC.</v>
      </c>
      <c r="C26" s="28" t="str" cm="1">
        <f t="array" aca="1" ref="C26" ca="1">_FV(A26,"Ticker symbol",TRUE)</f>
        <v>NKE</v>
      </c>
      <c r="D26" s="28" t="s">
        <v>34</v>
      </c>
      <c r="E26" s="35" cm="1">
        <f t="array" aca="1" ref="E26" ca="1">_FV(A26,"Price")</f>
        <v>74.31</v>
      </c>
      <c r="F26" s="51">
        <v>2.0400000000000001E-2</v>
      </c>
      <c r="G26" s="33" cm="1">
        <f t="array" aca="1" ref="G26" ca="1">_FV(A26,"Market cap",TRUE)</f>
        <v>113744900000</v>
      </c>
      <c r="H26" s="31" cm="1">
        <f t="array" aca="1" ref="H26" ca="1">_FV(A26,"P/E",TRUE)</f>
        <v>24.53</v>
      </c>
      <c r="I26" s="31" cm="1">
        <f t="array" aca="1" ref="I26" ca="1">_FV(A26,"Beta")</f>
        <v>1.0152000000000001</v>
      </c>
    </row>
    <row r="27" spans="1:9">
      <c r="A27" s="28" t="e" vm="23">
        <v>#VALUE!</v>
      </c>
      <c r="B27" s="28" t="str" cm="1">
        <f t="array" aca="1" ref="B27" ca="1">_FV(A27,"Name")</f>
        <v>ON SEMICONDUCTOR CORPORATION</v>
      </c>
      <c r="C27" s="28" t="str" cm="1">
        <f t="array" aca="1" ref="C27" ca="1">_FV(A27,"Ticker symbol",TRUE)</f>
        <v>ON</v>
      </c>
      <c r="D27" s="28" t="s">
        <v>32</v>
      </c>
      <c r="E27" s="35" cm="1">
        <f t="array" aca="1" ref="E27" ca="1">_FV(A27,"Price")</f>
        <v>50.26</v>
      </c>
      <c r="F27" s="51">
        <v>0</v>
      </c>
      <c r="G27" s="33" cm="1">
        <f t="array" aca="1" ref="G27" ca="1">_FV(A27,"Market cap",TRUE)</f>
        <v>21400582350</v>
      </c>
      <c r="H27" s="31" cm="1">
        <f t="array" aca="1" ref="H27" ca="1">_FV(A27,"P/E",TRUE)</f>
        <v>12.4712</v>
      </c>
      <c r="I27" s="31" cm="1">
        <f t="array" aca="1" ref="I27" ca="1">_FV(A27,"Beta")</f>
        <v>1.6129</v>
      </c>
    </row>
    <row r="28" spans="1:9">
      <c r="A28" s="28" t="e" vm="24">
        <v>#VALUE!</v>
      </c>
      <c r="B28" s="28" t="str" cm="1">
        <f t="array" aca="1" ref="B28" ca="1">_FV(A28,"Name")</f>
        <v>SNOWFLAKE INC.</v>
      </c>
      <c r="C28" s="28" t="str" cm="1">
        <f t="array" aca="1" ref="C28" ca="1">_FV(A28,"Ticker symbol",TRUE)</f>
        <v>SNOW</v>
      </c>
      <c r="D28" s="28" t="s">
        <v>32</v>
      </c>
      <c r="E28" s="35" cm="1">
        <f t="array" aca="1" ref="E28" ca="1">_FV(A28,"Price")</f>
        <v>182.61</v>
      </c>
      <c r="F28" s="51">
        <v>0</v>
      </c>
      <c r="G28" s="33" cm="1">
        <f t="array" aca="1" ref="G28" ca="1">_FV(A28,"Market cap",TRUE)</f>
        <v>60279561000</v>
      </c>
      <c r="H28" s="28">
        <v>0</v>
      </c>
      <c r="I28" s="31" cm="1">
        <f t="array" aca="1" ref="I28" ca="1">_FV(A28,"Beta")</f>
        <v>1.0732999999999999</v>
      </c>
    </row>
    <row r="29" spans="1:9">
      <c r="A29" s="36" t="e" vm="25">
        <v>#VALUE!</v>
      </c>
      <c r="B29" s="36" t="str" cm="1">
        <f t="array" aca="1" ref="B29" ca="1">_FV(A29,"Name")</f>
        <v>SPDR S&amp;P 500</v>
      </c>
      <c r="C29" s="36" t="str" cm="1">
        <f t="array" aca="1" ref="C29" ca="1">_FV(A29,"Ticker symbol",TRUE)</f>
        <v>SPY</v>
      </c>
      <c r="D29" s="36" t="s">
        <v>41</v>
      </c>
      <c r="E29" s="37" cm="1">
        <f t="array" aca="1" ref="E29" ca="1">_FV(A29,"Price")</f>
        <v>597.71</v>
      </c>
      <c r="F29" s="53">
        <v>1.26E-2</v>
      </c>
      <c r="G29" s="38" cm="1">
        <f t="array" aca="1" ref="G29" ca="1">_FV(A29,"Market cap",TRUE)</f>
        <v>627680565767.93005</v>
      </c>
      <c r="H29" s="36">
        <v>0</v>
      </c>
      <c r="I29" s="39" cm="1">
        <f t="array" aca="1" ref="I29" ca="1">_FV(A29,"Beta")</f>
        <v>0.99819999999999998</v>
      </c>
    </row>
    <row r="30" spans="1:9">
      <c r="A30" s="28" t="e" vm="26">
        <v>#VALUE!</v>
      </c>
      <c r="B30" s="28" t="str" cm="1">
        <f t="array" aca="1" ref="B30" ca="1">_FV(A30,"Name")</f>
        <v>Stellantis NV</v>
      </c>
      <c r="C30" s="28" t="str" cm="1">
        <f t="array" aca="1" ref="C30" ca="1">_FV(A30,"Ticker symbol",TRUE)</f>
        <v>STLA</v>
      </c>
      <c r="D30" s="28" t="s">
        <v>34</v>
      </c>
      <c r="E30" s="35" cm="1">
        <f t="array" aca="1" ref="E30" ca="1">_FV(A30,"Price")</f>
        <v>12.625</v>
      </c>
      <c r="F30" s="51">
        <v>8.2699999999999996E-2</v>
      </c>
      <c r="G30" s="40" cm="1">
        <f t="array" aca="1" ref="G30" ca="1">_FV(A30,"Market cap",TRUE)</f>
        <v>37538910000</v>
      </c>
      <c r="H30" s="31" cm="1">
        <f t="array" aca="1" ref="H30" ca="1">_FV(A30,"P/E",TRUE)</f>
        <v>2.6734</v>
      </c>
      <c r="I30" s="31" cm="1">
        <f t="array" aca="1" ref="I30" ca="1">_FV(A30,"Beta")</f>
        <v>1.4999</v>
      </c>
    </row>
    <row r="31" spans="1:9">
      <c r="A31" s="28" t="e" vm="27">
        <v>#VALUE!</v>
      </c>
      <c r="B31" s="28" t="str" cm="1">
        <f t="array" aca="1" ref="B31" ca="1">_FV(A31,"Name")</f>
        <v>TAKE-TWO INTERACTIVE SOFTWARE, INC.</v>
      </c>
      <c r="C31" s="28" t="str" cm="1">
        <f t="array" aca="1" ref="C31" ca="1">_FV(A31,"Ticker symbol",TRUE)</f>
        <v>TTWO</v>
      </c>
      <c r="D31" s="28" t="s">
        <v>42</v>
      </c>
      <c r="E31" s="35" cm="1">
        <f t="array" aca="1" ref="E31" ca="1">_FV(A31,"Price")</f>
        <v>186.07</v>
      </c>
      <c r="F31" s="51">
        <v>0</v>
      </c>
      <c r="G31" s="33" cm="1">
        <f t="array" aca="1" ref="G31" ca="1">_FV(A31,"Market cap",TRUE)</f>
        <v>32678990318</v>
      </c>
      <c r="H31" s="31" cm="1">
        <f t="array" aca="1" ref="H31" ca="1">_FV(A31,"P/E",TRUE)</f>
        <v>0</v>
      </c>
      <c r="I31" s="31" cm="1">
        <f t="array" aca="1" ref="I31" ca="1">_FV(A31,"Beta")</f>
        <v>0.88739999999999997</v>
      </c>
    </row>
    <row r="32" spans="1:9">
      <c r="A32" s="28" t="e" vm="28">
        <v>#VALUE!</v>
      </c>
      <c r="B32" s="28" t="str" cm="1">
        <f t="array" aca="1" ref="B32" ca="1">_FV(A32,"Name")</f>
        <v>VERALTO CORPORATION</v>
      </c>
      <c r="C32" s="28" t="str" cm="1">
        <f t="array" aca="1" ref="C32" ca="1">_FV(A32,"Ticker symbol",TRUE)</f>
        <v>VLTO</v>
      </c>
      <c r="D32" s="28" t="s">
        <v>33</v>
      </c>
      <c r="E32" s="35" cm="1">
        <f t="array" aca="1" ref="E32" ca="1">_FV(A32,"Price")</f>
        <v>101.17</v>
      </c>
      <c r="F32" s="51">
        <v>3.8E-3</v>
      </c>
      <c r="G32" s="33" cm="1">
        <f t="array" aca="1" ref="G32" ca="1">_FV(A32,"Market cap",TRUE)</f>
        <v>25020130126</v>
      </c>
      <c r="H32" s="31" cm="1">
        <f t="array" aca="1" ref="H32" ca="1">_FV(A32,"P/E",TRUE)</f>
        <v>31.220500000000001</v>
      </c>
      <c r="I32" s="31" cm="1">
        <f t="array" aca="1" ref="I32" ca="1">_FV(A32,"Beta")</f>
        <v>0.77900000000000003</v>
      </c>
    </row>
    <row r="33" spans="1:9">
      <c r="A33" s="28" t="e" vm="29">
        <v>#VALUE!</v>
      </c>
      <c r="B33" s="28" t="str" cm="1">
        <f t="array" aca="1" ref="B33" ca="1">_FV(A33,"Name")</f>
        <v>WALMART INC.</v>
      </c>
      <c r="C33" s="28" t="str" cm="1">
        <f t="array" aca="1" ref="C33" ca="1">_FV(A33,"Ticker symbol",TRUE)</f>
        <v>WMT</v>
      </c>
      <c r="D33" s="28" t="s">
        <v>37</v>
      </c>
      <c r="E33" s="35" cm="1">
        <f t="array" aca="1" ref="E33" ca="1">_FV(A33,"Price")</f>
        <v>99.54</v>
      </c>
      <c r="F33" s="51">
        <v>1.18E-2</v>
      </c>
      <c r="G33" s="33" cm="1">
        <f t="array" aca="1" ref="G33" ca="1">_FV(A33,"Market cap",TRUE)</f>
        <v>799643242440</v>
      </c>
      <c r="H33" s="31" cm="1">
        <f t="array" aca="1" ref="H33" ca="1">_FV(A33,"P/E",TRUE)</f>
        <v>50.2575</v>
      </c>
      <c r="I33" s="31" cm="1">
        <f t="array" aca="1" ref="I33" ca="1">_FV(A33,"Beta")</f>
        <v>0.55210000000000004</v>
      </c>
    </row>
    <row r="34" spans="1:9">
      <c r="A34" s="28" t="e" vm="30">
        <v>#VALUE!</v>
      </c>
      <c r="B34" s="28" t="str" cm="1">
        <f t="array" aca="1" ref="B34" ca="1">_FV(A34,"Name")</f>
        <v>Weave Communications, Inc.</v>
      </c>
      <c r="C34" s="28" t="str" cm="1">
        <f t="array" aca="1" ref="C34" ca="1">_FV(A34,"Ticker symbol",TRUE)</f>
        <v>WEAV</v>
      </c>
      <c r="D34" s="28" t="s">
        <v>39</v>
      </c>
      <c r="E34" s="35" cm="1">
        <f t="array" aca="1" ref="E34" ca="1">_FV(A34,"Price")</f>
        <v>16.364999999999998</v>
      </c>
      <c r="F34" s="51">
        <v>0</v>
      </c>
      <c r="G34" s="33" cm="1">
        <f t="array" aca="1" ref="G34" ca="1">_FV(A34,"Market cap",TRUE)</f>
        <v>1187624000</v>
      </c>
      <c r="H34" s="28">
        <v>0</v>
      </c>
      <c r="I34" s="31" cm="1">
        <f t="array" aca="1" ref="I34" ca="1">_FV(A34,"Beta")</f>
        <v>1.631</v>
      </c>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79" spans="2:2">
      <c r="B79" s="1"/>
    </row>
    <row r="80" spans="2:2">
      <c r="B80" s="1"/>
    </row>
    <row r="81" spans="2:2">
      <c r="B81" s="1"/>
    </row>
    <row r="82" spans="2:2">
      <c r="B82" s="1"/>
    </row>
    <row r="83" spans="2:2">
      <c r="B83" s="1"/>
    </row>
    <row r="84" spans="2:2">
      <c r="B84" s="1"/>
    </row>
    <row r="85" spans="2:2">
      <c r="B85" s="1"/>
    </row>
    <row r="86" spans="2:2">
      <c r="B86" s="1"/>
    </row>
    <row r="87" spans="2:2">
      <c r="B87" s="1"/>
    </row>
    <row r="88" spans="2:2">
      <c r="B88" s="1"/>
    </row>
    <row r="89" spans="2:2">
      <c r="B89" s="3"/>
    </row>
    <row r="90" spans="2:2">
      <c r="B90" s="1"/>
    </row>
    <row r="91" spans="2:2">
      <c r="B91" s="1"/>
    </row>
    <row r="92" spans="2:2">
      <c r="B92" s="1"/>
    </row>
    <row r="93" spans="2:2">
      <c r="B93" s="1"/>
    </row>
    <row r="94" spans="2:2">
      <c r="B94" s="1"/>
    </row>
  </sheetData>
  <mergeCells count="4">
    <mergeCell ref="A1:B3"/>
    <mergeCell ref="C1:C2"/>
    <mergeCell ref="D1:D2"/>
    <mergeCell ref="E1:E2"/>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79EB7-9A9A-4299-AD4F-615C5BF7679C}">
  <dimension ref="A1:N36"/>
  <sheetViews>
    <sheetView workbookViewId="0">
      <selection activeCell="H15" sqref="H15"/>
    </sheetView>
  </sheetViews>
  <sheetFormatPr defaultColWidth="8.83203125" defaultRowHeight="16"/>
  <cols>
    <col min="1" max="1" width="13" bestFit="1" customWidth="1"/>
    <col min="2" max="2" width="15.58203125" customWidth="1"/>
    <col min="3" max="3" width="9.83203125" customWidth="1"/>
    <col min="5" max="5" width="10.58203125" customWidth="1"/>
    <col min="12" max="12" width="21.5" customWidth="1"/>
    <col min="14" max="14" width="9.83203125" bestFit="1" customWidth="1"/>
  </cols>
  <sheetData>
    <row r="1" spans="1:14">
      <c r="B1" t="s">
        <v>43</v>
      </c>
      <c r="C1" t="s">
        <v>19</v>
      </c>
      <c r="D1" t="s">
        <v>44</v>
      </c>
      <c r="E1" t="s">
        <v>45</v>
      </c>
      <c r="F1" t="s">
        <v>46</v>
      </c>
      <c r="M1" t="s">
        <v>47</v>
      </c>
      <c r="N1" t="s">
        <v>48</v>
      </c>
    </row>
    <row r="2" spans="1:14">
      <c r="A2" t="s">
        <v>49</v>
      </c>
      <c r="B2" s="56">
        <v>15787.46</v>
      </c>
      <c r="C2" s="59">
        <f>B2/$B$27</f>
        <v>1.7927448807706657E-2</v>
      </c>
      <c r="D2" s="60">
        <v>1.2444</v>
      </c>
      <c r="E2" s="60">
        <v>33.512900000000002</v>
      </c>
      <c r="F2" s="59">
        <v>4.3E-3</v>
      </c>
      <c r="L2" t="s">
        <v>50</v>
      </c>
      <c r="M2" s="61">
        <v>2.3E-2</v>
      </c>
      <c r="N2" s="59">
        <f>(M2*$C$20)+C15</f>
        <v>3.5166954203044949E-2</v>
      </c>
    </row>
    <row r="3" spans="1:14">
      <c r="A3" t="s">
        <v>51</v>
      </c>
      <c r="B3" s="56">
        <v>28636.799999999999</v>
      </c>
      <c r="C3" s="59">
        <f t="shared" ref="C3:C25" si="0">B3/$B$27</f>
        <v>3.2518515709083921E-2</v>
      </c>
      <c r="D3" s="60">
        <v>1.2874000000000001</v>
      </c>
      <c r="E3" s="60">
        <v>50.705399999999997</v>
      </c>
      <c r="F3" s="59">
        <v>0</v>
      </c>
      <c r="L3" t="s">
        <v>52</v>
      </c>
      <c r="M3" s="61">
        <v>0.13</v>
      </c>
      <c r="N3" s="59">
        <f>(M3*$C$20)+C6+C9+C12+C14+C19+C25</f>
        <v>0.18613085191452577</v>
      </c>
    </row>
    <row r="4" spans="1:14">
      <c r="A4" t="s">
        <v>53</v>
      </c>
      <c r="B4" s="56">
        <v>34479.56</v>
      </c>
      <c r="C4" s="59">
        <f t="shared" si="0"/>
        <v>3.9153261310701667E-2</v>
      </c>
      <c r="D4" s="60">
        <v>0.79400000000000004</v>
      </c>
      <c r="E4" s="60">
        <v>30.680199999999999</v>
      </c>
      <c r="F4" s="59">
        <v>2.3900000000000001E-2</v>
      </c>
      <c r="L4" t="s">
        <v>54</v>
      </c>
      <c r="M4" s="61">
        <v>0.13</v>
      </c>
      <c r="N4" s="59">
        <f>(M4*$C$20)+C17+C5+C7</f>
        <v>0.14130010222220304</v>
      </c>
    </row>
    <row r="5" spans="1:14">
      <c r="A5" t="s">
        <v>55</v>
      </c>
      <c r="B5" s="56">
        <v>4199.3999999999996</v>
      </c>
      <c r="C5" s="59">
        <f t="shared" si="0"/>
        <v>4.7686282988576587E-3</v>
      </c>
      <c r="D5" s="60">
        <v>0.4803</v>
      </c>
      <c r="E5" s="60">
        <v>16.808499999999999</v>
      </c>
      <c r="F5" s="59">
        <v>2.3E-2</v>
      </c>
      <c r="L5" t="s">
        <v>56</v>
      </c>
      <c r="M5" s="61">
        <v>2.3E-2</v>
      </c>
      <c r="N5" s="59">
        <f t="shared" ref="N5:N12" si="1">(M5*$C$20)</f>
        <v>8.0194305989367155E-3</v>
      </c>
    </row>
    <row r="6" spans="1:14">
      <c r="A6" t="s">
        <v>57</v>
      </c>
      <c r="B6" s="56">
        <v>30388</v>
      </c>
      <c r="C6" s="59">
        <f t="shared" si="0"/>
        <v>3.4507090714313127E-2</v>
      </c>
      <c r="D6" s="60">
        <v>1.1373</v>
      </c>
      <c r="E6" s="60">
        <v>42.694899999999997</v>
      </c>
      <c r="F6" s="59">
        <v>0</v>
      </c>
      <c r="L6" t="s">
        <v>39</v>
      </c>
      <c r="M6" s="61">
        <v>8.8999999999999996E-2</v>
      </c>
      <c r="N6" s="59">
        <f t="shared" si="1"/>
        <v>3.1031709708929028E-2</v>
      </c>
    </row>
    <row r="7" spans="1:14">
      <c r="A7" t="s">
        <v>58</v>
      </c>
      <c r="B7" s="56">
        <v>38519.279999999999</v>
      </c>
      <c r="C7" s="59">
        <f t="shared" si="0"/>
        <v>4.374056499967182E-2</v>
      </c>
      <c r="D7" s="60">
        <v>0.87649999999999995</v>
      </c>
      <c r="E7" s="60">
        <v>10.46</v>
      </c>
      <c r="F7" s="59">
        <v>0</v>
      </c>
      <c r="L7" t="s">
        <v>59</v>
      </c>
      <c r="M7" s="61">
        <v>3.6999999999999998E-2</v>
      </c>
      <c r="N7" s="59">
        <f t="shared" si="1"/>
        <v>1.2900823137419934E-2</v>
      </c>
    </row>
    <row r="8" spans="1:14">
      <c r="A8" t="s">
        <v>60</v>
      </c>
      <c r="B8" s="56">
        <v>29271.33</v>
      </c>
      <c r="C8" s="59">
        <f t="shared" si="0"/>
        <v>3.3239056194504256E-2</v>
      </c>
      <c r="D8" s="60">
        <v>1.0987</v>
      </c>
      <c r="E8" s="60">
        <v>15.2235</v>
      </c>
      <c r="F8" s="59">
        <v>1.72E-2</v>
      </c>
      <c r="L8" t="s">
        <v>61</v>
      </c>
      <c r="M8" s="61">
        <v>8.6999999999999994E-2</v>
      </c>
      <c r="N8" s="59">
        <f>(M8*$C$20)+C16+C21+C8</f>
        <v>0.10961216044502656</v>
      </c>
    </row>
    <row r="9" spans="1:14">
      <c r="A9" t="s">
        <v>62</v>
      </c>
      <c r="B9" s="56">
        <v>54126.559999999998</v>
      </c>
      <c r="C9" s="59">
        <f t="shared" si="0"/>
        <v>6.1463410424302756E-2</v>
      </c>
      <c r="D9" s="60">
        <v>0.79469999999999996</v>
      </c>
      <c r="E9" s="60">
        <v>55.430199999999999</v>
      </c>
      <c r="F9" s="59">
        <v>5.1999999999999998E-3</v>
      </c>
      <c r="L9" t="s">
        <v>63</v>
      </c>
      <c r="M9" s="61">
        <v>0.27800000000000002</v>
      </c>
      <c r="N9" s="59">
        <f>(M9*$C$20)+C4+C3+C2+C13+C18+C24</f>
        <v>0.30350554736571722</v>
      </c>
    </row>
    <row r="10" spans="1:14">
      <c r="A10" t="s">
        <v>64</v>
      </c>
      <c r="B10" s="56">
        <v>17401.599999999999</v>
      </c>
      <c r="C10" s="59">
        <f t="shared" si="0"/>
        <v>1.9760385342049207E-2</v>
      </c>
      <c r="D10" s="60">
        <v>0.44429999999999997</v>
      </c>
      <c r="E10" s="60">
        <v>12.5367</v>
      </c>
      <c r="F10" s="59">
        <v>1.8499999999999999E-2</v>
      </c>
      <c r="L10" t="s">
        <v>65</v>
      </c>
      <c r="M10" s="61">
        <v>0.06</v>
      </c>
      <c r="N10" s="59">
        <f>(M10*$C$20)+C23+C10</f>
        <v>7.3989611080968562E-2</v>
      </c>
    </row>
    <row r="11" spans="1:14">
      <c r="A11" t="s">
        <v>66</v>
      </c>
      <c r="B11" s="56">
        <v>38171.1</v>
      </c>
      <c r="C11" s="59">
        <f t="shared" si="0"/>
        <v>4.3345189231443919E-2</v>
      </c>
      <c r="D11" s="60">
        <v>0.83089999999999997</v>
      </c>
      <c r="E11" s="60">
        <v>48.285699999999999</v>
      </c>
      <c r="F11" s="59">
        <v>4.4999999999999997E-3</v>
      </c>
      <c r="L11" t="s">
        <v>33</v>
      </c>
      <c r="M11" s="61">
        <v>0.125</v>
      </c>
      <c r="N11" s="59">
        <f>(M11*$C$20)+C22+C11</f>
        <v>9.2066733202321144E-2</v>
      </c>
    </row>
    <row r="12" spans="1:14">
      <c r="A12" t="s">
        <v>67</v>
      </c>
      <c r="B12" s="56">
        <v>1805.8</v>
      </c>
      <c r="C12" s="59">
        <f t="shared" si="0"/>
        <v>2.0505760304036671E-3</v>
      </c>
      <c r="D12" s="60">
        <v>1.3897999999999999</v>
      </c>
      <c r="E12" s="60">
        <v>33.901400000000002</v>
      </c>
      <c r="F12" s="59">
        <v>9.2999999999999992E-3</v>
      </c>
      <c r="L12" t="s">
        <v>40</v>
      </c>
      <c r="M12" s="61">
        <v>2.1000000000000001E-2</v>
      </c>
      <c r="N12" s="59">
        <f t="shared" si="1"/>
        <v>7.322088807724828E-3</v>
      </c>
    </row>
    <row r="13" spans="1:14">
      <c r="A13" t="s">
        <v>68</v>
      </c>
      <c r="B13" s="56">
        <v>42279</v>
      </c>
      <c r="C13" s="59">
        <f t="shared" si="0"/>
        <v>4.8009914713388335E-2</v>
      </c>
      <c r="D13" s="60">
        <v>1.0556000000000001</v>
      </c>
      <c r="E13" s="60">
        <v>21.514800000000001</v>
      </c>
      <c r="F13" s="59">
        <v>4.1999999999999997E-3</v>
      </c>
      <c r="M13" s="55"/>
      <c r="N13" s="55"/>
    </row>
    <row r="14" spans="1:14">
      <c r="A14" t="s">
        <v>69</v>
      </c>
      <c r="B14" s="56">
        <v>24258.5</v>
      </c>
      <c r="C14" s="59">
        <f t="shared" si="0"/>
        <v>2.7546737531037414E-2</v>
      </c>
      <c r="D14" s="60">
        <v>0.995</v>
      </c>
      <c r="E14" s="60">
        <v>24.955300000000001</v>
      </c>
      <c r="F14" s="59">
        <v>2.6100000000000002E-2</v>
      </c>
    </row>
    <row r="15" spans="1:14">
      <c r="A15" t="s">
        <v>70</v>
      </c>
      <c r="B15" s="56">
        <v>23906.94</v>
      </c>
      <c r="C15" s="59">
        <f t="shared" si="0"/>
        <v>2.7147523604108232E-2</v>
      </c>
      <c r="D15" s="60">
        <v>1.0275000000000001</v>
      </c>
      <c r="E15" s="60">
        <v>22.9208</v>
      </c>
      <c r="F15" s="59">
        <v>2.01E-2</v>
      </c>
    </row>
    <row r="16" spans="1:14">
      <c r="A16" t="s">
        <v>71</v>
      </c>
      <c r="B16" s="56">
        <v>17223.12</v>
      </c>
      <c r="C16" s="59">
        <f t="shared" si="0"/>
        <v>1.9557712393823243E-2</v>
      </c>
      <c r="D16" s="60">
        <v>0.46479999999999999</v>
      </c>
      <c r="E16" s="60">
        <v>20.7502</v>
      </c>
      <c r="F16" s="59">
        <v>2.7300000000000001E-2</v>
      </c>
    </row>
    <row r="17" spans="1:6">
      <c r="A17" t="s">
        <v>72</v>
      </c>
      <c r="B17" s="56">
        <v>41797.980000000003</v>
      </c>
      <c r="C17" s="59">
        <f t="shared" si="0"/>
        <v>4.746369249490081E-2</v>
      </c>
      <c r="D17" s="60">
        <v>1.0932999999999999</v>
      </c>
      <c r="E17" s="60">
        <v>37.271900000000002</v>
      </c>
      <c r="F17" s="59">
        <v>6.1000000000000004E-3</v>
      </c>
    </row>
    <row r="18" spans="1:6">
      <c r="A18" t="s">
        <v>73</v>
      </c>
      <c r="B18" s="56">
        <v>45876.88</v>
      </c>
      <c r="C18" s="59">
        <f t="shared" si="0"/>
        <v>5.2095487029408236E-2</v>
      </c>
      <c r="D18" s="60">
        <v>0.89390000000000003</v>
      </c>
      <c r="E18" s="60">
        <v>35.1021</v>
      </c>
      <c r="F18" s="59">
        <v>6.4000000000000003E-3</v>
      </c>
    </row>
    <row r="19" spans="1:6">
      <c r="A19" t="s">
        <v>74</v>
      </c>
      <c r="B19" s="56">
        <v>9662.73</v>
      </c>
      <c r="C19" s="59">
        <f t="shared" si="0"/>
        <v>1.0972512197509374E-2</v>
      </c>
      <c r="D19" s="60">
        <v>1.02</v>
      </c>
      <c r="E19" s="60">
        <v>21.32</v>
      </c>
      <c r="F19" s="59">
        <v>2.0400000000000001E-2</v>
      </c>
    </row>
    <row r="20" spans="1:6">
      <c r="A20" s="57" t="s">
        <v>75</v>
      </c>
      <c r="B20" s="58">
        <v>307050.26</v>
      </c>
      <c r="C20" s="59">
        <f t="shared" si="0"/>
        <v>0.34867089560594416</v>
      </c>
      <c r="D20" s="60">
        <v>1</v>
      </c>
      <c r="E20" s="60"/>
      <c r="F20" s="59">
        <v>1.26E-2</v>
      </c>
    </row>
    <row r="21" spans="1:6">
      <c r="A21" t="s">
        <v>76</v>
      </c>
      <c r="B21" s="56">
        <v>23320</v>
      </c>
      <c r="C21" s="59">
        <f t="shared" si="0"/>
        <v>2.6481023938981905E-2</v>
      </c>
      <c r="D21" s="60">
        <v>1.53</v>
      </c>
      <c r="E21" s="60">
        <v>3.17</v>
      </c>
      <c r="F21" s="59">
        <v>1.49E-2</v>
      </c>
    </row>
    <row r="22" spans="1:6">
      <c r="A22" t="s">
        <v>77</v>
      </c>
      <c r="B22" s="56">
        <v>4524.3999999999996</v>
      </c>
      <c r="C22" s="59">
        <f t="shared" si="0"/>
        <v>5.137682020134207E-3</v>
      </c>
      <c r="D22" s="60">
        <v>0.71799999999999997</v>
      </c>
      <c r="E22" s="60">
        <v>0.71799999999999997</v>
      </c>
      <c r="F22" s="59">
        <v>5.8535791335454865E-3</v>
      </c>
    </row>
    <row r="23" spans="1:6">
      <c r="A23" t="s">
        <v>78</v>
      </c>
      <c r="B23" s="56">
        <v>29332.9</v>
      </c>
      <c r="C23" s="59">
        <f t="shared" si="0"/>
        <v>3.3308972002562706E-2</v>
      </c>
      <c r="D23" s="60">
        <v>0.50829999999999997</v>
      </c>
      <c r="E23" s="60">
        <v>0.50829999999999997</v>
      </c>
      <c r="F23" s="59">
        <v>4.2951135797568867E-2</v>
      </c>
    </row>
    <row r="24" spans="1:6">
      <c r="A24" t="s">
        <v>79</v>
      </c>
      <c r="B24" s="56">
        <v>14856.6</v>
      </c>
      <c r="C24" s="59">
        <f t="shared" si="0"/>
        <v>1.6870410816975923E-2</v>
      </c>
      <c r="D24" s="60">
        <v>1.67</v>
      </c>
      <c r="E24" s="60">
        <v>223.08</v>
      </c>
      <c r="F24" s="59">
        <v>4.0000000000000002E-4</v>
      </c>
    </row>
    <row r="25" spans="1:6">
      <c r="A25" t="s">
        <v>80</v>
      </c>
      <c r="B25" s="56">
        <v>3754.4</v>
      </c>
      <c r="C25" s="59">
        <f t="shared" si="0"/>
        <v>4.2633085881866924E-3</v>
      </c>
      <c r="D25" s="60">
        <v>1.1599999999999999</v>
      </c>
      <c r="E25" s="60">
        <v>222.81</v>
      </c>
      <c r="F25" s="59">
        <v>2.46E-2</v>
      </c>
    </row>
    <row r="27" spans="1:6">
      <c r="A27" t="s">
        <v>81</v>
      </c>
      <c r="B27" s="56">
        <f>SUM(B2:B25)</f>
        <v>880630.60000000009</v>
      </c>
      <c r="C27" s="55">
        <f>SUM(C2:C25)</f>
        <v>1</v>
      </c>
      <c r="D27" s="1" t="s">
        <v>82</v>
      </c>
      <c r="E27" s="1" t="s">
        <v>82</v>
      </c>
      <c r="F27" s="1" t="s">
        <v>82</v>
      </c>
    </row>
    <row r="28" spans="1:6">
      <c r="B28" s="56"/>
      <c r="C28" s="56"/>
    </row>
    <row r="29" spans="1:6">
      <c r="A29" t="s">
        <v>83</v>
      </c>
      <c r="B29" s="1" t="s">
        <v>82</v>
      </c>
      <c r="C29" s="1" t="s">
        <v>82</v>
      </c>
      <c r="D29" s="60">
        <f>SUMPRODUCT(D2:D25,$C$2:$C$25)</f>
        <v>0.97579514713547311</v>
      </c>
      <c r="E29" s="60">
        <f>SUMPRODUCT(E2:E25,$C$2:$C$25)</f>
        <v>23.183006602710606</v>
      </c>
      <c r="F29" s="59">
        <f>SUMPRODUCT(F2:F25,$C$2:$C$25)</f>
        <v>1.1800701023412449E-2</v>
      </c>
    </row>
    <row r="31" spans="1:6">
      <c r="A31" t="s">
        <v>84</v>
      </c>
      <c r="B31" s="59">
        <f>B33-(B35+(B36*(B34-B35)))</f>
        <v>1.5989220442600982E-3</v>
      </c>
    </row>
    <row r="33" spans="1:2">
      <c r="A33" t="s">
        <v>85</v>
      </c>
      <c r="B33" s="55">
        <v>0.23699999999999999</v>
      </c>
    </row>
    <row r="34" spans="1:2">
      <c r="A34" t="s">
        <v>86</v>
      </c>
      <c r="B34" s="55">
        <v>0.24</v>
      </c>
    </row>
    <row r="35" spans="1:2">
      <c r="A35" t="s">
        <v>87</v>
      </c>
      <c r="B35" s="55">
        <v>0.05</v>
      </c>
    </row>
    <row r="36" spans="1:2">
      <c r="A36" t="s">
        <v>31</v>
      </c>
      <c r="B36" s="60">
        <f>D29</f>
        <v>0.97579514713547311</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9750-A76F-7D4A-A72F-84514E6B4194}">
  <dimension ref="A2:C7"/>
  <sheetViews>
    <sheetView workbookViewId="0">
      <selection activeCell="B5" sqref="B5"/>
    </sheetView>
  </sheetViews>
  <sheetFormatPr defaultColWidth="11" defaultRowHeight="16"/>
  <cols>
    <col min="1" max="1" width="17.83203125" bestFit="1" customWidth="1"/>
  </cols>
  <sheetData>
    <row r="2" spans="1:3">
      <c r="A2" s="75" t="s">
        <v>88</v>
      </c>
      <c r="B2" s="75"/>
      <c r="C2" s="75"/>
    </row>
    <row r="3" spans="1:3">
      <c r="A3" s="75"/>
      <c r="B3" s="75"/>
      <c r="C3" s="75"/>
    </row>
    <row r="4" spans="1:3">
      <c r="A4" s="1" t="s">
        <v>89</v>
      </c>
    </row>
    <row r="5" spans="1:3">
      <c r="A5" s="1" t="s">
        <v>90</v>
      </c>
    </row>
    <row r="6" spans="1:3">
      <c r="A6" s="1" t="s">
        <v>91</v>
      </c>
    </row>
    <row r="7" spans="1:3">
      <c r="A7" s="1" t="s">
        <v>92</v>
      </c>
    </row>
  </sheetData>
  <mergeCells count="1">
    <mergeCell ref="A2: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BD6FD-1E99-8541-A00B-CFD963114CA9}">
  <dimension ref="A1:C34"/>
  <sheetViews>
    <sheetView showGridLines="0" workbookViewId="0">
      <selection activeCell="E10" sqref="E10"/>
    </sheetView>
  </sheetViews>
  <sheetFormatPr defaultColWidth="11" defaultRowHeight="16"/>
  <sheetData>
    <row r="1" spans="1:3" ht="21" customHeight="1">
      <c r="A1" s="23" t="s">
        <v>93</v>
      </c>
      <c r="B1" s="22" t="s">
        <v>94</v>
      </c>
      <c r="C1" s="22" t="s">
        <v>95</v>
      </c>
    </row>
    <row r="2" spans="1:3" ht="18" customHeight="1">
      <c r="A2" s="22" t="s">
        <v>49</v>
      </c>
      <c r="B2" s="22" cm="1" vm="33">
        <f t="array" aca="1" ref="B2" ca="1">_xlfn.STOCKHISTORY(A2,$C$2,,0,0,1)</f>
        <v>185.64</v>
      </c>
      <c r="C2" s="23">
        <v>45293</v>
      </c>
    </row>
    <row r="3" spans="1:3">
      <c r="A3" s="22" t="s">
        <v>51</v>
      </c>
      <c r="B3" s="22" cm="1" vm="34">
        <f t="array" aca="1" ref="B3" ca="1">_xlfn.STOCKHISTORY(A3,$C$2,,0,0,1)</f>
        <v>580.07000000000005</v>
      </c>
      <c r="C3" s="23">
        <v>45323</v>
      </c>
    </row>
    <row r="4" spans="1:3">
      <c r="A4" s="22" t="s">
        <v>53</v>
      </c>
      <c r="B4" s="22" cm="1" vm="35">
        <f t="array" aca="1" ref="B4" ca="1">_xlfn.STOCKHISTORY(A4,$C$2,,0,0,1)</f>
        <v>233.42</v>
      </c>
      <c r="C4" s="22"/>
    </row>
    <row r="5" spans="1:3">
      <c r="A5" s="22" t="s">
        <v>55</v>
      </c>
      <c r="B5" s="22" cm="1" vm="36">
        <f t="array" aca="1" ref="B5" ca="1">_xlfn.STOCKHISTORY(A5,$C$2,,0,0,1)</f>
        <v>143.81</v>
      </c>
      <c r="C5" s="22"/>
    </row>
    <row r="6" spans="1:3">
      <c r="A6" s="22" t="s">
        <v>57</v>
      </c>
      <c r="B6" s="22" cm="1" vm="37">
        <f t="array" aca="1" ref="B6" ca="1">_xlfn.STOCKHISTORY(A6,$C$2,,0,0,1)</f>
        <v>149.93</v>
      </c>
      <c r="C6" s="22"/>
    </row>
    <row r="7" spans="1:3">
      <c r="A7" s="22" t="s">
        <v>58</v>
      </c>
      <c r="B7" s="22" cm="1" vm="38">
        <f t="array" aca="1" ref="B7" ca="1">_xlfn.STOCKHISTORY(A7,$C$2,,0,0,1)</f>
        <v>327</v>
      </c>
      <c r="C7" s="22"/>
    </row>
    <row r="8" spans="1:3">
      <c r="A8" s="22" t="s">
        <v>60</v>
      </c>
      <c r="B8" s="22" cm="1" vm="39">
        <f t="array" aca="1" ref="B8" ca="1">_xlfn.STOCKHISTORY(A8,$C$2,,0,0,1)</f>
        <v>292.70999999999998</v>
      </c>
      <c r="C8" s="22"/>
    </row>
    <row r="9" spans="1:3">
      <c r="A9" s="22" t="s">
        <v>62</v>
      </c>
      <c r="B9" s="22" cm="1" vm="40">
        <f t="array" aca="1" ref="B9" ca="1">_xlfn.STOCKHISTORY(A9,$C$2,,0,0,1)</f>
        <v>650.65</v>
      </c>
      <c r="C9" s="22"/>
    </row>
    <row r="10" spans="1:3">
      <c r="A10" s="22" t="s">
        <v>96</v>
      </c>
      <c r="B10" s="24">
        <v>68.2</v>
      </c>
      <c r="C10" s="22"/>
    </row>
    <row r="11" spans="1:3">
      <c r="A11" s="22" t="s">
        <v>64</v>
      </c>
      <c r="B11" s="22" cm="1" vm="41">
        <f t="array" aca="1" ref="B11" ca="1">_xlfn.STOCKHISTORY(A11,$C$2,,0,0,1)</f>
        <v>140.43</v>
      </c>
      <c r="C11" s="22"/>
    </row>
    <row r="12" spans="1:3">
      <c r="A12" s="22" t="s">
        <v>66</v>
      </c>
      <c r="B12" s="22" cm="1" vm="42">
        <f t="array" aca="1" ref="B12" ca="1">_xlfn.STOCKHISTORY(A12,$C$2,,0,0,1)</f>
        <v>234.79</v>
      </c>
      <c r="C12" s="22"/>
    </row>
    <row r="13" spans="1:3">
      <c r="A13" s="22" t="s">
        <v>67</v>
      </c>
      <c r="B13" s="22" cm="1" vm="43">
        <f t="array" aca="1" ref="B13" ca="1">_xlfn.STOCKHISTORY(A13,$C$2,,0,0,1)</f>
        <v>90.71</v>
      </c>
      <c r="C13" s="22"/>
    </row>
    <row r="14" spans="1:3">
      <c r="A14" s="22" t="s">
        <v>68</v>
      </c>
      <c r="B14" s="22" cm="1" vm="44">
        <f t="array" aca="1" ref="B14" ca="1">_xlfn.STOCKHISTORY(A14,$C$2,,0,0,1)</f>
        <v>139.56</v>
      </c>
      <c r="C14" s="22"/>
    </row>
    <row r="15" spans="1:3">
      <c r="A15" s="23" t="s">
        <v>69</v>
      </c>
      <c r="B15" s="22" cm="1" vm="45">
        <f t="array" aca="1" ref="B15" ca="1">_xlfn.STOCKHISTORY(A15,$C$2,,0,0,1)</f>
        <v>345.08</v>
      </c>
      <c r="C15" s="22"/>
    </row>
    <row r="16" spans="1:3">
      <c r="A16" s="22" t="s">
        <v>70</v>
      </c>
      <c r="B16" s="22" cm="1" vm="46">
        <f t="array" aca="1" ref="B16" ca="1">_xlfn.STOCKHISTORY(A16,$C$2,,0,0,1)</f>
        <v>209</v>
      </c>
      <c r="C16" s="22"/>
    </row>
    <row r="17" spans="1:3">
      <c r="A17" s="22" t="s">
        <v>97</v>
      </c>
      <c r="B17" s="22" cm="1" vm="47">
        <f t="array" aca="1" ref="B17" ca="1">_xlfn.STOCKHISTORY(A17,$C$2,,0,0,1)</f>
        <v>159.97</v>
      </c>
      <c r="C17" s="22"/>
    </row>
    <row r="18" spans="1:3">
      <c r="A18" s="22" t="s">
        <v>71</v>
      </c>
      <c r="B18" s="22" cm="1" vm="48">
        <f t="array" aca="1" ref="B18" ca="1">_xlfn.STOCKHISTORY(A18,$C$2,,0,0,1)</f>
        <v>456.12</v>
      </c>
      <c r="C18" s="22"/>
    </row>
    <row r="19" spans="1:3">
      <c r="A19" s="22" t="s">
        <v>72</v>
      </c>
      <c r="B19" s="22" cm="1" vm="49">
        <f t="array" aca="1" ref="B19" ca="1">_xlfn.STOCKHISTORY(A19,$C$2,,0,0,1)</f>
        <v>421.89</v>
      </c>
      <c r="C19" s="22"/>
    </row>
    <row r="20" spans="1:3">
      <c r="A20" s="22" t="s">
        <v>73</v>
      </c>
      <c r="B20" s="22" cm="1" vm="50">
        <f t="array" aca="1" ref="B20" ca="1">_xlfn.STOCKHISTORY(A20,$C$2,,0,0,1)</f>
        <v>370.87</v>
      </c>
      <c r="C20" s="22"/>
    </row>
    <row r="21" spans="1:3">
      <c r="A21" s="22" t="s">
        <v>98</v>
      </c>
      <c r="B21" s="22" cm="1" vm="51">
        <f t="array" aca="1" ref="B21" ca="1">_xlfn.STOCKHISTORY(A21,$C$2,,0,0,1)</f>
        <v>61.57</v>
      </c>
      <c r="C21" s="22"/>
    </row>
    <row r="22" spans="1:3">
      <c r="A22" s="22" t="s">
        <v>74</v>
      </c>
      <c r="B22" s="22" cm="1" vm="52">
        <f t="array" aca="1" ref="B22" ca="1">_xlfn.STOCKHISTORY(A22,$C$2,,0,0,1)</f>
        <v>106.55</v>
      </c>
      <c r="C22" s="22"/>
    </row>
    <row r="23" spans="1:3">
      <c r="A23" s="22" t="s">
        <v>99</v>
      </c>
      <c r="B23" s="22" cm="1" vm="53">
        <f t="array" aca="1" ref="B23" ca="1">_xlfn.STOCKHISTORY(A23,$C$2,,0,0,1)</f>
        <v>81.45</v>
      </c>
      <c r="C23" s="22"/>
    </row>
    <row r="24" spans="1:3">
      <c r="A24" s="22" t="s">
        <v>100</v>
      </c>
      <c r="B24" s="22" cm="1" vm="54">
        <f t="array" aca="1" ref="B24" ca="1">_xlfn.STOCKHISTORY(A24,$C$2,,0,0,1)</f>
        <v>189.12</v>
      </c>
      <c r="C24" s="22"/>
    </row>
    <row r="25" spans="1:3">
      <c r="A25" s="22" t="s">
        <v>75</v>
      </c>
      <c r="B25" s="22" cm="1" vm="55">
        <f t="array" aca="1" ref="B25" ca="1">_xlfn.STOCKHISTORY(A25,$C$2,,0,0,1)</f>
        <v>472.65</v>
      </c>
      <c r="C25" s="22"/>
    </row>
    <row r="26" spans="1:3">
      <c r="A26" s="22" t="s">
        <v>76</v>
      </c>
      <c r="B26" s="22" cm="1" vm="56">
        <f t="array" aca="1" ref="B26" ca="1">_xlfn.STOCKHISTORY(A26,$C$2,,0,0,1)</f>
        <v>23.05</v>
      </c>
      <c r="C26" s="22"/>
    </row>
    <row r="27" spans="1:3">
      <c r="A27" s="22" t="s">
        <v>101</v>
      </c>
      <c r="B27" s="22" cm="1" vm="57">
        <f t="array" aca="1" ref="B27" ca="1">_xlfn.STOCKHISTORY(A27,$C$2,,0,0,1)</f>
        <v>159.26</v>
      </c>
      <c r="C27" s="22"/>
    </row>
    <row r="28" spans="1:3">
      <c r="A28" s="22" t="s">
        <v>77</v>
      </c>
      <c r="B28" s="22" cm="1" vm="58">
        <f t="array" aca="1" ref="B28" ca="1">_xlfn.STOCKHISTORY(A28,$C$2,,0,0,1)</f>
        <v>81.02</v>
      </c>
      <c r="C28" s="22"/>
    </row>
    <row r="29" spans="1:3">
      <c r="A29" s="22" t="s">
        <v>78</v>
      </c>
      <c r="B29" s="22" cm="1" vm="59">
        <f t="array" aca="1" ref="B29" ca="1">_xlfn.STOCKHISTORY(A29,$C$2,,0,0,1)</f>
        <v>53.0961</v>
      </c>
      <c r="C29" s="22"/>
    </row>
    <row r="30" spans="1:3">
      <c r="A30" s="22" t="s">
        <v>102</v>
      </c>
      <c r="B30" s="22" cm="1" vm="60">
        <f t="array" aca="1" ref="B30" ca="1">_xlfn.STOCKHISTORY(A30,$C$2,,0,0,1)</f>
        <v>11.54</v>
      </c>
      <c r="C30" s="22"/>
    </row>
    <row r="31" spans="1:3">
      <c r="A31" s="22"/>
      <c r="B31" s="22"/>
      <c r="C31" s="22"/>
    </row>
    <row r="32" spans="1:3">
      <c r="A32" s="22"/>
      <c r="B32" s="22"/>
      <c r="C32" s="22"/>
    </row>
    <row r="33" spans="1:3">
      <c r="A33" s="22"/>
      <c r="B33" s="22"/>
      <c r="C33" s="22"/>
    </row>
    <row r="34" spans="1:3">
      <c r="A34" s="22"/>
      <c r="B34" s="22"/>
      <c r="C34"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95D96-BCD7-4EFE-A7B6-4070FC3E9F7F}">
  <dimension ref="A1:H30"/>
  <sheetViews>
    <sheetView showGridLines="0" topLeftCell="B1" workbookViewId="0">
      <selection activeCell="N13" sqref="N13"/>
    </sheetView>
  </sheetViews>
  <sheetFormatPr defaultColWidth="8.83203125" defaultRowHeight="16"/>
  <cols>
    <col min="5" max="5" width="21.58203125" bestFit="1" customWidth="1"/>
  </cols>
  <sheetData>
    <row r="1" spans="1:8">
      <c r="A1" s="25"/>
      <c r="D1" s="55">
        <v>1.832523563298295E-2</v>
      </c>
      <c r="E1" s="28" t="s">
        <v>32</v>
      </c>
    </row>
    <row r="2" spans="1:8">
      <c r="A2" s="25"/>
      <c r="D2" s="55">
        <v>2.6390147581058076E-2</v>
      </c>
      <c r="E2" s="28" t="s">
        <v>32</v>
      </c>
    </row>
    <row r="3" spans="1:8">
      <c r="A3" s="25"/>
      <c r="D3" s="55">
        <v>3.6018056633847016E-2</v>
      </c>
      <c r="E3" s="28" t="s">
        <v>32</v>
      </c>
    </row>
    <row r="4" spans="1:8">
      <c r="A4" s="25"/>
      <c r="D4" s="55">
        <v>5.0001455484451158E-3</v>
      </c>
      <c r="E4" s="28" t="s">
        <v>33</v>
      </c>
    </row>
    <row r="5" spans="1:8">
      <c r="A5" s="25"/>
      <c r="D5" s="55">
        <v>3.6700452576066626E-2</v>
      </c>
      <c r="E5" s="28" t="s">
        <v>34</v>
      </c>
    </row>
    <row r="6" spans="1:8">
      <c r="A6" s="25"/>
      <c r="D6" s="55">
        <v>4.235270126707736E-2</v>
      </c>
      <c r="E6" s="28" t="s">
        <v>35</v>
      </c>
      <c r="G6" s="55">
        <f>D1+D2+D3+D13+D19+D22+D23+D26+(D24*26.1%)</f>
        <v>0.3009038947374516</v>
      </c>
      <c r="H6" t="s">
        <v>32</v>
      </c>
    </row>
    <row r="7" spans="1:8">
      <c r="A7" s="25"/>
      <c r="D7" s="55">
        <v>3.4586244023849369E-2</v>
      </c>
      <c r="E7" s="28" t="s">
        <v>36</v>
      </c>
      <c r="G7" s="55">
        <f>D4+D11+D16+D27+(D24*14.5%)</f>
        <v>0.11351041093746285</v>
      </c>
      <c r="H7" t="s">
        <v>33</v>
      </c>
    </row>
    <row r="8" spans="1:8">
      <c r="A8" s="25"/>
      <c r="D8" s="55">
        <v>5.5005372967868074E-2</v>
      </c>
      <c r="E8" s="28" t="s">
        <v>37</v>
      </c>
      <c r="G8" s="55">
        <f>D5+D25+D21+D24*9.9%</f>
        <v>9.126776513169596E-2</v>
      </c>
      <c r="H8" t="s">
        <v>34</v>
      </c>
    </row>
    <row r="9" spans="1:8">
      <c r="A9" s="25"/>
      <c r="D9" s="55">
        <v>1.9728146711378139E-2</v>
      </c>
      <c r="E9" s="28" t="s">
        <v>38</v>
      </c>
      <c r="G9" s="55">
        <f>D6+D18+D24*12.5%</f>
        <v>0.12200537942423401</v>
      </c>
      <c r="H9" t="s">
        <v>103</v>
      </c>
    </row>
    <row r="10" spans="1:8">
      <c r="A10" s="25"/>
      <c r="D10" s="55">
        <v>1.5550792838912499E-2</v>
      </c>
      <c r="E10" s="28" t="s">
        <v>37</v>
      </c>
      <c r="G10" s="55">
        <f>D7+D15+D17+D24*8.6%</f>
        <v>0.10032173469158315</v>
      </c>
      <c r="H10" t="s">
        <v>61</v>
      </c>
    </row>
    <row r="11" spans="1:8">
      <c r="A11" s="25"/>
      <c r="D11" s="55">
        <v>4.0482799082012598E-2</v>
      </c>
      <c r="E11" s="28" t="s">
        <v>33</v>
      </c>
      <c r="G11" s="55">
        <f>D8+D10+D14+D28+D24*7.4%</f>
        <v>0.15628977065692515</v>
      </c>
      <c r="H11" t="s">
        <v>37</v>
      </c>
    </row>
    <row r="12" spans="1:8">
      <c r="A12" s="25"/>
      <c r="D12" s="55">
        <v>1.9000748364136292E-3</v>
      </c>
      <c r="E12" s="28" t="s">
        <v>39</v>
      </c>
      <c r="G12" s="55">
        <f>D12+D29+D24*8.2%</f>
        <v>3.6301201022418073E-2</v>
      </c>
      <c r="H12" t="s">
        <v>104</v>
      </c>
    </row>
    <row r="13" spans="1:8">
      <c r="A13" s="25"/>
      <c r="D13" s="55">
        <v>5.2067905445567664E-2</v>
      </c>
      <c r="E13" s="28" t="s">
        <v>32</v>
      </c>
      <c r="G13" s="55">
        <f>D9+D24*2.6%</f>
        <v>2.7320885076323406E-2</v>
      </c>
      <c r="H13" t="s">
        <v>105</v>
      </c>
    </row>
    <row r="14" spans="1:8">
      <c r="A14" s="25"/>
      <c r="D14" s="55">
        <v>2.5433230275815191E-2</v>
      </c>
      <c r="E14" s="28" t="s">
        <v>37</v>
      </c>
      <c r="G14" s="55">
        <f>D20+D24*2.9%</f>
        <v>3.0760885220328764E-2</v>
      </c>
      <c r="H14" t="s">
        <v>106</v>
      </c>
    </row>
    <row r="15" spans="1:8">
      <c r="A15" s="25"/>
      <c r="D15" s="55">
        <v>2.451099451105759E-2</v>
      </c>
      <c r="E15" s="28" t="s">
        <v>36</v>
      </c>
      <c r="G15" s="55">
        <f>D24*4.5%</f>
        <v>1.3141277939328342E-2</v>
      </c>
      <c r="H15" t="s">
        <v>59</v>
      </c>
    </row>
    <row r="16" spans="1:8">
      <c r="A16" s="25"/>
      <c r="D16" s="55">
        <v>2.0421510999063499E-2</v>
      </c>
      <c r="E16" s="28" t="s">
        <v>33</v>
      </c>
      <c r="G16" s="55">
        <f>D24*2.5%</f>
        <v>7.3007099662935242E-3</v>
      </c>
      <c r="H16" t="s">
        <v>56</v>
      </c>
    </row>
    <row r="17" spans="1:7">
      <c r="A17" s="25"/>
      <c r="D17" s="55">
        <v>1.6110053872626456E-2</v>
      </c>
      <c r="E17" s="28" t="s">
        <v>36</v>
      </c>
      <c r="G17" s="55"/>
    </row>
    <row r="18" spans="1:7">
      <c r="A18" s="25"/>
      <c r="D18" s="55">
        <v>4.3149128325689026E-2</v>
      </c>
      <c r="E18" s="28" t="s">
        <v>35</v>
      </c>
    </row>
    <row r="19" spans="1:7">
      <c r="A19" s="54"/>
      <c r="D19" s="55">
        <v>4.8500847063361163E-2</v>
      </c>
      <c r="E19" s="28" t="s">
        <v>32</v>
      </c>
    </row>
    <row r="20" spans="1:7">
      <c r="A20" s="25"/>
      <c r="D20" s="55">
        <v>2.2292061659428278E-2</v>
      </c>
      <c r="E20" s="28" t="s">
        <v>40</v>
      </c>
    </row>
    <row r="21" spans="1:7">
      <c r="A21" s="25"/>
      <c r="D21" s="55">
        <v>5.7919296578506016E-3</v>
      </c>
      <c r="E21" s="28" t="s">
        <v>34</v>
      </c>
    </row>
    <row r="22" spans="1:7">
      <c r="A22" s="25"/>
      <c r="D22" s="55">
        <v>1.4734800985667124E-2</v>
      </c>
      <c r="E22" s="28" t="s">
        <v>32</v>
      </c>
    </row>
    <row r="23" spans="1:7">
      <c r="A23" s="25"/>
      <c r="D23" s="55">
        <v>1.9135603332026747E-2</v>
      </c>
      <c r="E23" s="28" t="s">
        <v>32</v>
      </c>
    </row>
    <row r="24" spans="1:7">
      <c r="D24" s="55">
        <v>0.29202839865174096</v>
      </c>
      <c r="E24" s="36" t="s">
        <v>41</v>
      </c>
    </row>
    <row r="25" spans="1:7">
      <c r="D25" s="55">
        <v>1.9864571431256386E-2</v>
      </c>
      <c r="E25" s="28" t="s">
        <v>34</v>
      </c>
    </row>
    <row r="26" spans="1:7">
      <c r="D26" s="55">
        <v>9.5118860148364626E-3</v>
      </c>
      <c r="E26" s="28" t="s">
        <v>42</v>
      </c>
    </row>
    <row r="27" spans="1:7">
      <c r="D27" s="55">
        <v>5.2618375034391984E-3</v>
      </c>
      <c r="E27" s="28" t="s">
        <v>33</v>
      </c>
    </row>
    <row r="28" spans="1:7">
      <c r="D28" s="55">
        <v>3.8690273074100549E-2</v>
      </c>
      <c r="E28" s="28" t="s">
        <v>37</v>
      </c>
    </row>
    <row r="29" spans="1:7">
      <c r="D29" s="55">
        <v>1.0454797496561686E-2</v>
      </c>
      <c r="E29" s="28" t="s">
        <v>39</v>
      </c>
    </row>
    <row r="30" spans="1:7">
      <c r="D30" s="55">
        <f>SUM(D1:D29)</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Transaction</vt:lpstr>
      <vt:lpstr>Sheet1</vt:lpstr>
      <vt:lpstr>Portfolio</vt:lpstr>
      <vt:lpstr>Calculations</vt:lpstr>
      <vt:lpstr>Ratios Calculations </vt:lpstr>
      <vt:lpstr>YTD Calculation</vt:lpstr>
      <vt:lpstr>Graphs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Smirnov, Maksym</dc:creator>
  <cp:keywords/>
  <dc:description/>
  <cp:lastModifiedBy>Toribio, Nicolas</cp:lastModifiedBy>
  <cp:revision/>
  <dcterms:created xsi:type="dcterms:W3CDTF">2024-07-02T17:29:55Z</dcterms:created>
  <dcterms:modified xsi:type="dcterms:W3CDTF">2025-02-03T21:53:38Z</dcterms:modified>
  <cp:category/>
  <cp:contentStatus/>
</cp:coreProperties>
</file>