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\Desktop\Freez Detection C System Thesis - EEBE (UPC)\Experiments Data and Files\EXPERIMENTS\Experiment 5 - Input Capacitance Behavior Correlated to Freeze\1 - FIRST VIEW CHARACTERISTIC POINTS\"/>
    </mc:Choice>
  </mc:AlternateContent>
  <xr:revisionPtr revIDLastSave="0" documentId="13_ncr:1_{D3997C2D-B43A-4D20-AFCA-2931F04C4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I26" i="1"/>
  <c r="I27" i="1"/>
  <c r="I28" i="1"/>
  <c r="I29" i="1"/>
  <c r="I30" i="1"/>
  <c r="J26" i="1"/>
  <c r="J27" i="1"/>
  <c r="J28" i="1"/>
  <c r="J29" i="1"/>
  <c r="L29" i="1" s="1"/>
  <c r="J30" i="1"/>
  <c r="H17" i="1"/>
  <c r="H18" i="1"/>
  <c r="H19" i="1"/>
  <c r="K19" i="1" s="1"/>
  <c r="H20" i="1"/>
  <c r="H21" i="1"/>
  <c r="K21" i="1" s="1"/>
  <c r="I17" i="1"/>
  <c r="I18" i="1"/>
  <c r="I19" i="1"/>
  <c r="I20" i="1"/>
  <c r="I21" i="1"/>
  <c r="J17" i="1"/>
  <c r="J18" i="1"/>
  <c r="J19" i="1"/>
  <c r="J20" i="1"/>
  <c r="L20" i="1" s="1"/>
  <c r="J21" i="1"/>
  <c r="L21" i="1" s="1"/>
  <c r="H2" i="1"/>
  <c r="I2" i="1"/>
  <c r="J2" i="1"/>
  <c r="L2" i="1" s="1"/>
  <c r="H3" i="1"/>
  <c r="I3" i="1"/>
  <c r="J3" i="1"/>
  <c r="H4" i="1"/>
  <c r="I4" i="1"/>
  <c r="J4" i="1"/>
  <c r="H5" i="1"/>
  <c r="I5" i="1"/>
  <c r="J5" i="1"/>
  <c r="L5" i="1" s="1"/>
  <c r="H6" i="1"/>
  <c r="K6" i="1" s="1"/>
  <c r="I6" i="1"/>
  <c r="J6" i="1"/>
  <c r="H7" i="1"/>
  <c r="K7" i="1" s="1"/>
  <c r="I7" i="1"/>
  <c r="J7" i="1"/>
  <c r="L7" i="1" s="1"/>
  <c r="H8" i="1"/>
  <c r="I8" i="1"/>
  <c r="J8" i="1"/>
  <c r="L8" i="1" s="1"/>
  <c r="H9" i="1"/>
  <c r="I9" i="1"/>
  <c r="J9" i="1"/>
  <c r="H10" i="1"/>
  <c r="K10" i="1" s="1"/>
  <c r="I10" i="1"/>
  <c r="J10" i="1"/>
  <c r="L10" i="1" s="1"/>
  <c r="H11" i="1"/>
  <c r="I11" i="1"/>
  <c r="J11" i="1"/>
  <c r="H12" i="1"/>
  <c r="I12" i="1"/>
  <c r="J12" i="1"/>
  <c r="H13" i="1"/>
  <c r="I13" i="1"/>
  <c r="J13" i="1"/>
  <c r="L13" i="1" s="1"/>
  <c r="H14" i="1"/>
  <c r="I14" i="1"/>
  <c r="J14" i="1"/>
  <c r="L14" i="1" s="1"/>
  <c r="H15" i="1"/>
  <c r="I15" i="1"/>
  <c r="J15" i="1"/>
  <c r="H16" i="1"/>
  <c r="I16" i="1"/>
  <c r="J16" i="1"/>
  <c r="L16" i="1" s="1"/>
  <c r="H22" i="1"/>
  <c r="I22" i="1"/>
  <c r="J22" i="1"/>
  <c r="L22" i="1" s="1"/>
  <c r="H23" i="1"/>
  <c r="I23" i="1"/>
  <c r="J23" i="1"/>
  <c r="L23" i="1" s="1"/>
  <c r="H24" i="1"/>
  <c r="I24" i="1"/>
  <c r="J24" i="1"/>
  <c r="L24" i="1" s="1"/>
  <c r="H25" i="1"/>
  <c r="K25" i="1" s="1"/>
  <c r="I25" i="1"/>
  <c r="J25" i="1"/>
  <c r="K14" i="1" l="1"/>
  <c r="K8" i="1"/>
  <c r="K13" i="1"/>
  <c r="K17" i="1"/>
  <c r="K23" i="1"/>
  <c r="L12" i="1"/>
  <c r="K2" i="1"/>
  <c r="K9" i="1"/>
  <c r="K24" i="1"/>
  <c r="K12" i="1"/>
  <c r="L6" i="1"/>
  <c r="L11" i="1"/>
  <c r="L19" i="1"/>
  <c r="L27" i="1"/>
  <c r="K11" i="1"/>
  <c r="K16" i="1"/>
  <c r="L15" i="1"/>
  <c r="K15" i="1"/>
  <c r="L9" i="1"/>
  <c r="K20" i="1"/>
  <c r="K4" i="1"/>
  <c r="L17" i="1"/>
  <c r="K3" i="1"/>
  <c r="K18" i="1"/>
  <c r="L30" i="1"/>
  <c r="L28" i="1"/>
  <c r="K30" i="1"/>
  <c r="K29" i="1"/>
  <c r="L26" i="1"/>
  <c r="K28" i="1"/>
  <c r="L25" i="1"/>
  <c r="K27" i="1"/>
  <c r="K26" i="1"/>
  <c r="L4" i="1"/>
  <c r="K22" i="1"/>
  <c r="L3" i="1"/>
  <c r="K5" i="1"/>
  <c r="L18" i="1"/>
  <c r="I32" i="1"/>
  <c r="J31" i="1"/>
  <c r="I31" i="1"/>
  <c r="H32" i="1"/>
  <c r="H31" i="1"/>
  <c r="J32" i="1"/>
  <c r="K32" i="1" l="1"/>
  <c r="L31" i="1"/>
  <c r="J33" i="1"/>
  <c r="H33" i="1"/>
  <c r="I33" i="1"/>
  <c r="K31" i="1"/>
  <c r="L32" i="1"/>
  <c r="K33" i="1" l="1"/>
  <c r="L33" i="1"/>
</calcChain>
</file>

<file path=xl/sharedStrings.xml><?xml version="1.0" encoding="utf-8"?>
<sst xmlns="http://schemas.openxmlformats.org/spreadsheetml/2006/main" count="44" uniqueCount="44">
  <si>
    <t>ΔC</t>
  </si>
  <si>
    <t>Δt</t>
  </si>
  <si>
    <t>m(t,C)</t>
  </si>
  <si>
    <t>ΔC/ΔT</t>
  </si>
  <si>
    <t>t1</t>
  </si>
  <si>
    <t>t2</t>
  </si>
  <si>
    <t>C1</t>
  </si>
  <si>
    <t>C2</t>
  </si>
  <si>
    <t>Experiment Name</t>
  </si>
  <si>
    <t>Tf</t>
  </si>
  <si>
    <t>Ti</t>
  </si>
  <si>
    <t>Coefficient of variation (CV)</t>
  </si>
  <si>
    <t>Standard Deviation (sd)</t>
  </si>
  <si>
    <t>ΔTemp</t>
  </si>
  <si>
    <t>24V_celulose_film_8_layers_Ac_4_1_cm_3</t>
  </si>
  <si>
    <t>24V_celulose_film_8_layers_Ac_4_1_cm_6</t>
  </si>
  <si>
    <t>Mean (avg)</t>
  </si>
  <si>
    <t>24V_celulose_film_8_layers_Ac_4_1_cm_1</t>
  </si>
  <si>
    <t>24V_celulose_film_8_layers_Ac_4_1_cm_2</t>
  </si>
  <si>
    <t>24V_celulose_film_8_layers_Ac_4_1_cm_4</t>
  </si>
  <si>
    <t>24V_celulose_film_8_layers_Ac_4_1_cm_5</t>
  </si>
  <si>
    <t>24V_celulose_film_8_layers_Ac_4_1_cm_7</t>
  </si>
  <si>
    <t>24V_celulose_film_8_layers_Ac_4_1_cm_8</t>
  </si>
  <si>
    <t>24V_celulose_film_8_layers_Ac_4_1_cm_9</t>
  </si>
  <si>
    <t>24V_celulose_film_8_layers_Ac_4_1_cm_10</t>
  </si>
  <si>
    <t>24V_celulose_film_8_layers_Ac_4_1_cm_11</t>
  </si>
  <si>
    <t>24V_celulose_film_8_layers_Ac_4_1_cm_12</t>
  </si>
  <si>
    <t>24V_celulose_film_8_layers_Ac_4_1_cm_13</t>
  </si>
  <si>
    <t>24V_celulose_film_8_layers_Ac_4_1_cm_14</t>
  </si>
  <si>
    <t>24V_celulose_film_8_layers_Ac_4_1_cm_15</t>
  </si>
  <si>
    <t>24V_celulose_film_8_layers_Ac_4_1_cm_16</t>
  </si>
  <si>
    <t>24V_celulose_film_8_layers_Ac_4_1_cm_17</t>
  </si>
  <si>
    <t>24V_celulose_film_8_layers_Ac_4_1_cm_18</t>
  </si>
  <si>
    <t>24V_celulose_film_8_layers_Ac_4_1_cm_19</t>
  </si>
  <si>
    <t>24V_celulose_film_8_layers_Ac_4_1_cm_20</t>
  </si>
  <si>
    <t>24V_celulose_film_8_layers_Ac_4_1_cm_21</t>
  </si>
  <si>
    <t>24V_celulose_film_8_layers_Ac_4_1_cm_22</t>
  </si>
  <si>
    <t>24V_celulose_film_8_layers_Ac_4_1_cm_23</t>
  </si>
  <si>
    <t>24V_celulose_film_8_layers_Ac_4_1_cm_24</t>
  </si>
  <si>
    <t>24V_celulose_film_8_layers_Ac_4_1_cm_25</t>
  </si>
  <si>
    <t>24V_celulose_film_8_layers_Ac_4_1_cm_26</t>
  </si>
  <si>
    <t>24V_celulose_film_8_layers_Ac_4_1_cm_27</t>
  </si>
  <si>
    <t>24V_celulose_film_8_layers_Ac_4_1_cm_28</t>
  </si>
  <si>
    <t>24V_celulose_film_8_layers_Ac_4_1_cm_29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</si>
</sst>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E+00"/>
    <numFmt numFmtId="165" formatCode="0.0000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1" fontId="0" fillId="3" borderId="0" xfId="0" applyNumberFormat="1" applyFill="1" applyBorder="1" applyAlignment="1">
      <alignment horizontal="center" vertical="center"/>
    </xf>
    <xf numFmtId="11" fontId="0" fillId="3" borderId="1" xfId="1" applyNumberFormat="1" applyFon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/>
    </xf>
    <xf numFmtId="165" fontId="0" fillId="3" borderId="0" xfId="0" applyNumberForma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2">
    <cellStyle name="Normal" xfId="0" builtinId="0"/>
    <cellStyle name="Per cent" xfId="1" builtinId="5"/>
  </cellStyles>
  <dxfs count="14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E+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E+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E+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E+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E+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 val="0"/>
        <i/>
      </font>
      <fill>
        <patternFill>
          <bgColor theme="0" tint="-0.14996795556505021"/>
        </patternFill>
      </fill>
      <border>
        <top style="thick">
          <color auto="1"/>
        </top>
        <vertical style="thin">
          <color auto="1"/>
        </vertical>
        <horizontal style="double">
          <color auto="1"/>
        </horizontal>
      </border>
    </dxf>
    <dxf>
      <fill>
        <patternFill patternType="none">
          <bgColor auto="1"/>
        </patternFill>
      </fill>
      <border diagonalUp="0" diagonalDown="0">
        <left/>
        <right/>
        <top/>
        <bottom style="double">
          <color auto="1"/>
        </bottom>
        <vertical/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A5FB31CC-8513-4139-8149-67525D68824B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8DE42-5EE9-4F61-9FEB-446D7C834880}" name="Table1" displayName="Table1" ref="A1:L30" totalsRowShown="0" headerRowDxfId="11">
  <autoFilter ref="A1:L30" xr:uid="{F9C8DE42-5EE9-4F61-9FEB-446D7C834880}"/>
  <tableColumns count="12">
    <tableColumn id="1" xr3:uid="{B4CF1645-465A-4B35-8ED3-8F01884290D7}" name="Experiment Name"/>
    <tableColumn id="2" xr3:uid="{6A0B0701-B6FA-4DC1-96BA-5B6B93BE7CD0}" name="t1" dataDxfId="10"/>
    <tableColumn id="3" xr3:uid="{700E0CCA-0BB6-4B32-B715-7F8CBEE3AABB}" name="t2" dataDxfId="9"/>
    <tableColumn id="4" xr3:uid="{AE70F739-E747-407A-BE65-71116499790B}" name="C1" dataDxfId="8"/>
    <tableColumn id="5" xr3:uid="{ED348B2A-7243-4060-98E9-CD00A182B8DC}" name="C2" dataDxfId="7"/>
    <tableColumn id="6" xr3:uid="{46231471-8ACB-43B5-9F07-E92638025D46}" name="Ti" dataDxfId="6"/>
    <tableColumn id="7" xr3:uid="{BFF975A1-B79B-4712-914B-9C6A2BE6EA53}" name="Tf" dataDxfId="5"/>
    <tableColumn id="8" xr3:uid="{F8B5C117-0CD9-4B40-A6DB-A59630DCAAEE}" name="Δt" dataDxfId="4">
      <calculatedColumnFormula>Table1[[#This Row],[t2]]-Table1[[#This Row],[t1]]</calculatedColumnFormula>
    </tableColumn>
    <tableColumn id="9" xr3:uid="{1AD89966-7EB3-4071-AFB1-1AD8C6C79859}" name="ΔC" dataDxfId="3">
      <calculatedColumnFormula>Table1[[#This Row],[C2]]-Table1[[#This Row],[C1]]</calculatedColumnFormula>
    </tableColumn>
    <tableColumn id="10" xr3:uid="{C8CAB140-1C0A-4D0D-A6A2-4BC147875851}" name="ΔTemp" dataDxfId="2">
      <calculatedColumnFormula>Table1[[#This Row],[Tf]]-Table1[[#This Row],[Ti]]</calculatedColumnFormula>
    </tableColumn>
    <tableColumn id="11" xr3:uid="{52925F27-4FCC-429B-975E-41415482BA6A}" name="m(t,C)" dataDxfId="1">
      <calculatedColumnFormula>IF(Table1[[#This Row],[Δt]]&gt;0,Table1[[#This Row],[ΔC]]/Table1[[#This Row],[Δt]],0)</calculatedColumnFormula>
    </tableColumn>
    <tableColumn id="12" xr3:uid="{F9F87DA3-AE33-4D8F-A51E-389D6F4F8D53}" name="ΔC/ΔT" dataDxfId="0">
      <calculatedColumnFormula>IF(Table1[[#This Row],[ΔTemp]]&gt;0,Table1[[#This Row],[ΔC]]/Table1[[#This Row],[ΔTemp]],0)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85" zoomScaleNormal="85" workbookViewId="0">
      <selection activeCell="A2" sqref="A2:A30"/>
    </sheetView>
  </sheetViews>
  <sheetFormatPr defaultRowHeight="14.4" x14ac:dyDescent="0.3"/>
  <cols>
    <col min="1" max="1" width="50.6640625" bestFit="1" customWidth="1"/>
    <col min="2" max="3" width="7.5546875" bestFit="1" customWidth="1"/>
    <col min="4" max="5" width="7.21875" bestFit="1" customWidth="1"/>
    <col min="6" max="7" width="7.109375" bestFit="1" customWidth="1"/>
    <col min="8" max="8" width="15.109375" bestFit="1" customWidth="1"/>
    <col min="9" max="9" width="11.21875" bestFit="1" customWidth="1"/>
    <col min="10" max="10" width="10.5546875" bestFit="1" customWidth="1"/>
    <col min="11" max="11" width="11.6640625" bestFit="1" customWidth="1"/>
    <col min="12" max="12" width="11.21875" bestFit="1" customWidth="1"/>
  </cols>
  <sheetData>
    <row r="1" spans="1:12" x14ac:dyDescent="0.3">
      <c r="A1" s="1" t="s">
        <v>8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s="2" t="s">
        <v>9</v>
      </c>
      <c r="H1" s="1" t="s">
        <v>1</v>
      </c>
      <c r="I1" s="1" t="s">
        <v>0</v>
      </c>
      <c r="J1" s="2" t="s">
        <v>13</v>
      </c>
      <c r="K1" s="2" t="s">
        <v>2</v>
      </c>
      <c r="L1" s="2" t="s">
        <v>3</v>
      </c>
    </row>
    <row r="2" spans="1:12" x14ac:dyDescent="0.3">
      <c r="A2" s="3" t="s">
        <v>17</v>
      </c>
      <c r="B2" s="4">
        <v>214.93</v>
      </c>
      <c r="C2" s="4">
        <v>258.80900000000003</v>
      </c>
      <c r="D2" s="4">
        <v>7.8342999999999998</v>
      </c>
      <c r="E2" s="4">
        <v>7.8299200000000004</v>
      </c>
      <c r="F2" s="4">
        <v>1.78</v>
      </c>
      <c r="G2" s="4">
        <v>2.42</v>
      </c>
      <c r="H2" s="8">
        <f>Table1[[#This Row],[t2]]-Table1[[#This Row],[t1]]</f>
        <v>43.879000000000019</v>
      </c>
      <c r="I2" s="8">
        <f>Table1[[#This Row],[C2]]-Table1[[#This Row],[C1]]</f>
        <v>-4.3799999999993844E-3</v>
      </c>
      <c r="J2" s="8">
        <f>Table1[[#This Row],[Tf]]-Table1[[#This Row],[Ti]]</f>
        <v>0.6399999999999999</v>
      </c>
      <c r="K2" s="8">
        <f>IF(Table1[[#This Row],[Δt]]&gt;0,Table1[[#This Row],[ΔC]]/Table1[[#This Row],[Δt]],0)</f>
        <v>-9.9819959433883687E-5</v>
      </c>
      <c r="L2" s="8">
        <f>IF(Table1[[#This Row],[ΔTemp]]&gt;0,Table1[[#This Row],[ΔC]]/Table1[[#This Row],[ΔTemp]],0)</f>
        <v>-6.843749999999039E-3</v>
      </c>
    </row>
    <row r="3" spans="1:12" x14ac:dyDescent="0.3">
      <c r="A3" s="3" t="s">
        <v>18</v>
      </c>
      <c r="B3" s="4">
        <v>137.69900000000001</v>
      </c>
      <c r="C3" s="4">
        <v>280.45600000000002</v>
      </c>
      <c r="D3" s="4">
        <v>12.768000000000001</v>
      </c>
      <c r="E3" s="4">
        <v>12.882</v>
      </c>
      <c r="F3" s="4">
        <v>1.84</v>
      </c>
      <c r="G3" s="4">
        <v>2.8</v>
      </c>
      <c r="H3" s="8">
        <f>Table1[[#This Row],[t2]]-Table1[[#This Row],[t1]]</f>
        <v>142.75700000000001</v>
      </c>
      <c r="I3" s="8">
        <f>Table1[[#This Row],[C2]]-Table1[[#This Row],[C1]]</f>
        <v>0.11399999999999899</v>
      </c>
      <c r="J3" s="8">
        <f>Table1[[#This Row],[Tf]]-Table1[[#This Row],[Ti]]</f>
        <v>0.95999999999999974</v>
      </c>
      <c r="K3" s="8">
        <f>IF(Table1[[#This Row],[Δt]]&gt;0,Table1[[#This Row],[ΔC]]/Table1[[#This Row],[Δt]],0)</f>
        <v>7.9855979041307246E-4</v>
      </c>
      <c r="L3" s="8">
        <f>IF(Table1[[#This Row],[ΔTemp]]&gt;0,Table1[[#This Row],[ΔC]]/Table1[[#This Row],[ΔTemp]],0)</f>
        <v>0.11874999999999898</v>
      </c>
    </row>
    <row r="4" spans="1:12" x14ac:dyDescent="0.3">
      <c r="A4" s="3" t="s">
        <v>14</v>
      </c>
      <c r="B4" s="4">
        <v>149.828</v>
      </c>
      <c r="C4" s="4">
        <v>269.86900000000003</v>
      </c>
      <c r="D4" s="4">
        <v>9.5461899999999993</v>
      </c>
      <c r="E4" s="4">
        <v>9.6176499999999994</v>
      </c>
      <c r="F4" s="4">
        <v>2.2200000000000002</v>
      </c>
      <c r="G4" s="4">
        <v>2.61</v>
      </c>
      <c r="H4" s="8">
        <f>Table1[[#This Row],[t2]]-Table1[[#This Row],[t1]]</f>
        <v>120.04100000000003</v>
      </c>
      <c r="I4" s="8">
        <f>Table1[[#This Row],[C2]]-Table1[[#This Row],[C1]]</f>
        <v>7.1460000000000079E-2</v>
      </c>
      <c r="J4" s="8">
        <f>Table1[[#This Row],[Tf]]-Table1[[#This Row],[Ti]]</f>
        <v>0.38999999999999968</v>
      </c>
      <c r="K4" s="8">
        <f>IF(Table1[[#This Row],[Δt]]&gt;0,Table1[[#This Row],[ΔC]]/Table1[[#This Row],[Δt]],0)</f>
        <v>5.9529660699261138E-4</v>
      </c>
      <c r="L4" s="8">
        <f>IF(Table1[[#This Row],[ΔTemp]]&gt;0,Table1[[#This Row],[ΔC]]/Table1[[#This Row],[ΔTemp]],0)</f>
        <v>0.18323076923076959</v>
      </c>
    </row>
    <row r="5" spans="1:12" x14ac:dyDescent="0.3">
      <c r="A5" s="3" t="s">
        <v>19</v>
      </c>
      <c r="B5" s="4">
        <v>69.325400000000002</v>
      </c>
      <c r="C5" s="4">
        <v>224.75899999999999</v>
      </c>
      <c r="D5" s="4">
        <v>9.9935399999999994</v>
      </c>
      <c r="E5" s="4">
        <v>10.2035</v>
      </c>
      <c r="F5" s="4">
        <v>4.42</v>
      </c>
      <c r="G5" s="4">
        <v>4.47</v>
      </c>
      <c r="H5" s="8">
        <f>Table1[[#This Row],[t2]]-Table1[[#This Row],[t1]]</f>
        <v>155.43359999999998</v>
      </c>
      <c r="I5" s="8">
        <f>Table1[[#This Row],[C2]]-Table1[[#This Row],[C1]]</f>
        <v>0.20996000000000059</v>
      </c>
      <c r="J5" s="8">
        <f>Table1[[#This Row],[Tf]]-Table1[[#This Row],[Ti]]</f>
        <v>4.9999999999999822E-2</v>
      </c>
      <c r="K5" s="8">
        <f>IF(Table1[[#This Row],[Δt]]&gt;0,Table1[[#This Row],[ΔC]]/Table1[[#This Row],[Δt]],0)</f>
        <v>1.3508018858213451E-3</v>
      </c>
      <c r="L5" s="8">
        <f>IF(Table1[[#This Row],[ΔTemp]]&gt;0,Table1[[#This Row],[ΔC]]/Table1[[#This Row],[ΔTemp]],0)</f>
        <v>4.1992000000000269</v>
      </c>
    </row>
    <row r="6" spans="1:12" x14ac:dyDescent="0.3">
      <c r="A6" s="3" t="s">
        <v>20</v>
      </c>
      <c r="B6" s="4">
        <v>637.31100000000004</v>
      </c>
      <c r="C6" s="4">
        <v>718.06299999999999</v>
      </c>
      <c r="D6" s="4">
        <v>9.44679</v>
      </c>
      <c r="E6" s="4">
        <v>9.4443699999999993</v>
      </c>
      <c r="F6" s="4">
        <v>4.74</v>
      </c>
      <c r="G6" s="4">
        <v>4.75</v>
      </c>
      <c r="H6" s="8">
        <f>Table1[[#This Row],[t2]]-Table1[[#This Row],[t1]]</f>
        <v>80.751999999999953</v>
      </c>
      <c r="I6" s="8">
        <f>Table1[[#This Row],[C2]]-Table1[[#This Row],[C1]]</f>
        <v>-2.4200000000007549E-3</v>
      </c>
      <c r="J6" s="8">
        <f>Table1[[#This Row],[Tf]]-Table1[[#This Row],[Ti]]</f>
        <v>9.9999999999997868E-3</v>
      </c>
      <c r="K6" s="8">
        <f>IF(Table1[[#This Row],[Δt]]&gt;0,Table1[[#This Row],[ΔC]]/Table1[[#This Row],[Δt]],0)</f>
        <v>-2.9968297998820541E-5</v>
      </c>
      <c r="L6" s="8">
        <f>IF(Table1[[#This Row],[ΔTemp]]&gt;0,Table1[[#This Row],[ΔC]]/Table1[[#This Row],[ΔTemp]],0)</f>
        <v>-0.24200000000008065</v>
      </c>
    </row>
    <row r="7" spans="1:12" x14ac:dyDescent="0.3">
      <c r="A7" s="3" t="s">
        <v>15</v>
      </c>
      <c r="B7" s="4">
        <v>575.42200000000003</v>
      </c>
      <c r="C7" s="4">
        <v>594.32299999999998</v>
      </c>
      <c r="D7" s="4">
        <v>11.973100000000001</v>
      </c>
      <c r="E7" s="4">
        <v>11.972099999999999</v>
      </c>
      <c r="F7" s="4">
        <v>3.33</v>
      </c>
      <c r="G7" s="4">
        <v>3.39</v>
      </c>
      <c r="H7" s="8">
        <f>Table1[[#This Row],[t2]]-Table1[[#This Row],[t1]]</f>
        <v>18.900999999999954</v>
      </c>
      <c r="I7" s="8">
        <f>Table1[[#This Row],[C2]]-Table1[[#This Row],[C1]]</f>
        <v>-1.0000000000012221E-3</v>
      </c>
      <c r="J7" s="8">
        <f>Table1[[#This Row],[Tf]]-Table1[[#This Row],[Ti]]</f>
        <v>6.0000000000000053E-2</v>
      </c>
      <c r="K7" s="8">
        <f>IF(Table1[[#This Row],[Δt]]&gt;0,Table1[[#This Row],[ΔC]]/Table1[[#This Row],[Δt]],0)</f>
        <v>-5.2907253584531222E-5</v>
      </c>
      <c r="L7" s="8">
        <f>IF(Table1[[#This Row],[ΔTemp]]&gt;0,Table1[[#This Row],[ΔC]]/Table1[[#This Row],[ΔTemp]],0)</f>
        <v>-1.6666666666687022E-2</v>
      </c>
    </row>
    <row r="8" spans="1:12" x14ac:dyDescent="0.3">
      <c r="A8" s="3" t="s">
        <v>21</v>
      </c>
      <c r="B8" s="4">
        <v>508.52499999999998</v>
      </c>
      <c r="C8" s="4">
        <v>638.99800000000005</v>
      </c>
      <c r="D8" s="4">
        <v>9.3211200000000005</v>
      </c>
      <c r="E8" s="4">
        <v>9.3371600000000008</v>
      </c>
      <c r="F8" s="4">
        <v>3.36</v>
      </c>
      <c r="G8" s="4">
        <v>3.39</v>
      </c>
      <c r="H8" s="8">
        <f>Table1[[#This Row],[t2]]-Table1[[#This Row],[t1]]</f>
        <v>130.47300000000007</v>
      </c>
      <c r="I8" s="8">
        <f>Table1[[#This Row],[C2]]-Table1[[#This Row],[C1]]</f>
        <v>1.6040000000000276E-2</v>
      </c>
      <c r="J8" s="8">
        <f>Table1[[#This Row],[Tf]]-Table1[[#This Row],[Ti]]</f>
        <v>3.0000000000000249E-2</v>
      </c>
      <c r="K8" s="8">
        <f>IF(Table1[[#This Row],[Δt]]&gt;0,Table1[[#This Row],[ΔC]]/Table1[[#This Row],[Δt]],0)</f>
        <v>1.2293731270071408E-4</v>
      </c>
      <c r="L8" s="8">
        <f>IF(Table1[[#This Row],[ΔTemp]]&gt;0,Table1[[#This Row],[ΔC]]/Table1[[#This Row],[ΔTemp]],0)</f>
        <v>0.5346666666666714</v>
      </c>
    </row>
    <row r="9" spans="1:12" x14ac:dyDescent="0.3">
      <c r="A9" s="3" t="s">
        <v>22</v>
      </c>
      <c r="B9" s="4">
        <v>279.22500000000002</v>
      </c>
      <c r="C9" s="4">
        <v>371.68</v>
      </c>
      <c r="D9" s="4">
        <v>8.0036799999999992</v>
      </c>
      <c r="E9" s="4">
        <v>8.0399999999999991</v>
      </c>
      <c r="F9" s="4">
        <v>-0.18</v>
      </c>
      <c r="G9" s="4">
        <v>1.5</v>
      </c>
      <c r="H9" s="8">
        <f>Table1[[#This Row],[t2]]-Table1[[#This Row],[t1]]</f>
        <v>92.454999999999984</v>
      </c>
      <c r="I9" s="8">
        <f>Table1[[#This Row],[C2]]-Table1[[#This Row],[C1]]</f>
        <v>3.6319999999999908E-2</v>
      </c>
      <c r="J9" s="8">
        <f>Table1[[#This Row],[Tf]]-Table1[[#This Row],[Ti]]</f>
        <v>1.68</v>
      </c>
      <c r="K9" s="8">
        <f>IF(Table1[[#This Row],[Δt]]&gt;0,Table1[[#This Row],[ΔC]]/Table1[[#This Row],[Δt]],0)</f>
        <v>3.9283975988318548E-4</v>
      </c>
      <c r="L9" s="8">
        <f>IF(Table1[[#This Row],[ΔTemp]]&gt;0,Table1[[#This Row],[ΔC]]/Table1[[#This Row],[ΔTemp]],0)</f>
        <v>2.1619047619047566E-2</v>
      </c>
    </row>
    <row r="10" spans="1:12" x14ac:dyDescent="0.3">
      <c r="A10" s="3" t="s">
        <v>23</v>
      </c>
      <c r="B10" s="4">
        <v>239.387</v>
      </c>
      <c r="C10" s="4">
        <v>295.84699999999998</v>
      </c>
      <c r="D10" s="4">
        <v>8.9316899999999997</v>
      </c>
      <c r="E10" s="4">
        <v>9.0717199999999991</v>
      </c>
      <c r="F10" s="4">
        <v>-0.81</v>
      </c>
      <c r="G10" s="4">
        <v>2.17</v>
      </c>
      <c r="H10" s="8">
        <f>Table1[[#This Row],[t2]]-Table1[[#This Row],[t1]]</f>
        <v>56.45999999999998</v>
      </c>
      <c r="I10" s="8">
        <f>Table1[[#This Row],[C2]]-Table1[[#This Row],[C1]]</f>
        <v>0.14002999999999943</v>
      </c>
      <c r="J10" s="8">
        <f>Table1[[#This Row],[Tf]]-Table1[[#This Row],[Ti]]</f>
        <v>2.98</v>
      </c>
      <c r="K10" s="8">
        <f>IF(Table1[[#This Row],[Δt]]&gt;0,Table1[[#This Row],[ΔC]]/Table1[[#This Row],[Δt]],0)</f>
        <v>2.4801629472192611E-3</v>
      </c>
      <c r="L10" s="8">
        <f>IF(Table1[[#This Row],[ΔTemp]]&gt;0,Table1[[#This Row],[ΔC]]/Table1[[#This Row],[ΔTemp]],0)</f>
        <v>4.6989932885905847E-2</v>
      </c>
    </row>
    <row r="11" spans="1:12" x14ac:dyDescent="0.3">
      <c r="A11" s="3" t="s">
        <v>24</v>
      </c>
      <c r="B11" s="4">
        <v>147.27500000000001</v>
      </c>
      <c r="C11" s="4">
        <v>228.16800000000001</v>
      </c>
      <c r="D11" s="4">
        <v>9.5784800000000008</v>
      </c>
      <c r="E11" s="4">
        <v>9.6094600000000003</v>
      </c>
      <c r="F11" s="4">
        <v>0.99</v>
      </c>
      <c r="G11" s="4">
        <v>1.33</v>
      </c>
      <c r="H11" s="8">
        <f>Table1[[#This Row],[t2]]-Table1[[#This Row],[t1]]</f>
        <v>80.893000000000001</v>
      </c>
      <c r="I11" s="8">
        <f>Table1[[#This Row],[C2]]-Table1[[#This Row],[C1]]</f>
        <v>3.0979999999999563E-2</v>
      </c>
      <c r="J11" s="8">
        <f>Table1[[#This Row],[Tf]]-Table1[[#This Row],[Ti]]</f>
        <v>0.34000000000000008</v>
      </c>
      <c r="K11" s="8">
        <f>IF(Table1[[#This Row],[Δt]]&gt;0,Table1[[#This Row],[ΔC]]/Table1[[#This Row],[Δt]],0)</f>
        <v>3.829750411036748E-4</v>
      </c>
      <c r="L11" s="8">
        <f>IF(Table1[[#This Row],[ΔTemp]]&gt;0,Table1[[#This Row],[ΔC]]/Table1[[#This Row],[ΔTemp]],0)</f>
        <v>9.1117647058822221E-2</v>
      </c>
    </row>
    <row r="12" spans="1:12" x14ac:dyDescent="0.3">
      <c r="A12" s="3" t="s">
        <v>25</v>
      </c>
      <c r="B12" s="4">
        <v>230.505</v>
      </c>
      <c r="C12" s="4">
        <v>418.202</v>
      </c>
      <c r="D12" s="4">
        <v>11.7585</v>
      </c>
      <c r="E12" s="4">
        <v>12.0722</v>
      </c>
      <c r="F12" s="4">
        <v>-1.81</v>
      </c>
      <c r="G12" s="4">
        <v>-0.45</v>
      </c>
      <c r="H12" s="8">
        <f>Table1[[#This Row],[t2]]-Table1[[#This Row],[t1]]</f>
        <v>187.697</v>
      </c>
      <c r="I12" s="8">
        <f>Table1[[#This Row],[C2]]-Table1[[#This Row],[C1]]</f>
        <v>0.31370000000000076</v>
      </c>
      <c r="J12" s="8">
        <f>Table1[[#This Row],[Tf]]-Table1[[#This Row],[Ti]]</f>
        <v>1.36</v>
      </c>
      <c r="K12" s="8">
        <f>IF(Table1[[#This Row],[Δt]]&gt;0,Table1[[#This Row],[ΔC]]/Table1[[#This Row],[Δt]],0)</f>
        <v>1.6713106762494912E-3</v>
      </c>
      <c r="L12" s="8">
        <f>IF(Table1[[#This Row],[ΔTemp]]&gt;0,Table1[[#This Row],[ΔC]]/Table1[[#This Row],[ΔTemp]],0)</f>
        <v>0.2306617647058829</v>
      </c>
    </row>
    <row r="13" spans="1:12" x14ac:dyDescent="0.3">
      <c r="A13" s="3" t="s">
        <v>26</v>
      </c>
      <c r="B13" s="4">
        <v>267.803</v>
      </c>
      <c r="C13" s="4">
        <v>344.97899999999998</v>
      </c>
      <c r="D13" s="4">
        <v>8.8395100000000006</v>
      </c>
      <c r="E13" s="4">
        <v>8.85745</v>
      </c>
      <c r="F13" s="4">
        <v>2</v>
      </c>
      <c r="G13" s="4">
        <v>2.4500000000000002</v>
      </c>
      <c r="H13" s="8">
        <f>Table1[[#This Row],[t2]]-Table1[[#This Row],[t1]]</f>
        <v>77.175999999999988</v>
      </c>
      <c r="I13" s="8">
        <f>Table1[[#This Row],[C2]]-Table1[[#This Row],[C1]]</f>
        <v>1.7939999999999401E-2</v>
      </c>
      <c r="J13" s="8">
        <f>Table1[[#This Row],[Tf]]-Table1[[#This Row],[Ti]]</f>
        <v>0.45000000000000018</v>
      </c>
      <c r="K13" s="8">
        <f>IF(Table1[[#This Row],[Δt]]&gt;0,Table1[[#This Row],[ΔC]]/Table1[[#This Row],[Δt]],0)</f>
        <v>2.3245568570539292E-4</v>
      </c>
      <c r="L13" s="8">
        <f>IF(Table1[[#This Row],[ΔTemp]]&gt;0,Table1[[#This Row],[ΔC]]/Table1[[#This Row],[ΔTemp]],0)</f>
        <v>3.9866666666665322E-2</v>
      </c>
    </row>
    <row r="14" spans="1:12" x14ac:dyDescent="0.3">
      <c r="A14" s="3" t="s">
        <v>27</v>
      </c>
      <c r="B14" s="4">
        <v>145.286</v>
      </c>
      <c r="C14" s="4">
        <v>254.13499999999999</v>
      </c>
      <c r="D14" s="4">
        <v>11.8401</v>
      </c>
      <c r="E14" s="4">
        <v>12.393700000000001</v>
      </c>
      <c r="F14" s="4">
        <v>-1.72</v>
      </c>
      <c r="G14" s="4">
        <v>-0.01</v>
      </c>
      <c r="H14" s="8">
        <f>Table1[[#This Row],[t2]]-Table1[[#This Row],[t1]]</f>
        <v>108.84899999999999</v>
      </c>
      <c r="I14" s="8">
        <f>Table1[[#This Row],[C2]]-Table1[[#This Row],[C1]]</f>
        <v>0.5536000000000012</v>
      </c>
      <c r="J14" s="8">
        <f>Table1[[#This Row],[Tf]]-Table1[[#This Row],[Ti]]</f>
        <v>1.71</v>
      </c>
      <c r="K14" s="8">
        <f>IF(Table1[[#This Row],[Δt]]&gt;0,Table1[[#This Row],[ΔC]]/Table1[[#This Row],[Δt]],0)</f>
        <v>5.0859447491479141E-3</v>
      </c>
      <c r="L14" s="8">
        <f>IF(Table1[[#This Row],[ΔTemp]]&gt;0,Table1[[#This Row],[ΔC]]/Table1[[#This Row],[ΔTemp]],0)</f>
        <v>0.32374269005848022</v>
      </c>
    </row>
    <row r="15" spans="1:12" x14ac:dyDescent="0.3">
      <c r="A15" s="3" t="s">
        <v>28</v>
      </c>
      <c r="B15" s="4">
        <v>120.744</v>
      </c>
      <c r="C15" s="4">
        <v>183.738</v>
      </c>
      <c r="D15" s="4">
        <v>10.790699999999999</v>
      </c>
      <c r="E15" s="4">
        <v>11.1297</v>
      </c>
      <c r="F15" s="4">
        <v>0.78</v>
      </c>
      <c r="G15" s="4">
        <v>2.57</v>
      </c>
      <c r="H15" s="8">
        <f>Table1[[#This Row],[t2]]-Table1[[#This Row],[t1]]</f>
        <v>62.994</v>
      </c>
      <c r="I15" s="8">
        <f>Table1[[#This Row],[C2]]-Table1[[#This Row],[C1]]</f>
        <v>0.33900000000000041</v>
      </c>
      <c r="J15" s="8">
        <f>Table1[[#This Row],[Tf]]-Table1[[#This Row],[Ti]]</f>
        <v>1.7899999999999998</v>
      </c>
      <c r="K15" s="8">
        <f>IF(Table1[[#This Row],[Δt]]&gt;0,Table1[[#This Row],[ΔC]]/Table1[[#This Row],[Δt]],0)</f>
        <v>5.3814649014191892E-3</v>
      </c>
      <c r="L15" s="8">
        <f>IF(Table1[[#This Row],[ΔTemp]]&gt;0,Table1[[#This Row],[ΔC]]/Table1[[#This Row],[ΔTemp]],0)</f>
        <v>0.18938547486033544</v>
      </c>
    </row>
    <row r="16" spans="1:12" x14ac:dyDescent="0.3">
      <c r="A16" s="3" t="s">
        <v>29</v>
      </c>
      <c r="B16" s="4">
        <v>131.11099999999999</v>
      </c>
      <c r="C16" s="4">
        <v>237.65</v>
      </c>
      <c r="D16" s="4">
        <v>9.6796299999999995</v>
      </c>
      <c r="E16" s="4">
        <v>10.0425</v>
      </c>
      <c r="F16" s="4">
        <v>0.17</v>
      </c>
      <c r="G16" s="4">
        <v>2.44</v>
      </c>
      <c r="H16" s="8">
        <f>Table1[[#This Row],[t2]]-Table1[[#This Row],[t1]]</f>
        <v>106.53900000000002</v>
      </c>
      <c r="I16" s="8">
        <f>Table1[[#This Row],[C2]]-Table1[[#This Row],[C1]]</f>
        <v>0.36287000000000091</v>
      </c>
      <c r="J16" s="8">
        <f>Table1[[#This Row],[Tf]]-Table1[[#This Row],[Ti]]</f>
        <v>2.27</v>
      </c>
      <c r="K16" s="8">
        <f>IF(Table1[[#This Row],[Δt]]&gt;0,Table1[[#This Row],[ΔC]]/Table1[[#This Row],[Δt]],0)</f>
        <v>3.4059827856465787E-3</v>
      </c>
      <c r="L16" s="8">
        <f>IF(Table1[[#This Row],[ΔTemp]]&gt;0,Table1[[#This Row],[ΔC]]/Table1[[#This Row],[ΔTemp]],0)</f>
        <v>0.15985462555066118</v>
      </c>
    </row>
    <row r="17" spans="1:12" x14ac:dyDescent="0.3">
      <c r="A17" s="3" t="s">
        <v>30</v>
      </c>
      <c r="B17" s="4">
        <v>138.566</v>
      </c>
      <c r="C17" s="4">
        <v>266.28300000000002</v>
      </c>
      <c r="D17" s="4">
        <v>12.6755</v>
      </c>
      <c r="E17" s="4">
        <v>13.093</v>
      </c>
      <c r="F17" s="4">
        <v>1.32</v>
      </c>
      <c r="G17" s="4">
        <v>1.49</v>
      </c>
      <c r="H17" s="8">
        <f>Table1[[#This Row],[t2]]-Table1[[#This Row],[t1]]</f>
        <v>127.71700000000001</v>
      </c>
      <c r="I17" s="8">
        <f>Table1[[#This Row],[C2]]-Table1[[#This Row],[C1]]</f>
        <v>0.41750000000000043</v>
      </c>
      <c r="J17" s="8">
        <f>Table1[[#This Row],[Tf]]-Table1[[#This Row],[Ti]]</f>
        <v>0.16999999999999993</v>
      </c>
      <c r="K17" s="8">
        <f>IF(Table1[[#This Row],[Δt]]&gt;0,Table1[[#This Row],[ΔC]]/Table1[[#This Row],[Δt]],0)</f>
        <v>3.2689461857074655E-3</v>
      </c>
      <c r="L17" s="8">
        <f>IF(Table1[[#This Row],[ΔTemp]]&gt;0,Table1[[#This Row],[ΔC]]/Table1[[#This Row],[ΔTemp]],0)</f>
        <v>2.4558823529411802</v>
      </c>
    </row>
    <row r="18" spans="1:12" x14ac:dyDescent="0.3">
      <c r="A18" s="3" t="s">
        <v>31</v>
      </c>
      <c r="B18" s="4">
        <v>241.69300000000001</v>
      </c>
      <c r="C18" s="4">
        <v>366.60399999999998</v>
      </c>
      <c r="D18" s="4">
        <v>8.7503600000000006</v>
      </c>
      <c r="E18" s="4">
        <v>8.76464</v>
      </c>
      <c r="F18" s="4">
        <v>-0.88</v>
      </c>
      <c r="G18" s="4">
        <v>0.19</v>
      </c>
      <c r="H18" s="8">
        <f>Table1[[#This Row],[t2]]-Table1[[#This Row],[t1]]</f>
        <v>124.91099999999997</v>
      </c>
      <c r="I18" s="8">
        <f>Table1[[#This Row],[C2]]-Table1[[#This Row],[C1]]</f>
        <v>1.4279999999999404E-2</v>
      </c>
      <c r="J18" s="8">
        <f>Table1[[#This Row],[Tf]]-Table1[[#This Row],[Ti]]</f>
        <v>1.07</v>
      </c>
      <c r="K18" s="8">
        <f>IF(Table1[[#This Row],[Δt]]&gt;0,Table1[[#This Row],[ΔC]]/Table1[[#This Row],[Δt]],0)</f>
        <v>1.1432139683454146E-4</v>
      </c>
      <c r="L18" s="8">
        <f>IF(Table1[[#This Row],[ΔTemp]]&gt;0,Table1[[#This Row],[ΔC]]/Table1[[#This Row],[ΔTemp]],0)</f>
        <v>1.3345794392522807E-2</v>
      </c>
    </row>
    <row r="19" spans="1:12" x14ac:dyDescent="0.3">
      <c r="A19" s="3" t="s">
        <v>32</v>
      </c>
      <c r="B19" s="4">
        <v>111.34699999999999</v>
      </c>
      <c r="C19" s="4">
        <v>295.61200000000002</v>
      </c>
      <c r="D19" s="4">
        <v>12.696</v>
      </c>
      <c r="E19" s="4">
        <v>13.1945</v>
      </c>
      <c r="F19" s="4">
        <v>-0.85</v>
      </c>
      <c r="G19" s="4">
        <v>1.42</v>
      </c>
      <c r="H19" s="8">
        <f>Table1[[#This Row],[t2]]-Table1[[#This Row],[t1]]</f>
        <v>184.26500000000004</v>
      </c>
      <c r="I19" s="8">
        <f>Table1[[#This Row],[C2]]-Table1[[#This Row],[C1]]</f>
        <v>0.49849999999999994</v>
      </c>
      <c r="J19" s="8">
        <f>Table1[[#This Row],[Tf]]-Table1[[#This Row],[Ti]]</f>
        <v>2.27</v>
      </c>
      <c r="K19" s="8">
        <f>IF(Table1[[#This Row],[Δt]]&gt;0,Table1[[#This Row],[ΔC]]/Table1[[#This Row],[Δt]],0)</f>
        <v>2.705342848614766E-3</v>
      </c>
      <c r="L19" s="8">
        <f>IF(Table1[[#This Row],[ΔTemp]]&gt;0,Table1[[#This Row],[ΔC]]/Table1[[#This Row],[ΔTemp]],0)</f>
        <v>0.21960352422907486</v>
      </c>
    </row>
    <row r="20" spans="1:12" x14ac:dyDescent="0.3">
      <c r="A20" s="3" t="s">
        <v>33</v>
      </c>
      <c r="B20" s="4">
        <v>128.58199999999999</v>
      </c>
      <c r="C20" s="4">
        <v>370.20100000000002</v>
      </c>
      <c r="D20" s="4">
        <v>10.492000000000001</v>
      </c>
      <c r="E20" s="4">
        <v>11.198399999999999</v>
      </c>
      <c r="F20" s="4">
        <v>1.97</v>
      </c>
      <c r="G20" s="4">
        <v>2.87</v>
      </c>
      <c r="H20" s="8">
        <f>Table1[[#This Row],[t2]]-Table1[[#This Row],[t1]]</f>
        <v>241.61900000000003</v>
      </c>
      <c r="I20" s="8">
        <f>Table1[[#This Row],[C2]]-Table1[[#This Row],[C1]]</f>
        <v>0.70639999999999858</v>
      </c>
      <c r="J20" s="8">
        <f>Table1[[#This Row],[Tf]]-Table1[[#This Row],[Ti]]</f>
        <v>0.90000000000000013</v>
      </c>
      <c r="K20" s="8">
        <f>IF(Table1[[#This Row],[Δt]]&gt;0,Table1[[#This Row],[ΔC]]/Table1[[#This Row],[Δt]],0)</f>
        <v>2.9236111398524061E-3</v>
      </c>
      <c r="L20" s="8">
        <f>IF(Table1[[#This Row],[ΔTemp]]&gt;0,Table1[[#This Row],[ΔC]]/Table1[[#This Row],[ΔTemp]],0)</f>
        <v>0.78488888888888719</v>
      </c>
    </row>
    <row r="21" spans="1:12" x14ac:dyDescent="0.3">
      <c r="A21" s="3" t="s">
        <v>34</v>
      </c>
      <c r="B21" s="4">
        <v>1076.58</v>
      </c>
      <c r="C21" s="4">
        <v>1215.02</v>
      </c>
      <c r="D21" s="4">
        <v>11.9488</v>
      </c>
      <c r="E21" s="4">
        <v>12.104900000000001</v>
      </c>
      <c r="F21" s="4">
        <v>2.0699999999999998</v>
      </c>
      <c r="G21" s="4">
        <v>2.5499999999999998</v>
      </c>
      <c r="H21" s="8">
        <f>Table1[[#This Row],[t2]]-Table1[[#This Row],[t1]]</f>
        <v>138.44000000000005</v>
      </c>
      <c r="I21" s="8">
        <f>Table1[[#This Row],[C2]]-Table1[[#This Row],[C1]]</f>
        <v>0.15610000000000035</v>
      </c>
      <c r="J21" s="8">
        <f>Table1[[#This Row],[Tf]]-Table1[[#This Row],[Ti]]</f>
        <v>0.48</v>
      </c>
      <c r="K21" s="8">
        <f>IF(Table1[[#This Row],[Δt]]&gt;0,Table1[[#This Row],[ΔC]]/Table1[[#This Row],[Δt]],0)</f>
        <v>1.127564287778101E-3</v>
      </c>
      <c r="L21" s="8">
        <f>IF(Table1[[#This Row],[ΔTemp]]&gt;0,Table1[[#This Row],[ΔC]]/Table1[[#This Row],[ΔTemp]],0)</f>
        <v>0.3252083333333341</v>
      </c>
    </row>
    <row r="22" spans="1:12" x14ac:dyDescent="0.3">
      <c r="A22" s="3" t="s">
        <v>35</v>
      </c>
      <c r="B22" s="4">
        <v>1711.02</v>
      </c>
      <c r="C22" s="4">
        <v>1856.37</v>
      </c>
      <c r="D22" s="4">
        <v>12.022259999999999</v>
      </c>
      <c r="E22" s="4">
        <v>12.2265</v>
      </c>
      <c r="F22" s="4">
        <v>2</v>
      </c>
      <c r="G22" s="4">
        <v>2.4500000000000002</v>
      </c>
      <c r="H22" s="8">
        <f>Table1[[#This Row],[t2]]-Table1[[#This Row],[t1]]</f>
        <v>145.34999999999991</v>
      </c>
      <c r="I22" s="8">
        <f>Table1[[#This Row],[C2]]-Table1[[#This Row],[C1]]</f>
        <v>0.20424000000000042</v>
      </c>
      <c r="J22" s="8">
        <f>Table1[[#This Row],[Tf]]-Table1[[#This Row],[Ti]]</f>
        <v>0.45000000000000018</v>
      </c>
      <c r="K22" s="8">
        <f>IF(Table1[[#This Row],[Δt]]&gt;0,Table1[[#This Row],[ΔC]]/Table1[[#This Row],[Δt]],0)</f>
        <v>1.405159958720334E-3</v>
      </c>
      <c r="L22" s="8">
        <f>IF(Table1[[#This Row],[ΔTemp]]&gt;0,Table1[[#This Row],[ΔC]]/Table1[[#This Row],[ΔTemp]],0)</f>
        <v>0.45386666666666742</v>
      </c>
    </row>
    <row r="23" spans="1:12" x14ac:dyDescent="0.3">
      <c r="A23" s="3" t="s">
        <v>36</v>
      </c>
      <c r="B23" s="4">
        <v>114.027</v>
      </c>
      <c r="C23" s="4">
        <v>315.536</v>
      </c>
      <c r="D23" s="4">
        <v>12.2456</v>
      </c>
      <c r="E23" s="4">
        <v>13.3847</v>
      </c>
      <c r="F23" s="4">
        <v>0.51</v>
      </c>
      <c r="G23" s="4">
        <v>1.54</v>
      </c>
      <c r="H23" s="8">
        <f>Table1[[#This Row],[t2]]-Table1[[#This Row],[t1]]</f>
        <v>201.50900000000001</v>
      </c>
      <c r="I23" s="8">
        <f>Table1[[#This Row],[C2]]-Table1[[#This Row],[C1]]</f>
        <v>1.1391000000000009</v>
      </c>
      <c r="J23" s="8">
        <f>Table1[[#This Row],[Tf]]-Table1[[#This Row],[Ti]]</f>
        <v>1.03</v>
      </c>
      <c r="K23" s="8">
        <f>IF(Table1[[#This Row],[Δt]]&gt;0,Table1[[#This Row],[ΔC]]/Table1[[#This Row],[Δt]],0)</f>
        <v>5.6528492523907157E-3</v>
      </c>
      <c r="L23" s="8">
        <f>IF(Table1[[#This Row],[ΔTemp]]&gt;0,Table1[[#This Row],[ΔC]]/Table1[[#This Row],[ΔTemp]],0)</f>
        <v>1.1059223300970882</v>
      </c>
    </row>
    <row r="24" spans="1:12" x14ac:dyDescent="0.3">
      <c r="A24" s="3" t="s">
        <v>37</v>
      </c>
      <c r="B24" s="4">
        <v>1020.28</v>
      </c>
      <c r="C24" s="4">
        <v>1201.04</v>
      </c>
      <c r="D24" s="4">
        <v>15.330500000000001</v>
      </c>
      <c r="E24" s="4">
        <v>15.750299999999999</v>
      </c>
      <c r="F24" s="4">
        <v>-0.51</v>
      </c>
      <c r="G24" s="4">
        <v>0.94</v>
      </c>
      <c r="H24" s="8">
        <f>Table1[[#This Row],[t2]]-Table1[[#This Row],[t1]]</f>
        <v>180.76</v>
      </c>
      <c r="I24" s="8">
        <f>Table1[[#This Row],[C2]]-Table1[[#This Row],[C1]]</f>
        <v>0.41979999999999862</v>
      </c>
      <c r="J24" s="8">
        <f>Table1[[#This Row],[Tf]]-Table1[[#This Row],[Ti]]</f>
        <v>1.45</v>
      </c>
      <c r="K24" s="8">
        <f>IF(Table1[[#This Row],[Δt]]&gt;0,Table1[[#This Row],[ΔC]]/Table1[[#This Row],[Δt]],0)</f>
        <v>2.3224164638194216E-3</v>
      </c>
      <c r="L24" s="8">
        <f>IF(Table1[[#This Row],[ΔTemp]]&gt;0,Table1[[#This Row],[ΔC]]/Table1[[#This Row],[ΔTemp]],0)</f>
        <v>0.2895172413793094</v>
      </c>
    </row>
    <row r="25" spans="1:12" x14ac:dyDescent="0.3">
      <c r="A25" s="3" t="s">
        <v>38</v>
      </c>
      <c r="B25" s="4">
        <v>601.13099999999997</v>
      </c>
      <c r="C25" s="4">
        <v>829.86199999999997</v>
      </c>
      <c r="D25" s="4">
        <v>12.425000000000001</v>
      </c>
      <c r="E25" s="4">
        <v>12.7706</v>
      </c>
      <c r="F25" s="4">
        <v>-1.89</v>
      </c>
      <c r="G25" s="4">
        <v>-0.19</v>
      </c>
      <c r="H25" s="8">
        <f>Table1[[#This Row],[t2]]-Table1[[#This Row],[t1]]</f>
        <v>228.73099999999999</v>
      </c>
      <c r="I25" s="8">
        <f>Table1[[#This Row],[C2]]-Table1[[#This Row],[C1]]</f>
        <v>0.34559999999999924</v>
      </c>
      <c r="J25" s="8">
        <f>Table1[[#This Row],[Tf]]-Table1[[#This Row],[Ti]]</f>
        <v>1.7</v>
      </c>
      <c r="K25" s="8">
        <f>IF(Table1[[#This Row],[Δt]]&gt;0,Table1[[#This Row],[ΔC]]/Table1[[#This Row],[Δt]],0)</f>
        <v>1.5109451714022115E-3</v>
      </c>
      <c r="L25" s="8">
        <f>IF(Table1[[#This Row],[ΔTemp]]&gt;0,Table1[[#This Row],[ΔC]]/Table1[[#This Row],[ΔTemp]],0)</f>
        <v>0.20329411764705838</v>
      </c>
    </row>
    <row r="26" spans="1:12" x14ac:dyDescent="0.3">
      <c r="A26" s="3" t="s">
        <v>39</v>
      </c>
      <c r="B26" s="4">
        <v>1399.16</v>
      </c>
      <c r="C26" s="4">
        <v>1620.21</v>
      </c>
      <c r="D26" s="4">
        <v>12.760400000000001</v>
      </c>
      <c r="E26" s="4">
        <v>12.9968</v>
      </c>
      <c r="F26" s="4">
        <v>-1.76</v>
      </c>
      <c r="G26" s="4">
        <v>0.01</v>
      </c>
      <c r="H26" s="8">
        <f>Table1[[#This Row],[t2]]-Table1[[#This Row],[t1]]</f>
        <v>221.04999999999995</v>
      </c>
      <c r="I26" s="8">
        <f>Table1[[#This Row],[C2]]-Table1[[#This Row],[C1]]</f>
        <v>0.23639999999999972</v>
      </c>
      <c r="J26" s="8">
        <f>Table1[[#This Row],[Tf]]-Table1[[#This Row],[Ti]]</f>
        <v>1.77</v>
      </c>
      <c r="K26" s="8">
        <f>IF(Table1[[#This Row],[Δt]]&gt;0,Table1[[#This Row],[ΔC]]/Table1[[#This Row],[Δt]],0)</f>
        <v>1.0694413028726523E-3</v>
      </c>
      <c r="L26" s="8">
        <f>IF(Table1[[#This Row],[ΔTemp]]&gt;0,Table1[[#This Row],[ΔC]]/Table1[[#This Row],[ΔTemp]],0)</f>
        <v>0.13355932203389814</v>
      </c>
    </row>
    <row r="27" spans="1:12" x14ac:dyDescent="0.3">
      <c r="A27" s="3" t="s">
        <v>40</v>
      </c>
      <c r="B27" s="4">
        <v>2095.59</v>
      </c>
      <c r="C27" s="4">
        <v>2315.41</v>
      </c>
      <c r="D27" s="4">
        <v>12.915800000000001</v>
      </c>
      <c r="E27" s="4">
        <v>13.1599</v>
      </c>
      <c r="F27" s="4">
        <v>-1.51</v>
      </c>
      <c r="G27" s="4">
        <v>0.17</v>
      </c>
      <c r="H27" s="8">
        <f>Table1[[#This Row],[t2]]-Table1[[#This Row],[t1]]</f>
        <v>219.81999999999971</v>
      </c>
      <c r="I27" s="8">
        <f>Table1[[#This Row],[C2]]-Table1[[#This Row],[C1]]</f>
        <v>0.24409999999999954</v>
      </c>
      <c r="J27" s="8">
        <f>Table1[[#This Row],[Tf]]-Table1[[#This Row],[Ti]]</f>
        <v>1.68</v>
      </c>
      <c r="K27" s="8">
        <f>IF(Table1[[#This Row],[Δt]]&gt;0,Table1[[#This Row],[ΔC]]/Table1[[#This Row],[Δt]],0)</f>
        <v>1.1104540078245831E-3</v>
      </c>
      <c r="L27" s="8">
        <f>IF(Table1[[#This Row],[ΔTemp]]&gt;0,Table1[[#This Row],[ΔC]]/Table1[[#This Row],[ΔTemp]],0)</f>
        <v>0.14529761904761879</v>
      </c>
    </row>
    <row r="28" spans="1:12" x14ac:dyDescent="0.3">
      <c r="A28" s="3" t="s">
        <v>41</v>
      </c>
      <c r="B28" s="4">
        <v>216.16800000000001</v>
      </c>
      <c r="C28" s="4">
        <v>326.327</v>
      </c>
      <c r="D28" s="4">
        <v>7.8375899999999996</v>
      </c>
      <c r="E28" s="4">
        <v>7.8912300000000002</v>
      </c>
      <c r="F28" s="4">
        <v>1.66</v>
      </c>
      <c r="G28" s="4">
        <v>2.2999999999999998</v>
      </c>
      <c r="H28" s="8">
        <f>Table1[[#This Row],[t2]]-Table1[[#This Row],[t1]]</f>
        <v>110.15899999999999</v>
      </c>
      <c r="I28" s="8">
        <f>Table1[[#This Row],[C2]]-Table1[[#This Row],[C1]]</f>
        <v>5.3640000000000576E-2</v>
      </c>
      <c r="J28" s="8">
        <f>Table1[[#This Row],[Tf]]-Table1[[#This Row],[Ti]]</f>
        <v>0.6399999999999999</v>
      </c>
      <c r="K28" s="8">
        <f>IF(Table1[[#This Row],[Δt]]&gt;0,Table1[[#This Row],[ΔC]]/Table1[[#This Row],[Δt]],0)</f>
        <v>4.8693252480505979E-4</v>
      </c>
      <c r="L28" s="8">
        <f>IF(Table1[[#This Row],[ΔTemp]]&gt;0,Table1[[#This Row],[ΔC]]/Table1[[#This Row],[ΔTemp]],0)</f>
        <v>8.3812500000000914E-2</v>
      </c>
    </row>
    <row r="29" spans="1:12" x14ac:dyDescent="0.3">
      <c r="A29" s="3" t="s">
        <v>42</v>
      </c>
      <c r="B29" s="4">
        <v>1159.02</v>
      </c>
      <c r="C29" s="4">
        <v>1236.1199999999999</v>
      </c>
      <c r="D29" s="4">
        <v>8.0931800000000003</v>
      </c>
      <c r="E29" s="4">
        <v>8.6411999999999995</v>
      </c>
      <c r="F29" s="4">
        <v>1.41</v>
      </c>
      <c r="G29" s="4">
        <v>1.98</v>
      </c>
      <c r="H29" s="8">
        <f>Table1[[#This Row],[t2]]-Table1[[#This Row],[t1]]</f>
        <v>77.099999999999909</v>
      </c>
      <c r="I29" s="8">
        <f>Table1[[#This Row],[C2]]-Table1[[#This Row],[C1]]</f>
        <v>0.54801999999999929</v>
      </c>
      <c r="J29" s="8">
        <f>Table1[[#This Row],[Tf]]-Table1[[#This Row],[Ti]]</f>
        <v>0.57000000000000006</v>
      </c>
      <c r="K29" s="8">
        <f>IF(Table1[[#This Row],[Δt]]&gt;0,Table1[[#This Row],[ΔC]]/Table1[[#This Row],[Δt]],0)</f>
        <v>7.1079118028534363E-3</v>
      </c>
      <c r="L29" s="8">
        <f>IF(Table1[[#This Row],[ΔTemp]]&gt;0,Table1[[#This Row],[ΔC]]/Table1[[#This Row],[ΔTemp]],0)</f>
        <v>0.96143859649122676</v>
      </c>
    </row>
    <row r="30" spans="1:12" x14ac:dyDescent="0.3">
      <c r="A30" s="3" t="s">
        <v>43</v>
      </c>
      <c r="B30" s="4">
        <v>2051.61</v>
      </c>
      <c r="C30" s="4">
        <v>2147.3200000000002</v>
      </c>
      <c r="D30" s="4">
        <v>8.2891999999999992</v>
      </c>
      <c r="E30" s="4">
        <v>8.3385700000000007</v>
      </c>
      <c r="F30" s="4">
        <v>1.62</v>
      </c>
      <c r="G30" s="4">
        <v>2.1</v>
      </c>
      <c r="H30" s="8">
        <f>Table1[[#This Row],[t2]]-Table1[[#This Row],[t1]]</f>
        <v>95.710000000000036</v>
      </c>
      <c r="I30" s="8">
        <f>Table1[[#This Row],[C2]]-Table1[[#This Row],[C1]]</f>
        <v>4.9370000000001468E-2</v>
      </c>
      <c r="J30" s="8">
        <f>Table1[[#This Row],[Tf]]-Table1[[#This Row],[Ti]]</f>
        <v>0.48</v>
      </c>
      <c r="K30" s="8">
        <f>IF(Table1[[#This Row],[Δt]]&gt;0,Table1[[#This Row],[ΔC]]/Table1[[#This Row],[Δt]],0)</f>
        <v>5.1582906697316322E-4</v>
      </c>
      <c r="L30" s="8">
        <f>IF(Table1[[#This Row],[ΔTemp]]&gt;0,Table1[[#This Row],[ΔC]]/Table1[[#This Row],[ΔTemp]],0)</f>
        <v>0.10285416666666973</v>
      </c>
    </row>
    <row r="31" spans="1:12" x14ac:dyDescent="0.3">
      <c r="A31" s="10" t="s">
        <v>16</v>
      </c>
      <c r="B31" s="11"/>
      <c r="C31" s="11"/>
      <c r="D31" s="11"/>
      <c r="E31" s="11"/>
      <c r="F31" s="11"/>
      <c r="G31" s="11"/>
      <c r="H31" s="5">
        <f>AVERAGE(Table1[Δt])</f>
        <v>129.73933103448275</v>
      </c>
      <c r="I31" s="5">
        <f>AVERAGE(Table1[ΔC])</f>
        <v>0.24934999999999996</v>
      </c>
      <c r="J31" s="5">
        <f>AVERAGE(Table1[ΔTemp])</f>
        <v>1.0131034482758621</v>
      </c>
      <c r="K31" s="9">
        <f>AVERAGE(Table1[m(t,C)])</f>
        <v>1.8289573117839333E-3</v>
      </c>
      <c r="L31" s="5">
        <f>AVERAGE(Table1[ΔC/ΔT])</f>
        <v>0.45351952836038067</v>
      </c>
    </row>
    <row r="32" spans="1:12" ht="15" thickBot="1" x14ac:dyDescent="0.35">
      <c r="A32" s="12" t="s">
        <v>12</v>
      </c>
      <c r="B32" s="12"/>
      <c r="C32" s="12"/>
      <c r="D32" s="12"/>
      <c r="E32" s="12"/>
      <c r="F32" s="12"/>
      <c r="G32" s="12"/>
      <c r="H32" s="6">
        <f>_xlfn.STDEV.P(Table1[Δt])</f>
        <v>58.08239775762744</v>
      </c>
      <c r="I32" s="6">
        <f>_xlfn.STDEV.P(Table1[ΔC])</f>
        <v>0.25834301911245444</v>
      </c>
      <c r="J32" s="6">
        <f>_xlfn.STDEV.P(Table1[ΔTemp])</f>
        <v>0.77504662128192225</v>
      </c>
      <c r="K32" s="6">
        <f>_xlfn.STDEV.P(Table1[m(t,C)])</f>
        <v>1.8974602778409325E-3</v>
      </c>
      <c r="L32" s="6">
        <f>_xlfn.STDEV.P(Table1[ΔC/ΔT])</f>
        <v>0.86362694798848894</v>
      </c>
    </row>
    <row r="33" spans="1:12" ht="15.6" thickTop="1" thickBot="1" x14ac:dyDescent="0.35">
      <c r="A33" s="12" t="s">
        <v>11</v>
      </c>
      <c r="B33" s="12"/>
      <c r="C33" s="12"/>
      <c r="D33" s="12"/>
      <c r="E33" s="12"/>
      <c r="F33" s="12"/>
      <c r="G33" s="12"/>
      <c r="H33" s="7">
        <f>H32/H31</f>
        <v>0.4476853494965996</v>
      </c>
      <c r="I33" s="7">
        <f t="shared" ref="I33:L33" si="0">I32/I31</f>
        <v>1.0360658476537177</v>
      </c>
      <c r="J33" s="7">
        <f t="shared" si="0"/>
        <v>0.76502219255193138</v>
      </c>
      <c r="K33" s="7">
        <f t="shared" si="0"/>
        <v>1.0374546555108946</v>
      </c>
      <c r="L33" s="7">
        <f t="shared" si="0"/>
        <v>1.90427731108025</v>
      </c>
    </row>
    <row r="34" spans="1:12" ht="15" thickTop="1" x14ac:dyDescent="0.3"/>
  </sheetData>
  <mergeCells count="3">
    <mergeCell ref="A31:G31"/>
    <mergeCell ref="A33:G33"/>
    <mergeCell ref="A32:G32"/>
  </mergeCells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Nicolau Solé Coves</dc:creator>
  <cp:lastModifiedBy>Nicolau Solé</cp:lastModifiedBy>
  <dcterms:created xsi:type="dcterms:W3CDTF">2015-06-05T18:17:20Z</dcterms:created>
  <dcterms:modified xsi:type="dcterms:W3CDTF">2025-06-06T17:32:50Z</dcterms:modified>
</cp:coreProperties>
</file>