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K70" i="5" l="1"/>
  <c r="K69" i="5"/>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<sst xmlns="http://schemas.openxmlformats.org/spreadsheetml/2006/main" count="218" uniqueCount="109">
  <si>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</si>
  <si>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</si>
  <si>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</si>
  <si>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</si>
  <si>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</si>
  <si>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</si>
  <si>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</si>
  <si>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</si>
  <si>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</si>
  <si>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</si>
  <si>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</si>
  <si>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</si>
  <si>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</si>
  <si>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</si>
  <si>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</si>
  <si>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</si>
  <si>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</si>
  <si>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</si>
  <si>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</si>
  <si>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</si>
  <si>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</si>
  <si>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</si>
  <si>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</si>
  <si>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</si>
  <si>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</si>
  <si>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</si>
  <si>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</si>
  <si>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</si>
  <si>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</si>
  <si>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</si>
  <si>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</si>
  <si>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</si>
  <si>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</si>
  <si>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</si>
  <si>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</si>
  <si>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</si>
  <si>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</si>
  <si>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</si>
  <si>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</si>
  <si>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</si>
  <si>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</si>
  <si>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</si>
  <si>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</si>
  <si>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</si>
  <si>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</si>
  <si>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</si>
  <si>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</si>
  <si>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</si>
  <si>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</si>
  <si>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</si>
  <si>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</si>
  <si>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</si>
  <si>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</si>
  <si>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</si>
  <si>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</si>
  <si>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</si>
  <si>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</si>
  <si>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</si>
  <si>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</si>
  <si>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</si>
  <si>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</si>
  <si>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</si>
  <si>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</si>
  <si>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</si>
  <si>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</si>
  <si>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</si>
  <si>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</si>
  <si>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</si>
  <si>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</si>
  <si>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</si>
  <si>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</si>
  <si>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</si>
  <si>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</si>
  <si>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</si>
  <si>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</si>
  <si>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</si>
  <si>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</si>
  <si>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</si>
  <si>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</si>
  <si>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</si>
  <si>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</si>
  <si>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</si>
  <si>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</si>
  <si>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</si>
  <si>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</si>
  <si>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</si>
  <si>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</si>
  <si>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</si>
  <si>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</si>
  <si>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</si>
  <si>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</si>
  <si>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</si>
  <si>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</si>
  <si>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</si>
  <si>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</si>
  <si>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</si>
  <si>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</si>
  <si>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</si>
  <si>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</si>
  <si>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</si>
  <si>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</si>
  <si>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</si>
  <si>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</si>
  <si>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</si>
  <si>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</si>
  <si>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</si>
  <si>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</si>
  <si>
    <t>Principle Paid:</t>
  </si>
  <si>
    <t>Interest Paid: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</si>
</sst>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rgb="FF00B050"/>
      <name val="Arial"/>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5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43" fillId="0" borderId="0" xfId="0" applyFont="1" applyAlignment="1" applyProtection="1">
      <alignment horizontal="center"/>
    </xf>
    <xf numFmtId="165" fontId="43" fillId="0" borderId="0" xfId="0" applyNumberFormat="1" applyFont="1" applyAlignment="1" applyProtection="1">
      <alignment horizontal="center"/>
    </xf>
    <xf numFmtId="4" fontId="43" fillId="0" borderId="0" xfId="0" applyNumberFormat="1" applyFont="1" applyAlignment="1" applyProtection="1">
      <alignment horizontal="center"/>
    </xf>
    <xf numFmtId="4" fontId="43" fillId="0" borderId="3" xfId="0" applyNumberFormat="1" applyFont="1" applyBorder="1" applyAlignment="1" applyProtection="1">
      <alignment horizontal="center"/>
      <protection locked="0"/>
    </xf>
    <xf numFmtId="4" fontId="43" fillId="0" borderId="0" xfId="0" applyNumberFormat="1" applyFont="1" applyAlignment="1" applyProtection="1">
      <alignment horizontal="right"/>
    </xf>
    <xf numFmtId="4" fontId="43" fillId="0" borderId="4" xfId="0" applyNumberFormat="1" applyFont="1" applyBorder="1" applyAlignment="1" applyProtection="1">
      <alignment horizontal="center"/>
      <protection locked="0"/>
    </xf>
    <xf numFmtId="0" fontId="1" fillId="0" borderId="0" xfId="0" applyFont="1" applyAlignment="1" applyProtection="1">
      <alignment horizontal="right"/>
    </xf>
    <xf numFmtId="0" fontId="10" fillId="0" borderId="0" xfId="0" applyFont="1" applyProtection="1"/>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topLeftCell="A7" workbookViewId="0">
      <selection activeCell="H77" sqref="H77"/>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8.140625" style="1" customWidth="1"/>
    <col min="12" max="12" width="14.28515625" style="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2008-2019 Vertex42 LLC</v>
      </c>
      <c r="J2" s="69" t="s">
        <v>57</v>
      </c>
    </row>
    <row r="3" spans="1:12" x14ac:dyDescent="0.2">
      <c r="A3" s="2"/>
      <c r="B3" s="2"/>
      <c r="C3" s="2"/>
      <c r="D3" s="2"/>
      <c r="E3" s="2"/>
      <c r="F3" s="2"/>
      <c r="G3" s="2"/>
      <c r="H3" s="2"/>
      <c r="J3" s="152" t="s">
        <v>58</v>
      </c>
    </row>
    <row r="4" spans="1:12" x14ac:dyDescent="0.2">
      <c r="A4" s="2"/>
      <c r="B4" s="2"/>
      <c r="C4" s="2"/>
      <c r="D4" s="2"/>
      <c r="E4" s="2"/>
      <c r="F4" s="2"/>
      <c r="G4" s="2"/>
      <c r="H4" s="2"/>
      <c r="J4" s="153"/>
    </row>
    <row r="5" spans="1:12" ht="14.25" x14ac:dyDescent="0.2">
      <c r="A5" s="76" t="s">
        <v>2</v>
      </c>
      <c r="B5" s="78"/>
      <c r="C5" s="78"/>
      <c r="D5" s="78"/>
      <c r="F5" s="76" t="s">
        <v>3</v>
      </c>
      <c r="G5" s="77"/>
      <c r="H5" s="77"/>
      <c r="J5" s="153"/>
      <c r="L5" s="4" t="s">
        <v>4</v>
      </c>
    </row>
    <row r="6" spans="1:12" ht="15" customHeight="1" x14ac:dyDescent="0.2">
      <c r="A6" s="79"/>
      <c r="B6" s="79"/>
      <c r="C6" s="80" t="s">
        <v>5</v>
      </c>
      <c r="D6" s="73">
        <v>150000</v>
      </c>
      <c r="E6" s="2"/>
      <c r="F6" s="2"/>
      <c r="G6" s="5" t="s">
        <v>6</v>
      </c>
      <c r="H6" s="6">
        <f>((1+D7/D15)^(D15/D14))-1</f>
        <v>1.9230769230769162E-3</v>
      </c>
      <c r="J6" s="153"/>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4"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4"/>
      <c r="L9" s="1" t="s">
        <v>15</v>
      </c>
    </row>
    <row r="10" spans="1:12" ht="15" customHeight="1" x14ac:dyDescent="0.25">
      <c r="A10" s="79"/>
      <c r="B10" s="79"/>
      <c r="C10" s="80" t="s">
        <v>16</v>
      </c>
      <c r="D10" s="9" t="s">
        <v>23</v>
      </c>
      <c r="E10" s="2"/>
      <c r="H10" s="10" t="str">
        <f ca="1">IF(AND(NOT(H840=""),H840&gt;0.004),"ERROR: Limit is "&amp;OFFSET(A841,-1,0,1,1)&amp;" payments",".")</f>
        <v>.</v>
      </c>
      <c r="J10" s="154"/>
      <c r="L10" s="1" t="s">
        <v>17</v>
      </c>
    </row>
    <row r="11" spans="1:12" ht="15" customHeight="1" x14ac:dyDescent="0.2">
      <c r="A11" s="79"/>
      <c r="B11" s="79"/>
      <c r="C11" s="80" t="s">
        <v>19</v>
      </c>
      <c r="D11" s="128" t="str">
        <f>D10</f>
        <v>Bi-Weekly</v>
      </c>
      <c r="F11" s="2"/>
      <c r="G11" s="2"/>
      <c r="H11" s="11" t="str">
        <f>IF(D15&gt;D14,"Warning: negative amortization",".")</f>
        <v>.</v>
      </c>
      <c r="J11" s="154"/>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x14ac:dyDescent="0.2">
      <c r="A61" s="144">
        <f t="shared" ref="A61:A124" si="4">IF(H60="","",IF(roundOpt,IF(OR(A60&gt;=nper,ROUND(H60,2)&lt;=0),"",A60+1),IF(OR(A60&gt;=nper,H60&lt;=0),"",A60+1)))</f>
        <v>1</v>
      </c>
      <c r="B61" s="14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6">
        <f t="shared" ref="C61:C124" si="6">IF(A61="","",IF(roundOpt,IF(OR(A61=nper,payment&gt;ROUND((1+rate)*H60,2)),ROUND((1+rate)*H60,2),payment),IF(OR(A61=nper,payment&gt;(1+rate)*H60),(1+rate)*H60,payment)))</f>
        <v>795</v>
      </c>
      <c r="D61" s="147">
        <v>0</v>
      </c>
      <c r="E61" s="148"/>
      <c r="F61" s="148">
        <f t="shared" ref="F61:F124" si="7">IF(A61="","",IF(AND(A61=1,pmtType=1),0,IF(roundOpt,ROUND(rate*H60,2),rate*H60)))</f>
        <v>288.45999999999998</v>
      </c>
      <c r="G61" s="148">
        <f t="shared" ref="G61:G124" si="8">IF(A61="","",C61-F61+D61)</f>
        <v>506.54</v>
      </c>
      <c r="H61" s="148">
        <f t="shared" ref="H61:H124" si="9">IF(A61="","",H60-G61)</f>
        <v>149493.46</v>
      </c>
    </row>
    <row r="62" spans="1:10" x14ac:dyDescent="0.2">
      <c r="A62" s="144">
        <f t="shared" si="4"/>
        <v>2</v>
      </c>
      <c r="B62" s="145">
        <f t="shared" si="5"/>
        <v>43362</v>
      </c>
      <c r="C62" s="146">
        <f t="shared" si="6"/>
        <v>795</v>
      </c>
      <c r="D62" s="149">
        <v>0</v>
      </c>
      <c r="E62" s="148"/>
      <c r="F62" s="148">
        <f t="shared" si="7"/>
        <v>287.49</v>
      </c>
      <c r="G62" s="148">
        <f t="shared" si="8"/>
        <v>507.51</v>
      </c>
      <c r="H62" s="148">
        <f t="shared" si="9"/>
        <v>148985.94999999998</v>
      </c>
    </row>
    <row r="63" spans="1:10" x14ac:dyDescent="0.2">
      <c r="A63" s="144">
        <f t="shared" si="4"/>
        <v>3</v>
      </c>
      <c r="B63" s="145">
        <f t="shared" si="5"/>
        <v>43376</v>
      </c>
      <c r="C63" s="146">
        <f t="shared" si="6"/>
        <v>795</v>
      </c>
      <c r="D63" s="149">
        <v>0</v>
      </c>
      <c r="E63" s="148"/>
      <c r="F63" s="148">
        <f t="shared" si="7"/>
        <v>286.51</v>
      </c>
      <c r="G63" s="148">
        <f t="shared" si="8"/>
        <v>508.49</v>
      </c>
      <c r="H63" s="148">
        <f t="shared" si="9"/>
        <v>148477.46</v>
      </c>
    </row>
    <row r="64" spans="1:10" x14ac:dyDescent="0.2">
      <c r="A64" s="144">
        <f t="shared" si="4"/>
        <v>4</v>
      </c>
      <c r="B64" s="145">
        <f t="shared" si="5"/>
        <v>43390</v>
      </c>
      <c r="C64" s="146">
        <f t="shared" si="6"/>
        <v>795</v>
      </c>
      <c r="D64" s="149">
        <v>0</v>
      </c>
      <c r="E64" s="148"/>
      <c r="F64" s="148">
        <f t="shared" si="7"/>
        <v>285.52999999999997</v>
      </c>
      <c r="G64" s="148">
        <f t="shared" si="8"/>
        <v>509.47</v>
      </c>
      <c r="H64" s="148">
        <f t="shared" si="9"/>
        <v>147967.99</v>
      </c>
    </row>
    <row r="65" spans="1:12" x14ac:dyDescent="0.2">
      <c r="A65" s="144">
        <f t="shared" si="4"/>
        <v>5</v>
      </c>
      <c r="B65" s="145">
        <f t="shared" si="5"/>
        <v>43404</v>
      </c>
      <c r="C65" s="146">
        <f t="shared" si="6"/>
        <v>795</v>
      </c>
      <c r="D65" s="149">
        <v>0</v>
      </c>
      <c r="E65" s="148"/>
      <c r="F65" s="148">
        <f t="shared" si="7"/>
        <v>284.55</v>
      </c>
      <c r="G65" s="148">
        <f t="shared" si="8"/>
        <v>510.45</v>
      </c>
      <c r="H65" s="148">
        <f t="shared" si="9"/>
        <v>147457.53999999998</v>
      </c>
      <c r="L65" s="20"/>
    </row>
    <row r="66" spans="1:12" x14ac:dyDescent="0.2">
      <c r="A66" s="144">
        <f t="shared" si="4"/>
        <v>6</v>
      </c>
      <c r="B66" s="145">
        <f t="shared" si="5"/>
        <v>43418</v>
      </c>
      <c r="C66" s="146">
        <f t="shared" si="6"/>
        <v>795</v>
      </c>
      <c r="D66" s="149">
        <v>0</v>
      </c>
      <c r="E66" s="148"/>
      <c r="F66" s="148">
        <f t="shared" si="7"/>
        <v>283.57</v>
      </c>
      <c r="G66" s="148">
        <f t="shared" si="8"/>
        <v>511.43</v>
      </c>
      <c r="H66" s="148">
        <f t="shared" si="9"/>
        <v>146946.10999999999</v>
      </c>
      <c r="J66" s="3"/>
      <c r="L66" s="20"/>
    </row>
    <row r="67" spans="1:12" x14ac:dyDescent="0.2">
      <c r="A67" s="144">
        <f t="shared" si="4"/>
        <v>7</v>
      </c>
      <c r="B67" s="145">
        <f t="shared" si="5"/>
        <v>43432</v>
      </c>
      <c r="C67" s="146">
        <f t="shared" si="6"/>
        <v>795</v>
      </c>
      <c r="D67" s="149">
        <v>0</v>
      </c>
      <c r="E67" s="148"/>
      <c r="F67" s="148">
        <f t="shared" si="7"/>
        <v>282.58999999999997</v>
      </c>
      <c r="G67" s="148">
        <f t="shared" si="8"/>
        <v>512.41000000000008</v>
      </c>
      <c r="H67" s="148">
        <f t="shared" si="9"/>
        <v>146433.69999999998</v>
      </c>
      <c r="J67" s="3"/>
      <c r="L67" s="21"/>
    </row>
    <row r="68" spans="1:12" x14ac:dyDescent="0.2">
      <c r="A68" s="144">
        <f t="shared" si="4"/>
        <v>8</v>
      </c>
      <c r="B68" s="145">
        <f t="shared" si="5"/>
        <v>43446</v>
      </c>
      <c r="C68" s="146">
        <f t="shared" si="6"/>
        <v>795</v>
      </c>
      <c r="D68" s="149">
        <v>0</v>
      </c>
      <c r="E68" s="148"/>
      <c r="F68" s="148">
        <f t="shared" si="7"/>
        <v>281.60000000000002</v>
      </c>
      <c r="G68" s="148">
        <f t="shared" si="8"/>
        <v>513.4</v>
      </c>
      <c r="H68" s="148">
        <f t="shared" si="9"/>
        <v>145920.29999999999</v>
      </c>
      <c r="K68" s="151">
        <v>2018</v>
      </c>
    </row>
    <row r="69" spans="1:12" x14ac:dyDescent="0.2">
      <c r="A69" s="144">
        <f t="shared" si="4"/>
        <v>9</v>
      </c>
      <c r="B69" s="145">
        <f t="shared" si="5"/>
        <v>43460</v>
      </c>
      <c r="C69" s="146">
        <f t="shared" si="6"/>
        <v>795</v>
      </c>
      <c r="D69" s="149">
        <v>0</v>
      </c>
      <c r="E69" s="148"/>
      <c r="F69" s="148">
        <f t="shared" si="7"/>
        <v>280.62</v>
      </c>
      <c r="G69" s="148">
        <f t="shared" si="8"/>
        <v>514.38</v>
      </c>
      <c r="H69" s="148">
        <f t="shared" si="9"/>
        <v>145405.91999999998</v>
      </c>
      <c r="J69" s="150" t="s">
        <v>107</v>
      </c>
      <c r="K69" s="17">
        <f>SUM(G61:G69)</f>
        <v>4594.08</v>
      </c>
    </row>
    <row r="70" spans="1:12" x14ac:dyDescent="0.2">
      <c r="A70" s="144">
        <f t="shared" si="4"/>
        <v>10</v>
      </c>
      <c r="B70" s="145">
        <f t="shared" si="5"/>
        <v>43474</v>
      </c>
      <c r="C70" s="146">
        <f t="shared" si="6"/>
        <v>795</v>
      </c>
      <c r="D70" s="149">
        <v>0</v>
      </c>
      <c r="E70" s="148"/>
      <c r="F70" s="148">
        <f t="shared" si="7"/>
        <v>279.63</v>
      </c>
      <c r="G70" s="148">
        <f t="shared" si="8"/>
        <v>515.37</v>
      </c>
      <c r="H70" s="148">
        <f t="shared" si="9"/>
        <v>144890.54999999999</v>
      </c>
      <c r="J70" s="150" t="s">
        <v>108</v>
      </c>
      <c r="K70" s="17">
        <f>SUM(F61:F69)</f>
        <v>2560.9199999999996</v>
      </c>
    </row>
    <row r="71" spans="1:12" x14ac:dyDescent="0.2">
      <c r="A71" s="144">
        <f t="shared" si="4"/>
        <v>11</v>
      </c>
      <c r="B71" s="145">
        <f t="shared" si="5"/>
        <v>43488</v>
      </c>
      <c r="C71" s="146">
        <f t="shared" si="6"/>
        <v>795</v>
      </c>
      <c r="D71" s="149">
        <v>0</v>
      </c>
      <c r="E71" s="148"/>
      <c r="F71" s="148">
        <f t="shared" si="7"/>
        <v>278.64</v>
      </c>
      <c r="G71" s="148">
        <f t="shared" si="8"/>
        <v>516.36</v>
      </c>
      <c r="H71" s="148">
        <f t="shared" si="9"/>
        <v>144374.19</v>
      </c>
    </row>
    <row r="72" spans="1:12" x14ac:dyDescent="0.2">
      <c r="A72" s="144">
        <f t="shared" si="4"/>
        <v>12</v>
      </c>
      <c r="B72" s="145">
        <f t="shared" si="5"/>
        <v>43502</v>
      </c>
      <c r="C72" s="146">
        <f t="shared" si="6"/>
        <v>795</v>
      </c>
      <c r="D72" s="149">
        <v>0</v>
      </c>
      <c r="E72" s="148"/>
      <c r="F72" s="148">
        <f t="shared" si="7"/>
        <v>277.64</v>
      </c>
      <c r="G72" s="148">
        <f t="shared" si="8"/>
        <v>517.36</v>
      </c>
      <c r="H72" s="148">
        <f t="shared" si="9"/>
        <v>143856.83000000002</v>
      </c>
    </row>
    <row r="73" spans="1:12" x14ac:dyDescent="0.2">
      <c r="A73" s="144">
        <f t="shared" si="4"/>
        <v>13</v>
      </c>
      <c r="B73" s="145">
        <f t="shared" si="5"/>
        <v>43516</v>
      </c>
      <c r="C73" s="146">
        <f t="shared" si="6"/>
        <v>795</v>
      </c>
      <c r="D73" s="149">
        <v>0</v>
      </c>
      <c r="E73" s="148"/>
      <c r="F73" s="148">
        <f t="shared" si="7"/>
        <v>276.64999999999998</v>
      </c>
      <c r="G73" s="148">
        <f t="shared" si="8"/>
        <v>518.35</v>
      </c>
      <c r="H73" s="148">
        <f t="shared" si="9"/>
        <v>143338.48000000001</v>
      </c>
    </row>
    <row r="74" spans="1:12" x14ac:dyDescent="0.2">
      <c r="A74" s="18">
        <f t="shared" si="4"/>
        <v>14</v>
      </c>
      <c r="B74" s="89">
        <f t="shared" si="5"/>
        <v>43530</v>
      </c>
      <c r="C74" s="98">
        <f t="shared" si="6"/>
        <v>795</v>
      </c>
      <c r="D74" s="99"/>
      <c r="E74" s="19"/>
      <c r="F74" s="19">
        <f t="shared" si="7"/>
        <v>275.64999999999998</v>
      </c>
      <c r="G74" s="19">
        <f t="shared" si="8"/>
        <v>519.35</v>
      </c>
      <c r="H74" s="19">
        <f t="shared" si="9"/>
        <v>142819.13</v>
      </c>
    </row>
    <row r="75" spans="1:12" x14ac:dyDescent="0.2">
      <c r="A75" s="18">
        <f t="shared" si="4"/>
        <v>15</v>
      </c>
      <c r="B75" s="89">
        <f t="shared" si="5"/>
        <v>43544</v>
      </c>
      <c r="C75" s="98">
        <f t="shared" si="6"/>
        <v>795</v>
      </c>
      <c r="D75" s="99"/>
      <c r="E75" s="19"/>
      <c r="F75" s="19">
        <f t="shared" si="7"/>
        <v>274.64999999999998</v>
      </c>
      <c r="G75" s="19">
        <f t="shared" si="8"/>
        <v>520.35</v>
      </c>
      <c r="H75" s="19">
        <f t="shared" si="9"/>
        <v>142298.78</v>
      </c>
    </row>
    <row r="76" spans="1:12" x14ac:dyDescent="0.2">
      <c r="A76" s="18">
        <f t="shared" si="4"/>
        <v>16</v>
      </c>
      <c r="B76" s="89">
        <f t="shared" si="5"/>
        <v>43558</v>
      </c>
      <c r="C76" s="98">
        <f t="shared" si="6"/>
        <v>795</v>
      </c>
      <c r="D76" s="99"/>
      <c r="E76" s="19"/>
      <c r="F76" s="19">
        <f t="shared" si="7"/>
        <v>273.64999999999998</v>
      </c>
      <c r="G76" s="19">
        <f t="shared" si="8"/>
        <v>521.35</v>
      </c>
      <c r="H76" s="19">
        <f t="shared" si="9"/>
        <v>141777.43</v>
      </c>
    </row>
    <row r="77" spans="1:12" x14ac:dyDescent="0.2">
      <c r="A77" s="18">
        <f t="shared" si="4"/>
        <v>17</v>
      </c>
      <c r="B77" s="89">
        <f t="shared" si="5"/>
        <v>43572</v>
      </c>
      <c r="C77" s="98">
        <f t="shared" si="6"/>
        <v>795</v>
      </c>
      <c r="D77" s="99"/>
      <c r="E77" s="19"/>
      <c r="F77" s="19">
        <f t="shared" si="7"/>
        <v>272.64999999999998</v>
      </c>
      <c r="G77" s="19">
        <f t="shared" si="8"/>
        <v>522.35</v>
      </c>
      <c r="H77" s="19">
        <f t="shared" si="9"/>
        <v>141255.07999999999</v>
      </c>
    </row>
    <row r="78" spans="1:12" x14ac:dyDescent="0.2">
      <c r="A78" s="18">
        <f t="shared" si="4"/>
        <v>18</v>
      </c>
      <c r="B78" s="89">
        <f t="shared" si="5"/>
        <v>43586</v>
      </c>
      <c r="C78" s="98">
        <f t="shared" si="6"/>
        <v>795</v>
      </c>
      <c r="D78" s="99"/>
      <c r="E78" s="19"/>
      <c r="F78" s="19">
        <f t="shared" si="7"/>
        <v>271.64</v>
      </c>
      <c r="G78" s="19">
        <f t="shared" si="8"/>
        <v>523.36</v>
      </c>
      <c r="H78" s="19">
        <f t="shared" si="9"/>
        <v>140731.72</v>
      </c>
    </row>
    <row r="79" spans="1:12" x14ac:dyDescent="0.2">
      <c r="A79" s="18">
        <f t="shared" si="4"/>
        <v>19</v>
      </c>
      <c r="B79" s="89">
        <f t="shared" si="5"/>
        <v>43600</v>
      </c>
      <c r="C79" s="98">
        <f t="shared" si="6"/>
        <v>795</v>
      </c>
      <c r="D79" s="99"/>
      <c r="E79" s="19"/>
      <c r="F79" s="19">
        <f t="shared" si="7"/>
        <v>270.64</v>
      </c>
      <c r="G79" s="19">
        <f t="shared" si="8"/>
        <v>524.36</v>
      </c>
      <c r="H79" s="19">
        <f t="shared" si="9"/>
        <v>140207.36000000002</v>
      </c>
    </row>
    <row r="80" spans="1:12" x14ac:dyDescent="0.2">
      <c r="A80" s="18">
        <f t="shared" si="4"/>
        <v>20</v>
      </c>
      <c r="B80" s="89">
        <f t="shared" si="5"/>
        <v>43614</v>
      </c>
      <c r="C80" s="98">
        <f t="shared" si="6"/>
        <v>795</v>
      </c>
      <c r="D80" s="99"/>
      <c r="E80" s="19"/>
      <c r="F80" s="19">
        <f t="shared" si="7"/>
        <v>269.63</v>
      </c>
      <c r="G80" s="19">
        <f t="shared" si="8"/>
        <v>525.37</v>
      </c>
      <c r="H80" s="19">
        <f t="shared" si="9"/>
        <v>139681.99000000002</v>
      </c>
    </row>
    <row r="81" spans="1:8" x14ac:dyDescent="0.2">
      <c r="A81" s="18">
        <f t="shared" si="4"/>
        <v>21</v>
      </c>
      <c r="B81" s="89">
        <f t="shared" si="5"/>
        <v>43628</v>
      </c>
      <c r="C81" s="98">
        <f t="shared" si="6"/>
        <v>795</v>
      </c>
      <c r="D81" s="99"/>
      <c r="E81" s="19"/>
      <c r="F81" s="19">
        <f t="shared" si="7"/>
        <v>268.62</v>
      </c>
      <c r="G81" s="19">
        <f t="shared" si="8"/>
        <v>526.38</v>
      </c>
      <c r="H81" s="19">
        <f t="shared" si="9"/>
        <v>139155.61000000002</v>
      </c>
    </row>
    <row r="82" spans="1:8" x14ac:dyDescent="0.2">
      <c r="A82" s="18">
        <f t="shared" si="4"/>
        <v>22</v>
      </c>
      <c r="B82" s="89">
        <f t="shared" si="5"/>
        <v>43642</v>
      </c>
      <c r="C82" s="98">
        <f t="shared" si="6"/>
        <v>795</v>
      </c>
      <c r="D82" s="99"/>
      <c r="E82" s="19"/>
      <c r="F82" s="19">
        <f t="shared" si="7"/>
        <v>267.61</v>
      </c>
      <c r="G82" s="19">
        <f t="shared" si="8"/>
        <v>527.39</v>
      </c>
      <c r="H82" s="19">
        <f t="shared" si="9"/>
        <v>138628.22</v>
      </c>
    </row>
    <row r="83" spans="1:8" x14ac:dyDescent="0.2">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2008-2019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2" t="s">
        <v>99</v>
      </c>
      <c r="N6" s="1" t="s">
        <v>7</v>
      </c>
    </row>
    <row r="7" spans="1:14" ht="15" customHeight="1" x14ac:dyDescent="0.2">
      <c r="A7" s="79"/>
      <c r="B7" s="79"/>
      <c r="C7" s="79"/>
      <c r="D7" s="80" t="s">
        <v>8</v>
      </c>
      <c r="E7" s="106">
        <v>7.0000000000000007E-2</v>
      </c>
      <c r="G7" s="2"/>
      <c r="H7" s="2"/>
      <c r="I7" s="7" t="s">
        <v>11</v>
      </c>
      <c r="J7" s="110">
        <f>SUM(G61:G840)+SUM(I61:I840)</f>
        <v>1400</v>
      </c>
      <c r="L7" s="153"/>
      <c r="N7" s="1" t="s">
        <v>9</v>
      </c>
    </row>
    <row r="8" spans="1:14" ht="15" customHeight="1" x14ac:dyDescent="0.2">
      <c r="A8" s="79"/>
      <c r="B8" s="79"/>
      <c r="C8" s="79"/>
      <c r="D8" s="80" t="s">
        <v>10</v>
      </c>
      <c r="E8" s="107">
        <v>15</v>
      </c>
      <c r="G8" s="2"/>
      <c r="H8" s="2"/>
      <c r="I8" s="7" t="s">
        <v>83</v>
      </c>
      <c r="J8" s="110">
        <f>SUM($G$60:$G$840)</f>
        <v>1746.7800000000002</v>
      </c>
      <c r="L8" s="153"/>
      <c r="N8" s="1" t="s">
        <v>12</v>
      </c>
    </row>
    <row r="9" spans="1:14" ht="15" customHeight="1" x14ac:dyDescent="0.2">
      <c r="A9" s="79"/>
      <c r="B9" s="79"/>
      <c r="C9" s="79"/>
      <c r="D9" s="80" t="s">
        <v>13</v>
      </c>
      <c r="E9" s="108">
        <v>42370</v>
      </c>
      <c r="I9" s="7" t="s">
        <v>84</v>
      </c>
      <c r="J9" s="110">
        <f>SUM($H$60:$H$840)</f>
        <v>1083.33</v>
      </c>
      <c r="L9" s="153"/>
      <c r="N9" s="1" t="s">
        <v>15</v>
      </c>
    </row>
    <row r="10" spans="1:14" ht="15" customHeight="1" x14ac:dyDescent="0.2">
      <c r="A10" s="79"/>
      <c r="B10" s="79"/>
      <c r="C10" s="79"/>
      <c r="D10" s="80" t="s">
        <v>16</v>
      </c>
      <c r="E10" s="108" t="s">
        <v>17</v>
      </c>
      <c r="I10" s="7" t="s">
        <v>87</v>
      </c>
      <c r="J10" s="110">
        <f>SUM($I$60:$I$840)</f>
        <v>-346.78000000000009</v>
      </c>
      <c r="L10" s="153"/>
      <c r="N10" s="1" t="s">
        <v>17</v>
      </c>
    </row>
    <row r="11" spans="1:14" ht="15" customHeight="1" x14ac:dyDescent="0.2">
      <c r="A11" s="79"/>
      <c r="B11" s="79"/>
      <c r="C11" s="79"/>
      <c r="D11" s="80" t="s">
        <v>19</v>
      </c>
      <c r="E11" s="127" t="str">
        <f>E10</f>
        <v>Monthly</v>
      </c>
      <c r="G11" s="2"/>
      <c r="I11" s="7" t="s">
        <v>69</v>
      </c>
      <c r="J11" s="111">
        <f>loan_amount-J10</f>
        <v>100346.78</v>
      </c>
      <c r="L11" s="153"/>
      <c r="N11" s="1" t="s">
        <v>20</v>
      </c>
    </row>
    <row r="12" spans="1:14" ht="15" customHeight="1" x14ac:dyDescent="0.25">
      <c r="A12" s="79"/>
      <c r="B12" s="79"/>
      <c r="C12" s="79"/>
      <c r="D12" s="80" t="s">
        <v>21</v>
      </c>
      <c r="E12" s="127" t="s">
        <v>22</v>
      </c>
      <c r="J12" s="10" t="str">
        <f ca="1">IF(AND(NOT(J840=""),J840&gt;0.004),"ERROR: Limit is "&amp;OFFSET(A841,-1,0,1,1)&amp;" payments",".")</f>
        <v>.</v>
      </c>
      <c r="L12" s="153"/>
      <c r="N12" s="1" t="s">
        <v>23</v>
      </c>
    </row>
    <row r="13" spans="1:14" ht="15" customHeight="1" x14ac:dyDescent="0.2">
      <c r="A13" s="79"/>
      <c r="B13" s="79"/>
      <c r="C13" s="79"/>
      <c r="D13" s="80" t="s">
        <v>46</v>
      </c>
      <c r="E13" s="128" t="s">
        <v>47</v>
      </c>
      <c r="G13" s="2"/>
      <c r="H13" s="2"/>
      <c r="I13" s="2"/>
      <c r="J13" s="11" t="str">
        <f>IF(E15&gt;E14,"Warning: negative amortization",".")</f>
        <v>.</v>
      </c>
      <c r="L13" s="153"/>
      <c r="N13" s="1" t="s">
        <v>24</v>
      </c>
    </row>
    <row r="14" spans="1:14" ht="15" hidden="1" customHeight="1" x14ac:dyDescent="0.2">
      <c r="A14" s="79"/>
      <c r="B14" s="79"/>
      <c r="C14" s="79"/>
      <c r="D14" s="85" t="s">
        <v>60</v>
      </c>
      <c r="E14" s="79">
        <f>INDEX({1;2;4;6;12;24;26;52},MATCH(Payment_Opt1!$E$10,$N$6:$N$13,0))</f>
        <v>12</v>
      </c>
      <c r="G14" s="2"/>
      <c r="H14" s="2"/>
      <c r="I14" s="2"/>
      <c r="J14" s="2"/>
      <c r="L14" s="153"/>
    </row>
    <row r="15" spans="1:14" ht="15" hidden="1" customHeight="1" x14ac:dyDescent="0.2">
      <c r="A15" s="79"/>
      <c r="B15" s="79"/>
      <c r="C15" s="79"/>
      <c r="D15" s="85" t="s">
        <v>19</v>
      </c>
      <c r="E15" s="79">
        <f>INDEX({1;2;4;6;12;24;26;52},MATCH(Payment_Opt1!$E$11,$N$6:$N$13,0))</f>
        <v>12</v>
      </c>
      <c r="G15" s="2"/>
      <c r="H15" s="2"/>
      <c r="I15" s="2"/>
      <c r="J15" s="2"/>
      <c r="L15" s="153"/>
    </row>
    <row r="16" spans="1:14" ht="15" hidden="1" customHeight="1" x14ac:dyDescent="0.2">
      <c r="A16" s="79"/>
      <c r="B16" s="79"/>
      <c r="C16" s="79"/>
      <c r="D16" s="85" t="s">
        <v>21</v>
      </c>
      <c r="E16" s="79">
        <f>IF(Payment_Opt1!$E$12="End of Period",0,1)</f>
        <v>0</v>
      </c>
      <c r="G16" s="2"/>
      <c r="H16" s="2"/>
      <c r="I16" s="2"/>
      <c r="J16" s="2"/>
      <c r="L16" s="153"/>
    </row>
    <row r="17" spans="1:12" ht="15" hidden="1" customHeight="1" x14ac:dyDescent="0.2">
      <c r="A17" s="79"/>
      <c r="B17" s="79"/>
      <c r="C17" s="79"/>
      <c r="D17" s="85" t="s">
        <v>62</v>
      </c>
      <c r="E17" s="79">
        <f>12/$E$14</f>
        <v>1</v>
      </c>
      <c r="G17" s="2"/>
      <c r="H17" s="2"/>
      <c r="I17" s="2"/>
      <c r="J17" s="2"/>
      <c r="L17" s="153"/>
    </row>
    <row r="18" spans="1:12" ht="15" hidden="1" customHeight="1" x14ac:dyDescent="0.2">
      <c r="A18" s="79"/>
      <c r="B18" s="79"/>
      <c r="C18" s="79"/>
      <c r="D18" s="85" t="s">
        <v>61</v>
      </c>
      <c r="E18" s="79">
        <f>$E$8*$E$14</f>
        <v>180</v>
      </c>
      <c r="G18" s="2"/>
      <c r="H18" s="2"/>
      <c r="I18" s="2"/>
      <c r="J18" s="2"/>
      <c r="L18" s="153"/>
    </row>
    <row r="19" spans="1:12" ht="15" hidden="1" customHeight="1" x14ac:dyDescent="0.2">
      <c r="A19" s="79"/>
      <c r="B19" s="79"/>
      <c r="C19" s="79"/>
      <c r="D19" s="85" t="s">
        <v>63</v>
      </c>
      <c r="E19" s="86" t="b">
        <f>(E13="On")</f>
        <v>1</v>
      </c>
      <c r="G19" s="2"/>
      <c r="H19" s="2"/>
      <c r="I19" s="2"/>
      <c r="J19" s="2"/>
      <c r="L19" s="153"/>
    </row>
    <row r="20" spans="1:12" x14ac:dyDescent="0.2">
      <c r="A20" s="2"/>
      <c r="B20" s="2"/>
      <c r="C20" s="2"/>
      <c r="D20" s="2"/>
      <c r="E20" s="2"/>
      <c r="G20" s="2"/>
      <c r="H20" s="2"/>
      <c r="I20" s="2"/>
      <c r="J20" s="14" t="s">
        <v>25</v>
      </c>
      <c r="L20" s="153"/>
    </row>
    <row r="21" spans="1:12" ht="15.75" x14ac:dyDescent="0.25">
      <c r="A21" s="2"/>
      <c r="B21" s="2"/>
      <c r="C21" s="2"/>
      <c r="D21" s="12" t="str">
        <f>E10&amp;" Payment"</f>
        <v>Monthly Payment</v>
      </c>
      <c r="E21" s="125">
        <f>IF(roundOpt,ROUND(-PMT(rate,nper,$E$6,,pmtType),2),-PMT(rate,nper,$E$6,,pmtType))</f>
        <v>898.83</v>
      </c>
      <c r="G21" s="2"/>
      <c r="H21" s="2"/>
      <c r="I21" s="2"/>
      <c r="J21" s="14"/>
      <c r="L21" s="153"/>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5"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5"/>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5"/>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5"/>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2008-2019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2" t="s">
        <v>88</v>
      </c>
      <c r="N6" s="1" t="s">
        <v>7</v>
      </c>
    </row>
    <row r="7" spans="1:14" ht="15" customHeight="1" x14ac:dyDescent="0.2">
      <c r="A7" s="79"/>
      <c r="B7" s="79"/>
      <c r="C7" s="79"/>
      <c r="D7" s="80" t="s">
        <v>8</v>
      </c>
      <c r="E7" s="106">
        <v>7.0000000000000007E-2</v>
      </c>
      <c r="F7" s="2"/>
      <c r="G7" s="2"/>
      <c r="H7" s="2"/>
      <c r="I7" s="7" t="s">
        <v>11</v>
      </c>
      <c r="J7" s="110">
        <f ca="1">SUM(F61:F840)+SUM(I61:I840)</f>
        <v>3877.65</v>
      </c>
      <c r="L7" s="153"/>
      <c r="N7" s="1" t="s">
        <v>9</v>
      </c>
    </row>
    <row r="8" spans="1:14" ht="15" customHeight="1" x14ac:dyDescent="0.2">
      <c r="A8" s="79"/>
      <c r="B8" s="79"/>
      <c r="C8" s="79"/>
      <c r="D8" s="80" t="s">
        <v>10</v>
      </c>
      <c r="E8" s="107">
        <v>15</v>
      </c>
      <c r="F8" s="2"/>
      <c r="G8" s="2"/>
      <c r="H8" s="2"/>
      <c r="I8" s="7" t="s">
        <v>83</v>
      </c>
      <c r="J8" s="110">
        <f ca="1">SUM(F60:F841)</f>
        <v>2903.48</v>
      </c>
      <c r="L8" s="153"/>
      <c r="N8" s="1" t="s">
        <v>12</v>
      </c>
    </row>
    <row r="9" spans="1:14" ht="15" customHeight="1" x14ac:dyDescent="0.2">
      <c r="A9" s="79"/>
      <c r="B9" s="79"/>
      <c r="C9" s="79"/>
      <c r="D9" s="80" t="s">
        <v>13</v>
      </c>
      <c r="E9" s="108">
        <v>42370</v>
      </c>
      <c r="I9" s="7" t="s">
        <v>84</v>
      </c>
      <c r="J9" s="110">
        <f ca="1">SUM(G60:G841)</f>
        <v>2325.83</v>
      </c>
      <c r="L9" s="153"/>
      <c r="N9" s="1" t="s">
        <v>15</v>
      </c>
    </row>
    <row r="10" spans="1:14" ht="15" customHeight="1" x14ac:dyDescent="0.2">
      <c r="A10" s="79"/>
      <c r="B10" s="79"/>
      <c r="C10" s="79"/>
      <c r="D10" s="80" t="s">
        <v>16</v>
      </c>
      <c r="E10" s="108" t="s">
        <v>17</v>
      </c>
      <c r="I10" s="7" t="s">
        <v>85</v>
      </c>
      <c r="J10" s="111">
        <f ca="1">J8-J9</f>
        <v>577.65000000000009</v>
      </c>
      <c r="L10" s="153"/>
      <c r="N10" s="1" t="s">
        <v>17</v>
      </c>
    </row>
    <row r="11" spans="1:14" ht="15" customHeight="1" x14ac:dyDescent="0.2">
      <c r="A11" s="79"/>
      <c r="B11" s="79"/>
      <c r="C11" s="79"/>
      <c r="D11" s="80" t="s">
        <v>19</v>
      </c>
      <c r="E11" s="127" t="str">
        <f>E10</f>
        <v>Monthly</v>
      </c>
      <c r="F11" s="2"/>
      <c r="I11" s="7" t="s">
        <v>87</v>
      </c>
      <c r="J11" s="111">
        <f ca="1">SUM(I60:I841)</f>
        <v>974.17</v>
      </c>
      <c r="L11" s="153"/>
      <c r="N11" s="1" t="s">
        <v>20</v>
      </c>
    </row>
    <row r="12" spans="1:14" ht="15" customHeight="1" x14ac:dyDescent="0.2">
      <c r="A12" s="79"/>
      <c r="B12" s="79"/>
      <c r="C12" s="79"/>
      <c r="D12" s="80" t="s">
        <v>21</v>
      </c>
      <c r="E12" s="127" t="s">
        <v>22</v>
      </c>
      <c r="I12" s="7" t="s">
        <v>69</v>
      </c>
      <c r="J12" s="111">
        <f ca="1">loan_amount-J11</f>
        <v>99025.83</v>
      </c>
      <c r="L12" s="153"/>
      <c r="N12" s="1" t="s">
        <v>23</v>
      </c>
    </row>
    <row r="13" spans="1:14" ht="15" customHeight="1" x14ac:dyDescent="0.25">
      <c r="A13" s="79"/>
      <c r="B13" s="79"/>
      <c r="C13" s="79"/>
      <c r="D13" s="80" t="s">
        <v>46</v>
      </c>
      <c r="E13" s="128" t="s">
        <v>47</v>
      </c>
      <c r="F13" s="2"/>
      <c r="J13" s="10" t="str">
        <f ca="1">IF(AND(NOT(J840=""),J840&gt;0.004),"ERROR: Limit is "&amp;OFFSET(A841,-1,0,1,1)&amp;" payments",".")</f>
        <v>.</v>
      </c>
      <c r="L13" s="153"/>
      <c r="N13" s="1" t="s">
        <v>24</v>
      </c>
    </row>
    <row r="14" spans="1:14" ht="15" hidden="1" customHeight="1" x14ac:dyDescent="0.2">
      <c r="A14" s="79"/>
      <c r="B14" s="79"/>
      <c r="C14" s="79"/>
      <c r="D14" s="85" t="s">
        <v>60</v>
      </c>
      <c r="E14" s="79">
        <f>INDEX({1;2;4;6;12;24;26;52},MATCH(Payment_Opt2!$E$10,$N$6:$N$13,0))</f>
        <v>12</v>
      </c>
      <c r="F14" s="2"/>
      <c r="G14" s="2"/>
      <c r="H14" s="2"/>
      <c r="I14" s="2"/>
      <c r="J14" s="11"/>
      <c r="L14" s="153"/>
    </row>
    <row r="15" spans="1:14" ht="15" hidden="1" customHeight="1" x14ac:dyDescent="0.2">
      <c r="A15" s="79"/>
      <c r="B15" s="79"/>
      <c r="C15" s="79"/>
      <c r="D15" s="85" t="s">
        <v>19</v>
      </c>
      <c r="E15" s="79">
        <f>INDEX({1;2;4;6;12;24;26;52},MATCH(Payment_Opt2!$E$11,$N$6:$N$13,0))</f>
        <v>12</v>
      </c>
      <c r="F15" s="2"/>
      <c r="G15" s="2"/>
      <c r="H15" s="2"/>
      <c r="I15" s="2"/>
      <c r="J15" s="2"/>
      <c r="L15" s="153"/>
    </row>
    <row r="16" spans="1:14" ht="15" hidden="1" customHeight="1" x14ac:dyDescent="0.2">
      <c r="A16" s="79"/>
      <c r="B16" s="79"/>
      <c r="C16" s="79"/>
      <c r="D16" s="85" t="s">
        <v>21</v>
      </c>
      <c r="E16" s="79">
        <f>IF(Payment_Opt2!$E$12="End of Period",0,1)</f>
        <v>0</v>
      </c>
      <c r="F16" s="2"/>
      <c r="G16" s="2"/>
      <c r="H16" s="2"/>
      <c r="I16" s="2"/>
      <c r="J16" s="2"/>
      <c r="L16" s="153"/>
    </row>
    <row r="17" spans="1:12" ht="15" hidden="1" customHeight="1" x14ac:dyDescent="0.2">
      <c r="A17" s="79"/>
      <c r="B17" s="79"/>
      <c r="C17" s="79"/>
      <c r="D17" s="85" t="s">
        <v>62</v>
      </c>
      <c r="E17" s="79">
        <f>12/$E$14</f>
        <v>1</v>
      </c>
      <c r="F17" s="2"/>
      <c r="G17" s="2"/>
      <c r="H17" s="2"/>
      <c r="I17" s="2"/>
      <c r="J17" s="2"/>
      <c r="L17" s="153"/>
    </row>
    <row r="18" spans="1:12" ht="15" hidden="1" customHeight="1" x14ac:dyDescent="0.2">
      <c r="A18" s="79"/>
      <c r="B18" s="79"/>
      <c r="C18" s="79"/>
      <c r="D18" s="85" t="s">
        <v>61</v>
      </c>
      <c r="E18" s="79">
        <f>$E$8*$E$14</f>
        <v>180</v>
      </c>
      <c r="F18" s="2"/>
      <c r="G18" s="2"/>
      <c r="H18" s="2"/>
      <c r="I18" s="2"/>
      <c r="J18" s="2"/>
      <c r="L18" s="153"/>
    </row>
    <row r="19" spans="1:12" ht="15" hidden="1" customHeight="1" x14ac:dyDescent="0.2">
      <c r="A19" s="79"/>
      <c r="B19" s="79"/>
      <c r="C19" s="79"/>
      <c r="D19" s="85" t="s">
        <v>63</v>
      </c>
      <c r="E19" s="101" t="b">
        <f>(E13="On")</f>
        <v>1</v>
      </c>
      <c r="F19" s="2"/>
      <c r="G19" s="2"/>
      <c r="H19" s="2"/>
      <c r="I19" s="2"/>
      <c r="J19" s="2"/>
      <c r="L19" s="153"/>
    </row>
    <row r="20" spans="1:12" x14ac:dyDescent="0.2">
      <c r="A20" s="2"/>
      <c r="B20" s="2"/>
      <c r="C20" s="2"/>
      <c r="D20" s="2"/>
      <c r="E20" s="2"/>
      <c r="F20" s="2"/>
      <c r="G20" s="2"/>
      <c r="H20" s="2"/>
      <c r="I20" s="2"/>
      <c r="J20" s="2"/>
      <c r="L20" s="153"/>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3"/>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5"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5"/>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5"/>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5"/>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2008-2019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2008-2019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2019-03-06T03:24:21Z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