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9331\Downloads\"/>
    </mc:Choice>
  </mc:AlternateContent>
  <xr:revisionPtr revIDLastSave="0" documentId="8_{3082A4A0-7956-41FB-B3F9-9A42F147CCFE}" xr6:coauthVersionLast="47" xr6:coauthVersionMax="47" xr10:uidLastSave="{00000000-0000-0000-0000-000000000000}"/>
  <bookViews>
    <workbookView xWindow="-110" yWindow="-110" windowWidth="22780" windowHeight="14540" tabRatio="893" activeTab="2" xr2:uid="{0ABAA76D-2981-4C80-81C6-31EC57C95DE9}"/>
  </bookViews>
  <sheets>
    <sheet name="DATA" sheetId="2" r:id="rId1"/>
    <sheet name="BSCR" sheetId="17" r:id="rId2"/>
    <sheet name="RESULTS" sheetId="18" r:id="rId3"/>
    <sheet name="Rates_Basic" sheetId="3" r:id="rId4"/>
    <sheet name="Rates_Up" sheetId="5" r:id="rId5"/>
    <sheet name="Rates_Down" sheetId="6" r:id="rId6"/>
    <sheet name="Equity_Shock" sheetId="7" r:id="rId7"/>
    <sheet name="Property_Shock " sheetId="8" r:id="rId8"/>
    <sheet name="Mortality_Shock " sheetId="9" r:id="rId9"/>
    <sheet name="CAT" sheetId="15" r:id="rId10"/>
    <sheet name="Lapse_Up" sheetId="10" r:id="rId11"/>
    <sheet name="Lapse_Down" sheetId="13" r:id="rId12"/>
    <sheet name="Lapse_Mass" sheetId="14" r:id="rId13"/>
    <sheet name="Expans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L3" i="3"/>
  <c r="L3" i="5"/>
  <c r="G63" i="2"/>
  <c r="L3" i="16" l="1"/>
  <c r="A3" i="16"/>
  <c r="F2" i="16"/>
  <c r="B2" i="16"/>
  <c r="L3" i="15"/>
  <c r="L4" i="15" s="1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B3" i="15"/>
  <c r="A3" i="15"/>
  <c r="F2" i="15"/>
  <c r="B2" i="15"/>
  <c r="L3" i="14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A3" i="14"/>
  <c r="A4" i="14" s="1"/>
  <c r="F2" i="14"/>
  <c r="B2" i="14"/>
  <c r="L3" i="13"/>
  <c r="L4" i="13" s="1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A3" i="13"/>
  <c r="F2" i="13"/>
  <c r="B2" i="13"/>
  <c r="L3" i="10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B3" i="10"/>
  <c r="A3" i="10"/>
  <c r="A4" i="10" s="1"/>
  <c r="F2" i="10"/>
  <c r="B2" i="10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A3" i="9"/>
  <c r="F2" i="9"/>
  <c r="B2" i="9"/>
  <c r="L3" i="8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B3" i="8"/>
  <c r="A3" i="8"/>
  <c r="A4" i="8" s="1"/>
  <c r="F2" i="8"/>
  <c r="B2" i="8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A3" i="7"/>
  <c r="F2" i="7"/>
  <c r="B2" i="7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F2" i="6"/>
  <c r="B2" i="6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A3" i="6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F2" i="5"/>
  <c r="B2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A3" i="5"/>
  <c r="A4" i="5" s="1"/>
  <c r="L4" i="3"/>
  <c r="L5" i="3" l="1"/>
  <c r="L4" i="16"/>
  <c r="L5" i="16" s="1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B3" i="16"/>
  <c r="A4" i="16"/>
  <c r="A4" i="15"/>
  <c r="A5" i="14"/>
  <c r="B4" i="14"/>
  <c r="B3" i="14"/>
  <c r="A4" i="13"/>
  <c r="B3" i="13"/>
  <c r="B4" i="10"/>
  <c r="A5" i="10"/>
  <c r="B3" i="9"/>
  <c r="A4" i="9"/>
  <c r="A5" i="8"/>
  <c r="B4" i="8"/>
  <c r="A4" i="7"/>
  <c r="B3" i="7"/>
  <c r="A4" i="6"/>
  <c r="A5" i="5"/>
  <c r="L6" i="3" l="1"/>
  <c r="B4" i="16"/>
  <c r="A5" i="16"/>
  <c r="B4" i="15"/>
  <c r="A5" i="15"/>
  <c r="A6" i="14"/>
  <c r="B5" i="14"/>
  <c r="B4" i="13"/>
  <c r="A5" i="13"/>
  <c r="B5" i="10"/>
  <c r="A6" i="10"/>
  <c r="A5" i="9"/>
  <c r="B4" i="9"/>
  <c r="A6" i="8"/>
  <c r="B5" i="8"/>
  <c r="B4" i="7"/>
  <c r="A5" i="7"/>
  <c r="A5" i="6"/>
  <c r="A6" i="5"/>
  <c r="L7" i="3" l="1"/>
  <c r="A6" i="16"/>
  <c r="B5" i="16"/>
  <c r="B5" i="15"/>
  <c r="A6" i="15"/>
  <c r="A7" i="14"/>
  <c r="B6" i="14"/>
  <c r="B5" i="13"/>
  <c r="A6" i="13"/>
  <c r="B6" i="10"/>
  <c r="A7" i="10"/>
  <c r="A6" i="9"/>
  <c r="B5" i="9"/>
  <c r="A7" i="8"/>
  <c r="B6" i="8"/>
  <c r="B5" i="7"/>
  <c r="A6" i="7"/>
  <c r="A6" i="6"/>
  <c r="A7" i="5"/>
  <c r="L8" i="3" l="1"/>
  <c r="A7" i="16"/>
  <c r="B6" i="16"/>
  <c r="B6" i="15"/>
  <c r="A7" i="15"/>
  <c r="A8" i="14"/>
  <c r="B7" i="14"/>
  <c r="B6" i="13"/>
  <c r="A7" i="13"/>
  <c r="B7" i="10"/>
  <c r="A8" i="10"/>
  <c r="A7" i="9"/>
  <c r="B6" i="9"/>
  <c r="A8" i="8"/>
  <c r="B7" i="8"/>
  <c r="B6" i="7"/>
  <c r="A7" i="7"/>
  <c r="A7" i="6"/>
  <c r="A8" i="5"/>
  <c r="L9" i="3" l="1"/>
  <c r="A8" i="16"/>
  <c r="B7" i="16"/>
  <c r="B7" i="15"/>
  <c r="A8" i="15"/>
  <c r="B8" i="14"/>
  <c r="A9" i="14"/>
  <c r="B7" i="13"/>
  <c r="A8" i="13"/>
  <c r="B8" i="10"/>
  <c r="A9" i="10"/>
  <c r="A8" i="9"/>
  <c r="B7" i="9"/>
  <c r="B8" i="8"/>
  <c r="A9" i="8"/>
  <c r="B7" i="7"/>
  <c r="A8" i="7"/>
  <c r="A8" i="6"/>
  <c r="A9" i="5"/>
  <c r="L10" i="3" l="1"/>
  <c r="A9" i="16"/>
  <c r="B8" i="16"/>
  <c r="A9" i="15"/>
  <c r="B8" i="15"/>
  <c r="A10" i="14"/>
  <c r="B9" i="14"/>
  <c r="B8" i="13"/>
  <c r="A9" i="13"/>
  <c r="A10" i="10"/>
  <c r="B9" i="10"/>
  <c r="A9" i="9"/>
  <c r="B8" i="9"/>
  <c r="A10" i="8"/>
  <c r="B9" i="8"/>
  <c r="A9" i="7"/>
  <c r="B8" i="7"/>
  <c r="A9" i="6"/>
  <c r="A10" i="5"/>
  <c r="L11" i="3" l="1"/>
  <c r="A10" i="16"/>
  <c r="B9" i="16"/>
  <c r="A10" i="15"/>
  <c r="B9" i="15"/>
  <c r="A11" i="14"/>
  <c r="B10" i="14"/>
  <c r="A10" i="13"/>
  <c r="B9" i="13"/>
  <c r="A11" i="10"/>
  <c r="B10" i="10"/>
  <c r="A10" i="9"/>
  <c r="B9" i="9"/>
  <c r="A11" i="8"/>
  <c r="B10" i="8"/>
  <c r="A10" i="7"/>
  <c r="B9" i="7"/>
  <c r="A10" i="6"/>
  <c r="A11" i="5"/>
  <c r="L12" i="3" l="1"/>
  <c r="B10" i="16"/>
  <c r="A11" i="16"/>
  <c r="B10" i="15"/>
  <c r="A11" i="15"/>
  <c r="A12" i="14"/>
  <c r="B11" i="14"/>
  <c r="A11" i="13"/>
  <c r="B10" i="13"/>
  <c r="A12" i="10"/>
  <c r="B11" i="10"/>
  <c r="B10" i="9"/>
  <c r="A11" i="9"/>
  <c r="A12" i="8"/>
  <c r="B11" i="8"/>
  <c r="B10" i="7"/>
  <c r="A11" i="7"/>
  <c r="A11" i="6"/>
  <c r="A12" i="5"/>
  <c r="L13" i="3" l="1"/>
  <c r="B11" i="16"/>
  <c r="A12" i="16"/>
  <c r="B11" i="15"/>
  <c r="A12" i="15"/>
  <c r="A13" i="14"/>
  <c r="B12" i="14"/>
  <c r="A12" i="13"/>
  <c r="B11" i="13"/>
  <c r="A13" i="10"/>
  <c r="B12" i="10"/>
  <c r="B11" i="9"/>
  <c r="A12" i="9"/>
  <c r="A13" i="8"/>
  <c r="B12" i="8"/>
  <c r="B11" i="7"/>
  <c r="A12" i="7"/>
  <c r="A12" i="6"/>
  <c r="A13" i="5"/>
  <c r="L14" i="3" l="1"/>
  <c r="B12" i="16"/>
  <c r="A13" i="16"/>
  <c r="B12" i="15"/>
  <c r="A13" i="15"/>
  <c r="A14" i="14"/>
  <c r="B13" i="14"/>
  <c r="A13" i="13"/>
  <c r="B12" i="13"/>
  <c r="A14" i="10"/>
  <c r="B13" i="10"/>
  <c r="B12" i="9"/>
  <c r="A13" i="9"/>
  <c r="A14" i="8"/>
  <c r="B13" i="8"/>
  <c r="B12" i="7"/>
  <c r="A13" i="7"/>
  <c r="A13" i="6"/>
  <c r="A14" i="5"/>
  <c r="L15" i="3" l="1"/>
  <c r="B13" i="16"/>
  <c r="A14" i="16"/>
  <c r="B13" i="15"/>
  <c r="A14" i="15"/>
  <c r="A15" i="14"/>
  <c r="B14" i="14"/>
  <c r="A14" i="13"/>
  <c r="B13" i="13"/>
  <c r="A15" i="10"/>
  <c r="B14" i="10"/>
  <c r="B13" i="9"/>
  <c r="A14" i="9"/>
  <c r="A15" i="8"/>
  <c r="B14" i="8"/>
  <c r="B13" i="7"/>
  <c r="A14" i="7"/>
  <c r="A14" i="6"/>
  <c r="A15" i="5"/>
  <c r="L16" i="3" l="1"/>
  <c r="B14" i="16"/>
  <c r="A15" i="16"/>
  <c r="B14" i="15"/>
  <c r="A15" i="15"/>
  <c r="B15" i="14"/>
  <c r="A16" i="14"/>
  <c r="A15" i="13"/>
  <c r="B14" i="13"/>
  <c r="A16" i="10"/>
  <c r="B15" i="10"/>
  <c r="B14" i="9"/>
  <c r="A15" i="9"/>
  <c r="A16" i="8"/>
  <c r="B15" i="8"/>
  <c r="B14" i="7"/>
  <c r="A15" i="7"/>
  <c r="A15" i="6"/>
  <c r="A16" i="5"/>
  <c r="L17" i="3" l="1"/>
  <c r="B15" i="16"/>
  <c r="A16" i="16"/>
  <c r="B15" i="15"/>
  <c r="A16" i="15"/>
  <c r="B16" i="14"/>
  <c r="A17" i="14"/>
  <c r="B15" i="13"/>
  <c r="A16" i="13"/>
  <c r="B16" i="10"/>
  <c r="A17" i="10"/>
  <c r="B15" i="9"/>
  <c r="A16" i="9"/>
  <c r="B16" i="8"/>
  <c r="A17" i="8"/>
  <c r="B15" i="7"/>
  <c r="A16" i="7"/>
  <c r="A16" i="6"/>
  <c r="A17" i="5"/>
  <c r="L18" i="3" l="1"/>
  <c r="B16" i="16"/>
  <c r="A17" i="16"/>
  <c r="B16" i="15"/>
  <c r="A17" i="15"/>
  <c r="B17" i="14"/>
  <c r="A18" i="14"/>
  <c r="B16" i="13"/>
  <c r="A17" i="13"/>
  <c r="A18" i="10"/>
  <c r="B17" i="10"/>
  <c r="B16" i="9"/>
  <c r="A17" i="9"/>
  <c r="A18" i="8"/>
  <c r="B17" i="8"/>
  <c r="B16" i="7"/>
  <c r="A17" i="7"/>
  <c r="A17" i="6"/>
  <c r="A18" i="5"/>
  <c r="L19" i="3" l="1"/>
  <c r="B17" i="16"/>
  <c r="A18" i="16"/>
  <c r="B17" i="15"/>
  <c r="A18" i="15"/>
  <c r="B18" i="14"/>
  <c r="A19" i="14"/>
  <c r="B17" i="13"/>
  <c r="A18" i="13"/>
  <c r="B18" i="10"/>
  <c r="A19" i="10"/>
  <c r="B17" i="9"/>
  <c r="A18" i="9"/>
  <c r="B18" i="8"/>
  <c r="A19" i="8"/>
  <c r="B17" i="7"/>
  <c r="A18" i="7"/>
  <c r="A18" i="6"/>
  <c r="A19" i="5"/>
  <c r="L20" i="3" l="1"/>
  <c r="B18" i="16"/>
  <c r="A19" i="16"/>
  <c r="B18" i="15"/>
  <c r="A19" i="15"/>
  <c r="B19" i="14"/>
  <c r="A20" i="14"/>
  <c r="B18" i="13"/>
  <c r="A19" i="13"/>
  <c r="A20" i="10"/>
  <c r="B19" i="10"/>
  <c r="B18" i="9"/>
  <c r="A19" i="9"/>
  <c r="B19" i="8"/>
  <c r="A20" i="8"/>
  <c r="B18" i="7"/>
  <c r="A19" i="7"/>
  <c r="A19" i="6"/>
  <c r="A20" i="5"/>
  <c r="L21" i="3" l="1"/>
  <c r="A20" i="16"/>
  <c r="B19" i="16"/>
  <c r="B19" i="15"/>
  <c r="A20" i="15"/>
  <c r="B20" i="14"/>
  <c r="A21" i="14"/>
  <c r="B19" i="13"/>
  <c r="A20" i="13"/>
  <c r="A21" i="10"/>
  <c r="B20" i="10"/>
  <c r="B19" i="9"/>
  <c r="A20" i="9"/>
  <c r="B20" i="8"/>
  <c r="A21" i="8"/>
  <c r="B19" i="7"/>
  <c r="A20" i="7"/>
  <c r="A20" i="6"/>
  <c r="A21" i="5"/>
  <c r="L22" i="3" l="1"/>
  <c r="A21" i="16"/>
  <c r="B20" i="16"/>
  <c r="B20" i="15"/>
  <c r="A21" i="15"/>
  <c r="A22" i="14"/>
  <c r="B21" i="14"/>
  <c r="B20" i="13"/>
  <c r="A21" i="13"/>
  <c r="B21" i="10"/>
  <c r="A22" i="10"/>
  <c r="B20" i="9"/>
  <c r="A21" i="9"/>
  <c r="B21" i="8"/>
  <c r="A22" i="8"/>
  <c r="B20" i="7"/>
  <c r="A21" i="7"/>
  <c r="A21" i="6"/>
  <c r="A22" i="5"/>
  <c r="L23" i="3" l="1"/>
  <c r="A22" i="16"/>
  <c r="B21" i="16"/>
  <c r="A22" i="15"/>
  <c r="B21" i="15"/>
  <c r="A23" i="14"/>
  <c r="B22" i="14"/>
  <c r="B21" i="13"/>
  <c r="A22" i="13"/>
  <c r="A23" i="10"/>
  <c r="B22" i="10"/>
  <c r="A22" i="9"/>
  <c r="B21" i="9"/>
  <c r="A23" i="8"/>
  <c r="B22" i="8"/>
  <c r="A22" i="7"/>
  <c r="B21" i="7"/>
  <c r="A22" i="6"/>
  <c r="A23" i="5"/>
  <c r="L24" i="3" l="1"/>
  <c r="A23" i="16"/>
  <c r="B22" i="16"/>
  <c r="A23" i="15"/>
  <c r="B22" i="15"/>
  <c r="B23" i="14"/>
  <c r="A24" i="14"/>
  <c r="A23" i="13"/>
  <c r="B22" i="13"/>
  <c r="A24" i="10"/>
  <c r="B23" i="10"/>
  <c r="A23" i="9"/>
  <c r="B22" i="9"/>
  <c r="B23" i="8"/>
  <c r="A24" i="8"/>
  <c r="A23" i="7"/>
  <c r="B22" i="7"/>
  <c r="A23" i="6"/>
  <c r="A24" i="5"/>
  <c r="L25" i="3" l="1"/>
  <c r="B23" i="16"/>
  <c r="A24" i="16"/>
  <c r="B23" i="15"/>
  <c r="A24" i="15"/>
  <c r="B24" i="14"/>
  <c r="A25" i="14"/>
  <c r="A24" i="13"/>
  <c r="B23" i="13"/>
  <c r="B24" i="10"/>
  <c r="A25" i="10"/>
  <c r="B23" i="9"/>
  <c r="A24" i="9"/>
  <c r="B24" i="8"/>
  <c r="A25" i="8"/>
  <c r="B23" i="7"/>
  <c r="A24" i="7"/>
  <c r="A24" i="6"/>
  <c r="A25" i="5"/>
  <c r="L26" i="3" l="1"/>
  <c r="B24" i="16"/>
  <c r="A25" i="16"/>
  <c r="B24" i="15"/>
  <c r="A25" i="15"/>
  <c r="B25" i="14"/>
  <c r="A26" i="14"/>
  <c r="B24" i="13"/>
  <c r="A25" i="13"/>
  <c r="A26" i="10"/>
  <c r="B25" i="10"/>
  <c r="B24" i="9"/>
  <c r="A25" i="9"/>
  <c r="A26" i="8"/>
  <c r="B25" i="8"/>
  <c r="B24" i="7"/>
  <c r="A25" i="7"/>
  <c r="A25" i="6"/>
  <c r="A26" i="5"/>
  <c r="L27" i="3" l="1"/>
  <c r="B25" i="16"/>
  <c r="A26" i="16"/>
  <c r="B25" i="15"/>
  <c r="A26" i="15"/>
  <c r="B26" i="14"/>
  <c r="A27" i="14"/>
  <c r="B25" i="13"/>
  <c r="A26" i="13"/>
  <c r="B26" i="10"/>
  <c r="A27" i="10"/>
  <c r="B25" i="9"/>
  <c r="A26" i="9"/>
  <c r="B26" i="8"/>
  <c r="A27" i="8"/>
  <c r="B25" i="7"/>
  <c r="A26" i="7"/>
  <c r="A26" i="6"/>
  <c r="A27" i="5"/>
  <c r="L28" i="3" l="1"/>
  <c r="B26" i="16"/>
  <c r="A27" i="16"/>
  <c r="B26" i="15"/>
  <c r="A27" i="15"/>
  <c r="B27" i="14"/>
  <c r="A28" i="14"/>
  <c r="B26" i="13"/>
  <c r="A27" i="13"/>
  <c r="A28" i="10"/>
  <c r="B27" i="10"/>
  <c r="B26" i="9"/>
  <c r="A27" i="9"/>
  <c r="B27" i="8"/>
  <c r="A28" i="8"/>
  <c r="B26" i="7"/>
  <c r="A27" i="7"/>
  <c r="A27" i="6"/>
  <c r="A28" i="5"/>
  <c r="L29" i="3" l="1"/>
  <c r="B27" i="16"/>
  <c r="A28" i="16"/>
  <c r="B27" i="15"/>
  <c r="A28" i="15"/>
  <c r="B28" i="14"/>
  <c r="A29" i="14"/>
  <c r="B27" i="13"/>
  <c r="A28" i="13"/>
  <c r="A29" i="10"/>
  <c r="B28" i="10"/>
  <c r="B27" i="9"/>
  <c r="A28" i="9"/>
  <c r="A29" i="8"/>
  <c r="B28" i="8"/>
  <c r="B27" i="7"/>
  <c r="A28" i="7"/>
  <c r="A28" i="6"/>
  <c r="A29" i="5"/>
  <c r="L30" i="3" l="1"/>
  <c r="A29" i="16"/>
  <c r="B28" i="16"/>
  <c r="A29" i="15"/>
  <c r="B28" i="15"/>
  <c r="A30" i="14"/>
  <c r="B29" i="14"/>
  <c r="B28" i="13"/>
  <c r="A29" i="13"/>
  <c r="B29" i="10"/>
  <c r="A30" i="10"/>
  <c r="B28" i="9"/>
  <c r="A29" i="9"/>
  <c r="B29" i="8"/>
  <c r="A30" i="8"/>
  <c r="B28" i="7"/>
  <c r="A29" i="7"/>
  <c r="A29" i="6"/>
  <c r="A30" i="5"/>
  <c r="L31" i="3" l="1"/>
  <c r="A30" i="16"/>
  <c r="B29" i="16"/>
  <c r="A30" i="15"/>
  <c r="B29" i="15"/>
  <c r="A31" i="14"/>
  <c r="B30" i="14"/>
  <c r="B29" i="13"/>
  <c r="A30" i="13"/>
  <c r="A31" i="10"/>
  <c r="B30" i="10"/>
  <c r="A30" i="9"/>
  <c r="B29" i="9"/>
  <c r="A31" i="8"/>
  <c r="B30" i="8"/>
  <c r="A30" i="7"/>
  <c r="B29" i="7"/>
  <c r="A30" i="6"/>
  <c r="A31" i="5"/>
  <c r="L32" i="3" l="1"/>
  <c r="A31" i="16"/>
  <c r="B30" i="16"/>
  <c r="A31" i="15"/>
  <c r="B30" i="15"/>
  <c r="B31" i="14"/>
  <c r="A32" i="14"/>
  <c r="A31" i="13"/>
  <c r="B30" i="13"/>
  <c r="A32" i="10"/>
  <c r="B31" i="10"/>
  <c r="A31" i="9"/>
  <c r="B30" i="9"/>
  <c r="B31" i="8"/>
  <c r="A32" i="8"/>
  <c r="A31" i="7"/>
  <c r="B30" i="7"/>
  <c r="A31" i="6"/>
  <c r="A32" i="5"/>
  <c r="L33" i="3" l="1"/>
  <c r="B31" i="16"/>
  <c r="A32" i="16"/>
  <c r="B31" i="15"/>
  <c r="A32" i="15"/>
  <c r="B32" i="14"/>
  <c r="A33" i="14"/>
  <c r="A32" i="13"/>
  <c r="B31" i="13"/>
  <c r="B32" i="10"/>
  <c r="A33" i="10"/>
  <c r="B31" i="9"/>
  <c r="A32" i="9"/>
  <c r="B32" i="8"/>
  <c r="A33" i="8"/>
  <c r="B31" i="7"/>
  <c r="A32" i="7"/>
  <c r="A32" i="6"/>
  <c r="A33" i="5"/>
  <c r="L34" i="3" l="1"/>
  <c r="B32" i="16"/>
  <c r="A33" i="16"/>
  <c r="B32" i="15"/>
  <c r="A33" i="15"/>
  <c r="B33" i="14"/>
  <c r="A34" i="14"/>
  <c r="B32" i="13"/>
  <c r="A33" i="13"/>
  <c r="B33" i="10"/>
  <c r="A34" i="10"/>
  <c r="B32" i="9"/>
  <c r="A33" i="9"/>
  <c r="A34" i="8"/>
  <c r="B33" i="8"/>
  <c r="B32" i="7"/>
  <c r="A33" i="7"/>
  <c r="A33" i="6"/>
  <c r="A34" i="5"/>
  <c r="L35" i="3" l="1"/>
  <c r="B33" i="16"/>
  <c r="A34" i="16"/>
  <c r="B33" i="15"/>
  <c r="A34" i="15"/>
  <c r="B34" i="14"/>
  <c r="A35" i="14"/>
  <c r="B33" i="13"/>
  <c r="A34" i="13"/>
  <c r="B34" i="10"/>
  <c r="A35" i="10"/>
  <c r="B33" i="9"/>
  <c r="A34" i="9"/>
  <c r="B34" i="8"/>
  <c r="A35" i="8"/>
  <c r="B33" i="7"/>
  <c r="A34" i="7"/>
  <c r="A34" i="6"/>
  <c r="A35" i="5"/>
  <c r="L36" i="3" l="1"/>
  <c r="B34" i="16"/>
  <c r="A35" i="16"/>
  <c r="B34" i="15"/>
  <c r="A35" i="15"/>
  <c r="B35" i="14"/>
  <c r="A36" i="14"/>
  <c r="B34" i="13"/>
  <c r="A35" i="13"/>
  <c r="A36" i="10"/>
  <c r="B35" i="10"/>
  <c r="B34" i="9"/>
  <c r="A35" i="9"/>
  <c r="B35" i="8"/>
  <c r="A36" i="8"/>
  <c r="B34" i="7"/>
  <c r="A35" i="7"/>
  <c r="A35" i="6"/>
  <c r="A36" i="5"/>
  <c r="L37" i="3" l="1"/>
  <c r="B35" i="16"/>
  <c r="A36" i="16"/>
  <c r="B35" i="15"/>
  <c r="A36" i="15"/>
  <c r="B36" i="14"/>
  <c r="A37" i="14"/>
  <c r="B35" i="13"/>
  <c r="A36" i="13"/>
  <c r="A37" i="10"/>
  <c r="B36" i="10"/>
  <c r="B35" i="9"/>
  <c r="A36" i="9"/>
  <c r="B36" i="8"/>
  <c r="A37" i="8"/>
  <c r="B35" i="7"/>
  <c r="A36" i="7"/>
  <c r="A36" i="6"/>
  <c r="A37" i="5"/>
  <c r="L38" i="3" l="1"/>
  <c r="A37" i="16"/>
  <c r="B36" i="16"/>
  <c r="A37" i="15"/>
  <c r="B36" i="15"/>
  <c r="A38" i="14"/>
  <c r="B37" i="14"/>
  <c r="B36" i="13"/>
  <c r="A37" i="13"/>
  <c r="A38" i="10"/>
  <c r="B37" i="10"/>
  <c r="B36" i="9"/>
  <c r="A37" i="9"/>
  <c r="A38" i="8"/>
  <c r="B37" i="8"/>
  <c r="B36" i="7"/>
  <c r="A37" i="7"/>
  <c r="A37" i="6"/>
  <c r="A38" i="5"/>
  <c r="L39" i="3" l="1"/>
  <c r="A38" i="16"/>
  <c r="B37" i="16"/>
  <c r="A38" i="15"/>
  <c r="B37" i="15"/>
  <c r="A39" i="14"/>
  <c r="B38" i="14"/>
  <c r="B37" i="13"/>
  <c r="A38" i="13"/>
  <c r="A39" i="10"/>
  <c r="B38" i="10"/>
  <c r="A38" i="9"/>
  <c r="B37" i="9"/>
  <c r="A39" i="8"/>
  <c r="B38" i="8"/>
  <c r="A38" i="7"/>
  <c r="B37" i="7"/>
  <c r="A38" i="6"/>
  <c r="A39" i="5"/>
  <c r="L40" i="3" l="1"/>
  <c r="A39" i="16"/>
  <c r="B38" i="16"/>
  <c r="A39" i="15"/>
  <c r="B38" i="15"/>
  <c r="B39" i="14"/>
  <c r="A40" i="14"/>
  <c r="A39" i="13"/>
  <c r="B38" i="13"/>
  <c r="B39" i="10"/>
  <c r="A40" i="10"/>
  <c r="A39" i="9"/>
  <c r="B38" i="9"/>
  <c r="B39" i="8"/>
  <c r="A40" i="8"/>
  <c r="A39" i="7"/>
  <c r="B38" i="7"/>
  <c r="A39" i="6"/>
  <c r="A40" i="5"/>
  <c r="L41" i="3" l="1"/>
  <c r="B39" i="16"/>
  <c r="A40" i="16"/>
  <c r="B39" i="15"/>
  <c r="A40" i="15"/>
  <c r="B40" i="14"/>
  <c r="A41" i="14"/>
  <c r="A40" i="13"/>
  <c r="B39" i="13"/>
  <c r="B40" i="10"/>
  <c r="A41" i="10"/>
  <c r="B39" i="9"/>
  <c r="A40" i="9"/>
  <c r="B40" i="8"/>
  <c r="A41" i="8"/>
  <c r="B39" i="7"/>
  <c r="A40" i="7"/>
  <c r="A40" i="6"/>
  <c r="A41" i="5"/>
  <c r="L42" i="3" l="1"/>
  <c r="B40" i="16"/>
  <c r="A41" i="16"/>
  <c r="B40" i="15"/>
  <c r="A41" i="15"/>
  <c r="B41" i="14"/>
  <c r="A42" i="14"/>
  <c r="B40" i="13"/>
  <c r="A41" i="13"/>
  <c r="A42" i="10"/>
  <c r="B41" i="10"/>
  <c r="B40" i="9"/>
  <c r="A41" i="9"/>
  <c r="B41" i="8"/>
  <c r="A42" i="8"/>
  <c r="B40" i="7"/>
  <c r="A41" i="7"/>
  <c r="A41" i="6"/>
  <c r="A42" i="5"/>
  <c r="L43" i="3" l="1"/>
  <c r="B41" i="16"/>
  <c r="A42" i="16"/>
  <c r="B41" i="15"/>
  <c r="A42" i="15"/>
  <c r="B42" i="14"/>
  <c r="A43" i="14"/>
  <c r="B41" i="13"/>
  <c r="A42" i="13"/>
  <c r="B42" i="10"/>
  <c r="A43" i="10"/>
  <c r="B41" i="9"/>
  <c r="A42" i="9"/>
  <c r="B42" i="8"/>
  <c r="A43" i="8"/>
  <c r="B41" i="7"/>
  <c r="A42" i="7"/>
  <c r="A42" i="6"/>
  <c r="A43" i="5"/>
  <c r="L44" i="3" l="1"/>
  <c r="B42" i="16"/>
  <c r="A43" i="16"/>
  <c r="B42" i="15"/>
  <c r="A43" i="15"/>
  <c r="B43" i="14"/>
  <c r="A44" i="14"/>
  <c r="B42" i="13"/>
  <c r="A43" i="13"/>
  <c r="B43" i="10"/>
  <c r="A44" i="10"/>
  <c r="B42" i="9"/>
  <c r="A43" i="9"/>
  <c r="B43" i="8"/>
  <c r="A44" i="8"/>
  <c r="B42" i="7"/>
  <c r="A43" i="7"/>
  <c r="A43" i="6"/>
  <c r="A44" i="5"/>
  <c r="L45" i="3" l="1"/>
  <c r="A44" i="16"/>
  <c r="B43" i="16"/>
  <c r="B43" i="15"/>
  <c r="A44" i="15"/>
  <c r="B44" i="14"/>
  <c r="A45" i="14"/>
  <c r="B43" i="13"/>
  <c r="A44" i="13"/>
  <c r="B44" i="10"/>
  <c r="A45" i="10"/>
  <c r="B43" i="9"/>
  <c r="A44" i="9"/>
  <c r="B44" i="8"/>
  <c r="A45" i="8"/>
  <c r="B43" i="7"/>
  <c r="A44" i="7"/>
  <c r="A44" i="6"/>
  <c r="A45" i="5"/>
  <c r="L46" i="3" l="1"/>
  <c r="A45" i="16"/>
  <c r="B44" i="16"/>
  <c r="B44" i="15"/>
  <c r="A45" i="15"/>
  <c r="A46" i="14"/>
  <c r="B45" i="14"/>
  <c r="B44" i="13"/>
  <c r="A45" i="13"/>
  <c r="A46" i="10"/>
  <c r="B45" i="10"/>
  <c r="B44" i="9"/>
  <c r="A45" i="9"/>
  <c r="A46" i="8"/>
  <c r="B45" i="8"/>
  <c r="B44" i="7"/>
  <c r="A45" i="7"/>
  <c r="A45" i="6"/>
  <c r="A46" i="5"/>
  <c r="L47" i="3" l="1"/>
  <c r="A46" i="16"/>
  <c r="B45" i="16"/>
  <c r="A46" i="15"/>
  <c r="B45" i="15"/>
  <c r="A47" i="14"/>
  <c r="B46" i="14"/>
  <c r="A46" i="13"/>
  <c r="B45" i="13"/>
  <c r="A47" i="10"/>
  <c r="B46" i="10"/>
  <c r="A46" i="9"/>
  <c r="B45" i="9"/>
  <c r="A47" i="8"/>
  <c r="B46" i="8"/>
  <c r="A46" i="7"/>
  <c r="B45" i="7"/>
  <c r="A46" i="6"/>
  <c r="A47" i="5"/>
  <c r="L48" i="3" l="1"/>
  <c r="A47" i="16"/>
  <c r="B46" i="16"/>
  <c r="A47" i="15"/>
  <c r="B46" i="15"/>
  <c r="B47" i="14"/>
  <c r="A48" i="14"/>
  <c r="A47" i="13"/>
  <c r="B46" i="13"/>
  <c r="B47" i="10"/>
  <c r="A48" i="10"/>
  <c r="A47" i="9"/>
  <c r="B46" i="9"/>
  <c r="B47" i="8"/>
  <c r="A48" i="8"/>
  <c r="A47" i="7"/>
  <c r="B46" i="7"/>
  <c r="A47" i="6"/>
  <c r="A48" i="5"/>
  <c r="L49" i="3" l="1"/>
  <c r="B47" i="16"/>
  <c r="A48" i="16"/>
  <c r="B47" i="15"/>
  <c r="A48" i="15"/>
  <c r="B48" i="14"/>
  <c r="A49" i="14"/>
  <c r="B47" i="13"/>
  <c r="A48" i="13"/>
  <c r="B48" i="10"/>
  <c r="A49" i="10"/>
  <c r="B47" i="9"/>
  <c r="A48" i="9"/>
  <c r="B48" i="8"/>
  <c r="A49" i="8"/>
  <c r="B47" i="7"/>
  <c r="A48" i="7"/>
  <c r="A48" i="6"/>
  <c r="A49" i="5"/>
  <c r="L50" i="3" l="1"/>
  <c r="B48" i="16"/>
  <c r="A49" i="16"/>
  <c r="B48" i="15"/>
  <c r="A49" i="15"/>
  <c r="B49" i="14"/>
  <c r="A50" i="14"/>
  <c r="B48" i="13"/>
  <c r="A49" i="13"/>
  <c r="B49" i="10"/>
  <c r="A50" i="10"/>
  <c r="B48" i="9"/>
  <c r="A49" i="9"/>
  <c r="B49" i="8"/>
  <c r="A50" i="8"/>
  <c r="B48" i="7"/>
  <c r="A49" i="7"/>
  <c r="A49" i="6"/>
  <c r="A50" i="5"/>
  <c r="L51" i="3" l="1"/>
  <c r="B49" i="16"/>
  <c r="A50" i="16"/>
  <c r="B49" i="15"/>
  <c r="A50" i="15"/>
  <c r="B50" i="14"/>
  <c r="A51" i="14"/>
  <c r="B49" i="13"/>
  <c r="A50" i="13"/>
  <c r="B50" i="10"/>
  <c r="A51" i="10"/>
  <c r="B49" i="9"/>
  <c r="A50" i="9"/>
  <c r="B50" i="8"/>
  <c r="A51" i="8"/>
  <c r="B49" i="7"/>
  <c r="A50" i="7"/>
  <c r="A50" i="6"/>
  <c r="A51" i="5"/>
  <c r="L52" i="3" l="1"/>
  <c r="B50" i="16"/>
  <c r="A51" i="16"/>
  <c r="B50" i="15"/>
  <c r="A51" i="15"/>
  <c r="B51" i="14"/>
  <c r="A52" i="14"/>
  <c r="B50" i="13"/>
  <c r="A51" i="13"/>
  <c r="B51" i="10"/>
  <c r="A52" i="10"/>
  <c r="B50" i="9"/>
  <c r="A51" i="9"/>
  <c r="B51" i="8"/>
  <c r="A52" i="8"/>
  <c r="B50" i="7"/>
  <c r="A51" i="7"/>
  <c r="A51" i="6"/>
  <c r="A52" i="5"/>
  <c r="B51" i="16" l="1"/>
  <c r="A52" i="16"/>
  <c r="B51" i="15"/>
  <c r="A52" i="15"/>
  <c r="B52" i="14"/>
  <c r="B51" i="13"/>
  <c r="A52" i="13"/>
  <c r="B52" i="10"/>
  <c r="B51" i="9"/>
  <c r="A52" i="9"/>
  <c r="B52" i="8"/>
  <c r="B51" i="7"/>
  <c r="A52" i="7"/>
  <c r="A52" i="6"/>
  <c r="B52" i="16" l="1"/>
  <c r="B52" i="15"/>
  <c r="B52" i="13"/>
  <c r="B52" i="9"/>
  <c r="B52" i="7"/>
  <c r="F2" i="3" l="1"/>
  <c r="B2" i="3"/>
  <c r="A3" i="3"/>
  <c r="Y4" i="2"/>
  <c r="E2" i="6" s="1"/>
  <c r="X4" i="2"/>
  <c r="E2" i="5" s="1"/>
  <c r="W4" i="2"/>
  <c r="Q4" i="2"/>
  <c r="P54" i="2"/>
  <c r="O54" i="2"/>
  <c r="N54" i="2"/>
  <c r="Q54" i="2" s="1"/>
  <c r="P53" i="2"/>
  <c r="O53" i="2"/>
  <c r="N53" i="2"/>
  <c r="Q53" i="2" s="1"/>
  <c r="P52" i="2"/>
  <c r="O52" i="2"/>
  <c r="N52" i="2"/>
  <c r="Q52" i="2" s="1"/>
  <c r="P51" i="2"/>
  <c r="O51" i="2"/>
  <c r="N51" i="2"/>
  <c r="Q51" i="2" s="1"/>
  <c r="P50" i="2"/>
  <c r="O50" i="2"/>
  <c r="N50" i="2"/>
  <c r="Q50" i="2" s="1"/>
  <c r="P49" i="2"/>
  <c r="O49" i="2"/>
  <c r="N49" i="2"/>
  <c r="Q49" i="2" s="1"/>
  <c r="P48" i="2"/>
  <c r="O48" i="2"/>
  <c r="N48" i="2"/>
  <c r="Q48" i="2" s="1"/>
  <c r="P47" i="2"/>
  <c r="O47" i="2"/>
  <c r="N47" i="2"/>
  <c r="Q47" i="2" s="1"/>
  <c r="P46" i="2"/>
  <c r="O46" i="2"/>
  <c r="N46" i="2"/>
  <c r="Q46" i="2" s="1"/>
  <c r="P45" i="2"/>
  <c r="O45" i="2"/>
  <c r="N45" i="2"/>
  <c r="Q45" i="2" s="1"/>
  <c r="P44" i="2"/>
  <c r="O44" i="2"/>
  <c r="N44" i="2"/>
  <c r="Q44" i="2" s="1"/>
  <c r="P43" i="2"/>
  <c r="O43" i="2"/>
  <c r="N43" i="2"/>
  <c r="Q43" i="2" s="1"/>
  <c r="P42" i="2"/>
  <c r="O42" i="2"/>
  <c r="N42" i="2"/>
  <c r="Q42" i="2" s="1"/>
  <c r="P41" i="2"/>
  <c r="O41" i="2"/>
  <c r="N41" i="2"/>
  <c r="Q41" i="2" s="1"/>
  <c r="P40" i="2"/>
  <c r="O40" i="2"/>
  <c r="N40" i="2"/>
  <c r="Q40" i="2" s="1"/>
  <c r="P39" i="2"/>
  <c r="O39" i="2"/>
  <c r="N39" i="2"/>
  <c r="Q39" i="2" s="1"/>
  <c r="P38" i="2"/>
  <c r="O38" i="2"/>
  <c r="N38" i="2"/>
  <c r="Q38" i="2" s="1"/>
  <c r="P37" i="2"/>
  <c r="O37" i="2"/>
  <c r="N37" i="2"/>
  <c r="Q37" i="2" s="1"/>
  <c r="P36" i="2"/>
  <c r="O36" i="2"/>
  <c r="N36" i="2"/>
  <c r="Q36" i="2" s="1"/>
  <c r="P35" i="2"/>
  <c r="O35" i="2"/>
  <c r="N35" i="2"/>
  <c r="Q35" i="2" s="1"/>
  <c r="P34" i="2"/>
  <c r="O34" i="2"/>
  <c r="N34" i="2"/>
  <c r="Q34" i="2" s="1"/>
  <c r="P33" i="2"/>
  <c r="O33" i="2"/>
  <c r="N33" i="2"/>
  <c r="Q33" i="2" s="1"/>
  <c r="P32" i="2"/>
  <c r="O32" i="2"/>
  <c r="N32" i="2"/>
  <c r="Q32" i="2" s="1"/>
  <c r="P31" i="2"/>
  <c r="O31" i="2"/>
  <c r="N31" i="2"/>
  <c r="Q31" i="2" s="1"/>
  <c r="P30" i="2"/>
  <c r="O30" i="2"/>
  <c r="N30" i="2"/>
  <c r="Q30" i="2" s="1"/>
  <c r="P29" i="2"/>
  <c r="O29" i="2"/>
  <c r="N29" i="2"/>
  <c r="Q29" i="2" s="1"/>
  <c r="P28" i="2"/>
  <c r="O28" i="2"/>
  <c r="N28" i="2"/>
  <c r="Q28" i="2" s="1"/>
  <c r="P27" i="2"/>
  <c r="O27" i="2"/>
  <c r="N27" i="2"/>
  <c r="Q27" i="2" s="1"/>
  <c r="P26" i="2"/>
  <c r="O26" i="2"/>
  <c r="N26" i="2"/>
  <c r="Q26" i="2" s="1"/>
  <c r="P25" i="2"/>
  <c r="O25" i="2"/>
  <c r="N25" i="2"/>
  <c r="Q25" i="2" s="1"/>
  <c r="P24" i="2"/>
  <c r="O24" i="2"/>
  <c r="N24" i="2"/>
  <c r="Q24" i="2" s="1"/>
  <c r="P23" i="2"/>
  <c r="O23" i="2"/>
  <c r="N23" i="2"/>
  <c r="Q23" i="2" s="1"/>
  <c r="P22" i="2"/>
  <c r="O22" i="2"/>
  <c r="N22" i="2"/>
  <c r="Q22" i="2" s="1"/>
  <c r="P21" i="2"/>
  <c r="O21" i="2"/>
  <c r="N21" i="2"/>
  <c r="Q21" i="2" s="1"/>
  <c r="P20" i="2"/>
  <c r="O20" i="2"/>
  <c r="N20" i="2"/>
  <c r="Q20" i="2" s="1"/>
  <c r="P19" i="2"/>
  <c r="O19" i="2"/>
  <c r="N19" i="2"/>
  <c r="Q19" i="2" s="1"/>
  <c r="P18" i="2"/>
  <c r="O18" i="2"/>
  <c r="N18" i="2"/>
  <c r="Q18" i="2" s="1"/>
  <c r="P17" i="2"/>
  <c r="O17" i="2"/>
  <c r="N17" i="2"/>
  <c r="Q17" i="2" s="1"/>
  <c r="P16" i="2"/>
  <c r="O16" i="2"/>
  <c r="N16" i="2"/>
  <c r="Q16" i="2" s="1"/>
  <c r="P15" i="2"/>
  <c r="O15" i="2"/>
  <c r="N15" i="2"/>
  <c r="Q15" i="2" s="1"/>
  <c r="P14" i="2"/>
  <c r="O14" i="2"/>
  <c r="N14" i="2"/>
  <c r="Q14" i="2" s="1"/>
  <c r="P13" i="2"/>
  <c r="O13" i="2"/>
  <c r="N13" i="2"/>
  <c r="Q13" i="2" s="1"/>
  <c r="P12" i="2"/>
  <c r="O12" i="2"/>
  <c r="N12" i="2"/>
  <c r="Q12" i="2" s="1"/>
  <c r="P11" i="2"/>
  <c r="O11" i="2"/>
  <c r="N11" i="2"/>
  <c r="Q11" i="2" s="1"/>
  <c r="P10" i="2"/>
  <c r="O10" i="2"/>
  <c r="N10" i="2"/>
  <c r="Q10" i="2" s="1"/>
  <c r="P9" i="2"/>
  <c r="O9" i="2"/>
  <c r="N9" i="2"/>
  <c r="Q9" i="2" s="1"/>
  <c r="P8" i="2"/>
  <c r="O8" i="2"/>
  <c r="N8" i="2"/>
  <c r="Q8" i="2" s="1"/>
  <c r="P7" i="2"/>
  <c r="O7" i="2"/>
  <c r="N7" i="2"/>
  <c r="Q7" i="2" s="1"/>
  <c r="P6" i="2"/>
  <c r="O6" i="2"/>
  <c r="N6" i="2"/>
  <c r="Q6" i="2" s="1"/>
  <c r="P5" i="2"/>
  <c r="O5" i="2"/>
  <c r="N5" i="2"/>
  <c r="Q5" i="2" s="1"/>
  <c r="P4" i="2"/>
  <c r="O4" i="2"/>
  <c r="N4" i="2"/>
  <c r="T7" i="2" l="1"/>
  <c r="T15" i="2"/>
  <c r="T23" i="2"/>
  <c r="T10" i="2"/>
  <c r="T18" i="2"/>
  <c r="T26" i="2"/>
  <c r="T34" i="2"/>
  <c r="F32" i="15" s="1"/>
  <c r="T42" i="2"/>
  <c r="F40" i="15" s="1"/>
  <c r="T50" i="2"/>
  <c r="T29" i="2"/>
  <c r="F27" i="13" s="1"/>
  <c r="T45" i="2"/>
  <c r="F43" i="15" s="1"/>
  <c r="T53" i="2"/>
  <c r="T16" i="2"/>
  <c r="T24" i="2"/>
  <c r="T5" i="2"/>
  <c r="F3" i="15" s="1"/>
  <c r="T8" i="2"/>
  <c r="F6" i="13" s="1"/>
  <c r="T32" i="2"/>
  <c r="T40" i="2"/>
  <c r="F38" i="8" s="1"/>
  <c r="T48" i="2"/>
  <c r="F46" i="13" s="1"/>
  <c r="T11" i="2"/>
  <c r="F9" i="7" s="1"/>
  <c r="T35" i="2"/>
  <c r="T43" i="2"/>
  <c r="F41" i="14" s="1"/>
  <c r="T51" i="2"/>
  <c r="F49" i="14" s="1"/>
  <c r="T12" i="2"/>
  <c r="W12" i="2" s="1"/>
  <c r="E10" i="9" s="1"/>
  <c r="T20" i="2"/>
  <c r="W20" i="2" s="1"/>
  <c r="T28" i="2"/>
  <c r="W28" i="2" s="1"/>
  <c r="E26" i="13" s="1"/>
  <c r="T37" i="2"/>
  <c r="F35" i="7" s="1"/>
  <c r="T44" i="2"/>
  <c r="W44" i="2" s="1"/>
  <c r="E42" i="14" s="1"/>
  <c r="C31" i="5"/>
  <c r="R33" i="2"/>
  <c r="D31" i="5" s="1"/>
  <c r="C47" i="5"/>
  <c r="R49" i="2"/>
  <c r="D47" i="5" s="1"/>
  <c r="C52" i="6"/>
  <c r="S54" i="2"/>
  <c r="D52" i="6" s="1"/>
  <c r="T21" i="2"/>
  <c r="F19" i="8" s="1"/>
  <c r="T27" i="2"/>
  <c r="F25" i="14" s="1"/>
  <c r="C2" i="5"/>
  <c r="R4" i="2"/>
  <c r="D2" i="5" s="1"/>
  <c r="C7" i="6"/>
  <c r="S9" i="2"/>
  <c r="D7" i="6" s="1"/>
  <c r="C10" i="5"/>
  <c r="R12" i="2"/>
  <c r="D10" i="5" s="1"/>
  <c r="C15" i="6"/>
  <c r="S17" i="2"/>
  <c r="D15" i="6" s="1"/>
  <c r="C18" i="5"/>
  <c r="R20" i="2"/>
  <c r="D18" i="5" s="1"/>
  <c r="C23" i="6"/>
  <c r="S25" i="2"/>
  <c r="D23" i="6" s="1"/>
  <c r="C26" i="5"/>
  <c r="R28" i="2"/>
  <c r="D26" i="5" s="1"/>
  <c r="C31" i="6"/>
  <c r="S33" i="2"/>
  <c r="D31" i="6" s="1"/>
  <c r="C34" i="5"/>
  <c r="R36" i="2"/>
  <c r="D34" i="5" s="1"/>
  <c r="C39" i="6"/>
  <c r="S41" i="2"/>
  <c r="D39" i="6" s="1"/>
  <c r="C42" i="5"/>
  <c r="R44" i="2"/>
  <c r="D42" i="5" s="1"/>
  <c r="C47" i="6"/>
  <c r="S49" i="2"/>
  <c r="D47" i="6" s="1"/>
  <c r="C50" i="5"/>
  <c r="R52" i="2"/>
  <c r="D50" i="5" s="1"/>
  <c r="T36" i="2"/>
  <c r="W36" i="2" s="1"/>
  <c r="E34" i="13" s="1"/>
  <c r="C29" i="5"/>
  <c r="R31" i="2"/>
  <c r="D29" i="5" s="1"/>
  <c r="C34" i="6"/>
  <c r="S36" i="2"/>
  <c r="D34" i="6" s="1"/>
  <c r="C37" i="5"/>
  <c r="R39" i="2"/>
  <c r="D37" i="5" s="1"/>
  <c r="C50" i="6"/>
  <c r="S52" i="2"/>
  <c r="D50" i="6" s="1"/>
  <c r="C5" i="6"/>
  <c r="S7" i="2"/>
  <c r="D5" i="6" s="1"/>
  <c r="C29" i="6"/>
  <c r="S31" i="2"/>
  <c r="D29" i="6" s="1"/>
  <c r="C37" i="6"/>
  <c r="S39" i="2"/>
  <c r="D37" i="6" s="1"/>
  <c r="C40" i="5"/>
  <c r="R42" i="2"/>
  <c r="D40" i="5" s="1"/>
  <c r="C45" i="6"/>
  <c r="S47" i="2"/>
  <c r="D45" i="6" s="1"/>
  <c r="C48" i="5"/>
  <c r="R50" i="2"/>
  <c r="D48" i="5" s="1"/>
  <c r="C28" i="6"/>
  <c r="S30" i="2"/>
  <c r="D28" i="6" s="1"/>
  <c r="C44" i="6"/>
  <c r="S46" i="2"/>
  <c r="D44" i="6" s="1"/>
  <c r="C18" i="6"/>
  <c r="S20" i="2"/>
  <c r="D18" i="6" s="1"/>
  <c r="C45" i="5"/>
  <c r="R47" i="2"/>
  <c r="D45" i="5" s="1"/>
  <c r="T19" i="2"/>
  <c r="F17" i="16" s="1"/>
  <c r="C13" i="6"/>
  <c r="S15" i="2"/>
  <c r="D13" i="6" s="1"/>
  <c r="C21" i="6"/>
  <c r="S23" i="2"/>
  <c r="D21" i="6" s="1"/>
  <c r="C24" i="5"/>
  <c r="R26" i="2"/>
  <c r="D24" i="5" s="1"/>
  <c r="C32" i="5"/>
  <c r="R34" i="2"/>
  <c r="D32" i="5" s="1"/>
  <c r="C3" i="5"/>
  <c r="R5" i="2"/>
  <c r="D3" i="5" s="1"/>
  <c r="C8" i="6"/>
  <c r="S10" i="2"/>
  <c r="D8" i="6" s="1"/>
  <c r="C11" i="5"/>
  <c r="R13" i="2"/>
  <c r="D11" i="5" s="1"/>
  <c r="C16" i="6"/>
  <c r="S18" i="2"/>
  <c r="D16" i="6" s="1"/>
  <c r="C19" i="5"/>
  <c r="R21" i="2"/>
  <c r="D19" i="5" s="1"/>
  <c r="C24" i="6"/>
  <c r="S26" i="2"/>
  <c r="D24" i="6" s="1"/>
  <c r="C27" i="5"/>
  <c r="R29" i="2"/>
  <c r="D27" i="5" s="1"/>
  <c r="C32" i="6"/>
  <c r="S34" i="2"/>
  <c r="D32" i="6" s="1"/>
  <c r="C35" i="5"/>
  <c r="R37" i="2"/>
  <c r="D35" i="5" s="1"/>
  <c r="C40" i="6"/>
  <c r="S42" i="2"/>
  <c r="D40" i="6" s="1"/>
  <c r="C43" i="5"/>
  <c r="R45" i="2"/>
  <c r="D43" i="5" s="1"/>
  <c r="C48" i="6"/>
  <c r="S50" i="2"/>
  <c r="D48" i="6" s="1"/>
  <c r="C51" i="5"/>
  <c r="R53" i="2"/>
  <c r="D51" i="5" s="1"/>
  <c r="C7" i="5"/>
  <c r="R9" i="2"/>
  <c r="D7" i="5" s="1"/>
  <c r="C15" i="5"/>
  <c r="R17" i="2"/>
  <c r="D15" i="5" s="1"/>
  <c r="C20" i="6"/>
  <c r="S22" i="2"/>
  <c r="D20" i="6" s="1"/>
  <c r="C39" i="5"/>
  <c r="R41" i="2"/>
  <c r="D39" i="5" s="1"/>
  <c r="C5" i="5"/>
  <c r="R7" i="2"/>
  <c r="D5" i="5" s="1"/>
  <c r="C21" i="5"/>
  <c r="R23" i="2"/>
  <c r="D21" i="5" s="1"/>
  <c r="C26" i="6"/>
  <c r="S28" i="2"/>
  <c r="D26" i="6" s="1"/>
  <c r="C42" i="6"/>
  <c r="S44" i="2"/>
  <c r="D42" i="6" s="1"/>
  <c r="C8" i="5"/>
  <c r="R10" i="2"/>
  <c r="D8" i="5" s="1"/>
  <c r="C16" i="5"/>
  <c r="R18" i="2"/>
  <c r="D16" i="5" s="1"/>
  <c r="C3" i="6"/>
  <c r="S5" i="2"/>
  <c r="D3" i="6" s="1"/>
  <c r="C6" i="5"/>
  <c r="R8" i="2"/>
  <c r="D6" i="5" s="1"/>
  <c r="C11" i="6"/>
  <c r="S13" i="2"/>
  <c r="D11" i="6" s="1"/>
  <c r="C14" i="5"/>
  <c r="R16" i="2"/>
  <c r="D14" i="5" s="1"/>
  <c r="C19" i="6"/>
  <c r="S21" i="2"/>
  <c r="D19" i="6" s="1"/>
  <c r="C22" i="5"/>
  <c r="R24" i="2"/>
  <c r="D22" i="5" s="1"/>
  <c r="C27" i="6"/>
  <c r="S29" i="2"/>
  <c r="D27" i="6" s="1"/>
  <c r="C30" i="5"/>
  <c r="R32" i="2"/>
  <c r="D30" i="5" s="1"/>
  <c r="C35" i="6"/>
  <c r="S37" i="2"/>
  <c r="D35" i="6" s="1"/>
  <c r="C38" i="5"/>
  <c r="R40" i="2"/>
  <c r="D38" i="5" s="1"/>
  <c r="C43" i="6"/>
  <c r="S45" i="2"/>
  <c r="D43" i="6" s="1"/>
  <c r="C46" i="5"/>
  <c r="R48" i="2"/>
  <c r="D46" i="5" s="1"/>
  <c r="C51" i="6"/>
  <c r="S53" i="2"/>
  <c r="D51" i="6" s="1"/>
  <c r="C23" i="5"/>
  <c r="R25" i="2"/>
  <c r="D23" i="5" s="1"/>
  <c r="C36" i="6"/>
  <c r="S38" i="2"/>
  <c r="D36" i="6" s="1"/>
  <c r="C10" i="6"/>
  <c r="S12" i="2"/>
  <c r="D10" i="6" s="1"/>
  <c r="C6" i="6"/>
  <c r="S8" i="2"/>
  <c r="D6" i="6" s="1"/>
  <c r="C9" i="5"/>
  <c r="R11" i="2"/>
  <c r="D9" i="5" s="1"/>
  <c r="C14" i="6"/>
  <c r="S16" i="2"/>
  <c r="D14" i="6" s="1"/>
  <c r="C17" i="5"/>
  <c r="R19" i="2"/>
  <c r="D17" i="5" s="1"/>
  <c r="C25" i="5"/>
  <c r="R27" i="2"/>
  <c r="D25" i="5" s="1"/>
  <c r="C30" i="6"/>
  <c r="S32" i="2"/>
  <c r="D30" i="6" s="1"/>
  <c r="C38" i="6"/>
  <c r="S40" i="2"/>
  <c r="D38" i="6" s="1"/>
  <c r="C46" i="6"/>
  <c r="S48" i="2"/>
  <c r="D46" i="6" s="1"/>
  <c r="C49" i="5"/>
  <c r="R51" i="2"/>
  <c r="D49" i="5" s="1"/>
  <c r="C4" i="6"/>
  <c r="S6" i="2"/>
  <c r="D4" i="6" s="1"/>
  <c r="C12" i="6"/>
  <c r="S14" i="2"/>
  <c r="C2" i="6"/>
  <c r="S4" i="2"/>
  <c r="D2" i="6" s="1"/>
  <c r="C13" i="5"/>
  <c r="R15" i="2"/>
  <c r="D13" i="5" s="1"/>
  <c r="T13" i="2"/>
  <c r="F11" i="7" s="1"/>
  <c r="C22" i="6"/>
  <c r="S24" i="2"/>
  <c r="D22" i="6" s="1"/>
  <c r="C33" i="5"/>
  <c r="R35" i="2"/>
  <c r="D33" i="5" s="1"/>
  <c r="C41" i="5"/>
  <c r="R43" i="2"/>
  <c r="D41" i="5" s="1"/>
  <c r="C4" i="5"/>
  <c r="R6" i="2"/>
  <c r="D4" i="5" s="1"/>
  <c r="C9" i="6"/>
  <c r="S11" i="2"/>
  <c r="D9" i="6" s="1"/>
  <c r="C12" i="5"/>
  <c r="R14" i="2"/>
  <c r="D12" i="5" s="1"/>
  <c r="C17" i="6"/>
  <c r="S19" i="2"/>
  <c r="D17" i="6" s="1"/>
  <c r="C20" i="5"/>
  <c r="R22" i="2"/>
  <c r="D20" i="5" s="1"/>
  <c r="C25" i="6"/>
  <c r="S27" i="2"/>
  <c r="D25" i="6" s="1"/>
  <c r="C28" i="5"/>
  <c r="R30" i="2"/>
  <c r="D28" i="5" s="1"/>
  <c r="C33" i="6"/>
  <c r="S35" i="2"/>
  <c r="D33" i="6" s="1"/>
  <c r="C36" i="5"/>
  <c r="R38" i="2"/>
  <c r="D36" i="5" s="1"/>
  <c r="C41" i="6"/>
  <c r="S43" i="2"/>
  <c r="D41" i="6" s="1"/>
  <c r="C44" i="5"/>
  <c r="R46" i="2"/>
  <c r="D44" i="5" s="1"/>
  <c r="C49" i="6"/>
  <c r="S51" i="2"/>
  <c r="D49" i="6" s="1"/>
  <c r="C52" i="5"/>
  <c r="R54" i="2"/>
  <c r="D52" i="5" s="1"/>
  <c r="T52" i="2"/>
  <c r="W52" i="2" s="1"/>
  <c r="E50" i="8" s="1"/>
  <c r="T31" i="2"/>
  <c r="F29" i="16" s="1"/>
  <c r="T39" i="2"/>
  <c r="F37" i="16" s="1"/>
  <c r="T47" i="2"/>
  <c r="F45" i="10" s="1"/>
  <c r="F24" i="14"/>
  <c r="F24" i="8"/>
  <c r="F24" i="10"/>
  <c r="F24" i="9"/>
  <c r="F24" i="16"/>
  <c r="F24" i="13"/>
  <c r="F24" i="15"/>
  <c r="F24" i="7"/>
  <c r="W26" i="2"/>
  <c r="F51" i="8"/>
  <c r="F51" i="10"/>
  <c r="F51" i="14"/>
  <c r="F51" i="16"/>
  <c r="F51" i="9"/>
  <c r="F51" i="13"/>
  <c r="F51" i="7"/>
  <c r="F51" i="15"/>
  <c r="W53" i="2"/>
  <c r="F14" i="8"/>
  <c r="F14" i="10"/>
  <c r="F14" i="14"/>
  <c r="F14" i="7"/>
  <c r="F14" i="16"/>
  <c r="F14" i="9"/>
  <c r="F14" i="13"/>
  <c r="F14" i="15"/>
  <c r="W16" i="2"/>
  <c r="F22" i="8"/>
  <c r="F22" i="14"/>
  <c r="F22" i="10"/>
  <c r="F22" i="7"/>
  <c r="F22" i="16"/>
  <c r="F22" i="9"/>
  <c r="F22" i="13"/>
  <c r="F22" i="15"/>
  <c r="W24" i="2"/>
  <c r="F30" i="8"/>
  <c r="F30" i="10"/>
  <c r="F30" i="14"/>
  <c r="F30" i="7"/>
  <c r="F30" i="13"/>
  <c r="F30" i="16"/>
  <c r="F30" i="15"/>
  <c r="F30" i="9"/>
  <c r="W32" i="2"/>
  <c r="F38" i="13"/>
  <c r="F38" i="15"/>
  <c r="E34" i="7"/>
  <c r="F32" i="8"/>
  <c r="F32" i="14"/>
  <c r="F32" i="13"/>
  <c r="F25" i="13"/>
  <c r="F25" i="9"/>
  <c r="F49" i="7"/>
  <c r="F49" i="16"/>
  <c r="F49" i="9"/>
  <c r="F27" i="15"/>
  <c r="F27" i="7"/>
  <c r="E18" i="8"/>
  <c r="E18" i="14"/>
  <c r="E18" i="10"/>
  <c r="E18" i="16"/>
  <c r="E18" i="13"/>
  <c r="E18" i="9"/>
  <c r="E18" i="15"/>
  <c r="E18" i="7"/>
  <c r="F16" i="8"/>
  <c r="F16" i="10"/>
  <c r="F16" i="14"/>
  <c r="F16" i="7"/>
  <c r="F16" i="15"/>
  <c r="F16" i="9"/>
  <c r="F16" i="16"/>
  <c r="F16" i="13"/>
  <c r="W18" i="2"/>
  <c r="F3" i="7"/>
  <c r="F3" i="13"/>
  <c r="F3" i="10"/>
  <c r="F3" i="14"/>
  <c r="W5" i="2"/>
  <c r="F6" i="7"/>
  <c r="F9" i="10"/>
  <c r="F9" i="8"/>
  <c r="F9" i="13"/>
  <c r="F33" i="8"/>
  <c r="F33" i="10"/>
  <c r="F33" i="14"/>
  <c r="F33" i="15"/>
  <c r="F33" i="7"/>
  <c r="F33" i="13"/>
  <c r="F33" i="16"/>
  <c r="F33" i="9"/>
  <c r="W35" i="2"/>
  <c r="E42" i="8"/>
  <c r="E42" i="13"/>
  <c r="E42" i="15"/>
  <c r="F48" i="14"/>
  <c r="F48" i="10"/>
  <c r="F48" i="8"/>
  <c r="F48" i="15"/>
  <c r="F48" i="7"/>
  <c r="F48" i="16"/>
  <c r="F48" i="9"/>
  <c r="F48" i="13"/>
  <c r="W50" i="2"/>
  <c r="F17" i="8"/>
  <c r="F17" i="15"/>
  <c r="F17" i="7"/>
  <c r="F8" i="14"/>
  <c r="F8" i="8"/>
  <c r="F8" i="10"/>
  <c r="F8" i="16"/>
  <c r="F8" i="9"/>
  <c r="F8" i="7"/>
  <c r="F8" i="13"/>
  <c r="F8" i="15"/>
  <c r="W10" i="2"/>
  <c r="E50" i="14"/>
  <c r="F41" i="8"/>
  <c r="F41" i="7"/>
  <c r="F41" i="15"/>
  <c r="F41" i="9"/>
  <c r="F5" i="8"/>
  <c r="F5" i="10"/>
  <c r="F5" i="14"/>
  <c r="F5" i="7"/>
  <c r="F5" i="15"/>
  <c r="F5" i="9"/>
  <c r="F5" i="16"/>
  <c r="F5" i="13"/>
  <c r="W7" i="2"/>
  <c r="F13" i="8"/>
  <c r="F13" i="10"/>
  <c r="F13" i="14"/>
  <c r="F13" i="15"/>
  <c r="F13" i="7"/>
  <c r="F13" i="16"/>
  <c r="F13" i="9"/>
  <c r="F13" i="13"/>
  <c r="W15" i="2"/>
  <c r="F21" i="8"/>
  <c r="F21" i="10"/>
  <c r="F21" i="14"/>
  <c r="F21" i="7"/>
  <c r="F21" i="9"/>
  <c r="F21" i="16"/>
  <c r="F21" i="13"/>
  <c r="F21" i="15"/>
  <c r="W23" i="2"/>
  <c r="F29" i="9"/>
  <c r="F29" i="7"/>
  <c r="E26" i="10"/>
  <c r="E26" i="16"/>
  <c r="C7" i="10"/>
  <c r="C7" i="14"/>
  <c r="C7" i="8"/>
  <c r="C7" i="15"/>
  <c r="C7" i="9"/>
  <c r="C7" i="7"/>
  <c r="C7" i="16"/>
  <c r="C7" i="13"/>
  <c r="C15" i="14"/>
  <c r="C15" i="8"/>
  <c r="C15" i="10"/>
  <c r="C15" i="16"/>
  <c r="C15" i="9"/>
  <c r="C15" i="15"/>
  <c r="C15" i="7"/>
  <c r="C15" i="13"/>
  <c r="D28" i="10"/>
  <c r="D28" i="8"/>
  <c r="D28" i="14"/>
  <c r="D28" i="15"/>
  <c r="D28" i="7"/>
  <c r="D28" i="16"/>
  <c r="D28" i="9"/>
  <c r="D28" i="13"/>
  <c r="C2" i="16"/>
  <c r="C2" i="9"/>
  <c r="C2" i="13"/>
  <c r="C2" i="15"/>
  <c r="C2" i="8"/>
  <c r="C2" i="7"/>
  <c r="C2" i="10"/>
  <c r="C2" i="14"/>
  <c r="C34" i="8"/>
  <c r="C34" i="14"/>
  <c r="C34" i="10"/>
  <c r="C34" i="16"/>
  <c r="C34" i="9"/>
  <c r="C34" i="13"/>
  <c r="C34" i="15"/>
  <c r="C34" i="7"/>
  <c r="C42" i="14"/>
  <c r="C42" i="10"/>
  <c r="C42" i="8"/>
  <c r="C42" i="15"/>
  <c r="C42" i="7"/>
  <c r="C42" i="16"/>
  <c r="C42" i="9"/>
  <c r="C42" i="13"/>
  <c r="C50" i="8"/>
  <c r="C50" i="10"/>
  <c r="C50" i="14"/>
  <c r="C50" i="15"/>
  <c r="C50" i="7"/>
  <c r="C50" i="16"/>
  <c r="C50" i="9"/>
  <c r="C50" i="13"/>
  <c r="D7" i="10"/>
  <c r="D7" i="8"/>
  <c r="D7" i="14"/>
  <c r="D7" i="15"/>
  <c r="D7" i="13"/>
  <c r="D7" i="7"/>
  <c r="D7" i="16"/>
  <c r="D7" i="9"/>
  <c r="D15" i="14"/>
  <c r="D15" i="8"/>
  <c r="D15" i="10"/>
  <c r="D15" i="7"/>
  <c r="D15" i="15"/>
  <c r="D15" i="16"/>
  <c r="D15" i="9"/>
  <c r="D15" i="13"/>
  <c r="D23" i="14"/>
  <c r="D23" i="8"/>
  <c r="D23" i="10"/>
  <c r="D23" i="13"/>
  <c r="D23" i="15"/>
  <c r="D23" i="7"/>
  <c r="D23" i="9"/>
  <c r="D23" i="16"/>
  <c r="D31" i="14"/>
  <c r="D31" i="8"/>
  <c r="D31" i="10"/>
  <c r="D31" i="7"/>
  <c r="D31" i="16"/>
  <c r="D31" i="15"/>
  <c r="D31" i="9"/>
  <c r="D31" i="13"/>
  <c r="D39" i="14"/>
  <c r="D39" i="10"/>
  <c r="D39" i="8"/>
  <c r="D39" i="15"/>
  <c r="D39" i="7"/>
  <c r="D39" i="9"/>
  <c r="D39" i="13"/>
  <c r="D39" i="16"/>
  <c r="D47" i="14"/>
  <c r="D47" i="8"/>
  <c r="D47" i="10"/>
  <c r="D47" i="13"/>
  <c r="D47" i="9"/>
  <c r="D47" i="15"/>
  <c r="D47" i="16"/>
  <c r="D47" i="7"/>
  <c r="V25" i="2"/>
  <c r="U28" i="2"/>
  <c r="V33" i="2"/>
  <c r="E2" i="13"/>
  <c r="E2" i="15"/>
  <c r="E2" i="8"/>
  <c r="E2" i="14"/>
  <c r="E2" i="7"/>
  <c r="E2" i="16"/>
  <c r="E2" i="10"/>
  <c r="E2" i="9"/>
  <c r="D44" i="14"/>
  <c r="D44" i="8"/>
  <c r="D44" i="10"/>
  <c r="D44" i="15"/>
  <c r="D44" i="7"/>
  <c r="D44" i="16"/>
  <c r="D44" i="9"/>
  <c r="D44" i="13"/>
  <c r="F26" i="9"/>
  <c r="F26" i="15"/>
  <c r="C10" i="14"/>
  <c r="C10" i="8"/>
  <c r="C10" i="10"/>
  <c r="C10" i="13"/>
  <c r="C10" i="7"/>
  <c r="C10" i="16"/>
  <c r="C10" i="15"/>
  <c r="C10" i="9"/>
  <c r="C18" i="8"/>
  <c r="C18" i="14"/>
  <c r="C18" i="10"/>
  <c r="C18" i="15"/>
  <c r="C18" i="7"/>
  <c r="C18" i="16"/>
  <c r="C18" i="9"/>
  <c r="C18" i="13"/>
  <c r="C26" i="8"/>
  <c r="C26" i="14"/>
  <c r="C26" i="10"/>
  <c r="C26" i="15"/>
  <c r="C26" i="7"/>
  <c r="C26" i="16"/>
  <c r="C26" i="9"/>
  <c r="C26" i="13"/>
  <c r="C5" i="8"/>
  <c r="C5" i="14"/>
  <c r="C5" i="10"/>
  <c r="C5" i="13"/>
  <c r="C5" i="16"/>
  <c r="C5" i="15"/>
  <c r="C5" i="9"/>
  <c r="C5" i="7"/>
  <c r="C13" i="14"/>
  <c r="C13" i="8"/>
  <c r="C13" i="10"/>
  <c r="C13" i="16"/>
  <c r="C13" i="15"/>
  <c r="C13" i="7"/>
  <c r="C13" i="9"/>
  <c r="C13" i="13"/>
  <c r="C21" i="14"/>
  <c r="C21" i="8"/>
  <c r="C21" i="10"/>
  <c r="C21" i="13"/>
  <c r="C21" i="7"/>
  <c r="C21" i="15"/>
  <c r="C21" i="16"/>
  <c r="C21" i="9"/>
  <c r="C29" i="10"/>
  <c r="C29" i="14"/>
  <c r="C29" i="8"/>
  <c r="C29" i="16"/>
  <c r="C29" i="15"/>
  <c r="C29" i="7"/>
  <c r="C29" i="13"/>
  <c r="C29" i="9"/>
  <c r="C37" i="14"/>
  <c r="C37" i="8"/>
  <c r="C37" i="10"/>
  <c r="C37" i="16"/>
  <c r="C37" i="15"/>
  <c r="C37" i="7"/>
  <c r="C37" i="9"/>
  <c r="C37" i="13"/>
  <c r="C45" i="14"/>
  <c r="C45" i="10"/>
  <c r="C45" i="8"/>
  <c r="C45" i="13"/>
  <c r="C45" i="7"/>
  <c r="C45" i="16"/>
  <c r="C45" i="15"/>
  <c r="C45" i="9"/>
  <c r="D2" i="13"/>
  <c r="D2" i="15"/>
  <c r="D2" i="8"/>
  <c r="D2" i="16"/>
  <c r="D2" i="9"/>
  <c r="D2" i="14"/>
  <c r="D2" i="7"/>
  <c r="D2" i="10"/>
  <c r="D2" i="3"/>
  <c r="D10" i="8"/>
  <c r="D10" i="10"/>
  <c r="D10" i="14"/>
  <c r="D10" i="13"/>
  <c r="D10" i="15"/>
  <c r="D10" i="7"/>
  <c r="D10" i="16"/>
  <c r="D10" i="9"/>
  <c r="D18" i="10"/>
  <c r="D18" i="8"/>
  <c r="D18" i="14"/>
  <c r="D18" i="15"/>
  <c r="D18" i="16"/>
  <c r="D18" i="9"/>
  <c r="D18" i="7"/>
  <c r="D18" i="13"/>
  <c r="D26" i="8"/>
  <c r="D26" i="14"/>
  <c r="D26" i="10"/>
  <c r="D26" i="7"/>
  <c r="D26" i="16"/>
  <c r="D26" i="9"/>
  <c r="D26" i="13"/>
  <c r="D26" i="15"/>
  <c r="D34" i="10"/>
  <c r="D34" i="8"/>
  <c r="D34" i="14"/>
  <c r="D34" i="16"/>
  <c r="D34" i="9"/>
  <c r="D34" i="13"/>
  <c r="D34" i="15"/>
  <c r="D34" i="7"/>
  <c r="D42" i="14"/>
  <c r="D42" i="8"/>
  <c r="D42" i="10"/>
  <c r="D42" i="7"/>
  <c r="D42" i="15"/>
  <c r="D42" i="16"/>
  <c r="D42" i="9"/>
  <c r="D42" i="13"/>
  <c r="D50" i="8"/>
  <c r="D50" i="10"/>
  <c r="D50" i="14"/>
  <c r="D50" i="16"/>
  <c r="D50" i="9"/>
  <c r="D50" i="13"/>
  <c r="D50" i="7"/>
  <c r="D50" i="15"/>
  <c r="D52" i="8"/>
  <c r="D52" i="10"/>
  <c r="D52" i="14"/>
  <c r="D52" i="16"/>
  <c r="D52" i="7"/>
  <c r="D52" i="13"/>
  <c r="D52" i="9"/>
  <c r="D52" i="15"/>
  <c r="F34" i="8"/>
  <c r="F34" i="10"/>
  <c r="F34" i="15"/>
  <c r="F34" i="7"/>
  <c r="F34" i="9"/>
  <c r="C16" i="8"/>
  <c r="C16" i="14"/>
  <c r="C16" i="10"/>
  <c r="C16" i="9"/>
  <c r="C16" i="15"/>
  <c r="C16" i="7"/>
  <c r="C16" i="16"/>
  <c r="C16" i="13"/>
  <c r="C24" i="10"/>
  <c r="C24" i="8"/>
  <c r="C24" i="14"/>
  <c r="C24" i="16"/>
  <c r="C24" i="15"/>
  <c r="C24" i="13"/>
  <c r="C24" i="7"/>
  <c r="C24" i="9"/>
  <c r="C32" i="8"/>
  <c r="C32" i="14"/>
  <c r="C32" i="10"/>
  <c r="C32" i="16"/>
  <c r="C32" i="7"/>
  <c r="C32" i="13"/>
  <c r="C32" i="15"/>
  <c r="C32" i="9"/>
  <c r="C40" i="10"/>
  <c r="C40" i="14"/>
  <c r="C40" i="8"/>
  <c r="C40" i="15"/>
  <c r="C40" i="16"/>
  <c r="C40" i="9"/>
  <c r="C40" i="13"/>
  <c r="C40" i="7"/>
  <c r="C48" i="8"/>
  <c r="C48" i="10"/>
  <c r="C48" i="14"/>
  <c r="C48" i="16"/>
  <c r="C48" i="9"/>
  <c r="C48" i="7"/>
  <c r="C48" i="13"/>
  <c r="C48" i="15"/>
  <c r="D5" i="14"/>
  <c r="D5" i="8"/>
  <c r="D5" i="10"/>
  <c r="D5" i="7"/>
  <c r="D5" i="16"/>
  <c r="D5" i="15"/>
  <c r="D5" i="13"/>
  <c r="D5" i="9"/>
  <c r="D13" i="10"/>
  <c r="D13" i="8"/>
  <c r="D13" i="14"/>
  <c r="D13" i="15"/>
  <c r="D13" i="7"/>
  <c r="D13" i="9"/>
  <c r="D13" i="16"/>
  <c r="D13" i="13"/>
  <c r="D21" i="14"/>
  <c r="D21" i="8"/>
  <c r="D21" i="10"/>
  <c r="D21" i="15"/>
  <c r="D21" i="7"/>
  <c r="D21" i="9"/>
  <c r="D21" i="16"/>
  <c r="D21" i="13"/>
  <c r="D29" i="10"/>
  <c r="D29" i="14"/>
  <c r="D29" i="8"/>
  <c r="D29" i="15"/>
  <c r="D29" i="7"/>
  <c r="D29" i="16"/>
  <c r="D29" i="13"/>
  <c r="D29" i="9"/>
  <c r="D37" i="8"/>
  <c r="D37" i="14"/>
  <c r="D37" i="10"/>
  <c r="D37" i="7"/>
  <c r="D37" i="15"/>
  <c r="D37" i="9"/>
  <c r="D37" i="16"/>
  <c r="D37" i="13"/>
  <c r="D45" i="14"/>
  <c r="D45" i="10"/>
  <c r="D45" i="8"/>
  <c r="D45" i="13"/>
  <c r="D45" i="15"/>
  <c r="D45" i="7"/>
  <c r="D45" i="16"/>
  <c r="D45" i="9"/>
  <c r="U10" i="2"/>
  <c r="V23" i="2"/>
  <c r="U34" i="2"/>
  <c r="V39" i="2"/>
  <c r="C23" i="14"/>
  <c r="C23" i="10"/>
  <c r="C23" i="8"/>
  <c r="C23" i="13"/>
  <c r="C23" i="16"/>
  <c r="C23" i="9"/>
  <c r="C23" i="15"/>
  <c r="C23" i="7"/>
  <c r="D20" i="8"/>
  <c r="D20" i="14"/>
  <c r="D20" i="10"/>
  <c r="D20" i="15"/>
  <c r="D20" i="7"/>
  <c r="D20" i="13"/>
  <c r="D20" i="16"/>
  <c r="D20" i="9"/>
  <c r="F42" i="10"/>
  <c r="F42" i="14"/>
  <c r="F42" i="8"/>
  <c r="F42" i="13"/>
  <c r="F42" i="7"/>
  <c r="F42" i="9"/>
  <c r="F42" i="15"/>
  <c r="F42" i="16"/>
  <c r="C8" i="14"/>
  <c r="C8" i="10"/>
  <c r="C8" i="8"/>
  <c r="C8" i="15"/>
  <c r="C8" i="9"/>
  <c r="C8" i="16"/>
  <c r="C8" i="13"/>
  <c r="C8" i="7"/>
  <c r="C11" i="14"/>
  <c r="C11" i="10"/>
  <c r="C11" i="8"/>
  <c r="C11" i="16"/>
  <c r="C11" i="15"/>
  <c r="C11" i="7"/>
  <c r="C11" i="9"/>
  <c r="C11" i="13"/>
  <c r="C19" i="8"/>
  <c r="C19" i="10"/>
  <c r="C19" i="14"/>
  <c r="C19" i="16"/>
  <c r="C19" i="7"/>
  <c r="C19" i="15"/>
  <c r="C19" i="13"/>
  <c r="C19" i="9"/>
  <c r="C27" i="14"/>
  <c r="C27" i="8"/>
  <c r="C27" i="10"/>
  <c r="C27" i="15"/>
  <c r="C27" i="7"/>
  <c r="C27" i="16"/>
  <c r="C27" i="9"/>
  <c r="C27" i="13"/>
  <c r="C35" i="10"/>
  <c r="C35" i="8"/>
  <c r="C35" i="14"/>
  <c r="C35" i="15"/>
  <c r="C35" i="7"/>
  <c r="C35" i="16"/>
  <c r="C35" i="9"/>
  <c r="C35" i="13"/>
  <c r="C43" i="14"/>
  <c r="C43" i="8"/>
  <c r="C43" i="10"/>
  <c r="C43" i="15"/>
  <c r="C43" i="7"/>
  <c r="C43" i="16"/>
  <c r="C43" i="9"/>
  <c r="C43" i="13"/>
  <c r="C51" i="14"/>
  <c r="C51" i="8"/>
  <c r="C51" i="10"/>
  <c r="C51" i="9"/>
  <c r="C51" i="15"/>
  <c r="C51" i="13"/>
  <c r="C51" i="16"/>
  <c r="C51" i="7"/>
  <c r="D8" i="14"/>
  <c r="D8" i="8"/>
  <c r="D8" i="10"/>
  <c r="D8" i="16"/>
  <c r="D8" i="13"/>
  <c r="D8" i="9"/>
  <c r="D8" i="7"/>
  <c r="D8" i="15"/>
  <c r="D16" i="14"/>
  <c r="D16" i="8"/>
  <c r="D16" i="10"/>
  <c r="D16" i="16"/>
  <c r="D16" i="15"/>
  <c r="D16" i="7"/>
  <c r="D16" i="9"/>
  <c r="D16" i="13"/>
  <c r="D24" i="10"/>
  <c r="D24" i="14"/>
  <c r="D24" i="8"/>
  <c r="D24" i="16"/>
  <c r="D24" i="7"/>
  <c r="D24" i="9"/>
  <c r="D24" i="13"/>
  <c r="D24" i="15"/>
  <c r="D32" i="14"/>
  <c r="D32" i="8"/>
  <c r="D32" i="10"/>
  <c r="D32" i="16"/>
  <c r="D32" i="7"/>
  <c r="D32" i="13"/>
  <c r="D32" i="15"/>
  <c r="D32" i="9"/>
  <c r="D40" i="10"/>
  <c r="D40" i="14"/>
  <c r="D40" i="8"/>
  <c r="D40" i="9"/>
  <c r="D40" i="7"/>
  <c r="D40" i="13"/>
  <c r="D40" i="16"/>
  <c r="D40" i="15"/>
  <c r="D48" i="10"/>
  <c r="D48" i="14"/>
  <c r="D48" i="8"/>
  <c r="D48" i="13"/>
  <c r="D48" i="16"/>
  <c r="D48" i="15"/>
  <c r="D48" i="7"/>
  <c r="D48" i="9"/>
  <c r="U13" i="2"/>
  <c r="V18" i="2"/>
  <c r="V26" i="2"/>
  <c r="V34" i="2"/>
  <c r="V50" i="2"/>
  <c r="C2" i="3"/>
  <c r="C47" i="14"/>
  <c r="C47" i="8"/>
  <c r="C47" i="10"/>
  <c r="C47" i="13"/>
  <c r="C47" i="16"/>
  <c r="C47" i="15"/>
  <c r="C47" i="7"/>
  <c r="C47" i="9"/>
  <c r="D4" i="8"/>
  <c r="D4" i="14"/>
  <c r="D4" i="10"/>
  <c r="D4" i="15"/>
  <c r="D4" i="16"/>
  <c r="D4" i="9"/>
  <c r="D4" i="7"/>
  <c r="D4" i="13"/>
  <c r="D12" i="8"/>
  <c r="D12" i="10"/>
  <c r="D12" i="14"/>
  <c r="D12" i="13"/>
  <c r="D12" i="15"/>
  <c r="D12" i="7"/>
  <c r="D12" i="16"/>
  <c r="D12" i="9"/>
  <c r="F18" i="14"/>
  <c r="F18" i="10"/>
  <c r="F18" i="8"/>
  <c r="F18" i="15"/>
  <c r="F18" i="16"/>
  <c r="F18" i="7"/>
  <c r="F18" i="9"/>
  <c r="F18" i="13"/>
  <c r="C3" i="10"/>
  <c r="C3" i="7"/>
  <c r="C3" i="8"/>
  <c r="C3" i="13"/>
  <c r="C3" i="15"/>
  <c r="C3" i="14"/>
  <c r="C3" i="9"/>
  <c r="C3" i="16"/>
  <c r="C6" i="10"/>
  <c r="C6" i="8"/>
  <c r="C6" i="14"/>
  <c r="C6" i="15"/>
  <c r="C6" i="9"/>
  <c r="C6" i="16"/>
  <c r="C6" i="7"/>
  <c r="C6" i="13"/>
  <c r="C14" i="14"/>
  <c r="C14" i="8"/>
  <c r="C14" i="10"/>
  <c r="C14" i="16"/>
  <c r="C14" i="15"/>
  <c r="C14" i="7"/>
  <c r="C14" i="9"/>
  <c r="C14" i="13"/>
  <c r="C22" i="14"/>
  <c r="C22" i="8"/>
  <c r="C22" i="10"/>
  <c r="C22" i="13"/>
  <c r="C22" i="7"/>
  <c r="C22" i="15"/>
  <c r="C22" i="16"/>
  <c r="C22" i="9"/>
  <c r="C30" i="14"/>
  <c r="C30" i="8"/>
  <c r="C30" i="10"/>
  <c r="C30" i="16"/>
  <c r="C30" i="7"/>
  <c r="C30" i="13"/>
  <c r="C30" i="9"/>
  <c r="C30" i="15"/>
  <c r="C38" i="10"/>
  <c r="C38" i="8"/>
  <c r="C38" i="14"/>
  <c r="C38" i="7"/>
  <c r="C38" i="16"/>
  <c r="C38" i="9"/>
  <c r="C38" i="15"/>
  <c r="C38" i="13"/>
  <c r="C46" i="14"/>
  <c r="C46" i="8"/>
  <c r="C46" i="10"/>
  <c r="C46" i="13"/>
  <c r="C46" i="15"/>
  <c r="C46" i="7"/>
  <c r="C46" i="16"/>
  <c r="C46" i="9"/>
  <c r="D3" i="10"/>
  <c r="D3" i="7"/>
  <c r="D3" i="13"/>
  <c r="D3" i="8"/>
  <c r="D3" i="14"/>
  <c r="D3" i="15"/>
  <c r="D3" i="9"/>
  <c r="D3" i="16"/>
  <c r="D11" i="14"/>
  <c r="D11" i="8"/>
  <c r="D11" i="10"/>
  <c r="D11" i="15"/>
  <c r="D11" i="7"/>
  <c r="D11" i="16"/>
  <c r="D11" i="9"/>
  <c r="D11" i="13"/>
  <c r="D19" i="14"/>
  <c r="D19" i="8"/>
  <c r="D19" i="10"/>
  <c r="D19" i="15"/>
  <c r="D19" i="16"/>
  <c r="D19" i="7"/>
  <c r="D19" i="9"/>
  <c r="D19" i="13"/>
  <c r="D27" i="8"/>
  <c r="D27" i="14"/>
  <c r="D27" i="10"/>
  <c r="D27" i="9"/>
  <c r="D27" i="16"/>
  <c r="D27" i="15"/>
  <c r="D27" i="7"/>
  <c r="D27" i="13"/>
  <c r="D35" i="8"/>
  <c r="D35" i="10"/>
  <c r="D35" i="14"/>
  <c r="D35" i="7"/>
  <c r="D35" i="16"/>
  <c r="D35" i="9"/>
  <c r="D35" i="15"/>
  <c r="D35" i="13"/>
  <c r="D43" i="10"/>
  <c r="D43" i="8"/>
  <c r="D43" i="14"/>
  <c r="D43" i="7"/>
  <c r="D43" i="15"/>
  <c r="D43" i="16"/>
  <c r="D43" i="9"/>
  <c r="D43" i="13"/>
  <c r="D51" i="8"/>
  <c r="D51" i="14"/>
  <c r="D51" i="10"/>
  <c r="D51" i="15"/>
  <c r="D51" i="16"/>
  <c r="D51" i="9"/>
  <c r="D51" i="7"/>
  <c r="D51" i="13"/>
  <c r="V29" i="2"/>
  <c r="U48" i="2"/>
  <c r="V53" i="2"/>
  <c r="E2" i="3"/>
  <c r="C31" i="8"/>
  <c r="C31" i="10"/>
  <c r="C31" i="14"/>
  <c r="C31" i="13"/>
  <c r="C31" i="15"/>
  <c r="C31" i="16"/>
  <c r="C31" i="7"/>
  <c r="C31" i="9"/>
  <c r="C39" i="8"/>
  <c r="C39" i="10"/>
  <c r="C39" i="14"/>
  <c r="C39" i="16"/>
  <c r="C39" i="7"/>
  <c r="C39" i="15"/>
  <c r="C39" i="13"/>
  <c r="C39" i="9"/>
  <c r="D36" i="10"/>
  <c r="D36" i="8"/>
  <c r="D36" i="14"/>
  <c r="D36" i="15"/>
  <c r="D36" i="7"/>
  <c r="D36" i="16"/>
  <c r="D36" i="9"/>
  <c r="D36" i="13"/>
  <c r="F10" i="8"/>
  <c r="F10" i="10"/>
  <c r="F10" i="14"/>
  <c r="F10" i="7"/>
  <c r="F10" i="15"/>
  <c r="F10" i="9"/>
  <c r="F10" i="16"/>
  <c r="F10" i="13"/>
  <c r="C25" i="14"/>
  <c r="C25" i="10"/>
  <c r="C25" i="8"/>
  <c r="C25" i="15"/>
  <c r="C25" i="16"/>
  <c r="C25" i="9"/>
  <c r="C25" i="13"/>
  <c r="C25" i="7"/>
  <c r="C33" i="10"/>
  <c r="C33" i="14"/>
  <c r="C33" i="8"/>
  <c r="C33" i="7"/>
  <c r="C33" i="13"/>
  <c r="C33" i="9"/>
  <c r="C33" i="15"/>
  <c r="C33" i="16"/>
  <c r="C41" i="14"/>
  <c r="C41" i="8"/>
  <c r="C41" i="10"/>
  <c r="C41" i="16"/>
  <c r="C41" i="15"/>
  <c r="C41" i="7"/>
  <c r="C41" i="9"/>
  <c r="C41" i="13"/>
  <c r="C49" i="8"/>
  <c r="C49" i="10"/>
  <c r="C49" i="14"/>
  <c r="C49" i="16"/>
  <c r="C49" i="9"/>
  <c r="C49" i="7"/>
  <c r="C49" i="13"/>
  <c r="C49" i="15"/>
  <c r="D6" i="14"/>
  <c r="D6" i="10"/>
  <c r="D6" i="8"/>
  <c r="D6" i="15"/>
  <c r="D6" i="16"/>
  <c r="D6" i="7"/>
  <c r="D6" i="13"/>
  <c r="D6" i="9"/>
  <c r="D14" i="8"/>
  <c r="D14" i="10"/>
  <c r="D14" i="14"/>
  <c r="D14" i="7"/>
  <c r="D14" i="15"/>
  <c r="D14" i="9"/>
  <c r="D14" i="16"/>
  <c r="D14" i="13"/>
  <c r="D22" i="10"/>
  <c r="D22" i="14"/>
  <c r="D22" i="8"/>
  <c r="D22" i="7"/>
  <c r="D22" i="15"/>
  <c r="D22" i="16"/>
  <c r="D22" i="9"/>
  <c r="D22" i="13"/>
  <c r="D30" i="8"/>
  <c r="D30" i="14"/>
  <c r="D30" i="10"/>
  <c r="D30" i="16"/>
  <c r="D30" i="13"/>
  <c r="D30" i="9"/>
  <c r="D30" i="15"/>
  <c r="D30" i="7"/>
  <c r="D38" i="14"/>
  <c r="D38" i="8"/>
  <c r="D38" i="10"/>
  <c r="D38" i="7"/>
  <c r="D38" i="15"/>
  <c r="D38" i="16"/>
  <c r="D38" i="9"/>
  <c r="D38" i="13"/>
  <c r="D46" i="14"/>
  <c r="D46" i="10"/>
  <c r="D46" i="8"/>
  <c r="D46" i="13"/>
  <c r="D46" i="7"/>
  <c r="D46" i="15"/>
  <c r="D46" i="16"/>
  <c r="D46" i="9"/>
  <c r="T6" i="2"/>
  <c r="V8" i="2"/>
  <c r="T14" i="2"/>
  <c r="T22" i="2"/>
  <c r="V24" i="2"/>
  <c r="T30" i="2"/>
  <c r="T38" i="2"/>
  <c r="T46" i="2"/>
  <c r="T54" i="2"/>
  <c r="F50" i="13"/>
  <c r="F50" i="15"/>
  <c r="C9" i="10"/>
  <c r="C9" i="8"/>
  <c r="C9" i="14"/>
  <c r="C9" i="15"/>
  <c r="C9" i="7"/>
  <c r="C9" i="16"/>
  <c r="C9" i="9"/>
  <c r="C9" i="13"/>
  <c r="C17" i="10"/>
  <c r="C17" i="14"/>
  <c r="C17" i="8"/>
  <c r="C17" i="16"/>
  <c r="C17" i="9"/>
  <c r="C17" i="15"/>
  <c r="C17" i="13"/>
  <c r="C17" i="7"/>
  <c r="C4" i="14"/>
  <c r="C4" i="8"/>
  <c r="C4" i="10"/>
  <c r="C4" i="7"/>
  <c r="C4" i="15"/>
  <c r="C4" i="9"/>
  <c r="C4" i="16"/>
  <c r="C4" i="13"/>
  <c r="C12" i="14"/>
  <c r="C12" i="8"/>
  <c r="C12" i="10"/>
  <c r="C12" i="13"/>
  <c r="C12" i="16"/>
  <c r="C12" i="15"/>
  <c r="C12" i="9"/>
  <c r="C12" i="7"/>
  <c r="C20" i="14"/>
  <c r="C20" i="8"/>
  <c r="C20" i="10"/>
  <c r="C20" i="7"/>
  <c r="C20" i="15"/>
  <c r="C20" i="9"/>
  <c r="C20" i="13"/>
  <c r="C20" i="16"/>
  <c r="C28" i="8"/>
  <c r="C28" i="14"/>
  <c r="C28" i="10"/>
  <c r="C28" i="13"/>
  <c r="C28" i="15"/>
  <c r="C28" i="7"/>
  <c r="C28" i="16"/>
  <c r="C28" i="9"/>
  <c r="C36" i="8"/>
  <c r="C36" i="10"/>
  <c r="C36" i="14"/>
  <c r="C36" i="15"/>
  <c r="C36" i="7"/>
  <c r="C36" i="16"/>
  <c r="C36" i="13"/>
  <c r="C36" i="9"/>
  <c r="C44" i="14"/>
  <c r="C44" i="8"/>
  <c r="C44" i="10"/>
  <c r="C44" i="9"/>
  <c r="C44" i="15"/>
  <c r="C44" i="7"/>
  <c r="C44" i="13"/>
  <c r="C44" i="16"/>
  <c r="C52" i="14"/>
  <c r="C52" i="8"/>
  <c r="C52" i="10"/>
  <c r="C52" i="15"/>
  <c r="C52" i="13"/>
  <c r="C52" i="7"/>
  <c r="C52" i="16"/>
  <c r="C52" i="9"/>
  <c r="D9" i="8"/>
  <c r="D9" i="14"/>
  <c r="D9" i="10"/>
  <c r="D9" i="15"/>
  <c r="D9" i="7"/>
  <c r="D9" i="9"/>
  <c r="D9" i="16"/>
  <c r="D9" i="13"/>
  <c r="D17" i="8"/>
  <c r="D17" i="14"/>
  <c r="D17" i="10"/>
  <c r="D17" i="13"/>
  <c r="D17" i="9"/>
  <c r="D17" i="15"/>
  <c r="D17" i="7"/>
  <c r="D17" i="16"/>
  <c r="D25" i="10"/>
  <c r="D25" i="14"/>
  <c r="D25" i="8"/>
  <c r="D25" i="16"/>
  <c r="D25" i="9"/>
  <c r="D25" i="13"/>
  <c r="D25" i="15"/>
  <c r="D25" i="7"/>
  <c r="D33" i="8"/>
  <c r="D33" i="14"/>
  <c r="D33" i="10"/>
  <c r="D33" i="16"/>
  <c r="D33" i="9"/>
  <c r="D33" i="7"/>
  <c r="D33" i="15"/>
  <c r="D33" i="13"/>
  <c r="D41" i="10"/>
  <c r="D41" i="8"/>
  <c r="D41" i="14"/>
  <c r="D41" i="16"/>
  <c r="D41" i="15"/>
  <c r="D41" i="7"/>
  <c r="D41" i="13"/>
  <c r="D41" i="9"/>
  <c r="D49" i="8"/>
  <c r="D49" i="10"/>
  <c r="D49" i="14"/>
  <c r="D49" i="16"/>
  <c r="D49" i="9"/>
  <c r="D49" i="7"/>
  <c r="D49" i="13"/>
  <c r="D49" i="15"/>
  <c r="T9" i="2"/>
  <c r="V11" i="2"/>
  <c r="T17" i="2"/>
  <c r="T25" i="2"/>
  <c r="V27" i="2"/>
  <c r="T33" i="2"/>
  <c r="T41" i="2"/>
  <c r="V43" i="2"/>
  <c r="T49" i="2"/>
  <c r="D3" i="3"/>
  <c r="C3" i="3"/>
  <c r="A4" i="3"/>
  <c r="E3" i="3"/>
  <c r="B3" i="3"/>
  <c r="F3" i="3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E5" i="2"/>
  <c r="H4" i="2"/>
  <c r="I3" i="3" s="1"/>
  <c r="G4" i="2"/>
  <c r="C3" i="2"/>
  <c r="C4" i="2" s="1"/>
  <c r="V47" i="2" l="1"/>
  <c r="U32" i="2"/>
  <c r="U6" i="2"/>
  <c r="U38" i="2"/>
  <c r="V21" i="2"/>
  <c r="F19" i="6" s="1"/>
  <c r="F11" i="13"/>
  <c r="U39" i="2"/>
  <c r="V40" i="2"/>
  <c r="V42" i="2"/>
  <c r="F34" i="14"/>
  <c r="F29" i="8"/>
  <c r="F6" i="8"/>
  <c r="F3" i="16"/>
  <c r="F49" i="15"/>
  <c r="W34" i="2"/>
  <c r="E32" i="13" s="1"/>
  <c r="F32" i="10"/>
  <c r="F29" i="10"/>
  <c r="F40" i="7"/>
  <c r="F49" i="13"/>
  <c r="F32" i="7"/>
  <c r="E34" i="15"/>
  <c r="E10" i="7"/>
  <c r="F34" i="13"/>
  <c r="F3" i="8"/>
  <c r="F49" i="10"/>
  <c r="F32" i="9"/>
  <c r="E34" i="9"/>
  <c r="V28" i="2"/>
  <c r="F26" i="6" s="1"/>
  <c r="F3" i="9"/>
  <c r="F49" i="8"/>
  <c r="F32" i="16"/>
  <c r="V10" i="2"/>
  <c r="F34" i="16"/>
  <c r="W31" i="2"/>
  <c r="W51" i="2"/>
  <c r="E49" i="7" s="1"/>
  <c r="V48" i="2"/>
  <c r="F46" i="6" s="1"/>
  <c r="H3" i="3"/>
  <c r="H3" i="9"/>
  <c r="H3" i="15"/>
  <c r="H4" i="15"/>
  <c r="H4" i="9"/>
  <c r="H12" i="9"/>
  <c r="H39" i="15"/>
  <c r="F6" i="10"/>
  <c r="F40" i="14"/>
  <c r="E10" i="8"/>
  <c r="W8" i="2"/>
  <c r="F6" i="14"/>
  <c r="F40" i="10"/>
  <c r="E10" i="14"/>
  <c r="F37" i="15"/>
  <c r="F6" i="16"/>
  <c r="W42" i="2"/>
  <c r="F40" i="8"/>
  <c r="E10" i="10"/>
  <c r="F37" i="13"/>
  <c r="F6" i="9"/>
  <c r="F40" i="13"/>
  <c r="E10" i="15"/>
  <c r="F37" i="9"/>
  <c r="F6" i="15"/>
  <c r="F40" i="9"/>
  <c r="E10" i="16"/>
  <c r="F37" i="7"/>
  <c r="F40" i="16"/>
  <c r="E10" i="13"/>
  <c r="U49" i="2"/>
  <c r="F47" i="5" s="1"/>
  <c r="F37" i="14"/>
  <c r="U35" i="2"/>
  <c r="U31" i="2"/>
  <c r="U14" i="2"/>
  <c r="U15" i="2"/>
  <c r="U43" i="2"/>
  <c r="U19" i="2"/>
  <c r="X19" i="2" s="1"/>
  <c r="E17" i="5" s="1"/>
  <c r="U45" i="2"/>
  <c r="F43" i="5" s="1"/>
  <c r="F26" i="13"/>
  <c r="E26" i="8"/>
  <c r="F27" i="9"/>
  <c r="F38" i="7"/>
  <c r="U24" i="2"/>
  <c r="F22" i="5" s="1"/>
  <c r="U23" i="2"/>
  <c r="F26" i="16"/>
  <c r="U20" i="2"/>
  <c r="F18" i="5" s="1"/>
  <c r="E26" i="14"/>
  <c r="F27" i="16"/>
  <c r="F38" i="9"/>
  <c r="U30" i="2"/>
  <c r="V20" i="2"/>
  <c r="F18" i="6" s="1"/>
  <c r="F26" i="10"/>
  <c r="E26" i="15"/>
  <c r="F27" i="14"/>
  <c r="F38" i="16"/>
  <c r="U16" i="2"/>
  <c r="U29" i="2"/>
  <c r="F26" i="8"/>
  <c r="E26" i="7"/>
  <c r="F27" i="8"/>
  <c r="F38" i="14"/>
  <c r="F43" i="13"/>
  <c r="V13" i="2"/>
  <c r="Y13" i="2" s="1"/>
  <c r="E11" i="6" s="1"/>
  <c r="U18" i="2"/>
  <c r="F26" i="14"/>
  <c r="E26" i="9"/>
  <c r="W29" i="2"/>
  <c r="E27" i="15" s="1"/>
  <c r="F27" i="10"/>
  <c r="F46" i="15"/>
  <c r="F38" i="10"/>
  <c r="F35" i="15"/>
  <c r="U46" i="2"/>
  <c r="V19" i="2"/>
  <c r="U27" i="2"/>
  <c r="V5" i="2"/>
  <c r="F3" i="6" s="1"/>
  <c r="F26" i="7"/>
  <c r="V49" i="2"/>
  <c r="F47" i="6" s="1"/>
  <c r="W40" i="2"/>
  <c r="E38" i="14" s="1"/>
  <c r="F19" i="9"/>
  <c r="V51" i="2"/>
  <c r="U50" i="2"/>
  <c r="V52" i="2"/>
  <c r="F11" i="9"/>
  <c r="F46" i="7"/>
  <c r="F43" i="9"/>
  <c r="F35" i="9"/>
  <c r="F19" i="15"/>
  <c r="U47" i="2"/>
  <c r="U7" i="2"/>
  <c r="F11" i="10"/>
  <c r="F46" i="9"/>
  <c r="F43" i="16"/>
  <c r="F35" i="13"/>
  <c r="F19" i="7"/>
  <c r="F46" i="16"/>
  <c r="F43" i="14"/>
  <c r="F35" i="16"/>
  <c r="F19" i="13"/>
  <c r="V36" i="2"/>
  <c r="F34" i="6" s="1"/>
  <c r="F46" i="14"/>
  <c r="F43" i="10"/>
  <c r="F35" i="8"/>
  <c r="F19" i="16"/>
  <c r="U51" i="2"/>
  <c r="V31" i="2"/>
  <c r="U44" i="2"/>
  <c r="F46" i="10"/>
  <c r="W45" i="2"/>
  <c r="F43" i="8"/>
  <c r="F35" i="14"/>
  <c r="F19" i="10"/>
  <c r="W48" i="2"/>
  <c r="F46" i="8"/>
  <c r="F43" i="7"/>
  <c r="W37" i="2"/>
  <c r="E35" i="7" s="1"/>
  <c r="F35" i="10"/>
  <c r="F19" i="14"/>
  <c r="V35" i="2"/>
  <c r="F33" i="6" s="1"/>
  <c r="V37" i="2"/>
  <c r="F35" i="6" s="1"/>
  <c r="W21" i="2"/>
  <c r="F29" i="14"/>
  <c r="F41" i="16"/>
  <c r="E50" i="10"/>
  <c r="F17" i="14"/>
  <c r="E42" i="7"/>
  <c r="W11" i="2"/>
  <c r="E9" i="14" s="1"/>
  <c r="F9" i="14"/>
  <c r="F25" i="15"/>
  <c r="U54" i="2"/>
  <c r="U26" i="2"/>
  <c r="F50" i="10"/>
  <c r="F50" i="8"/>
  <c r="V16" i="2"/>
  <c r="F14" i="6" s="1"/>
  <c r="V45" i="2"/>
  <c r="F43" i="6" s="1"/>
  <c r="U37" i="2"/>
  <c r="F35" i="5" s="1"/>
  <c r="U5" i="2"/>
  <c r="F3" i="5" s="1"/>
  <c r="F41" i="13"/>
  <c r="W19" i="2"/>
  <c r="E17" i="7" s="1"/>
  <c r="F17" i="10"/>
  <c r="E42" i="9"/>
  <c r="F9" i="15"/>
  <c r="F25" i="7"/>
  <c r="V46" i="2"/>
  <c r="F44" i="6" s="1"/>
  <c r="F41" i="10"/>
  <c r="F17" i="13"/>
  <c r="E42" i="16"/>
  <c r="F9" i="9"/>
  <c r="F25" i="16"/>
  <c r="U25" i="2"/>
  <c r="F23" i="5" s="1"/>
  <c r="U40" i="2"/>
  <c r="F38" i="5" s="1"/>
  <c r="U8" i="2"/>
  <c r="F6" i="5" s="1"/>
  <c r="U12" i="2"/>
  <c r="F10" i="5" s="1"/>
  <c r="F50" i="16"/>
  <c r="V32" i="2"/>
  <c r="U11" i="2"/>
  <c r="F9" i="5" s="1"/>
  <c r="F29" i="13"/>
  <c r="F17" i="9"/>
  <c r="E42" i="10"/>
  <c r="F9" i="16"/>
  <c r="F25" i="10"/>
  <c r="V22" i="2"/>
  <c r="F50" i="14"/>
  <c r="U52" i="2"/>
  <c r="F50" i="5" s="1"/>
  <c r="U22" i="2"/>
  <c r="F50" i="7"/>
  <c r="U42" i="2"/>
  <c r="F40" i="5" s="1"/>
  <c r="V7" i="2"/>
  <c r="F5" i="6" s="1"/>
  <c r="F29" i="15"/>
  <c r="W43" i="2"/>
  <c r="F25" i="8"/>
  <c r="U41" i="2"/>
  <c r="V15" i="2"/>
  <c r="F50" i="9"/>
  <c r="U53" i="2"/>
  <c r="F51" i="5" s="1"/>
  <c r="U21" i="2"/>
  <c r="F19" i="5" s="1"/>
  <c r="U36" i="2"/>
  <c r="F34" i="5" s="1"/>
  <c r="E50" i="15"/>
  <c r="W27" i="2"/>
  <c r="E25" i="7" s="1"/>
  <c r="V54" i="2"/>
  <c r="F52" i="6" s="1"/>
  <c r="V41" i="2"/>
  <c r="V9" i="2"/>
  <c r="Y9" i="2" s="1"/>
  <c r="E7" i="6" s="1"/>
  <c r="F37" i="8"/>
  <c r="E50" i="7"/>
  <c r="F11" i="8"/>
  <c r="E34" i="16"/>
  <c r="V6" i="2"/>
  <c r="V38" i="2"/>
  <c r="W39" i="2"/>
  <c r="E37" i="14" s="1"/>
  <c r="F37" i="10"/>
  <c r="E50" i="13"/>
  <c r="W13" i="2"/>
  <c r="E11" i="14" s="1"/>
  <c r="F11" i="14"/>
  <c r="E34" i="10"/>
  <c r="U17" i="2"/>
  <c r="F15" i="5" s="1"/>
  <c r="J3" i="3"/>
  <c r="E50" i="9"/>
  <c r="F11" i="15"/>
  <c r="E34" i="8"/>
  <c r="E50" i="16"/>
  <c r="F11" i="16"/>
  <c r="E34" i="14"/>
  <c r="U33" i="2"/>
  <c r="D12" i="6"/>
  <c r="V14" i="2"/>
  <c r="V30" i="2"/>
  <c r="V44" i="2"/>
  <c r="F42" i="6" s="1"/>
  <c r="V12" i="2"/>
  <c r="V17" i="2"/>
  <c r="F15" i="6" s="1"/>
  <c r="U9" i="2"/>
  <c r="F45" i="13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H4" i="3"/>
  <c r="F45" i="14"/>
  <c r="W47" i="2"/>
  <c r="E45" i="14" s="1"/>
  <c r="F45" i="8"/>
  <c r="F45" i="9"/>
  <c r="F45" i="16"/>
  <c r="F45" i="7"/>
  <c r="F45" i="15"/>
  <c r="E22" i="8"/>
  <c r="E22" i="14"/>
  <c r="E22" i="10"/>
  <c r="E22" i="15"/>
  <c r="E22" i="7"/>
  <c r="E22" i="13"/>
  <c r="E22" i="9"/>
  <c r="E22" i="16"/>
  <c r="F28" i="14"/>
  <c r="F28" i="8"/>
  <c r="F28" i="10"/>
  <c r="F28" i="16"/>
  <c r="F28" i="15"/>
  <c r="F28" i="9"/>
  <c r="F28" i="13"/>
  <c r="F28" i="7"/>
  <c r="W30" i="2"/>
  <c r="F24" i="6"/>
  <c r="Y26" i="2"/>
  <c r="E24" i="6" s="1"/>
  <c r="F8" i="5"/>
  <c r="X10" i="2"/>
  <c r="E8" i="5" s="1"/>
  <c r="E17" i="8"/>
  <c r="E17" i="16"/>
  <c r="E17" i="15"/>
  <c r="E27" i="13"/>
  <c r="E14" i="14"/>
  <c r="E14" i="10"/>
  <c r="E14" i="8"/>
  <c r="E14" i="15"/>
  <c r="E14" i="9"/>
  <c r="E14" i="7"/>
  <c r="E14" i="16"/>
  <c r="E14" i="13"/>
  <c r="F23" i="8"/>
  <c r="F23" i="10"/>
  <c r="F23" i="14"/>
  <c r="F23" i="15"/>
  <c r="F23" i="7"/>
  <c r="F23" i="13"/>
  <c r="F23" i="16"/>
  <c r="F23" i="9"/>
  <c r="W25" i="2"/>
  <c r="F27" i="5"/>
  <c r="X29" i="2"/>
  <c r="E27" i="5" s="1"/>
  <c r="F41" i="6"/>
  <c r="Y43" i="2"/>
  <c r="E41" i="6" s="1"/>
  <c r="F49" i="5"/>
  <c r="X51" i="2"/>
  <c r="E49" i="5" s="1"/>
  <c r="F6" i="6"/>
  <c r="Y8" i="2"/>
  <c r="E6" i="6" s="1"/>
  <c r="F30" i="5"/>
  <c r="X32" i="2"/>
  <c r="E30" i="5" s="1"/>
  <c r="F39" i="8"/>
  <c r="F39" i="10"/>
  <c r="F39" i="14"/>
  <c r="F39" i="15"/>
  <c r="F39" i="9"/>
  <c r="F39" i="13"/>
  <c r="F39" i="7"/>
  <c r="F39" i="16"/>
  <c r="W41" i="2"/>
  <c r="F17" i="6"/>
  <c r="Y19" i="2"/>
  <c r="E17" i="6" s="1"/>
  <c r="Y48" i="2"/>
  <c r="E46" i="6" s="1"/>
  <c r="F25" i="5"/>
  <c r="X27" i="2"/>
  <c r="E25" i="5" s="1"/>
  <c r="F4" i="10"/>
  <c r="F4" i="14"/>
  <c r="F4" i="8"/>
  <c r="F4" i="13"/>
  <c r="F4" i="16"/>
  <c r="F4" i="7"/>
  <c r="F4" i="15"/>
  <c r="F4" i="9"/>
  <c r="W6" i="2"/>
  <c r="E4" i="3" s="1"/>
  <c r="F27" i="6"/>
  <c r="Y29" i="2"/>
  <c r="E27" i="6" s="1"/>
  <c r="F37" i="6"/>
  <c r="Y39" i="2"/>
  <c r="E37" i="6" s="1"/>
  <c r="F21" i="5"/>
  <c r="X23" i="2"/>
  <c r="E21" i="5" s="1"/>
  <c r="F31" i="6"/>
  <c r="Y33" i="2"/>
  <c r="E31" i="6" s="1"/>
  <c r="E37" i="8"/>
  <c r="E37" i="10"/>
  <c r="E49" i="10"/>
  <c r="E49" i="8"/>
  <c r="E40" i="14"/>
  <c r="E40" i="8"/>
  <c r="E40" i="10"/>
  <c r="E40" i="15"/>
  <c r="E40" i="7"/>
  <c r="E40" i="16"/>
  <c r="E40" i="9"/>
  <c r="E40" i="13"/>
  <c r="F39" i="6"/>
  <c r="Y41" i="2"/>
  <c r="E39" i="6" s="1"/>
  <c r="E8" i="8"/>
  <c r="E8" i="10"/>
  <c r="E8" i="14"/>
  <c r="E8" i="15"/>
  <c r="E8" i="16"/>
  <c r="E8" i="13"/>
  <c r="E8" i="9"/>
  <c r="E8" i="7"/>
  <c r="F20" i="5"/>
  <c r="X22" i="2"/>
  <c r="E20" i="5" s="1"/>
  <c r="F36" i="5"/>
  <c r="X38" i="2"/>
  <c r="E36" i="5" s="1"/>
  <c r="F15" i="10"/>
  <c r="F15" i="8"/>
  <c r="F15" i="14"/>
  <c r="F15" i="15"/>
  <c r="F15" i="7"/>
  <c r="F15" i="9"/>
  <c r="F15" i="16"/>
  <c r="F15" i="13"/>
  <c r="W17" i="2"/>
  <c r="F44" i="8"/>
  <c r="F44" i="10"/>
  <c r="F44" i="14"/>
  <c r="F44" i="16"/>
  <c r="F44" i="7"/>
  <c r="F44" i="9"/>
  <c r="F44" i="13"/>
  <c r="F44" i="15"/>
  <c r="W46" i="2"/>
  <c r="F22" i="6"/>
  <c r="Y24" i="2"/>
  <c r="E22" i="6" s="1"/>
  <c r="F48" i="6"/>
  <c r="Y50" i="2"/>
  <c r="E48" i="6" s="1"/>
  <c r="F16" i="6"/>
  <c r="Y18" i="2"/>
  <c r="E16" i="6" s="1"/>
  <c r="F32" i="5"/>
  <c r="X34" i="2"/>
  <c r="E32" i="5" s="1"/>
  <c r="F50" i="6"/>
  <c r="Y52" i="2"/>
  <c r="E50" i="6" s="1"/>
  <c r="F26" i="5"/>
  <c r="X28" i="2"/>
  <c r="E26" i="5" s="1"/>
  <c r="E29" i="14"/>
  <c r="E29" i="8"/>
  <c r="E29" i="10"/>
  <c r="E29" i="7"/>
  <c r="E29" i="16"/>
  <c r="E29" i="15"/>
  <c r="E29" i="13"/>
  <c r="E29" i="9"/>
  <c r="E48" i="14"/>
  <c r="E48" i="8"/>
  <c r="E48" i="10"/>
  <c r="E48" i="13"/>
  <c r="E48" i="15"/>
  <c r="E48" i="7"/>
  <c r="E48" i="16"/>
  <c r="E48" i="9"/>
  <c r="E25" i="8"/>
  <c r="E25" i="10"/>
  <c r="E25" i="16"/>
  <c r="E25" i="15"/>
  <c r="E51" i="8"/>
  <c r="E51" i="10"/>
  <c r="E51" i="14"/>
  <c r="E51" i="15"/>
  <c r="E51" i="16"/>
  <c r="E51" i="9"/>
  <c r="E51" i="13"/>
  <c r="E51" i="7"/>
  <c r="F13" i="6"/>
  <c r="Y15" i="2"/>
  <c r="E13" i="6" s="1"/>
  <c r="F20" i="8"/>
  <c r="F20" i="10"/>
  <c r="F20" i="14"/>
  <c r="F20" i="16"/>
  <c r="F20" i="9"/>
  <c r="F20" i="15"/>
  <c r="F20" i="13"/>
  <c r="F20" i="7"/>
  <c r="W22" i="2"/>
  <c r="F51" i="6"/>
  <c r="Y53" i="2"/>
  <c r="E51" i="6" s="1"/>
  <c r="F11" i="5"/>
  <c r="X13" i="2"/>
  <c r="E11" i="5" s="1"/>
  <c r="F29" i="6"/>
  <c r="Y31" i="2"/>
  <c r="E29" i="6" s="1"/>
  <c r="F45" i="5"/>
  <c r="X47" i="2"/>
  <c r="E45" i="5" s="1"/>
  <c r="F13" i="5"/>
  <c r="X15" i="2"/>
  <c r="E13" i="5" s="1"/>
  <c r="F23" i="6"/>
  <c r="Y25" i="2"/>
  <c r="E23" i="6" s="1"/>
  <c r="E21" i="8"/>
  <c r="E21" i="14"/>
  <c r="E21" i="10"/>
  <c r="E21" i="15"/>
  <c r="E21" i="7"/>
  <c r="E21" i="16"/>
  <c r="E21" i="9"/>
  <c r="E21" i="13"/>
  <c r="E33" i="8"/>
  <c r="E33" i="14"/>
  <c r="E33" i="10"/>
  <c r="E33" i="16"/>
  <c r="E33" i="15"/>
  <c r="E33" i="7"/>
  <c r="E33" i="13"/>
  <c r="E33" i="9"/>
  <c r="E32" i="9"/>
  <c r="E43" i="8"/>
  <c r="E43" i="10"/>
  <c r="E43" i="14"/>
  <c r="E43" i="15"/>
  <c r="E43" i="7"/>
  <c r="E43" i="16"/>
  <c r="E43" i="9"/>
  <c r="E43" i="13"/>
  <c r="F44" i="5"/>
  <c r="X46" i="2"/>
  <c r="E44" i="5" s="1"/>
  <c r="F52" i="10"/>
  <c r="F52" i="14"/>
  <c r="F52" i="8"/>
  <c r="F52" i="16"/>
  <c r="F52" i="7"/>
  <c r="F52" i="9"/>
  <c r="F52" i="15"/>
  <c r="F52" i="13"/>
  <c r="W54" i="2"/>
  <c r="F45" i="6"/>
  <c r="Y47" i="2"/>
  <c r="E45" i="6" s="1"/>
  <c r="E16" i="14"/>
  <c r="E16" i="8"/>
  <c r="E16" i="10"/>
  <c r="E16" i="7"/>
  <c r="E16" i="9"/>
  <c r="E16" i="16"/>
  <c r="E16" i="13"/>
  <c r="E16" i="15"/>
  <c r="F12" i="5"/>
  <c r="X14" i="2"/>
  <c r="E12" i="5" s="1"/>
  <c r="F41" i="5"/>
  <c r="X43" i="2"/>
  <c r="E41" i="5" s="1"/>
  <c r="F52" i="5"/>
  <c r="X54" i="2"/>
  <c r="E52" i="5" s="1"/>
  <c r="F31" i="10"/>
  <c r="F31" i="8"/>
  <c r="F31" i="14"/>
  <c r="F31" i="16"/>
  <c r="F31" i="13"/>
  <c r="F31" i="9"/>
  <c r="F31" i="15"/>
  <c r="F31" i="7"/>
  <c r="W33" i="2"/>
  <c r="F9" i="6"/>
  <c r="Y11" i="2"/>
  <c r="E9" i="6" s="1"/>
  <c r="F38" i="6"/>
  <c r="Y40" i="2"/>
  <c r="E38" i="6" s="1"/>
  <c r="F17" i="5"/>
  <c r="F46" i="5"/>
  <c r="X48" i="2"/>
  <c r="E46" i="5" s="1"/>
  <c r="F14" i="5"/>
  <c r="X16" i="2"/>
  <c r="E14" i="5" s="1"/>
  <c r="F40" i="6"/>
  <c r="Y42" i="2"/>
  <c r="E40" i="6" s="1"/>
  <c r="F8" i="6"/>
  <c r="Y10" i="2"/>
  <c r="E8" i="6" s="1"/>
  <c r="F24" i="5"/>
  <c r="X26" i="2"/>
  <c r="E24" i="5" s="1"/>
  <c r="F10" i="6"/>
  <c r="Y12" i="2"/>
  <c r="E10" i="6" s="1"/>
  <c r="X52" i="2"/>
  <c r="E50" i="5" s="1"/>
  <c r="E13" i="8"/>
  <c r="E13" i="10"/>
  <c r="E13" i="14"/>
  <c r="E13" i="7"/>
  <c r="E13" i="13"/>
  <c r="E13" i="15"/>
  <c r="E13" i="16"/>
  <c r="E13" i="9"/>
  <c r="E46" i="14"/>
  <c r="E46" i="8"/>
  <c r="E46" i="10"/>
  <c r="E46" i="15"/>
  <c r="E46" i="7"/>
  <c r="E46" i="16"/>
  <c r="E46" i="9"/>
  <c r="E46" i="13"/>
  <c r="E35" i="10"/>
  <c r="E35" i="13"/>
  <c r="X11" i="2"/>
  <c r="E9" i="5" s="1"/>
  <c r="F29" i="5"/>
  <c r="X31" i="2"/>
  <c r="E29" i="5" s="1"/>
  <c r="F28" i="5"/>
  <c r="X30" i="2"/>
  <c r="E28" i="5" s="1"/>
  <c r="F36" i="10"/>
  <c r="F36" i="14"/>
  <c r="F36" i="8"/>
  <c r="F36" i="16"/>
  <c r="F36" i="9"/>
  <c r="F36" i="13"/>
  <c r="F36" i="15"/>
  <c r="F36" i="7"/>
  <c r="W38" i="2"/>
  <c r="F21" i="6"/>
  <c r="Y23" i="2"/>
  <c r="E21" i="6" s="1"/>
  <c r="F37" i="5"/>
  <c r="X39" i="2"/>
  <c r="E37" i="5" s="1"/>
  <c r="F5" i="5"/>
  <c r="X7" i="2"/>
  <c r="E5" i="5" s="1"/>
  <c r="E5" i="10"/>
  <c r="E5" i="8"/>
  <c r="E5" i="14"/>
  <c r="E5" i="16"/>
  <c r="E5" i="15"/>
  <c r="E5" i="7"/>
  <c r="E5" i="13"/>
  <c r="E5" i="9"/>
  <c r="E6" i="14"/>
  <c r="E6" i="8"/>
  <c r="E6" i="10"/>
  <c r="E6" i="16"/>
  <c r="E6" i="15"/>
  <c r="E6" i="7"/>
  <c r="E6" i="13"/>
  <c r="E6" i="9"/>
  <c r="E19" i="8"/>
  <c r="E19" i="10"/>
  <c r="E19" i="14"/>
  <c r="E19" i="15"/>
  <c r="E19" i="16"/>
  <c r="E19" i="7"/>
  <c r="E19" i="9"/>
  <c r="E19" i="13"/>
  <c r="F30" i="6"/>
  <c r="Y32" i="2"/>
  <c r="E30" i="6" s="1"/>
  <c r="F49" i="6"/>
  <c r="Y51" i="2"/>
  <c r="E49" i="6" s="1"/>
  <c r="F7" i="14"/>
  <c r="F7" i="8"/>
  <c r="F7" i="10"/>
  <c r="F7" i="9"/>
  <c r="F7" i="13"/>
  <c r="F7" i="7"/>
  <c r="F7" i="15"/>
  <c r="F7" i="16"/>
  <c r="W9" i="2"/>
  <c r="F11" i="6"/>
  <c r="F47" i="8"/>
  <c r="F47" i="10"/>
  <c r="F47" i="14"/>
  <c r="F47" i="15"/>
  <c r="F47" i="7"/>
  <c r="F47" i="9"/>
  <c r="F47" i="16"/>
  <c r="F47" i="13"/>
  <c r="W49" i="2"/>
  <c r="F25" i="6"/>
  <c r="Y27" i="2"/>
  <c r="E25" i="6" s="1"/>
  <c r="F4" i="5"/>
  <c r="X6" i="2"/>
  <c r="E4" i="5" s="1"/>
  <c r="F33" i="5"/>
  <c r="X35" i="2"/>
  <c r="E33" i="5" s="1"/>
  <c r="F12" i="8"/>
  <c r="F12" i="10"/>
  <c r="F12" i="14"/>
  <c r="F12" i="15"/>
  <c r="F12" i="7"/>
  <c r="F12" i="9"/>
  <c r="F12" i="16"/>
  <c r="F12" i="13"/>
  <c r="W14" i="2"/>
  <c r="F32" i="6"/>
  <c r="Y34" i="2"/>
  <c r="E32" i="6" s="1"/>
  <c r="F48" i="5"/>
  <c r="X50" i="2"/>
  <c r="E48" i="5" s="1"/>
  <c r="F16" i="5"/>
  <c r="X18" i="2"/>
  <c r="E16" i="5" s="1"/>
  <c r="F42" i="5"/>
  <c r="X44" i="2"/>
  <c r="E42" i="5" s="1"/>
  <c r="E41" i="14"/>
  <c r="E41" i="8"/>
  <c r="E41" i="10"/>
  <c r="E41" i="16"/>
  <c r="E41" i="13"/>
  <c r="E41" i="15"/>
  <c r="E41" i="7"/>
  <c r="E41" i="9"/>
  <c r="E3" i="13"/>
  <c r="E3" i="15"/>
  <c r="E3" i="8"/>
  <c r="E3" i="14"/>
  <c r="E3" i="10"/>
  <c r="E3" i="9"/>
  <c r="E3" i="7"/>
  <c r="E3" i="16"/>
  <c r="E30" i="8"/>
  <c r="E30" i="10"/>
  <c r="E30" i="14"/>
  <c r="E30" i="9"/>
  <c r="E30" i="16"/>
  <c r="E30" i="13"/>
  <c r="E30" i="15"/>
  <c r="E30" i="7"/>
  <c r="E24" i="14"/>
  <c r="E24" i="8"/>
  <c r="E24" i="10"/>
  <c r="E24" i="15"/>
  <c r="E24" i="9"/>
  <c r="E24" i="13"/>
  <c r="E24" i="7"/>
  <c r="E24" i="16"/>
  <c r="H39" i="6"/>
  <c r="H16" i="10"/>
  <c r="H16" i="6"/>
  <c r="H40" i="14"/>
  <c r="H5" i="2"/>
  <c r="I4" i="3" s="1"/>
  <c r="I3" i="10"/>
  <c r="I3" i="16"/>
  <c r="I3" i="14"/>
  <c r="I3" i="8"/>
  <c r="I3" i="6"/>
  <c r="I3" i="13"/>
  <c r="I3" i="5"/>
  <c r="I3" i="7"/>
  <c r="I3" i="9"/>
  <c r="I3" i="15"/>
  <c r="H18" i="5"/>
  <c r="H50" i="16"/>
  <c r="H19" i="7"/>
  <c r="H27" i="5"/>
  <c r="H51" i="5"/>
  <c r="H17" i="16"/>
  <c r="H17" i="13"/>
  <c r="H34" i="14"/>
  <c r="H4" i="16"/>
  <c r="H4" i="14"/>
  <c r="H4" i="8"/>
  <c r="H4" i="10"/>
  <c r="H4" i="5"/>
  <c r="H4" i="6"/>
  <c r="H4" i="7"/>
  <c r="H4" i="13"/>
  <c r="H28" i="14"/>
  <c r="H52" i="8"/>
  <c r="H52" i="14"/>
  <c r="H3" i="7"/>
  <c r="H3" i="10"/>
  <c r="H3" i="16"/>
  <c r="H3" i="8"/>
  <c r="H3" i="14"/>
  <c r="H3" i="5"/>
  <c r="H3" i="13"/>
  <c r="H3" i="6"/>
  <c r="H49" i="8"/>
  <c r="H49" i="6"/>
  <c r="H21" i="7"/>
  <c r="H29" i="16"/>
  <c r="H15" i="16"/>
  <c r="H9" i="10"/>
  <c r="H42" i="16"/>
  <c r="H42" i="8"/>
  <c r="H5" i="7"/>
  <c r="H14" i="14"/>
  <c r="H14" i="8"/>
  <c r="H30" i="16"/>
  <c r="H38" i="8"/>
  <c r="H38" i="13"/>
  <c r="H46" i="5"/>
  <c r="D4" i="3"/>
  <c r="A5" i="3"/>
  <c r="F4" i="3"/>
  <c r="B4" i="3"/>
  <c r="C4" i="3"/>
  <c r="C5" i="2"/>
  <c r="G2" i="13" s="1"/>
  <c r="E49" i="13" l="1"/>
  <c r="E49" i="14"/>
  <c r="Y45" i="2"/>
  <c r="E43" i="6" s="1"/>
  <c r="Y49" i="2"/>
  <c r="E47" i="6" s="1"/>
  <c r="Y16" i="2"/>
  <c r="E14" i="6" s="1"/>
  <c r="E49" i="9"/>
  <c r="H25" i="15"/>
  <c r="E38" i="13"/>
  <c r="Y21" i="2"/>
  <c r="E19" i="6" s="1"/>
  <c r="E49" i="15"/>
  <c r="Y28" i="2"/>
  <c r="E26" i="6" s="1"/>
  <c r="E49" i="16"/>
  <c r="E38" i="16"/>
  <c r="E32" i="16"/>
  <c r="X45" i="2"/>
  <c r="E43" i="5" s="1"/>
  <c r="H23" i="15"/>
  <c r="H48" i="15"/>
  <c r="F7" i="6"/>
  <c r="H47" i="9"/>
  <c r="H35" i="9"/>
  <c r="H41" i="9"/>
  <c r="E38" i="8"/>
  <c r="E32" i="15"/>
  <c r="H39" i="9"/>
  <c r="H27" i="9"/>
  <c r="H33" i="9"/>
  <c r="E9" i="15"/>
  <c r="E32" i="14"/>
  <c r="H45" i="15"/>
  <c r="H41" i="15"/>
  <c r="Y44" i="2"/>
  <c r="E42" i="6" s="1"/>
  <c r="E32" i="7"/>
  <c r="E9" i="9"/>
  <c r="E32" i="10"/>
  <c r="H38" i="9"/>
  <c r="H17" i="15"/>
  <c r="H50" i="15"/>
  <c r="E38" i="15"/>
  <c r="X20" i="2"/>
  <c r="E18" i="5" s="1"/>
  <c r="E32" i="8"/>
  <c r="H27" i="15"/>
  <c r="H10" i="9"/>
  <c r="H32" i="9"/>
  <c r="E38" i="7"/>
  <c r="H19" i="15"/>
  <c r="H13" i="15"/>
  <c r="H24" i="9"/>
  <c r="G2" i="7"/>
  <c r="H29" i="15"/>
  <c r="H46" i="15"/>
  <c r="H31" i="9"/>
  <c r="H28" i="15"/>
  <c r="H11" i="15"/>
  <c r="H14" i="9"/>
  <c r="H19" i="9"/>
  <c r="H9" i="15"/>
  <c r="H46" i="9"/>
  <c r="H40" i="15"/>
  <c r="H25" i="9"/>
  <c r="H18" i="15"/>
  <c r="H16" i="9"/>
  <c r="E38" i="9"/>
  <c r="E9" i="10"/>
  <c r="X49" i="2"/>
  <c r="E47" i="5" s="1"/>
  <c r="H5" i="15"/>
  <c r="H38" i="15"/>
  <c r="H23" i="9"/>
  <c r="H45" i="9"/>
  <c r="H52" i="9"/>
  <c r="H20" i="15"/>
  <c r="H11" i="9"/>
  <c r="H50" i="9"/>
  <c r="H22" i="9"/>
  <c r="H32" i="15"/>
  <c r="H17" i="9"/>
  <c r="H31" i="15"/>
  <c r="H8" i="9"/>
  <c r="E9" i="8"/>
  <c r="H44" i="15"/>
  <c r="H30" i="15"/>
  <c r="H15" i="9"/>
  <c r="H13" i="9"/>
  <c r="H44" i="9"/>
  <c r="H12" i="15"/>
  <c r="H37" i="15"/>
  <c r="H42" i="9"/>
  <c r="H37" i="9"/>
  <c r="H24" i="15"/>
  <c r="H9" i="9"/>
  <c r="H15" i="15"/>
  <c r="H29" i="9"/>
  <c r="H22" i="15"/>
  <c r="H7" i="9"/>
  <c r="H51" i="15"/>
  <c r="H36" i="9"/>
  <c r="H10" i="15"/>
  <c r="H52" i="15"/>
  <c r="H34" i="9"/>
  <c r="H42" i="15"/>
  <c r="H16" i="15"/>
  <c r="H21" i="15"/>
  <c r="H7" i="15"/>
  <c r="X40" i="2"/>
  <c r="E38" i="5" s="1"/>
  <c r="E38" i="10"/>
  <c r="H34" i="15"/>
  <c r="H14" i="15"/>
  <c r="H6" i="9"/>
  <c r="H43" i="15"/>
  <c r="H28" i="9"/>
  <c r="H51" i="9"/>
  <c r="H21" i="9"/>
  <c r="H26" i="9"/>
  <c r="H49" i="15"/>
  <c r="H8" i="15"/>
  <c r="H30" i="9"/>
  <c r="H48" i="9"/>
  <c r="J3" i="14"/>
  <c r="H47" i="15"/>
  <c r="H6" i="15"/>
  <c r="H5" i="9"/>
  <c r="H35" i="15"/>
  <c r="H20" i="9"/>
  <c r="H43" i="9"/>
  <c r="H26" i="15"/>
  <c r="H18" i="9"/>
  <c r="H33" i="15"/>
  <c r="H49" i="9"/>
  <c r="H36" i="15"/>
  <c r="H40" i="9"/>
  <c r="E9" i="13"/>
  <c r="E45" i="9"/>
  <c r="E9" i="16"/>
  <c r="E9" i="7"/>
  <c r="X53" i="2"/>
  <c r="E51" i="5" s="1"/>
  <c r="E45" i="10"/>
  <c r="E45" i="8"/>
  <c r="X8" i="2"/>
  <c r="E6" i="5" s="1"/>
  <c r="E25" i="13"/>
  <c r="E45" i="13"/>
  <c r="Y37" i="2"/>
  <c r="E35" i="6" s="1"/>
  <c r="E45" i="7"/>
  <c r="E45" i="15"/>
  <c r="E35" i="9"/>
  <c r="Y20" i="2"/>
  <c r="E18" i="6" s="1"/>
  <c r="E27" i="9"/>
  <c r="E35" i="16"/>
  <c r="E25" i="9"/>
  <c r="E27" i="16"/>
  <c r="E17" i="13"/>
  <c r="Y17" i="2"/>
  <c r="E15" i="6" s="1"/>
  <c r="E35" i="14"/>
  <c r="X24" i="2"/>
  <c r="E22" i="5" s="1"/>
  <c r="E27" i="14"/>
  <c r="E17" i="10"/>
  <c r="E27" i="8"/>
  <c r="Y36" i="2"/>
  <c r="E34" i="6" s="1"/>
  <c r="E35" i="8"/>
  <c r="Y5" i="2"/>
  <c r="E3" i="6" s="1"/>
  <c r="E27" i="10"/>
  <c r="E17" i="14"/>
  <c r="E35" i="15"/>
  <c r="E25" i="14"/>
  <c r="E27" i="7"/>
  <c r="E17" i="9"/>
  <c r="Y54" i="2"/>
  <c r="E52" i="6" s="1"/>
  <c r="E45" i="16"/>
  <c r="X25" i="2"/>
  <c r="E23" i="5" s="1"/>
  <c r="E37" i="13"/>
  <c r="E37" i="9"/>
  <c r="X42" i="2"/>
  <c r="E40" i="5" s="1"/>
  <c r="Y35" i="2"/>
  <c r="E33" i="6" s="1"/>
  <c r="E37" i="16"/>
  <c r="E37" i="7"/>
  <c r="E37" i="15"/>
  <c r="H38" i="16"/>
  <c r="H45" i="8"/>
  <c r="H44" i="13"/>
  <c r="H20" i="14"/>
  <c r="H43" i="13"/>
  <c r="H19" i="8"/>
  <c r="H18" i="14"/>
  <c r="H40" i="5"/>
  <c r="H23" i="13"/>
  <c r="X5" i="2"/>
  <c r="E3" i="5" s="1"/>
  <c r="X21" i="2"/>
  <c r="E19" i="5" s="1"/>
  <c r="H6" i="6"/>
  <c r="H33" i="5"/>
  <c r="H30" i="7"/>
  <c r="H6" i="10"/>
  <c r="H33" i="10"/>
  <c r="H21" i="16"/>
  <c r="H25" i="7"/>
  <c r="H44" i="14"/>
  <c r="H20" i="10"/>
  <c r="H10" i="14"/>
  <c r="H31" i="5"/>
  <c r="H32" i="6"/>
  <c r="H8" i="5"/>
  <c r="H23" i="5"/>
  <c r="X36" i="2"/>
  <c r="E34" i="5" s="1"/>
  <c r="H6" i="16"/>
  <c r="H9" i="7"/>
  <c r="H37" i="10"/>
  <c r="H13" i="5"/>
  <c r="H25" i="16"/>
  <c r="H12" i="6"/>
  <c r="H10" i="5"/>
  <c r="H31" i="16"/>
  <c r="H11" i="13"/>
  <c r="H32" i="5"/>
  <c r="H8" i="10"/>
  <c r="X37" i="2"/>
  <c r="E35" i="5" s="1"/>
  <c r="H37" i="14"/>
  <c r="H36" i="6"/>
  <c r="H7" i="10"/>
  <c r="H24" i="6"/>
  <c r="F39" i="5"/>
  <c r="X41" i="2"/>
  <c r="E39" i="5" s="1"/>
  <c r="H12" i="10"/>
  <c r="H41" i="6"/>
  <c r="H35" i="5"/>
  <c r="H47" i="7"/>
  <c r="X12" i="2"/>
  <c r="E10" i="5" s="1"/>
  <c r="H46" i="10"/>
  <c r="H22" i="8"/>
  <c r="H29" i="7"/>
  <c r="H26" i="14"/>
  <c r="H41" i="5"/>
  <c r="H7" i="5"/>
  <c r="H48" i="13"/>
  <c r="H24" i="13"/>
  <c r="H47" i="5"/>
  <c r="Y7" i="2"/>
  <c r="E5" i="6" s="1"/>
  <c r="X17" i="2"/>
  <c r="E15" i="5" s="1"/>
  <c r="Y46" i="2"/>
  <c r="E44" i="6" s="1"/>
  <c r="H5" i="16"/>
  <c r="H15" i="7"/>
  <c r="H29" i="8"/>
  <c r="H26" i="5"/>
  <c r="H51" i="7"/>
  <c r="H27" i="8"/>
  <c r="H50" i="5"/>
  <c r="H48" i="14"/>
  <c r="H24" i="16"/>
  <c r="H39" i="7"/>
  <c r="F20" i="6"/>
  <c r="Y22" i="2"/>
  <c r="E20" i="6" s="1"/>
  <c r="E11" i="8"/>
  <c r="F12" i="6"/>
  <c r="Y14" i="2"/>
  <c r="E12" i="6" s="1"/>
  <c r="F4" i="6"/>
  <c r="Y6" i="2"/>
  <c r="E4" i="6" s="1"/>
  <c r="H46" i="8"/>
  <c r="H38" i="6"/>
  <c r="H30" i="6"/>
  <c r="H22" i="5"/>
  <c r="H14" i="5"/>
  <c r="H6" i="7"/>
  <c r="H5" i="13"/>
  <c r="H42" i="10"/>
  <c r="H33" i="8"/>
  <c r="H9" i="13"/>
  <c r="H15" i="6"/>
  <c r="H45" i="14"/>
  <c r="H37" i="5"/>
  <c r="H29" i="13"/>
  <c r="H21" i="13"/>
  <c r="H13" i="8"/>
  <c r="H26" i="8"/>
  <c r="H49" i="13"/>
  <c r="H25" i="13"/>
  <c r="H52" i="5"/>
  <c r="H44" i="7"/>
  <c r="H36" i="7"/>
  <c r="H36" i="16"/>
  <c r="H28" i="10"/>
  <c r="H20" i="5"/>
  <c r="H12" i="7"/>
  <c r="H34" i="5"/>
  <c r="H10" i="10"/>
  <c r="H41" i="7"/>
  <c r="H17" i="6"/>
  <c r="H31" i="14"/>
  <c r="H7" i="8"/>
  <c r="H51" i="13"/>
  <c r="H43" i="7"/>
  <c r="H43" i="16"/>
  <c r="H35" i="10"/>
  <c r="H27" i="10"/>
  <c r="H19" i="6"/>
  <c r="H11" i="7"/>
  <c r="H11" i="16"/>
  <c r="H50" i="14"/>
  <c r="H18" i="10"/>
  <c r="H48" i="16"/>
  <c r="H40" i="8"/>
  <c r="H32" i="10"/>
  <c r="H24" i="7"/>
  <c r="H16" i="16"/>
  <c r="H8" i="14"/>
  <c r="H47" i="10"/>
  <c r="H39" i="13"/>
  <c r="H23" i="16"/>
  <c r="E11" i="13"/>
  <c r="E11" i="9"/>
  <c r="H38" i="5"/>
  <c r="H14" i="10"/>
  <c r="H5" i="6"/>
  <c r="H42" i="6"/>
  <c r="H33" i="14"/>
  <c r="H9" i="14"/>
  <c r="H15" i="13"/>
  <c r="H45" i="13"/>
  <c r="H37" i="8"/>
  <c r="H29" i="5"/>
  <c r="H21" i="6"/>
  <c r="H13" i="6"/>
  <c r="H26" i="10"/>
  <c r="H49" i="10"/>
  <c r="H25" i="6"/>
  <c r="H52" i="10"/>
  <c r="H44" i="8"/>
  <c r="H36" i="13"/>
  <c r="H28" i="7"/>
  <c r="H28" i="16"/>
  <c r="H20" i="8"/>
  <c r="H12" i="5"/>
  <c r="H34" i="13"/>
  <c r="H34" i="16"/>
  <c r="H10" i="8"/>
  <c r="H41" i="14"/>
  <c r="H17" i="7"/>
  <c r="H31" i="7"/>
  <c r="H7" i="14"/>
  <c r="H51" i="14"/>
  <c r="H43" i="6"/>
  <c r="H35" i="13"/>
  <c r="H35" i="16"/>
  <c r="H27" i="14"/>
  <c r="H19" i="5"/>
  <c r="H11" i="6"/>
  <c r="H50" i="13"/>
  <c r="H18" i="8"/>
  <c r="H48" i="6"/>
  <c r="H40" i="16"/>
  <c r="H32" i="8"/>
  <c r="H24" i="8"/>
  <c r="H16" i="13"/>
  <c r="H8" i="16"/>
  <c r="H47" i="14"/>
  <c r="H39" i="8"/>
  <c r="H23" i="6"/>
  <c r="E11" i="15"/>
  <c r="H5" i="3"/>
  <c r="H30" i="13"/>
  <c r="H38" i="10"/>
  <c r="H30" i="10"/>
  <c r="H22" i="6"/>
  <c r="H22" i="16"/>
  <c r="H6" i="8"/>
  <c r="H5" i="5"/>
  <c r="H42" i="13"/>
  <c r="H33" i="16"/>
  <c r="H9" i="5"/>
  <c r="H15" i="5"/>
  <c r="H45" i="6"/>
  <c r="H45" i="16"/>
  <c r="H29" i="10"/>
  <c r="H21" i="10"/>
  <c r="H13" i="13"/>
  <c r="H13" i="16"/>
  <c r="H49" i="14"/>
  <c r="H25" i="14"/>
  <c r="H52" i="16"/>
  <c r="H44" i="5"/>
  <c r="H36" i="5"/>
  <c r="H28" i="6"/>
  <c r="H12" i="8"/>
  <c r="H34" i="7"/>
  <c r="H41" i="10"/>
  <c r="H17" i="8"/>
  <c r="H31" i="13"/>
  <c r="H7" i="16"/>
  <c r="H51" i="10"/>
  <c r="H43" i="10"/>
  <c r="H35" i="7"/>
  <c r="H19" i="14"/>
  <c r="H11" i="14"/>
  <c r="H50" i="7"/>
  <c r="H18" i="16"/>
  <c r="H48" i="7"/>
  <c r="H40" i="13"/>
  <c r="H32" i="14"/>
  <c r="H24" i="10"/>
  <c r="H16" i="7"/>
  <c r="H8" i="13"/>
  <c r="H47" i="8"/>
  <c r="H39" i="5"/>
  <c r="H23" i="7"/>
  <c r="E11" i="16"/>
  <c r="H46" i="14"/>
  <c r="H22" i="13"/>
  <c r="H6" i="5"/>
  <c r="H46" i="13"/>
  <c r="H38" i="14"/>
  <c r="H30" i="8"/>
  <c r="H22" i="7"/>
  <c r="H14" i="7"/>
  <c r="H6" i="14"/>
  <c r="H5" i="14"/>
  <c r="H42" i="7"/>
  <c r="H33" i="13"/>
  <c r="H9" i="8"/>
  <c r="H15" i="10"/>
  <c r="H45" i="7"/>
  <c r="H37" i="13"/>
  <c r="H29" i="14"/>
  <c r="H21" i="5"/>
  <c r="H13" i="7"/>
  <c r="H26" i="13"/>
  <c r="H26" i="16"/>
  <c r="H49" i="5"/>
  <c r="H25" i="8"/>
  <c r="H52" i="7"/>
  <c r="H44" i="10"/>
  <c r="H36" i="10"/>
  <c r="H28" i="13"/>
  <c r="H20" i="7"/>
  <c r="H20" i="16"/>
  <c r="H12" i="14"/>
  <c r="H34" i="6"/>
  <c r="H10" i="7"/>
  <c r="H10" i="16"/>
  <c r="H41" i="8"/>
  <c r="H17" i="14"/>
  <c r="H31" i="6"/>
  <c r="H7" i="6"/>
  <c r="H51" i="8"/>
  <c r="H43" i="14"/>
  <c r="H35" i="6"/>
  <c r="H27" i="7"/>
  <c r="H27" i="16"/>
  <c r="H19" i="10"/>
  <c r="H11" i="10"/>
  <c r="H50" i="6"/>
  <c r="H18" i="6"/>
  <c r="H48" i="5"/>
  <c r="H40" i="6"/>
  <c r="H24" i="5"/>
  <c r="H16" i="14"/>
  <c r="H8" i="7"/>
  <c r="H47" i="16"/>
  <c r="H39" i="14"/>
  <c r="H23" i="10"/>
  <c r="E11" i="7"/>
  <c r="F7" i="5"/>
  <c r="X9" i="2"/>
  <c r="E7" i="5" s="1"/>
  <c r="H46" i="16"/>
  <c r="H30" i="5"/>
  <c r="H14" i="13"/>
  <c r="H5" i="8"/>
  <c r="H42" i="14"/>
  <c r="H33" i="7"/>
  <c r="H9" i="16"/>
  <c r="H15" i="14"/>
  <c r="H45" i="10"/>
  <c r="H37" i="6"/>
  <c r="H37" i="16"/>
  <c r="H21" i="8"/>
  <c r="H13" i="10"/>
  <c r="H26" i="6"/>
  <c r="H49" i="16"/>
  <c r="H25" i="5"/>
  <c r="H52" i="6"/>
  <c r="H36" i="14"/>
  <c r="H28" i="5"/>
  <c r="H20" i="6"/>
  <c r="H12" i="16"/>
  <c r="H34" i="10"/>
  <c r="H10" i="13"/>
  <c r="H41" i="16"/>
  <c r="H17" i="5"/>
  <c r="H31" i="8"/>
  <c r="H7" i="7"/>
  <c r="H43" i="5"/>
  <c r="H35" i="14"/>
  <c r="H27" i="6"/>
  <c r="H11" i="5"/>
  <c r="H50" i="8"/>
  <c r="H18" i="7"/>
  <c r="H48" i="8"/>
  <c r="H40" i="7"/>
  <c r="H32" i="13"/>
  <c r="H32" i="16"/>
  <c r="H24" i="14"/>
  <c r="H16" i="8"/>
  <c r="H8" i="6"/>
  <c r="H47" i="13"/>
  <c r="H39" i="10"/>
  <c r="H23" i="8"/>
  <c r="E11" i="10"/>
  <c r="F28" i="6"/>
  <c r="Y30" i="2"/>
  <c r="E28" i="6" s="1"/>
  <c r="F31" i="5"/>
  <c r="X33" i="2"/>
  <c r="E31" i="5" s="1"/>
  <c r="H46" i="7"/>
  <c r="H22" i="14"/>
  <c r="H14" i="16"/>
  <c r="H46" i="6"/>
  <c r="H38" i="7"/>
  <c r="H30" i="14"/>
  <c r="H22" i="10"/>
  <c r="H14" i="6"/>
  <c r="H6" i="13"/>
  <c r="H5" i="10"/>
  <c r="H42" i="5"/>
  <c r="H33" i="6"/>
  <c r="H9" i="6"/>
  <c r="H15" i="8"/>
  <c r="H45" i="5"/>
  <c r="H37" i="7"/>
  <c r="H29" i="6"/>
  <c r="H21" i="14"/>
  <c r="H13" i="14"/>
  <c r="H26" i="7"/>
  <c r="H49" i="7"/>
  <c r="H25" i="10"/>
  <c r="H52" i="13"/>
  <c r="H44" i="6"/>
  <c r="H44" i="16"/>
  <c r="H36" i="8"/>
  <c r="H28" i="8"/>
  <c r="H20" i="13"/>
  <c r="H12" i="13"/>
  <c r="H34" i="8"/>
  <c r="H10" i="6"/>
  <c r="H41" i="13"/>
  <c r="H17" i="10"/>
  <c r="H31" i="10"/>
  <c r="H7" i="13"/>
  <c r="H51" i="6"/>
  <c r="H51" i="16"/>
  <c r="H43" i="8"/>
  <c r="H35" i="8"/>
  <c r="H27" i="13"/>
  <c r="H19" i="13"/>
  <c r="H19" i="16"/>
  <c r="H11" i="8"/>
  <c r="H50" i="10"/>
  <c r="H18" i="13"/>
  <c r="H48" i="10"/>
  <c r="H40" i="10"/>
  <c r="H32" i="7"/>
  <c r="H16" i="5"/>
  <c r="H8" i="8"/>
  <c r="H47" i="6"/>
  <c r="H39" i="16"/>
  <c r="H23" i="14"/>
  <c r="F36" i="6"/>
  <c r="Y38" i="2"/>
  <c r="E36" i="6" s="1"/>
  <c r="G3" i="13"/>
  <c r="N3" i="13" s="1"/>
  <c r="C11" i="18"/>
  <c r="R2" i="13"/>
  <c r="E47" i="8"/>
  <c r="E47" i="14"/>
  <c r="E47" i="10"/>
  <c r="E47" i="7"/>
  <c r="E47" i="15"/>
  <c r="E47" i="9"/>
  <c r="E47" i="16"/>
  <c r="E47" i="13"/>
  <c r="G2" i="5"/>
  <c r="E12" i="10"/>
  <c r="E12" i="14"/>
  <c r="E12" i="8"/>
  <c r="E12" i="15"/>
  <c r="E12" i="7"/>
  <c r="E12" i="16"/>
  <c r="E12" i="13"/>
  <c r="E12" i="9"/>
  <c r="G2" i="6"/>
  <c r="E31" i="10"/>
  <c r="E31" i="8"/>
  <c r="E31" i="14"/>
  <c r="E31" i="9"/>
  <c r="E31" i="16"/>
  <c r="E31" i="7"/>
  <c r="E31" i="13"/>
  <c r="E31" i="15"/>
  <c r="G2" i="14"/>
  <c r="E39" i="8"/>
  <c r="E39" i="10"/>
  <c r="E39" i="14"/>
  <c r="E39" i="7"/>
  <c r="E39" i="15"/>
  <c r="E39" i="16"/>
  <c r="E39" i="9"/>
  <c r="E39" i="13"/>
  <c r="E23" i="14"/>
  <c r="E23" i="8"/>
  <c r="E23" i="10"/>
  <c r="E23" i="7"/>
  <c r="E23" i="9"/>
  <c r="E23" i="13"/>
  <c r="E23" i="16"/>
  <c r="E23" i="15"/>
  <c r="G2" i="3"/>
  <c r="G2" i="15"/>
  <c r="E4" i="8"/>
  <c r="E4" i="10"/>
  <c r="E4" i="14"/>
  <c r="E4" i="16"/>
  <c r="E4" i="13"/>
  <c r="E4" i="9"/>
  <c r="E4" i="7"/>
  <c r="E4" i="15"/>
  <c r="E28" i="8"/>
  <c r="E28" i="10"/>
  <c r="E28" i="14"/>
  <c r="E28" i="15"/>
  <c r="E28" i="7"/>
  <c r="E28" i="16"/>
  <c r="E28" i="9"/>
  <c r="E28" i="13"/>
  <c r="E44" i="8"/>
  <c r="E44" i="14"/>
  <c r="E44" i="10"/>
  <c r="E44" i="7"/>
  <c r="E44" i="16"/>
  <c r="E44" i="9"/>
  <c r="E44" i="15"/>
  <c r="E44" i="13"/>
  <c r="G2" i="8"/>
  <c r="E36" i="8"/>
  <c r="E36" i="10"/>
  <c r="E36" i="14"/>
  <c r="E36" i="16"/>
  <c r="E36" i="9"/>
  <c r="E36" i="13"/>
  <c r="E36" i="15"/>
  <c r="E36" i="7"/>
  <c r="G2" i="10"/>
  <c r="G2" i="9"/>
  <c r="E52" i="10"/>
  <c r="E52" i="8"/>
  <c r="E52" i="14"/>
  <c r="E52" i="16"/>
  <c r="E52" i="7"/>
  <c r="E52" i="9"/>
  <c r="E52" i="15"/>
  <c r="E52" i="13"/>
  <c r="E15" i="8"/>
  <c r="E15" i="14"/>
  <c r="E15" i="10"/>
  <c r="E15" i="7"/>
  <c r="E15" i="15"/>
  <c r="E15" i="9"/>
  <c r="E15" i="16"/>
  <c r="E15" i="13"/>
  <c r="G2" i="16"/>
  <c r="E7" i="14"/>
  <c r="E7" i="10"/>
  <c r="E7" i="8"/>
  <c r="E7" i="16"/>
  <c r="E7" i="9"/>
  <c r="E7" i="15"/>
  <c r="E7" i="7"/>
  <c r="E7" i="13"/>
  <c r="E20" i="10"/>
  <c r="E20" i="8"/>
  <c r="E20" i="14"/>
  <c r="E20" i="16"/>
  <c r="E20" i="9"/>
  <c r="E20" i="15"/>
  <c r="E20" i="13"/>
  <c r="E20" i="7"/>
  <c r="J3" i="5"/>
  <c r="J3" i="8"/>
  <c r="J4" i="8" s="1"/>
  <c r="J5" i="8" s="1"/>
  <c r="J3" i="13"/>
  <c r="J3" i="15"/>
  <c r="J4" i="15" s="1"/>
  <c r="J3" i="16"/>
  <c r="J4" i="16" s="1"/>
  <c r="H6" i="2"/>
  <c r="I5" i="3" s="1"/>
  <c r="I4" i="10"/>
  <c r="I4" i="8"/>
  <c r="I4" i="5"/>
  <c r="I4" i="14"/>
  <c r="I4" i="16"/>
  <c r="I4" i="9"/>
  <c r="I4" i="6"/>
  <c r="I4" i="7"/>
  <c r="I4" i="13"/>
  <c r="I4" i="15"/>
  <c r="J4" i="14"/>
  <c r="J3" i="6"/>
  <c r="J4" i="6" s="1"/>
  <c r="J3" i="10"/>
  <c r="J3" i="9"/>
  <c r="J4" i="9" s="1"/>
  <c r="J3" i="7"/>
  <c r="J4" i="3"/>
  <c r="D5" i="3"/>
  <c r="A6" i="3"/>
  <c r="H6" i="3" s="1"/>
  <c r="F5" i="3"/>
  <c r="B5" i="3"/>
  <c r="E5" i="3"/>
  <c r="C5" i="3"/>
  <c r="M3" i="13" l="1"/>
  <c r="C5" i="18"/>
  <c r="R2" i="5"/>
  <c r="G3" i="5"/>
  <c r="N3" i="5" s="1"/>
  <c r="G3" i="15"/>
  <c r="N3" i="15" s="1"/>
  <c r="C13" i="18"/>
  <c r="R2" i="15"/>
  <c r="R2" i="3"/>
  <c r="G3" i="3"/>
  <c r="T3" i="3" s="1"/>
  <c r="C4" i="18"/>
  <c r="R2" i="9"/>
  <c r="C9" i="18"/>
  <c r="G3" i="9"/>
  <c r="N3" i="9" s="1"/>
  <c r="R2" i="10"/>
  <c r="C10" i="18"/>
  <c r="G3" i="10"/>
  <c r="N3" i="10" s="1"/>
  <c r="R2" i="8"/>
  <c r="C8" i="18"/>
  <c r="G3" i="8"/>
  <c r="N3" i="8" s="1"/>
  <c r="G3" i="16"/>
  <c r="N3" i="16" s="1"/>
  <c r="C14" i="18"/>
  <c r="R2" i="16"/>
  <c r="G3" i="7"/>
  <c r="C7" i="18"/>
  <c r="R2" i="7"/>
  <c r="C6" i="18"/>
  <c r="R2" i="6"/>
  <c r="G3" i="6"/>
  <c r="N3" i="6" s="1"/>
  <c r="C12" i="18"/>
  <c r="R2" i="14"/>
  <c r="G3" i="14"/>
  <c r="N3" i="14" s="1"/>
  <c r="K3" i="13"/>
  <c r="G4" i="13"/>
  <c r="N4" i="13" s="1"/>
  <c r="J5" i="16"/>
  <c r="J6" i="16" s="1"/>
  <c r="J5" i="14"/>
  <c r="J5" i="15"/>
  <c r="J6" i="15" s="1"/>
  <c r="J5" i="6"/>
  <c r="J5" i="9"/>
  <c r="J6" i="8"/>
  <c r="H7" i="2"/>
  <c r="I6" i="3" s="1"/>
  <c r="I5" i="10"/>
  <c r="I5" i="14"/>
  <c r="I5" i="8"/>
  <c r="I5" i="5"/>
  <c r="I5" i="15"/>
  <c r="I5" i="9"/>
  <c r="I5" i="7"/>
  <c r="I5" i="13"/>
  <c r="I5" i="16"/>
  <c r="I5" i="6"/>
  <c r="J4" i="7"/>
  <c r="J4" i="10"/>
  <c r="J4" i="5"/>
  <c r="J4" i="13"/>
  <c r="D6" i="3"/>
  <c r="J5" i="3"/>
  <c r="A7" i="3"/>
  <c r="H7" i="3" s="1"/>
  <c r="F6" i="3"/>
  <c r="B6" i="3"/>
  <c r="E6" i="3"/>
  <c r="C6" i="3"/>
  <c r="N3" i="7" l="1"/>
  <c r="K3" i="7"/>
  <c r="N3" i="3"/>
  <c r="M3" i="3"/>
  <c r="O3" i="13"/>
  <c r="K3" i="6"/>
  <c r="G4" i="6"/>
  <c r="N4" i="6" s="1"/>
  <c r="M3" i="6"/>
  <c r="K3" i="16"/>
  <c r="G4" i="16"/>
  <c r="N4" i="16" s="1"/>
  <c r="M3" i="16"/>
  <c r="K3" i="9"/>
  <c r="G4" i="9"/>
  <c r="N4" i="9" s="1"/>
  <c r="M3" i="9"/>
  <c r="K4" i="13"/>
  <c r="G5" i="13"/>
  <c r="N5" i="13" s="1"/>
  <c r="M4" i="13"/>
  <c r="K3" i="15"/>
  <c r="G4" i="15"/>
  <c r="N4" i="15" s="1"/>
  <c r="M3" i="15"/>
  <c r="J7" i="16"/>
  <c r="J8" i="16" s="1"/>
  <c r="K3" i="8"/>
  <c r="G4" i="8"/>
  <c r="N4" i="8" s="1"/>
  <c r="M3" i="8"/>
  <c r="K3" i="14"/>
  <c r="G4" i="14"/>
  <c r="N4" i="14" s="1"/>
  <c r="M3" i="14"/>
  <c r="K3" i="5"/>
  <c r="G4" i="5"/>
  <c r="N4" i="5" s="1"/>
  <c r="M3" i="5"/>
  <c r="G4" i="7"/>
  <c r="N4" i="7" s="1"/>
  <c r="K3" i="10"/>
  <c r="M3" i="10"/>
  <c r="G4" i="10"/>
  <c r="N4" i="10" s="1"/>
  <c r="G4" i="3"/>
  <c r="T4" i="3" s="1"/>
  <c r="K3" i="3"/>
  <c r="J6" i="14"/>
  <c r="J6" i="9"/>
  <c r="J5" i="5"/>
  <c r="J5" i="7"/>
  <c r="J7" i="8"/>
  <c r="J6" i="6"/>
  <c r="J5" i="10"/>
  <c r="J7" i="15"/>
  <c r="J5" i="13"/>
  <c r="H8" i="2"/>
  <c r="I7" i="3" s="1"/>
  <c r="I6" i="8"/>
  <c r="I6" i="5"/>
  <c r="I6" i="10"/>
  <c r="I6" i="14"/>
  <c r="I6" i="15"/>
  <c r="I6" i="7"/>
  <c r="I6" i="6"/>
  <c r="I6" i="13"/>
  <c r="I6" i="9"/>
  <c r="I6" i="16"/>
  <c r="J6" i="3"/>
  <c r="D7" i="3"/>
  <c r="A8" i="3"/>
  <c r="H8" i="3" s="1"/>
  <c r="B7" i="3"/>
  <c r="E7" i="3"/>
  <c r="C7" i="3"/>
  <c r="F7" i="3"/>
  <c r="U4" i="3" l="1"/>
  <c r="N4" i="3"/>
  <c r="O3" i="3"/>
  <c r="M4" i="3"/>
  <c r="U3" i="3"/>
  <c r="V3" i="3"/>
  <c r="O3" i="5"/>
  <c r="O3" i="8"/>
  <c r="O3" i="10"/>
  <c r="K4" i="8"/>
  <c r="G5" i="8"/>
  <c r="N5" i="8" s="1"/>
  <c r="M4" i="8"/>
  <c r="O4" i="13"/>
  <c r="K5" i="13"/>
  <c r="G6" i="13"/>
  <c r="N6" i="13" s="1"/>
  <c r="M5" i="13"/>
  <c r="K4" i="7"/>
  <c r="G5" i="7"/>
  <c r="N5" i="7" s="1"/>
  <c r="M4" i="7"/>
  <c r="K4" i="14"/>
  <c r="G5" i="14"/>
  <c r="N5" i="14" s="1"/>
  <c r="M4" i="14"/>
  <c r="G5" i="3"/>
  <c r="T5" i="3" s="1"/>
  <c r="K4" i="3"/>
  <c r="O3" i="7"/>
  <c r="O3" i="14"/>
  <c r="K4" i="15"/>
  <c r="G5" i="15"/>
  <c r="N5" i="15" s="1"/>
  <c r="M4" i="15"/>
  <c r="K4" i="9"/>
  <c r="G5" i="9"/>
  <c r="N5" i="9" s="1"/>
  <c r="M4" i="9"/>
  <c r="K4" i="6"/>
  <c r="G5" i="6"/>
  <c r="N5" i="6" s="1"/>
  <c r="M4" i="6"/>
  <c r="J7" i="14"/>
  <c r="J8" i="14" s="1"/>
  <c r="K4" i="10"/>
  <c r="G5" i="10"/>
  <c r="N5" i="10" s="1"/>
  <c r="M4" i="10"/>
  <c r="O3" i="15"/>
  <c r="O3" i="9"/>
  <c r="O3" i="6"/>
  <c r="K4" i="16"/>
  <c r="G5" i="16"/>
  <c r="N5" i="16" s="1"/>
  <c r="M4" i="16"/>
  <c r="K4" i="5"/>
  <c r="G5" i="5"/>
  <c r="N5" i="5" s="1"/>
  <c r="M4" i="5"/>
  <c r="O3" i="16"/>
  <c r="J8" i="15"/>
  <c r="J7" i="6"/>
  <c r="H9" i="2"/>
  <c r="I8" i="3" s="1"/>
  <c r="I7" i="5"/>
  <c r="I7" i="10"/>
  <c r="I7" i="8"/>
  <c r="I7" i="14"/>
  <c r="I7" i="7"/>
  <c r="I7" i="6"/>
  <c r="I7" i="13"/>
  <c r="I7" i="15"/>
  <c r="I7" i="9"/>
  <c r="I7" i="16"/>
  <c r="J9" i="16"/>
  <c r="J6" i="7"/>
  <c r="J8" i="8"/>
  <c r="J7" i="9"/>
  <c r="J6" i="13"/>
  <c r="J6" i="5"/>
  <c r="J6" i="10"/>
  <c r="J7" i="3"/>
  <c r="D8" i="3"/>
  <c r="A9" i="3"/>
  <c r="H9" i="3" s="1"/>
  <c r="E8" i="3"/>
  <c r="C8" i="3"/>
  <c r="B8" i="3"/>
  <c r="F8" i="3"/>
  <c r="N5" i="3" l="1"/>
  <c r="U5" i="3"/>
  <c r="O4" i="3"/>
  <c r="M5" i="3"/>
  <c r="V4" i="3"/>
  <c r="O4" i="8"/>
  <c r="O4" i="7"/>
  <c r="K5" i="6"/>
  <c r="G6" i="6"/>
  <c r="N6" i="6" s="1"/>
  <c r="M5" i="6"/>
  <c r="K5" i="10"/>
  <c r="G6" i="10"/>
  <c r="N6" i="10" s="1"/>
  <c r="M5" i="10"/>
  <c r="O4" i="14"/>
  <c r="O5" i="13"/>
  <c r="G6" i="3"/>
  <c r="T6" i="3" s="1"/>
  <c r="K5" i="3"/>
  <c r="K5" i="5"/>
  <c r="G6" i="5"/>
  <c r="N6" i="5" s="1"/>
  <c r="M5" i="5"/>
  <c r="K5" i="14"/>
  <c r="G6" i="14"/>
  <c r="N6" i="14" s="1"/>
  <c r="M5" i="14"/>
  <c r="K5" i="16"/>
  <c r="G6" i="16"/>
  <c r="N6" i="16" s="1"/>
  <c r="M5" i="16"/>
  <c r="O4" i="10"/>
  <c r="K5" i="9"/>
  <c r="G6" i="9"/>
  <c r="N6" i="9" s="1"/>
  <c r="M5" i="9"/>
  <c r="K6" i="13"/>
  <c r="G7" i="13"/>
  <c r="N7" i="13" s="1"/>
  <c r="M6" i="13"/>
  <c r="O4" i="16"/>
  <c r="O4" i="9"/>
  <c r="K5" i="7"/>
  <c r="G6" i="7"/>
  <c r="N6" i="7" s="1"/>
  <c r="M5" i="7"/>
  <c r="K5" i="8"/>
  <c r="G6" i="8"/>
  <c r="N6" i="8" s="1"/>
  <c r="M5" i="8"/>
  <c r="K5" i="15"/>
  <c r="G6" i="15"/>
  <c r="N6" i="15" s="1"/>
  <c r="M5" i="15"/>
  <c r="O4" i="5"/>
  <c r="O4" i="6"/>
  <c r="O4" i="15"/>
  <c r="J7" i="10"/>
  <c r="J7" i="5"/>
  <c r="J10" i="16"/>
  <c r="J9" i="14"/>
  <c r="J9" i="8"/>
  <c r="H10" i="2"/>
  <c r="I9" i="3" s="1"/>
  <c r="I8" i="14"/>
  <c r="I8" i="8"/>
  <c r="I8" i="5"/>
  <c r="I8" i="10"/>
  <c r="I8" i="15"/>
  <c r="I8" i="7"/>
  <c r="I8" i="16"/>
  <c r="I8" i="13"/>
  <c r="I8" i="9"/>
  <c r="I8" i="6"/>
  <c r="J9" i="15"/>
  <c r="J7" i="13"/>
  <c r="J7" i="7"/>
  <c r="J8" i="9"/>
  <c r="J8" i="6"/>
  <c r="D9" i="3"/>
  <c r="J8" i="3"/>
  <c r="A10" i="3"/>
  <c r="H10" i="3" s="1"/>
  <c r="C9" i="3"/>
  <c r="F9" i="3"/>
  <c r="B9" i="3"/>
  <c r="E9" i="3"/>
  <c r="N6" i="3" l="1"/>
  <c r="O5" i="3"/>
  <c r="M6" i="3"/>
  <c r="V5" i="3"/>
  <c r="U6" i="3"/>
  <c r="O5" i="5"/>
  <c r="O5" i="7"/>
  <c r="O6" i="13"/>
  <c r="O5" i="15"/>
  <c r="O5" i="16"/>
  <c r="O5" i="8"/>
  <c r="O5" i="14"/>
  <c r="K6" i="10"/>
  <c r="G7" i="10"/>
  <c r="N7" i="10" s="1"/>
  <c r="M6" i="10"/>
  <c r="K6" i="15"/>
  <c r="G7" i="15"/>
  <c r="N7" i="15" s="1"/>
  <c r="M6" i="15"/>
  <c r="K6" i="9"/>
  <c r="G7" i="9"/>
  <c r="N7" i="9" s="1"/>
  <c r="M6" i="9"/>
  <c r="O5" i="10"/>
  <c r="K6" i="7"/>
  <c r="G7" i="7"/>
  <c r="N7" i="7" s="1"/>
  <c r="M6" i="7"/>
  <c r="K6" i="8"/>
  <c r="G7" i="8"/>
  <c r="N7" i="8" s="1"/>
  <c r="M6" i="8"/>
  <c r="O5" i="9"/>
  <c r="K6" i="14"/>
  <c r="G7" i="14"/>
  <c r="N7" i="14" s="1"/>
  <c r="M6" i="14"/>
  <c r="K6" i="16"/>
  <c r="M6" i="16"/>
  <c r="G7" i="16"/>
  <c r="N7" i="16" s="1"/>
  <c r="K6" i="6"/>
  <c r="G7" i="6"/>
  <c r="N7" i="6" s="1"/>
  <c r="M6" i="6"/>
  <c r="K6" i="5"/>
  <c r="G7" i="5"/>
  <c r="N7" i="5" s="1"/>
  <c r="M6" i="5"/>
  <c r="G7" i="3"/>
  <c r="T7" i="3" s="1"/>
  <c r="K6" i="3"/>
  <c r="K7" i="13"/>
  <c r="G8" i="13"/>
  <c r="N8" i="13" s="1"/>
  <c r="M7" i="13"/>
  <c r="O5" i="6"/>
  <c r="J9" i="9"/>
  <c r="J11" i="16"/>
  <c r="H11" i="2"/>
  <c r="I10" i="3" s="1"/>
  <c r="I9" i="5"/>
  <c r="I9" i="14"/>
  <c r="I9" i="8"/>
  <c r="I9" i="10"/>
  <c r="I9" i="7"/>
  <c r="I9" i="15"/>
  <c r="I9" i="16"/>
  <c r="I9" i="9"/>
  <c r="I9" i="13"/>
  <c r="I9" i="6"/>
  <c r="J8" i="10"/>
  <c r="J10" i="15"/>
  <c r="J10" i="14"/>
  <c r="J8" i="13"/>
  <c r="J9" i="6"/>
  <c r="J8" i="7"/>
  <c r="J10" i="8"/>
  <c r="J8" i="5"/>
  <c r="D10" i="3"/>
  <c r="J9" i="3"/>
  <c r="A11" i="3"/>
  <c r="H11" i="3" s="1"/>
  <c r="C10" i="3"/>
  <c r="F10" i="3"/>
  <c r="B10" i="3"/>
  <c r="E10" i="3"/>
  <c r="N7" i="3" l="1"/>
  <c r="V6" i="3"/>
  <c r="O6" i="3"/>
  <c r="M7" i="3"/>
  <c r="U7" i="3"/>
  <c r="O6" i="7"/>
  <c r="O6" i="5"/>
  <c r="O6" i="16"/>
  <c r="O6" i="8"/>
  <c r="G8" i="3"/>
  <c r="T8" i="3" s="1"/>
  <c r="K7" i="3"/>
  <c r="O6" i="6"/>
  <c r="K7" i="14"/>
  <c r="G8" i="14"/>
  <c r="N8" i="14" s="1"/>
  <c r="M7" i="14"/>
  <c r="O6" i="14"/>
  <c r="K7" i="7"/>
  <c r="G8" i="7"/>
  <c r="N8" i="7" s="1"/>
  <c r="M7" i="7"/>
  <c r="K7" i="15"/>
  <c r="G8" i="15"/>
  <c r="N8" i="15" s="1"/>
  <c r="M7" i="15"/>
  <c r="K7" i="16"/>
  <c r="G8" i="16"/>
  <c r="N8" i="16" s="1"/>
  <c r="M7" i="16"/>
  <c r="K8" i="13"/>
  <c r="G9" i="13"/>
  <c r="N9" i="13" s="1"/>
  <c r="M8" i="13"/>
  <c r="K7" i="5"/>
  <c r="G8" i="5"/>
  <c r="N8" i="5" s="1"/>
  <c r="M7" i="5"/>
  <c r="O6" i="15"/>
  <c r="O7" i="13"/>
  <c r="K7" i="8"/>
  <c r="G8" i="8"/>
  <c r="N8" i="8" s="1"/>
  <c r="M7" i="8"/>
  <c r="K7" i="9"/>
  <c r="G8" i="9"/>
  <c r="N8" i="9" s="1"/>
  <c r="M7" i="9"/>
  <c r="K7" i="10"/>
  <c r="G8" i="10"/>
  <c r="N8" i="10" s="1"/>
  <c r="M7" i="10"/>
  <c r="K7" i="6"/>
  <c r="G8" i="6"/>
  <c r="N8" i="6" s="1"/>
  <c r="M7" i="6"/>
  <c r="O6" i="9"/>
  <c r="O6" i="10"/>
  <c r="H12" i="2"/>
  <c r="I11" i="3" s="1"/>
  <c r="I10" i="10"/>
  <c r="I10" i="8"/>
  <c r="I10" i="5"/>
  <c r="I10" i="14"/>
  <c r="I10" i="15"/>
  <c r="I10" i="16"/>
  <c r="I10" i="7"/>
  <c r="I10" i="9"/>
  <c r="I10" i="6"/>
  <c r="I10" i="13"/>
  <c r="J12" i="16"/>
  <c r="J11" i="8"/>
  <c r="J9" i="7"/>
  <c r="J10" i="9"/>
  <c r="J9" i="5"/>
  <c r="J11" i="15"/>
  <c r="J9" i="13"/>
  <c r="J9" i="10"/>
  <c r="J10" i="6"/>
  <c r="J11" i="14"/>
  <c r="D11" i="3"/>
  <c r="J10" i="3"/>
  <c r="A12" i="3"/>
  <c r="H12" i="3" s="1"/>
  <c r="F11" i="3"/>
  <c r="B11" i="3"/>
  <c r="E11" i="3"/>
  <c r="C11" i="3"/>
  <c r="N8" i="3" l="1"/>
  <c r="U8" i="3"/>
  <c r="V7" i="3"/>
  <c r="O7" i="3"/>
  <c r="M8" i="3"/>
  <c r="O8" i="13"/>
  <c r="O7" i="15"/>
  <c r="K8" i="6"/>
  <c r="G9" i="6"/>
  <c r="N9" i="6" s="1"/>
  <c r="M8" i="6"/>
  <c r="K8" i="9"/>
  <c r="G9" i="9"/>
  <c r="N9" i="9" s="1"/>
  <c r="M8" i="9"/>
  <c r="O7" i="14"/>
  <c r="K9" i="13"/>
  <c r="G10" i="13"/>
  <c r="N10" i="13" s="1"/>
  <c r="M9" i="13"/>
  <c r="O7" i="6"/>
  <c r="O7" i="9"/>
  <c r="K8" i="5"/>
  <c r="G9" i="5"/>
  <c r="N9" i="5" s="1"/>
  <c r="M8" i="5"/>
  <c r="K8" i="16"/>
  <c r="G9" i="16"/>
  <c r="N9" i="16" s="1"/>
  <c r="M8" i="16"/>
  <c r="K8" i="7"/>
  <c r="G9" i="7"/>
  <c r="N9" i="7" s="1"/>
  <c r="M8" i="7"/>
  <c r="O7" i="5"/>
  <c r="O7" i="16"/>
  <c r="O7" i="7"/>
  <c r="K8" i="15"/>
  <c r="G9" i="15"/>
  <c r="N9" i="15" s="1"/>
  <c r="M8" i="15"/>
  <c r="K8" i="10"/>
  <c r="G9" i="10"/>
  <c r="N9" i="10" s="1"/>
  <c r="M8" i="10"/>
  <c r="K8" i="8"/>
  <c r="G9" i="8"/>
  <c r="N9" i="8" s="1"/>
  <c r="M8" i="8"/>
  <c r="K8" i="14"/>
  <c r="G9" i="14"/>
  <c r="N9" i="14" s="1"/>
  <c r="M8" i="14"/>
  <c r="O7" i="10"/>
  <c r="O7" i="8"/>
  <c r="G9" i="3"/>
  <c r="T9" i="3" s="1"/>
  <c r="K8" i="3"/>
  <c r="J11" i="9"/>
  <c r="J12" i="8"/>
  <c r="J12" i="14"/>
  <c r="J10" i="10"/>
  <c r="J13" i="16"/>
  <c r="J10" i="13"/>
  <c r="J10" i="5"/>
  <c r="J10" i="7"/>
  <c r="J11" i="6"/>
  <c r="H13" i="2"/>
  <c r="I12" i="3" s="1"/>
  <c r="I11" i="14"/>
  <c r="I11" i="10"/>
  <c r="I11" i="5"/>
  <c r="I11" i="8"/>
  <c r="I11" i="7"/>
  <c r="I11" i="6"/>
  <c r="I11" i="13"/>
  <c r="I11" i="16"/>
  <c r="I11" i="15"/>
  <c r="I11" i="9"/>
  <c r="J12" i="15"/>
  <c r="D12" i="3"/>
  <c r="J11" i="3"/>
  <c r="A13" i="3"/>
  <c r="H13" i="3" s="1"/>
  <c r="F12" i="3"/>
  <c r="B12" i="3"/>
  <c r="E12" i="3"/>
  <c r="C12" i="3"/>
  <c r="N9" i="3" l="1"/>
  <c r="U9" i="3"/>
  <c r="O8" i="3"/>
  <c r="V8" i="3"/>
  <c r="M9" i="3"/>
  <c r="O8" i="8"/>
  <c r="O8" i="15"/>
  <c r="O8" i="7"/>
  <c r="O8" i="5"/>
  <c r="O9" i="13"/>
  <c r="K9" i="9"/>
  <c r="G10" i="9"/>
  <c r="N10" i="9" s="1"/>
  <c r="M9" i="9"/>
  <c r="K9" i="14"/>
  <c r="G10" i="14"/>
  <c r="N10" i="14" s="1"/>
  <c r="M9" i="14"/>
  <c r="K9" i="10"/>
  <c r="G10" i="10"/>
  <c r="N10" i="10" s="1"/>
  <c r="M9" i="10"/>
  <c r="K9" i="16"/>
  <c r="G10" i="16"/>
  <c r="N10" i="16" s="1"/>
  <c r="M9" i="16"/>
  <c r="O8" i="9"/>
  <c r="O8" i="14"/>
  <c r="O8" i="10"/>
  <c r="O8" i="16"/>
  <c r="K10" i="13"/>
  <c r="G11" i="13"/>
  <c r="N11" i="13" s="1"/>
  <c r="M10" i="13"/>
  <c r="G10" i="3"/>
  <c r="T10" i="3" s="1"/>
  <c r="K9" i="3"/>
  <c r="K9" i="6"/>
  <c r="G10" i="6"/>
  <c r="N10" i="6" s="1"/>
  <c r="M9" i="6"/>
  <c r="K9" i="8"/>
  <c r="G10" i="8"/>
  <c r="N10" i="8" s="1"/>
  <c r="M9" i="8"/>
  <c r="K9" i="15"/>
  <c r="G10" i="15"/>
  <c r="N10" i="15" s="1"/>
  <c r="M9" i="15"/>
  <c r="K9" i="7"/>
  <c r="G10" i="7"/>
  <c r="N10" i="7" s="1"/>
  <c r="M9" i="7"/>
  <c r="K9" i="5"/>
  <c r="G10" i="5"/>
  <c r="N10" i="5" s="1"/>
  <c r="M9" i="5"/>
  <c r="O8" i="6"/>
  <c r="J11" i="7"/>
  <c r="H14" i="2"/>
  <c r="I13" i="3" s="1"/>
  <c r="I12" i="14"/>
  <c r="I12" i="8"/>
  <c r="I12" i="10"/>
  <c r="I12" i="5"/>
  <c r="I12" i="9"/>
  <c r="I12" i="7"/>
  <c r="I12" i="13"/>
  <c r="I12" i="16"/>
  <c r="I12" i="6"/>
  <c r="I12" i="15"/>
  <c r="J11" i="5"/>
  <c r="J13" i="8"/>
  <c r="J12" i="6"/>
  <c r="J12" i="9"/>
  <c r="J14" i="16"/>
  <c r="J11" i="10"/>
  <c r="J11" i="13"/>
  <c r="J13" i="15"/>
  <c r="J13" i="14"/>
  <c r="D13" i="3"/>
  <c r="J12" i="3"/>
  <c r="A14" i="3"/>
  <c r="H14" i="3" s="1"/>
  <c r="F13" i="3"/>
  <c r="B13" i="3"/>
  <c r="E13" i="3"/>
  <c r="C13" i="3"/>
  <c r="N10" i="3" l="1"/>
  <c r="V9" i="3"/>
  <c r="O9" i="3"/>
  <c r="M10" i="3"/>
  <c r="U10" i="3"/>
  <c r="O9" i="7"/>
  <c r="O9" i="8"/>
  <c r="O9" i="10"/>
  <c r="K10" i="5"/>
  <c r="G11" i="5"/>
  <c r="N11" i="5" s="1"/>
  <c r="M10" i="5"/>
  <c r="K10" i="15"/>
  <c r="G11" i="15"/>
  <c r="N11" i="15" s="1"/>
  <c r="M10" i="15"/>
  <c r="K10" i="6"/>
  <c r="G11" i="6"/>
  <c r="N11" i="6" s="1"/>
  <c r="M10" i="6"/>
  <c r="K11" i="13"/>
  <c r="G12" i="13"/>
  <c r="N12" i="13" s="1"/>
  <c r="M11" i="13"/>
  <c r="K10" i="16"/>
  <c r="G11" i="16"/>
  <c r="N11" i="16" s="1"/>
  <c r="M10" i="16"/>
  <c r="K10" i="14"/>
  <c r="G11" i="14"/>
  <c r="N11" i="14" s="1"/>
  <c r="M10" i="14"/>
  <c r="O9" i="5"/>
  <c r="O9" i="15"/>
  <c r="O9" i="6"/>
  <c r="O10" i="13"/>
  <c r="O9" i="16"/>
  <c r="O9" i="14"/>
  <c r="K10" i="7"/>
  <c r="G11" i="7"/>
  <c r="N11" i="7" s="1"/>
  <c r="M10" i="7"/>
  <c r="K10" i="8"/>
  <c r="G11" i="8"/>
  <c r="N11" i="8" s="1"/>
  <c r="M10" i="8"/>
  <c r="K10" i="10"/>
  <c r="G11" i="10"/>
  <c r="N11" i="10" s="1"/>
  <c r="M10" i="10"/>
  <c r="G11" i="3"/>
  <c r="T11" i="3" s="1"/>
  <c r="K10" i="3"/>
  <c r="K10" i="9"/>
  <c r="G11" i="9"/>
  <c r="N11" i="9" s="1"/>
  <c r="M10" i="9"/>
  <c r="O9" i="9"/>
  <c r="J14" i="14"/>
  <c r="J12" i="10"/>
  <c r="J14" i="8"/>
  <c r="H15" i="2"/>
  <c r="I14" i="3" s="1"/>
  <c r="I13" i="5"/>
  <c r="I13" i="10"/>
  <c r="I13" i="8"/>
  <c r="I13" i="14"/>
  <c r="I13" i="6"/>
  <c r="I13" i="13"/>
  <c r="I13" i="16"/>
  <c r="I13" i="15"/>
  <c r="I13" i="9"/>
  <c r="I13" i="7"/>
  <c r="J14" i="15"/>
  <c r="J13" i="9"/>
  <c r="J12" i="13"/>
  <c r="J12" i="5"/>
  <c r="J12" i="7"/>
  <c r="J15" i="16"/>
  <c r="J13" i="6"/>
  <c r="D14" i="3"/>
  <c r="J13" i="3"/>
  <c r="A15" i="3"/>
  <c r="H15" i="3" s="1"/>
  <c r="F14" i="3"/>
  <c r="B14" i="3"/>
  <c r="E14" i="3"/>
  <c r="C14" i="3"/>
  <c r="N11" i="3" l="1"/>
  <c r="U11" i="3"/>
  <c r="O10" i="3"/>
  <c r="V10" i="3"/>
  <c r="M11" i="3"/>
  <c r="O10" i="16"/>
  <c r="O10" i="6"/>
  <c r="O10" i="9"/>
  <c r="O10" i="7"/>
  <c r="O10" i="10"/>
  <c r="K11" i="14"/>
  <c r="G12" i="14"/>
  <c r="N12" i="14" s="1"/>
  <c r="M11" i="14"/>
  <c r="K12" i="13"/>
  <c r="G13" i="13"/>
  <c r="N13" i="13" s="1"/>
  <c r="M12" i="13"/>
  <c r="K11" i="15"/>
  <c r="G12" i="15"/>
  <c r="N12" i="15" s="1"/>
  <c r="M11" i="15"/>
  <c r="K11" i="8"/>
  <c r="G12" i="8"/>
  <c r="N12" i="8" s="1"/>
  <c r="M11" i="8"/>
  <c r="O10" i="14"/>
  <c r="O11" i="13"/>
  <c r="O10" i="15"/>
  <c r="G12" i="3"/>
  <c r="T12" i="3" s="1"/>
  <c r="K11" i="3"/>
  <c r="O10" i="8"/>
  <c r="K11" i="16"/>
  <c r="G12" i="16"/>
  <c r="N12" i="16" s="1"/>
  <c r="M11" i="16"/>
  <c r="K11" i="6"/>
  <c r="G12" i="6"/>
  <c r="N12" i="6" s="1"/>
  <c r="M11" i="6"/>
  <c r="K11" i="5"/>
  <c r="G12" i="5"/>
  <c r="N12" i="5" s="1"/>
  <c r="M11" i="5"/>
  <c r="K11" i="9"/>
  <c r="G12" i="9"/>
  <c r="N12" i="9" s="1"/>
  <c r="M11" i="9"/>
  <c r="K11" i="10"/>
  <c r="G12" i="10"/>
  <c r="N12" i="10" s="1"/>
  <c r="M11" i="10"/>
  <c r="K11" i="7"/>
  <c r="G12" i="7"/>
  <c r="N12" i="7" s="1"/>
  <c r="M11" i="7"/>
  <c r="O10" i="5"/>
  <c r="J13" i="7"/>
  <c r="J14" i="9"/>
  <c r="J15" i="8"/>
  <c r="J15" i="15"/>
  <c r="J13" i="10"/>
  <c r="J13" i="5"/>
  <c r="J13" i="13"/>
  <c r="J15" i="14"/>
  <c r="J14" i="6"/>
  <c r="J16" i="16"/>
  <c r="H16" i="2"/>
  <c r="I15" i="3" s="1"/>
  <c r="I14" i="14"/>
  <c r="I14" i="5"/>
  <c r="I14" i="8"/>
  <c r="I14" i="10"/>
  <c r="I14" i="6"/>
  <c r="I14" i="13"/>
  <c r="I14" i="16"/>
  <c r="I14" i="15"/>
  <c r="I14" i="9"/>
  <c r="I14" i="7"/>
  <c r="D15" i="3"/>
  <c r="J14" i="3"/>
  <c r="A16" i="3"/>
  <c r="H16" i="3" s="1"/>
  <c r="B15" i="3"/>
  <c r="E15" i="3"/>
  <c r="C15" i="3"/>
  <c r="F15" i="3"/>
  <c r="N12" i="3" l="1"/>
  <c r="U12" i="3"/>
  <c r="O11" i="3"/>
  <c r="M12" i="3"/>
  <c r="V11" i="3"/>
  <c r="O11" i="10"/>
  <c r="O11" i="5"/>
  <c r="O11" i="16"/>
  <c r="O11" i="15"/>
  <c r="O11" i="14"/>
  <c r="K12" i="7"/>
  <c r="G13" i="7"/>
  <c r="N13" i="7" s="1"/>
  <c r="M12" i="7"/>
  <c r="K12" i="9"/>
  <c r="G13" i="9"/>
  <c r="N13" i="9" s="1"/>
  <c r="M12" i="9"/>
  <c r="K12" i="6"/>
  <c r="G13" i="6"/>
  <c r="N13" i="6" s="1"/>
  <c r="M12" i="6"/>
  <c r="K12" i="8"/>
  <c r="G13" i="8"/>
  <c r="N13" i="8" s="1"/>
  <c r="M12" i="8"/>
  <c r="K13" i="13"/>
  <c r="G14" i="13"/>
  <c r="N14" i="13" s="1"/>
  <c r="M13" i="13"/>
  <c r="O11" i="7"/>
  <c r="O11" i="9"/>
  <c r="O11" i="6"/>
  <c r="O11" i="8"/>
  <c r="O12" i="13"/>
  <c r="G13" i="3"/>
  <c r="T13" i="3" s="1"/>
  <c r="K12" i="3"/>
  <c r="K12" i="10"/>
  <c r="G13" i="10"/>
  <c r="N13" i="10" s="1"/>
  <c r="M12" i="10"/>
  <c r="K12" i="5"/>
  <c r="G13" i="5"/>
  <c r="N13" i="5" s="1"/>
  <c r="M12" i="5"/>
  <c r="K12" i="16"/>
  <c r="G13" i="16"/>
  <c r="N13" i="16" s="1"/>
  <c r="M12" i="16"/>
  <c r="K12" i="15"/>
  <c r="G13" i="15"/>
  <c r="N13" i="15" s="1"/>
  <c r="M12" i="15"/>
  <c r="K12" i="14"/>
  <c r="G13" i="14"/>
  <c r="N13" i="14" s="1"/>
  <c r="M12" i="14"/>
  <c r="J16" i="8"/>
  <c r="H17" i="2"/>
  <c r="I16" i="3" s="1"/>
  <c r="I15" i="8"/>
  <c r="I15" i="10"/>
  <c r="I15" i="14"/>
  <c r="I15" i="5"/>
  <c r="I15" i="7"/>
  <c r="I15" i="6"/>
  <c r="I15" i="15"/>
  <c r="I15" i="9"/>
  <c r="I15" i="16"/>
  <c r="I15" i="13"/>
  <c r="J15" i="9"/>
  <c r="J17" i="16"/>
  <c r="J15" i="6"/>
  <c r="J14" i="7"/>
  <c r="J14" i="13"/>
  <c r="J14" i="5"/>
  <c r="J14" i="10"/>
  <c r="J16" i="14"/>
  <c r="J16" i="15"/>
  <c r="D16" i="3"/>
  <c r="J15" i="3"/>
  <c r="A17" i="3"/>
  <c r="H17" i="3" s="1"/>
  <c r="E16" i="3"/>
  <c r="C16" i="3"/>
  <c r="B16" i="3"/>
  <c r="F16" i="3"/>
  <c r="N13" i="3" l="1"/>
  <c r="U13" i="3"/>
  <c r="O12" i="3"/>
  <c r="M13" i="3"/>
  <c r="V12" i="3"/>
  <c r="O12" i="8"/>
  <c r="O12" i="9"/>
  <c r="O12" i="14"/>
  <c r="O12" i="16"/>
  <c r="O12" i="10"/>
  <c r="K13" i="14"/>
  <c r="G14" i="14"/>
  <c r="N14" i="14" s="1"/>
  <c r="M13" i="14"/>
  <c r="K13" i="16"/>
  <c r="G14" i="16"/>
  <c r="N14" i="16" s="1"/>
  <c r="M13" i="16"/>
  <c r="K13" i="10"/>
  <c r="G14" i="10"/>
  <c r="N14" i="10" s="1"/>
  <c r="M13" i="10"/>
  <c r="K13" i="8"/>
  <c r="G14" i="8"/>
  <c r="N14" i="8" s="1"/>
  <c r="M13" i="8"/>
  <c r="K13" i="9"/>
  <c r="G14" i="9"/>
  <c r="N14" i="9" s="1"/>
  <c r="M13" i="9"/>
  <c r="K13" i="15"/>
  <c r="G14" i="15"/>
  <c r="N14" i="15" s="1"/>
  <c r="M13" i="15"/>
  <c r="K13" i="5"/>
  <c r="G14" i="5"/>
  <c r="N14" i="5" s="1"/>
  <c r="M13" i="5"/>
  <c r="O12" i="15"/>
  <c r="O12" i="5"/>
  <c r="G14" i="3"/>
  <c r="T14" i="3" s="1"/>
  <c r="K13" i="3"/>
  <c r="K14" i="13"/>
  <c r="G15" i="13"/>
  <c r="N15" i="13" s="1"/>
  <c r="M14" i="13"/>
  <c r="O13" i="13"/>
  <c r="K13" i="6"/>
  <c r="G14" i="6"/>
  <c r="N14" i="6" s="1"/>
  <c r="M13" i="6"/>
  <c r="K13" i="7"/>
  <c r="G14" i="7"/>
  <c r="N14" i="7" s="1"/>
  <c r="M13" i="7"/>
  <c r="O12" i="6"/>
  <c r="O12" i="7"/>
  <c r="J15" i="13"/>
  <c r="J16" i="9"/>
  <c r="J15" i="7"/>
  <c r="J16" i="6"/>
  <c r="J15" i="10"/>
  <c r="H18" i="2"/>
  <c r="I17" i="3" s="1"/>
  <c r="I16" i="8"/>
  <c r="I16" i="10"/>
  <c r="I16" i="14"/>
  <c r="I16" i="5"/>
  <c r="I16" i="6"/>
  <c r="I16" i="13"/>
  <c r="I16" i="16"/>
  <c r="I16" i="15"/>
  <c r="I16" i="7"/>
  <c r="I16" i="9"/>
  <c r="J15" i="5"/>
  <c r="J17" i="8"/>
  <c r="J17" i="15"/>
  <c r="J17" i="14"/>
  <c r="J18" i="16"/>
  <c r="D17" i="3"/>
  <c r="J16" i="3"/>
  <c r="A18" i="3"/>
  <c r="H18" i="3" s="1"/>
  <c r="C17" i="3"/>
  <c r="E17" i="3"/>
  <c r="F17" i="3"/>
  <c r="B17" i="3"/>
  <c r="N14" i="3" l="1"/>
  <c r="U14" i="3"/>
  <c r="O13" i="3"/>
  <c r="M14" i="3"/>
  <c r="V13" i="3"/>
  <c r="O13" i="6"/>
  <c r="O13" i="9"/>
  <c r="O13" i="10"/>
  <c r="O13" i="14"/>
  <c r="G15" i="3"/>
  <c r="T15" i="3" s="1"/>
  <c r="K14" i="3"/>
  <c r="K14" i="15"/>
  <c r="G15" i="15"/>
  <c r="N15" i="15" s="1"/>
  <c r="M14" i="15"/>
  <c r="K14" i="7"/>
  <c r="M14" i="7"/>
  <c r="G15" i="7"/>
  <c r="N15" i="7" s="1"/>
  <c r="O13" i="15"/>
  <c r="K14" i="8"/>
  <c r="G15" i="8"/>
  <c r="N15" i="8" s="1"/>
  <c r="M14" i="8"/>
  <c r="K14" i="16"/>
  <c r="G15" i="16"/>
  <c r="N15" i="16" s="1"/>
  <c r="M14" i="16"/>
  <c r="O13" i="7"/>
  <c r="K15" i="13"/>
  <c r="G16" i="13"/>
  <c r="N16" i="13" s="1"/>
  <c r="M15" i="13"/>
  <c r="O13" i="8"/>
  <c r="O13" i="16"/>
  <c r="O14" i="13"/>
  <c r="K14" i="5"/>
  <c r="G15" i="5"/>
  <c r="N15" i="5" s="1"/>
  <c r="M14" i="5"/>
  <c r="K14" i="6"/>
  <c r="G15" i="6"/>
  <c r="N15" i="6" s="1"/>
  <c r="M14" i="6"/>
  <c r="O13" i="5"/>
  <c r="K14" i="9"/>
  <c r="G15" i="9"/>
  <c r="N15" i="9" s="1"/>
  <c r="M14" i="9"/>
  <c r="K14" i="10"/>
  <c r="G15" i="10"/>
  <c r="N15" i="10" s="1"/>
  <c r="M14" i="10"/>
  <c r="K14" i="14"/>
  <c r="G15" i="14"/>
  <c r="N15" i="14" s="1"/>
  <c r="M14" i="14"/>
  <c r="J17" i="6"/>
  <c r="J19" i="16"/>
  <c r="J16" i="5"/>
  <c r="J16" i="7"/>
  <c r="J17" i="9"/>
  <c r="H19" i="2"/>
  <c r="I18" i="3" s="1"/>
  <c r="I17" i="14"/>
  <c r="I17" i="8"/>
  <c r="I17" i="5"/>
  <c r="I17" i="10"/>
  <c r="I17" i="15"/>
  <c r="I17" i="6"/>
  <c r="I17" i="13"/>
  <c r="I17" i="16"/>
  <c r="I17" i="9"/>
  <c r="I17" i="7"/>
  <c r="J18" i="14"/>
  <c r="J18" i="15"/>
  <c r="J18" i="8"/>
  <c r="J16" i="10"/>
  <c r="J16" i="13"/>
  <c r="D18" i="3"/>
  <c r="J17" i="3"/>
  <c r="A19" i="3"/>
  <c r="H19" i="3" s="1"/>
  <c r="C18" i="3"/>
  <c r="F18" i="3"/>
  <c r="B18" i="3"/>
  <c r="E18" i="3"/>
  <c r="N15" i="3" l="1"/>
  <c r="U15" i="3"/>
  <c r="O14" i="3"/>
  <c r="V14" i="3"/>
  <c r="M15" i="3"/>
  <c r="O14" i="14"/>
  <c r="O14" i="9"/>
  <c r="O14" i="6"/>
  <c r="O14" i="16"/>
  <c r="K15" i="5"/>
  <c r="G16" i="5"/>
  <c r="N16" i="5" s="1"/>
  <c r="M15" i="5"/>
  <c r="O15" i="13"/>
  <c r="K15" i="8"/>
  <c r="G16" i="8"/>
  <c r="N16" i="8" s="1"/>
  <c r="M15" i="8"/>
  <c r="O14" i="5"/>
  <c r="O14" i="8"/>
  <c r="K15" i="15"/>
  <c r="G16" i="15"/>
  <c r="N16" i="15" s="1"/>
  <c r="M15" i="15"/>
  <c r="K15" i="10"/>
  <c r="G16" i="10"/>
  <c r="N16" i="10" s="1"/>
  <c r="M15" i="10"/>
  <c r="O14" i="15"/>
  <c r="K16" i="13"/>
  <c r="G17" i="13"/>
  <c r="N17" i="13" s="1"/>
  <c r="M16" i="13"/>
  <c r="O14" i="10"/>
  <c r="K15" i="7"/>
  <c r="G16" i="7"/>
  <c r="N16" i="7" s="1"/>
  <c r="M15" i="7"/>
  <c r="K15" i="6"/>
  <c r="G16" i="6"/>
  <c r="N16" i="6" s="1"/>
  <c r="M15" i="6"/>
  <c r="K15" i="16"/>
  <c r="G16" i="16"/>
  <c r="N16" i="16" s="1"/>
  <c r="M15" i="16"/>
  <c r="K15" i="14"/>
  <c r="G16" i="14"/>
  <c r="N16" i="14" s="1"/>
  <c r="M15" i="14"/>
  <c r="K15" i="9"/>
  <c r="G16" i="9"/>
  <c r="N16" i="9" s="1"/>
  <c r="M15" i="9"/>
  <c r="O14" i="7"/>
  <c r="G16" i="3"/>
  <c r="T16" i="3" s="1"/>
  <c r="K15" i="3"/>
  <c r="J17" i="7"/>
  <c r="J19" i="14"/>
  <c r="J17" i="5"/>
  <c r="J20" i="16"/>
  <c r="J19" i="8"/>
  <c r="H20" i="2"/>
  <c r="I19" i="3" s="1"/>
  <c r="I18" i="8"/>
  <c r="I18" i="5"/>
  <c r="I18" i="14"/>
  <c r="I18" i="10"/>
  <c r="I18" i="16"/>
  <c r="I18" i="13"/>
  <c r="I18" i="15"/>
  <c r="I18" i="7"/>
  <c r="I18" i="6"/>
  <c r="I18" i="9"/>
  <c r="J17" i="10"/>
  <c r="J18" i="9"/>
  <c r="J18" i="6"/>
  <c r="J17" i="13"/>
  <c r="J19" i="15"/>
  <c r="D19" i="3"/>
  <c r="J18" i="3"/>
  <c r="A20" i="3"/>
  <c r="H20" i="3" s="1"/>
  <c r="F19" i="3"/>
  <c r="B19" i="3"/>
  <c r="C19" i="3"/>
  <c r="E19" i="3"/>
  <c r="N16" i="3" l="1"/>
  <c r="O15" i="3"/>
  <c r="M16" i="3"/>
  <c r="V15" i="3"/>
  <c r="U16" i="3"/>
  <c r="O15" i="9"/>
  <c r="O15" i="16"/>
  <c r="O15" i="7"/>
  <c r="G17" i="3"/>
  <c r="T17" i="3" s="1"/>
  <c r="K16" i="3"/>
  <c r="K16" i="8"/>
  <c r="G17" i="8"/>
  <c r="N17" i="8" s="1"/>
  <c r="M16" i="8"/>
  <c r="K16" i="9"/>
  <c r="G17" i="9"/>
  <c r="N17" i="9" s="1"/>
  <c r="M16" i="9"/>
  <c r="K16" i="14"/>
  <c r="G17" i="14"/>
  <c r="N17" i="14" s="1"/>
  <c r="M16" i="14"/>
  <c r="K16" i="6"/>
  <c r="G17" i="6"/>
  <c r="N17" i="6" s="1"/>
  <c r="M16" i="6"/>
  <c r="O15" i="14"/>
  <c r="O15" i="6"/>
  <c r="K17" i="13"/>
  <c r="G18" i="13"/>
  <c r="N18" i="13" s="1"/>
  <c r="M17" i="13"/>
  <c r="O15" i="8"/>
  <c r="O16" i="13"/>
  <c r="K16" i="15"/>
  <c r="G17" i="15"/>
  <c r="N17" i="15" s="1"/>
  <c r="M16" i="15"/>
  <c r="K16" i="16"/>
  <c r="G17" i="16"/>
  <c r="N17" i="16" s="1"/>
  <c r="M16" i="16"/>
  <c r="O15" i="10"/>
  <c r="O15" i="15"/>
  <c r="K16" i="7"/>
  <c r="G17" i="7"/>
  <c r="N17" i="7" s="1"/>
  <c r="M16" i="7"/>
  <c r="K16" i="5"/>
  <c r="G17" i="5"/>
  <c r="N17" i="5" s="1"/>
  <c r="M16" i="5"/>
  <c r="K16" i="10"/>
  <c r="G17" i="10"/>
  <c r="N17" i="10" s="1"/>
  <c r="M16" i="10"/>
  <c r="O15" i="5"/>
  <c r="J21" i="16"/>
  <c r="J18" i="5"/>
  <c r="J18" i="13"/>
  <c r="J20" i="14"/>
  <c r="J20" i="15"/>
  <c r="H21" i="2"/>
  <c r="I20" i="3" s="1"/>
  <c r="I19" i="14"/>
  <c r="I19" i="10"/>
  <c r="I19" i="8"/>
  <c r="I19" i="5"/>
  <c r="I19" i="13"/>
  <c r="I19" i="16"/>
  <c r="I19" i="15"/>
  <c r="I19" i="7"/>
  <c r="I19" i="6"/>
  <c r="I19" i="9"/>
  <c r="J18" i="10"/>
  <c r="J19" i="6"/>
  <c r="J20" i="8"/>
  <c r="J18" i="7"/>
  <c r="J19" i="9"/>
  <c r="D20" i="3"/>
  <c r="J19" i="3"/>
  <c r="A21" i="3"/>
  <c r="H21" i="3" s="1"/>
  <c r="F20" i="3"/>
  <c r="B20" i="3"/>
  <c r="E20" i="3"/>
  <c r="C20" i="3"/>
  <c r="N17" i="3" l="1"/>
  <c r="O16" i="3"/>
  <c r="V16" i="3"/>
  <c r="M17" i="3"/>
  <c r="U17" i="3"/>
  <c r="O16" i="5"/>
  <c r="O16" i="10"/>
  <c r="K17" i="7"/>
  <c r="G18" i="7"/>
  <c r="N18" i="7" s="1"/>
  <c r="M17" i="7"/>
  <c r="O16" i="7"/>
  <c r="O17" i="13"/>
  <c r="K17" i="15"/>
  <c r="G18" i="15"/>
  <c r="N18" i="15" s="1"/>
  <c r="M17" i="15"/>
  <c r="K17" i="14"/>
  <c r="G18" i="14"/>
  <c r="N18" i="14" s="1"/>
  <c r="M17" i="14"/>
  <c r="K17" i="8"/>
  <c r="G18" i="8"/>
  <c r="N18" i="8" s="1"/>
  <c r="M17" i="8"/>
  <c r="K18" i="13"/>
  <c r="G19" i="13"/>
  <c r="N19" i="13" s="1"/>
  <c r="M18" i="13"/>
  <c r="O16" i="15"/>
  <c r="O16" i="14"/>
  <c r="O16" i="8"/>
  <c r="K17" i="5"/>
  <c r="G18" i="5"/>
  <c r="N18" i="5" s="1"/>
  <c r="M17" i="5"/>
  <c r="K17" i="9"/>
  <c r="G18" i="9"/>
  <c r="N18" i="9" s="1"/>
  <c r="M17" i="9"/>
  <c r="K17" i="16"/>
  <c r="G18" i="16"/>
  <c r="N18" i="16" s="1"/>
  <c r="M17" i="16"/>
  <c r="K17" i="6"/>
  <c r="G18" i="6"/>
  <c r="N18" i="6" s="1"/>
  <c r="M17" i="6"/>
  <c r="K17" i="10"/>
  <c r="G18" i="10"/>
  <c r="N18" i="10" s="1"/>
  <c r="M17" i="10"/>
  <c r="O16" i="16"/>
  <c r="O16" i="6"/>
  <c r="O16" i="9"/>
  <c r="G18" i="3"/>
  <c r="T18" i="3" s="1"/>
  <c r="K17" i="3"/>
  <c r="J20" i="9"/>
  <c r="J19" i="10"/>
  <c r="J19" i="5"/>
  <c r="J21" i="8"/>
  <c r="H22" i="2"/>
  <c r="I21" i="3" s="1"/>
  <c r="I20" i="5"/>
  <c r="I20" i="8"/>
  <c r="I20" i="14"/>
  <c r="I20" i="10"/>
  <c r="I20" i="16"/>
  <c r="I20" i="7"/>
  <c r="I20" i="6"/>
  <c r="I20" i="15"/>
  <c r="I20" i="9"/>
  <c r="I20" i="13"/>
  <c r="J21" i="14"/>
  <c r="J21" i="15"/>
  <c r="J19" i="7"/>
  <c r="J19" i="13"/>
  <c r="J20" i="6"/>
  <c r="J22" i="16"/>
  <c r="D21" i="3"/>
  <c r="J20" i="3"/>
  <c r="A22" i="3"/>
  <c r="H22" i="3" s="1"/>
  <c r="F21" i="3"/>
  <c r="B21" i="3"/>
  <c r="E21" i="3"/>
  <c r="C21" i="3"/>
  <c r="N18" i="3" l="1"/>
  <c r="O17" i="3"/>
  <c r="V17" i="3"/>
  <c r="M18" i="3"/>
  <c r="U18" i="3"/>
  <c r="O18" i="13"/>
  <c r="O17" i="14"/>
  <c r="O17" i="10"/>
  <c r="O17" i="16"/>
  <c r="O17" i="5"/>
  <c r="K18" i="16"/>
  <c r="G19" i="16"/>
  <c r="N19" i="16" s="1"/>
  <c r="M18" i="16"/>
  <c r="K18" i="6"/>
  <c r="G19" i="6"/>
  <c r="N19" i="6" s="1"/>
  <c r="M18" i="6"/>
  <c r="K18" i="9"/>
  <c r="G19" i="9"/>
  <c r="N19" i="9" s="1"/>
  <c r="M18" i="9"/>
  <c r="O17" i="8"/>
  <c r="O17" i="15"/>
  <c r="K18" i="15"/>
  <c r="G19" i="15"/>
  <c r="N19" i="15" s="1"/>
  <c r="M18" i="15"/>
  <c r="O17" i="6"/>
  <c r="O17" i="9"/>
  <c r="K18" i="10"/>
  <c r="G19" i="10"/>
  <c r="N19" i="10" s="1"/>
  <c r="M18" i="10"/>
  <c r="K18" i="8"/>
  <c r="G19" i="8"/>
  <c r="N19" i="8" s="1"/>
  <c r="M18" i="8"/>
  <c r="K19" i="13"/>
  <c r="G20" i="13"/>
  <c r="N20" i="13" s="1"/>
  <c r="M19" i="13"/>
  <c r="K18" i="14"/>
  <c r="G19" i="14"/>
  <c r="N19" i="14" s="1"/>
  <c r="M18" i="14"/>
  <c r="K18" i="5"/>
  <c r="G19" i="5"/>
  <c r="N19" i="5" s="1"/>
  <c r="M18" i="5"/>
  <c r="K18" i="7"/>
  <c r="G19" i="7"/>
  <c r="N19" i="7" s="1"/>
  <c r="M18" i="7"/>
  <c r="G19" i="3"/>
  <c r="T19" i="3" s="1"/>
  <c r="K18" i="3"/>
  <c r="O17" i="7"/>
  <c r="J22" i="8"/>
  <c r="J23" i="16"/>
  <c r="J20" i="5"/>
  <c r="J20" i="10"/>
  <c r="J22" i="14"/>
  <c r="J21" i="9"/>
  <c r="J22" i="15"/>
  <c r="J21" i="6"/>
  <c r="J20" i="13"/>
  <c r="J20" i="7"/>
  <c r="H23" i="2"/>
  <c r="I22" i="3" s="1"/>
  <c r="I21" i="8"/>
  <c r="I21" i="5"/>
  <c r="I21" i="10"/>
  <c r="I21" i="14"/>
  <c r="I21" i="15"/>
  <c r="I21" i="7"/>
  <c r="I21" i="6"/>
  <c r="I21" i="9"/>
  <c r="I21" i="16"/>
  <c r="I21" i="13"/>
  <c r="J21" i="3"/>
  <c r="D22" i="3"/>
  <c r="A23" i="3"/>
  <c r="H23" i="3" s="1"/>
  <c r="F22" i="3"/>
  <c r="B22" i="3"/>
  <c r="E22" i="3"/>
  <c r="C22" i="3"/>
  <c r="N19" i="3" l="1"/>
  <c r="V18" i="3"/>
  <c r="O18" i="3"/>
  <c r="M19" i="3"/>
  <c r="U19" i="3"/>
  <c r="K19" i="15"/>
  <c r="G20" i="15"/>
  <c r="N20" i="15" s="1"/>
  <c r="M19" i="15"/>
  <c r="O18" i="15"/>
  <c r="K19" i="6"/>
  <c r="G20" i="6"/>
  <c r="N20" i="6" s="1"/>
  <c r="M19" i="6"/>
  <c r="K19" i="5"/>
  <c r="G20" i="5"/>
  <c r="N20" i="5" s="1"/>
  <c r="M19" i="5"/>
  <c r="K20" i="13"/>
  <c r="G21" i="13"/>
  <c r="N21" i="13" s="1"/>
  <c r="M20" i="13"/>
  <c r="K19" i="10"/>
  <c r="G20" i="10"/>
  <c r="N20" i="10" s="1"/>
  <c r="M19" i="10"/>
  <c r="G20" i="3"/>
  <c r="T20" i="3" s="1"/>
  <c r="K19" i="3"/>
  <c r="O18" i="5"/>
  <c r="O19" i="13"/>
  <c r="O18" i="10"/>
  <c r="O18" i="6"/>
  <c r="K19" i="7"/>
  <c r="G20" i="7"/>
  <c r="N20" i="7" s="1"/>
  <c r="M19" i="7"/>
  <c r="K19" i="14"/>
  <c r="G20" i="14"/>
  <c r="N20" i="14" s="1"/>
  <c r="M19" i="14"/>
  <c r="K19" i="8"/>
  <c r="G20" i="8"/>
  <c r="N20" i="8" s="1"/>
  <c r="M19" i="8"/>
  <c r="K19" i="9"/>
  <c r="G20" i="9"/>
  <c r="N20" i="9" s="1"/>
  <c r="M19" i="9"/>
  <c r="K19" i="16"/>
  <c r="G20" i="16"/>
  <c r="N20" i="16" s="1"/>
  <c r="M19" i="16"/>
  <c r="O18" i="7"/>
  <c r="O18" i="14"/>
  <c r="O18" i="8"/>
  <c r="O18" i="9"/>
  <c r="O18" i="16"/>
  <c r="J22" i="6"/>
  <c r="J21" i="10"/>
  <c r="J21" i="5"/>
  <c r="J21" i="7"/>
  <c r="J22" i="9"/>
  <c r="J24" i="16"/>
  <c r="H24" i="2"/>
  <c r="I23" i="3" s="1"/>
  <c r="I22" i="10"/>
  <c r="I22" i="5"/>
  <c r="I22" i="14"/>
  <c r="I22" i="8"/>
  <c r="I22" i="16"/>
  <c r="I22" i="9"/>
  <c r="I22" i="6"/>
  <c r="I22" i="15"/>
  <c r="I22" i="13"/>
  <c r="I22" i="7"/>
  <c r="J23" i="14"/>
  <c r="J23" i="8"/>
  <c r="J23" i="15"/>
  <c r="J21" i="13"/>
  <c r="D23" i="3"/>
  <c r="J22" i="3"/>
  <c r="A24" i="3"/>
  <c r="H24" i="3" s="1"/>
  <c r="B23" i="3"/>
  <c r="E23" i="3"/>
  <c r="C23" i="3"/>
  <c r="F23" i="3"/>
  <c r="N20" i="3" l="1"/>
  <c r="O19" i="3"/>
  <c r="V19" i="3"/>
  <c r="M20" i="3"/>
  <c r="U20" i="3"/>
  <c r="O19" i="16"/>
  <c r="O20" i="13"/>
  <c r="O19" i="6"/>
  <c r="O19" i="8"/>
  <c r="O19" i="7"/>
  <c r="G21" i="3"/>
  <c r="T21" i="3" s="1"/>
  <c r="K20" i="3"/>
  <c r="K20" i="8"/>
  <c r="G21" i="8"/>
  <c r="N21" i="8" s="1"/>
  <c r="M20" i="8"/>
  <c r="K20" i="6"/>
  <c r="G21" i="6"/>
  <c r="N21" i="6" s="1"/>
  <c r="M20" i="6"/>
  <c r="K20" i="9"/>
  <c r="G21" i="9"/>
  <c r="N21" i="9" s="1"/>
  <c r="M20" i="9"/>
  <c r="K20" i="14"/>
  <c r="G21" i="14"/>
  <c r="N21" i="14" s="1"/>
  <c r="M20" i="14"/>
  <c r="K20" i="10"/>
  <c r="G21" i="10"/>
  <c r="N21" i="10" s="1"/>
  <c r="M20" i="10"/>
  <c r="K20" i="5"/>
  <c r="G21" i="5"/>
  <c r="N21" i="5" s="1"/>
  <c r="M20" i="5"/>
  <c r="O19" i="9"/>
  <c r="O19" i="14"/>
  <c r="O19" i="10"/>
  <c r="O19" i="5"/>
  <c r="K20" i="15"/>
  <c r="G21" i="15"/>
  <c r="N21" i="15" s="1"/>
  <c r="M20" i="15"/>
  <c r="K20" i="16"/>
  <c r="G21" i="16"/>
  <c r="N21" i="16" s="1"/>
  <c r="M20" i="16"/>
  <c r="K21" i="13"/>
  <c r="G22" i="13"/>
  <c r="N22" i="13" s="1"/>
  <c r="M21" i="13"/>
  <c r="O19" i="15"/>
  <c r="K20" i="7"/>
  <c r="G21" i="7"/>
  <c r="N21" i="7" s="1"/>
  <c r="M20" i="7"/>
  <c r="J24" i="15"/>
  <c r="J25" i="16"/>
  <c r="J22" i="7"/>
  <c r="H25" i="2"/>
  <c r="I24" i="3" s="1"/>
  <c r="I23" i="14"/>
  <c r="I23" i="8"/>
  <c r="I23" i="10"/>
  <c r="I23" i="5"/>
  <c r="I23" i="6"/>
  <c r="I23" i="7"/>
  <c r="I23" i="9"/>
  <c r="I23" i="16"/>
  <c r="I23" i="13"/>
  <c r="I23" i="15"/>
  <c r="J24" i="8"/>
  <c r="J22" i="10"/>
  <c r="J22" i="13"/>
  <c r="J22" i="5"/>
  <c r="J23" i="9"/>
  <c r="J23" i="6"/>
  <c r="J24" i="14"/>
  <c r="D24" i="3"/>
  <c r="J23" i="3"/>
  <c r="A25" i="3"/>
  <c r="H25" i="3" s="1"/>
  <c r="E24" i="3"/>
  <c r="C24" i="3"/>
  <c r="F24" i="3"/>
  <c r="B24" i="3"/>
  <c r="N21" i="3" l="1"/>
  <c r="V20" i="3"/>
  <c r="O20" i="3"/>
  <c r="M21" i="3"/>
  <c r="U21" i="3"/>
  <c r="O20" i="7"/>
  <c r="O20" i="9"/>
  <c r="K21" i="7"/>
  <c r="G22" i="7"/>
  <c r="N22" i="7" s="1"/>
  <c r="M21" i="7"/>
  <c r="K21" i="16"/>
  <c r="G22" i="16"/>
  <c r="N22" i="16" s="1"/>
  <c r="M21" i="16"/>
  <c r="K21" i="9"/>
  <c r="G22" i="9"/>
  <c r="N22" i="9" s="1"/>
  <c r="M21" i="9"/>
  <c r="K21" i="8"/>
  <c r="G22" i="8"/>
  <c r="N22" i="8" s="1"/>
  <c r="M21" i="8"/>
  <c r="K21" i="10"/>
  <c r="G22" i="10"/>
  <c r="N22" i="10" s="1"/>
  <c r="M21" i="10"/>
  <c r="O20" i="16"/>
  <c r="O20" i="8"/>
  <c r="K22" i="13"/>
  <c r="G23" i="13"/>
  <c r="N23" i="13" s="1"/>
  <c r="M22" i="13"/>
  <c r="K21" i="15"/>
  <c r="G22" i="15"/>
  <c r="N22" i="15" s="1"/>
  <c r="M21" i="15"/>
  <c r="K21" i="5"/>
  <c r="G22" i="5"/>
  <c r="N22" i="5" s="1"/>
  <c r="M21" i="5"/>
  <c r="K21" i="14"/>
  <c r="G22" i="14"/>
  <c r="N22" i="14" s="1"/>
  <c r="M21" i="14"/>
  <c r="K21" i="6"/>
  <c r="G22" i="6"/>
  <c r="N22" i="6" s="1"/>
  <c r="M21" i="6"/>
  <c r="O20" i="10"/>
  <c r="O21" i="13"/>
  <c r="O20" i="15"/>
  <c r="O20" i="5"/>
  <c r="O20" i="14"/>
  <c r="O20" i="6"/>
  <c r="G22" i="3"/>
  <c r="T22" i="3" s="1"/>
  <c r="K21" i="3"/>
  <c r="H26" i="2"/>
  <c r="I25" i="3" s="1"/>
  <c r="I24" i="5"/>
  <c r="I24" i="8"/>
  <c r="I24" i="14"/>
  <c r="I24" i="10"/>
  <c r="I24" i="6"/>
  <c r="I24" i="9"/>
  <c r="I24" i="16"/>
  <c r="I24" i="7"/>
  <c r="I24" i="15"/>
  <c r="I24" i="13"/>
  <c r="J25" i="14"/>
  <c r="J24" i="9"/>
  <c r="J23" i="10"/>
  <c r="J26" i="16"/>
  <c r="J23" i="13"/>
  <c r="J25" i="8"/>
  <c r="J25" i="15"/>
  <c r="J24" i="6"/>
  <c r="J23" i="7"/>
  <c r="J23" i="5"/>
  <c r="J24" i="3"/>
  <c r="D25" i="3"/>
  <c r="A26" i="3"/>
  <c r="H26" i="3" s="1"/>
  <c r="C25" i="3"/>
  <c r="F25" i="3"/>
  <c r="B25" i="3"/>
  <c r="E25" i="3"/>
  <c r="N22" i="3" l="1"/>
  <c r="U22" i="3"/>
  <c r="O21" i="3"/>
  <c r="V21" i="3"/>
  <c r="M22" i="3"/>
  <c r="O21" i="6"/>
  <c r="O21" i="5"/>
  <c r="O22" i="13"/>
  <c r="K22" i="14"/>
  <c r="G23" i="14"/>
  <c r="N23" i="14" s="1"/>
  <c r="M22" i="14"/>
  <c r="K22" i="15"/>
  <c r="G23" i="15"/>
  <c r="N23" i="15" s="1"/>
  <c r="M22" i="15"/>
  <c r="O21" i="8"/>
  <c r="O21" i="16"/>
  <c r="K22" i="16"/>
  <c r="G23" i="16"/>
  <c r="N23" i="16" s="1"/>
  <c r="M22" i="16"/>
  <c r="O21" i="14"/>
  <c r="O21" i="15"/>
  <c r="K22" i="10"/>
  <c r="G23" i="10"/>
  <c r="N23" i="10" s="1"/>
  <c r="M22" i="10"/>
  <c r="K22" i="8"/>
  <c r="G23" i="8"/>
  <c r="N23" i="8" s="1"/>
  <c r="M22" i="8"/>
  <c r="G23" i="3"/>
  <c r="T23" i="3" s="1"/>
  <c r="K22" i="3"/>
  <c r="O21" i="10"/>
  <c r="K22" i="9"/>
  <c r="G23" i="9"/>
  <c r="N23" i="9" s="1"/>
  <c r="M22" i="9"/>
  <c r="K22" i="7"/>
  <c r="G23" i="7"/>
  <c r="N23" i="7" s="1"/>
  <c r="M22" i="7"/>
  <c r="K22" i="6"/>
  <c r="G23" i="6"/>
  <c r="N23" i="6" s="1"/>
  <c r="M22" i="6"/>
  <c r="K22" i="5"/>
  <c r="G23" i="5"/>
  <c r="N23" i="5" s="1"/>
  <c r="M22" i="5"/>
  <c r="K23" i="13"/>
  <c r="G24" i="13"/>
  <c r="N24" i="13" s="1"/>
  <c r="M23" i="13"/>
  <c r="O21" i="9"/>
  <c r="O21" i="7"/>
  <c r="J24" i="5"/>
  <c r="J26" i="8"/>
  <c r="J25" i="9"/>
  <c r="J24" i="13"/>
  <c r="J24" i="7"/>
  <c r="J26" i="14"/>
  <c r="J25" i="6"/>
  <c r="J24" i="10"/>
  <c r="J27" i="16"/>
  <c r="J26" i="15"/>
  <c r="H27" i="2"/>
  <c r="I26" i="3" s="1"/>
  <c r="I25" i="8"/>
  <c r="I25" i="5"/>
  <c r="I25" i="10"/>
  <c r="I25" i="14"/>
  <c r="I25" i="9"/>
  <c r="I25" i="7"/>
  <c r="I25" i="16"/>
  <c r="I25" i="15"/>
  <c r="I25" i="13"/>
  <c r="I25" i="6"/>
  <c r="D26" i="3"/>
  <c r="J25" i="3"/>
  <c r="A27" i="3"/>
  <c r="H27" i="3" s="1"/>
  <c r="C26" i="3"/>
  <c r="F26" i="3"/>
  <c r="B26" i="3"/>
  <c r="E26" i="3"/>
  <c r="N23" i="3" l="1"/>
  <c r="U23" i="3"/>
  <c r="O22" i="3"/>
  <c r="V22" i="3"/>
  <c r="M23" i="3"/>
  <c r="O23" i="13"/>
  <c r="O22" i="6"/>
  <c r="O22" i="9"/>
  <c r="K23" i="9"/>
  <c r="G24" i="9"/>
  <c r="N24" i="9" s="1"/>
  <c r="M23" i="9"/>
  <c r="K23" i="15"/>
  <c r="G24" i="15"/>
  <c r="N24" i="15" s="1"/>
  <c r="M23" i="15"/>
  <c r="O22" i="15"/>
  <c r="K24" i="13"/>
  <c r="G25" i="13"/>
  <c r="N25" i="13" s="1"/>
  <c r="M24" i="13"/>
  <c r="K23" i="8"/>
  <c r="G24" i="8"/>
  <c r="N24" i="8" s="1"/>
  <c r="M23" i="8"/>
  <c r="K23" i="5"/>
  <c r="G24" i="5"/>
  <c r="N24" i="5" s="1"/>
  <c r="M23" i="5"/>
  <c r="K23" i="7"/>
  <c r="G24" i="7"/>
  <c r="N24" i="7" s="1"/>
  <c r="M23" i="7"/>
  <c r="K23" i="16"/>
  <c r="G24" i="16"/>
  <c r="N24" i="16" s="1"/>
  <c r="M23" i="16"/>
  <c r="O22" i="5"/>
  <c r="O22" i="7"/>
  <c r="K23" i="10"/>
  <c r="G24" i="10"/>
  <c r="N24" i="10" s="1"/>
  <c r="M23" i="10"/>
  <c r="O22" i="16"/>
  <c r="O22" i="8"/>
  <c r="G24" i="3"/>
  <c r="T24" i="3" s="1"/>
  <c r="K23" i="3"/>
  <c r="O22" i="10"/>
  <c r="K23" i="14"/>
  <c r="G24" i="14"/>
  <c r="N24" i="14" s="1"/>
  <c r="M23" i="14"/>
  <c r="K23" i="6"/>
  <c r="G24" i="6"/>
  <c r="N24" i="6" s="1"/>
  <c r="M23" i="6"/>
  <c r="O22" i="14"/>
  <c r="J25" i="10"/>
  <c r="J25" i="13"/>
  <c r="J27" i="8"/>
  <c r="J26" i="9"/>
  <c r="J26" i="6"/>
  <c r="J27" i="15"/>
  <c r="J28" i="16"/>
  <c r="J25" i="7"/>
  <c r="J25" i="5"/>
  <c r="H28" i="2"/>
  <c r="I27" i="3" s="1"/>
  <c r="I26" i="5"/>
  <c r="I26" i="10"/>
  <c r="I26" i="14"/>
  <c r="I26" i="8"/>
  <c r="I26" i="9"/>
  <c r="I26" i="15"/>
  <c r="I26" i="6"/>
  <c r="I26" i="13"/>
  <c r="I26" i="7"/>
  <c r="I26" i="16"/>
  <c r="J27" i="14"/>
  <c r="J26" i="3"/>
  <c r="D27" i="3"/>
  <c r="A28" i="3"/>
  <c r="H28" i="3" s="1"/>
  <c r="F27" i="3"/>
  <c r="B27" i="3"/>
  <c r="E27" i="3"/>
  <c r="C27" i="3"/>
  <c r="N24" i="3" l="1"/>
  <c r="V23" i="3"/>
  <c r="O23" i="3"/>
  <c r="M24" i="3"/>
  <c r="U24" i="3"/>
  <c r="O23" i="10"/>
  <c r="O23" i="6"/>
  <c r="K24" i="8"/>
  <c r="G25" i="8"/>
  <c r="N25" i="8" s="1"/>
  <c r="M24" i="8"/>
  <c r="O23" i="15"/>
  <c r="K24" i="7"/>
  <c r="G25" i="7"/>
  <c r="N25" i="7" s="1"/>
  <c r="M24" i="7"/>
  <c r="O23" i="7"/>
  <c r="K24" i="14"/>
  <c r="G25" i="14"/>
  <c r="N25" i="14" s="1"/>
  <c r="M24" i="14"/>
  <c r="K24" i="15"/>
  <c r="G25" i="15"/>
  <c r="N25" i="15" s="1"/>
  <c r="M24" i="15"/>
  <c r="O23" i="14"/>
  <c r="K24" i="16"/>
  <c r="G25" i="16"/>
  <c r="N25" i="16" s="1"/>
  <c r="M24" i="16"/>
  <c r="K24" i="5"/>
  <c r="G25" i="5"/>
  <c r="N25" i="5" s="1"/>
  <c r="M24" i="5"/>
  <c r="K25" i="13"/>
  <c r="G26" i="13"/>
  <c r="N26" i="13" s="1"/>
  <c r="M25" i="13"/>
  <c r="K24" i="6"/>
  <c r="G25" i="6"/>
  <c r="N25" i="6" s="1"/>
  <c r="M24" i="6"/>
  <c r="G25" i="3"/>
  <c r="T25" i="3" s="1"/>
  <c r="K24" i="3"/>
  <c r="O23" i="16"/>
  <c r="O23" i="5"/>
  <c r="O24" i="13"/>
  <c r="K24" i="9"/>
  <c r="G25" i="9"/>
  <c r="N25" i="9" s="1"/>
  <c r="M24" i="9"/>
  <c r="O23" i="8"/>
  <c r="K24" i="10"/>
  <c r="G25" i="10"/>
  <c r="N25" i="10" s="1"/>
  <c r="M24" i="10"/>
  <c r="O23" i="9"/>
  <c r="J26" i="7"/>
  <c r="J28" i="14"/>
  <c r="J28" i="15"/>
  <c r="J29" i="16"/>
  <c r="J28" i="8"/>
  <c r="H29" i="2"/>
  <c r="I28" i="3" s="1"/>
  <c r="I27" i="10"/>
  <c r="I27" i="5"/>
  <c r="I27" i="8"/>
  <c r="I27" i="14"/>
  <c r="I27" i="13"/>
  <c r="I27" i="16"/>
  <c r="I27" i="9"/>
  <c r="I27" i="6"/>
  <c r="I27" i="7"/>
  <c r="I27" i="15"/>
  <c r="J26" i="13"/>
  <c r="J27" i="9"/>
  <c r="J26" i="5"/>
  <c r="J27" i="6"/>
  <c r="J26" i="10"/>
  <c r="D28" i="3"/>
  <c r="J27" i="3"/>
  <c r="A29" i="3"/>
  <c r="H29" i="3" s="1"/>
  <c r="F28" i="3"/>
  <c r="B28" i="3"/>
  <c r="E28" i="3"/>
  <c r="C28" i="3"/>
  <c r="N25" i="3" l="1"/>
  <c r="U25" i="3"/>
  <c r="O24" i="3"/>
  <c r="V24" i="3"/>
  <c r="M25" i="3"/>
  <c r="O24" i="10"/>
  <c r="O24" i="6"/>
  <c r="O24" i="5"/>
  <c r="O24" i="15"/>
  <c r="K25" i="7"/>
  <c r="G26" i="7"/>
  <c r="N26" i="7" s="1"/>
  <c r="M25" i="7"/>
  <c r="K26" i="13"/>
  <c r="G27" i="13"/>
  <c r="N27" i="13" s="1"/>
  <c r="M26" i="13"/>
  <c r="K25" i="16"/>
  <c r="G26" i="16"/>
  <c r="N26" i="16" s="1"/>
  <c r="M25" i="16"/>
  <c r="O24" i="7"/>
  <c r="K25" i="9"/>
  <c r="G26" i="9"/>
  <c r="N26" i="9" s="1"/>
  <c r="M25" i="9"/>
  <c r="G26" i="3"/>
  <c r="T26" i="3" s="1"/>
  <c r="K25" i="3"/>
  <c r="O25" i="13"/>
  <c r="O24" i="16"/>
  <c r="K25" i="14"/>
  <c r="G26" i="14"/>
  <c r="N26" i="14" s="1"/>
  <c r="M25" i="14"/>
  <c r="O24" i="9"/>
  <c r="O24" i="14"/>
  <c r="K25" i="8"/>
  <c r="G26" i="8"/>
  <c r="N26" i="8" s="1"/>
  <c r="M25" i="8"/>
  <c r="K25" i="15"/>
  <c r="G26" i="15"/>
  <c r="N26" i="15" s="1"/>
  <c r="M25" i="15"/>
  <c r="K25" i="10"/>
  <c r="G26" i="10"/>
  <c r="N26" i="10" s="1"/>
  <c r="M25" i="10"/>
  <c r="K25" i="6"/>
  <c r="G26" i="6"/>
  <c r="N26" i="6" s="1"/>
  <c r="M25" i="6"/>
  <c r="K25" i="5"/>
  <c r="G26" i="5"/>
  <c r="N26" i="5" s="1"/>
  <c r="M25" i="5"/>
  <c r="O24" i="8"/>
  <c r="J30" i="16"/>
  <c r="J27" i="10"/>
  <c r="J29" i="14"/>
  <c r="J27" i="13"/>
  <c r="J28" i="6"/>
  <c r="J29" i="15"/>
  <c r="J27" i="5"/>
  <c r="H30" i="2"/>
  <c r="I29" i="3" s="1"/>
  <c r="I28" i="5"/>
  <c r="I28" i="14"/>
  <c r="I28" i="8"/>
  <c r="I28" i="10"/>
  <c r="I28" i="6"/>
  <c r="I28" i="13"/>
  <c r="I28" i="9"/>
  <c r="I28" i="7"/>
  <c r="I28" i="15"/>
  <c r="I28" i="16"/>
  <c r="J29" i="8"/>
  <c r="J27" i="7"/>
  <c r="J28" i="9"/>
  <c r="D29" i="3"/>
  <c r="J28" i="3"/>
  <c r="A30" i="3"/>
  <c r="H30" i="3" s="1"/>
  <c r="F29" i="3"/>
  <c r="B29" i="3"/>
  <c r="E29" i="3"/>
  <c r="C29" i="3"/>
  <c r="N26" i="3" l="1"/>
  <c r="U26" i="3"/>
  <c r="O25" i="3"/>
  <c r="V25" i="3"/>
  <c r="M26" i="3"/>
  <c r="O25" i="5"/>
  <c r="O25" i="10"/>
  <c r="O25" i="8"/>
  <c r="O25" i="9"/>
  <c r="K26" i="10"/>
  <c r="G27" i="10"/>
  <c r="N27" i="10" s="1"/>
  <c r="M26" i="10"/>
  <c r="O26" i="13"/>
  <c r="K26" i="5"/>
  <c r="G27" i="5"/>
  <c r="N27" i="5" s="1"/>
  <c r="M26" i="5"/>
  <c r="K26" i="9"/>
  <c r="G27" i="9"/>
  <c r="N27" i="9" s="1"/>
  <c r="M26" i="9"/>
  <c r="K27" i="13"/>
  <c r="G28" i="13"/>
  <c r="N28" i="13" s="1"/>
  <c r="M27" i="13"/>
  <c r="K26" i="6"/>
  <c r="G27" i="6"/>
  <c r="N27" i="6" s="1"/>
  <c r="M26" i="6"/>
  <c r="K26" i="15"/>
  <c r="G27" i="15"/>
  <c r="N27" i="15" s="1"/>
  <c r="M26" i="15"/>
  <c r="K26" i="8"/>
  <c r="G27" i="8"/>
  <c r="N27" i="8" s="1"/>
  <c r="M26" i="8"/>
  <c r="O25" i="6"/>
  <c r="O25" i="15"/>
  <c r="G27" i="3"/>
  <c r="T27" i="3" s="1"/>
  <c r="K26" i="3"/>
  <c r="K26" i="16"/>
  <c r="G27" i="16"/>
  <c r="N27" i="16" s="1"/>
  <c r="M26" i="16"/>
  <c r="K26" i="7"/>
  <c r="G27" i="7"/>
  <c r="N27" i="7" s="1"/>
  <c r="M26" i="7"/>
  <c r="K26" i="14"/>
  <c r="G27" i="14"/>
  <c r="N27" i="14" s="1"/>
  <c r="M26" i="14"/>
  <c r="O25" i="16"/>
  <c r="O25" i="7"/>
  <c r="O25" i="14"/>
  <c r="H31" i="2"/>
  <c r="I30" i="3" s="1"/>
  <c r="I29" i="5"/>
  <c r="I29" i="10"/>
  <c r="I29" i="8"/>
  <c r="I29" i="14"/>
  <c r="I29" i="6"/>
  <c r="I29" i="13"/>
  <c r="I29" i="7"/>
  <c r="I29" i="9"/>
  <c r="I29" i="15"/>
  <c r="I29" i="16"/>
  <c r="J28" i="13"/>
  <c r="J30" i="15"/>
  <c r="J29" i="9"/>
  <c r="J30" i="14"/>
  <c r="J28" i="7"/>
  <c r="J30" i="8"/>
  <c r="J28" i="10"/>
  <c r="J28" i="5"/>
  <c r="J29" i="6"/>
  <c r="J31" i="16"/>
  <c r="J29" i="3"/>
  <c r="D30" i="3"/>
  <c r="A31" i="3"/>
  <c r="H31" i="3" s="1"/>
  <c r="F30" i="3"/>
  <c r="B30" i="3"/>
  <c r="E30" i="3"/>
  <c r="C30" i="3"/>
  <c r="O26" i="3" l="1"/>
  <c r="N27" i="3"/>
  <c r="U27" i="3"/>
  <c r="V26" i="3"/>
  <c r="M27" i="3"/>
  <c r="O26" i="8"/>
  <c r="O26" i="6"/>
  <c r="O26" i="9"/>
  <c r="O26" i="7"/>
  <c r="G28" i="3"/>
  <c r="T28" i="3" s="1"/>
  <c r="K27" i="3"/>
  <c r="K27" i="15"/>
  <c r="M27" i="15"/>
  <c r="G28" i="15"/>
  <c r="N28" i="15" s="1"/>
  <c r="K28" i="13"/>
  <c r="G29" i="13"/>
  <c r="N29" i="13" s="1"/>
  <c r="M28" i="13"/>
  <c r="K27" i="5"/>
  <c r="G28" i="5"/>
  <c r="N28" i="5" s="1"/>
  <c r="M27" i="5"/>
  <c r="K27" i="6"/>
  <c r="G28" i="6"/>
  <c r="N28" i="6" s="1"/>
  <c r="M27" i="6"/>
  <c r="O27" i="13"/>
  <c r="K27" i="14"/>
  <c r="G28" i="14"/>
  <c r="N28" i="14" s="1"/>
  <c r="M27" i="14"/>
  <c r="K27" i="16"/>
  <c r="G28" i="16"/>
  <c r="N28" i="16" s="1"/>
  <c r="M27" i="16"/>
  <c r="O26" i="15"/>
  <c r="O26" i="5"/>
  <c r="O26" i="14"/>
  <c r="O26" i="16"/>
  <c r="K27" i="8"/>
  <c r="G28" i="8"/>
  <c r="N28" i="8" s="1"/>
  <c r="M27" i="8"/>
  <c r="K27" i="9"/>
  <c r="G28" i="9"/>
  <c r="N28" i="9" s="1"/>
  <c r="M27" i="9"/>
  <c r="K27" i="10"/>
  <c r="G28" i="10"/>
  <c r="N28" i="10" s="1"/>
  <c r="M27" i="10"/>
  <c r="K27" i="7"/>
  <c r="G28" i="7"/>
  <c r="N28" i="7" s="1"/>
  <c r="M27" i="7"/>
  <c r="O26" i="10"/>
  <c r="J32" i="16"/>
  <c r="J31" i="8"/>
  <c r="J31" i="15"/>
  <c r="J29" i="5"/>
  <c r="J29" i="13"/>
  <c r="J29" i="7"/>
  <c r="J31" i="14"/>
  <c r="J30" i="6"/>
  <c r="J29" i="10"/>
  <c r="J30" i="9"/>
  <c r="H32" i="2"/>
  <c r="I31" i="3" s="1"/>
  <c r="I30" i="5"/>
  <c r="I30" i="10"/>
  <c r="I30" i="14"/>
  <c r="I30" i="8"/>
  <c r="I30" i="6"/>
  <c r="I30" i="13"/>
  <c r="I30" i="9"/>
  <c r="I30" i="7"/>
  <c r="I30" i="16"/>
  <c r="I30" i="15"/>
  <c r="D31" i="3"/>
  <c r="J30" i="3"/>
  <c r="A32" i="3"/>
  <c r="H32" i="3" s="1"/>
  <c r="B31" i="3"/>
  <c r="E31" i="3"/>
  <c r="C31" i="3"/>
  <c r="F31" i="3"/>
  <c r="N28" i="3" l="1"/>
  <c r="U28" i="3"/>
  <c r="O27" i="3"/>
  <c r="V27" i="3"/>
  <c r="M28" i="3"/>
  <c r="O27" i="10"/>
  <c r="O27" i="8"/>
  <c r="O27" i="16"/>
  <c r="K28" i="14"/>
  <c r="G29" i="14"/>
  <c r="N29" i="14" s="1"/>
  <c r="M28" i="14"/>
  <c r="O27" i="9"/>
  <c r="K28" i="5"/>
  <c r="G29" i="5"/>
  <c r="N29" i="5" s="1"/>
  <c r="M28" i="5"/>
  <c r="O27" i="5"/>
  <c r="O27" i="15"/>
  <c r="K28" i="9"/>
  <c r="G29" i="9"/>
  <c r="N29" i="9" s="1"/>
  <c r="M28" i="9"/>
  <c r="O27" i="7"/>
  <c r="K28" i="15"/>
  <c r="G29" i="15"/>
  <c r="N29" i="15" s="1"/>
  <c r="M28" i="15"/>
  <c r="O27" i="14"/>
  <c r="K28" i="10"/>
  <c r="G29" i="10"/>
  <c r="N29" i="10" s="1"/>
  <c r="M28" i="10"/>
  <c r="K28" i="8"/>
  <c r="G29" i="8"/>
  <c r="N29" i="8" s="1"/>
  <c r="M28" i="8"/>
  <c r="K28" i="16"/>
  <c r="G29" i="16"/>
  <c r="N29" i="16" s="1"/>
  <c r="M28" i="16"/>
  <c r="K28" i="6"/>
  <c r="G29" i="6"/>
  <c r="N29" i="6" s="1"/>
  <c r="M28" i="6"/>
  <c r="K29" i="13"/>
  <c r="G30" i="13"/>
  <c r="N30" i="13" s="1"/>
  <c r="M29" i="13"/>
  <c r="O27" i="6"/>
  <c r="O28" i="13"/>
  <c r="G29" i="3"/>
  <c r="T29" i="3" s="1"/>
  <c r="K28" i="3"/>
  <c r="K28" i="7"/>
  <c r="G29" i="7"/>
  <c r="N29" i="7" s="1"/>
  <c r="M28" i="7"/>
  <c r="J30" i="5"/>
  <c r="J32" i="15"/>
  <c r="H33" i="2"/>
  <c r="I32" i="3" s="1"/>
  <c r="I31" i="10"/>
  <c r="I31" i="8"/>
  <c r="I31" i="14"/>
  <c r="I31" i="5"/>
  <c r="I31" i="13"/>
  <c r="I31" i="6"/>
  <c r="I31" i="7"/>
  <c r="I31" i="16"/>
  <c r="I31" i="9"/>
  <c r="I31" i="15"/>
  <c r="J31" i="9"/>
  <c r="J30" i="7"/>
  <c r="J32" i="8"/>
  <c r="J31" i="6"/>
  <c r="J32" i="14"/>
  <c r="J33" i="16"/>
  <c r="J30" i="10"/>
  <c r="J30" i="13"/>
  <c r="D32" i="3"/>
  <c r="J31" i="3"/>
  <c r="A33" i="3"/>
  <c r="H33" i="3" s="1"/>
  <c r="E32" i="3"/>
  <c r="C32" i="3"/>
  <c r="B32" i="3"/>
  <c r="F32" i="3"/>
  <c r="N29" i="3" l="1"/>
  <c r="U29" i="3"/>
  <c r="O28" i="3"/>
  <c r="V28" i="3"/>
  <c r="M29" i="3"/>
  <c r="O28" i="7"/>
  <c r="K29" i="16"/>
  <c r="G30" i="16"/>
  <c r="N30" i="16" s="1"/>
  <c r="M29" i="16"/>
  <c r="O28" i="16"/>
  <c r="O28" i="10"/>
  <c r="O28" i="5"/>
  <c r="O29" i="13"/>
  <c r="G30" i="3"/>
  <c r="T30" i="3" s="1"/>
  <c r="K29" i="3"/>
  <c r="K29" i="9"/>
  <c r="G30" i="9"/>
  <c r="N30" i="9" s="1"/>
  <c r="M29" i="9"/>
  <c r="K29" i="5"/>
  <c r="G30" i="5"/>
  <c r="N30" i="5" s="1"/>
  <c r="M29" i="5"/>
  <c r="K29" i="6"/>
  <c r="G30" i="6"/>
  <c r="N30" i="6" s="1"/>
  <c r="M29" i="6"/>
  <c r="O28" i="9"/>
  <c r="K30" i="13"/>
  <c r="G31" i="13"/>
  <c r="N31" i="13" s="1"/>
  <c r="M30" i="13"/>
  <c r="K29" i="10"/>
  <c r="G30" i="10"/>
  <c r="N30" i="10" s="1"/>
  <c r="M29" i="10"/>
  <c r="O28" i="6"/>
  <c r="K29" i="8"/>
  <c r="G30" i="8"/>
  <c r="N30" i="8" s="1"/>
  <c r="M29" i="8"/>
  <c r="K29" i="7"/>
  <c r="G30" i="7"/>
  <c r="N30" i="7" s="1"/>
  <c r="M29" i="7"/>
  <c r="O28" i="8"/>
  <c r="K29" i="15"/>
  <c r="G30" i="15"/>
  <c r="N30" i="15" s="1"/>
  <c r="M29" i="15"/>
  <c r="K29" i="14"/>
  <c r="G30" i="14"/>
  <c r="N30" i="14" s="1"/>
  <c r="M29" i="14"/>
  <c r="O28" i="15"/>
  <c r="O28" i="14"/>
  <c r="J33" i="15"/>
  <c r="J33" i="8"/>
  <c r="J31" i="10"/>
  <c r="H34" i="2"/>
  <c r="I33" i="3" s="1"/>
  <c r="I32" i="10"/>
  <c r="I32" i="5"/>
  <c r="I32" i="14"/>
  <c r="I32" i="8"/>
  <c r="I32" i="6"/>
  <c r="I32" i="7"/>
  <c r="I32" i="15"/>
  <c r="I32" i="9"/>
  <c r="I32" i="13"/>
  <c r="I32" i="16"/>
  <c r="J31" i="7"/>
  <c r="J34" i="16"/>
  <c r="J32" i="6"/>
  <c r="J31" i="13"/>
  <c r="J31" i="5"/>
  <c r="J33" i="14"/>
  <c r="J32" i="9"/>
  <c r="D33" i="3"/>
  <c r="J32" i="3"/>
  <c r="A34" i="3"/>
  <c r="H34" i="3" s="1"/>
  <c r="C33" i="3"/>
  <c r="E33" i="3"/>
  <c r="F33" i="3"/>
  <c r="B33" i="3"/>
  <c r="N30" i="3" l="1"/>
  <c r="U30" i="3"/>
  <c r="O29" i="3"/>
  <c r="M30" i="3"/>
  <c r="V29" i="3"/>
  <c r="O29" i="10"/>
  <c r="O29" i="7"/>
  <c r="K30" i="10"/>
  <c r="G31" i="10"/>
  <c r="N31" i="10" s="1"/>
  <c r="M30" i="10"/>
  <c r="K30" i="15"/>
  <c r="G31" i="15"/>
  <c r="N31" i="15" s="1"/>
  <c r="M30" i="15"/>
  <c r="K30" i="6"/>
  <c r="G31" i="6"/>
  <c r="N31" i="6" s="1"/>
  <c r="M30" i="6"/>
  <c r="K30" i="9"/>
  <c r="G31" i="9"/>
  <c r="N31" i="9" s="1"/>
  <c r="M30" i="9"/>
  <c r="O29" i="15"/>
  <c r="K30" i="8"/>
  <c r="G31" i="8"/>
  <c r="N31" i="8" s="1"/>
  <c r="M30" i="8"/>
  <c r="O29" i="6"/>
  <c r="O29" i="9"/>
  <c r="O29" i="8"/>
  <c r="K31" i="13"/>
  <c r="G32" i="13"/>
  <c r="N32" i="13" s="1"/>
  <c r="M31" i="13"/>
  <c r="K30" i="14"/>
  <c r="G31" i="14"/>
  <c r="N31" i="14" s="1"/>
  <c r="M30" i="14"/>
  <c r="O30" i="13"/>
  <c r="K30" i="5"/>
  <c r="G31" i="5"/>
  <c r="N31" i="5" s="1"/>
  <c r="M30" i="5"/>
  <c r="K30" i="16"/>
  <c r="M30" i="16"/>
  <c r="G31" i="16"/>
  <c r="N31" i="16" s="1"/>
  <c r="O29" i="14"/>
  <c r="K30" i="7"/>
  <c r="G31" i="7"/>
  <c r="N31" i="7" s="1"/>
  <c r="M30" i="7"/>
  <c r="O29" i="5"/>
  <c r="G31" i="3"/>
  <c r="T31" i="3" s="1"/>
  <c r="K30" i="3"/>
  <c r="O29" i="16"/>
  <c r="J33" i="9"/>
  <c r="J33" i="6"/>
  <c r="H35" i="2"/>
  <c r="I34" i="3" s="1"/>
  <c r="I33" i="10"/>
  <c r="I33" i="8"/>
  <c r="I33" i="5"/>
  <c r="I33" i="14"/>
  <c r="I33" i="9"/>
  <c r="I33" i="7"/>
  <c r="I33" i="16"/>
  <c r="I33" i="13"/>
  <c r="I33" i="15"/>
  <c r="I33" i="6"/>
  <c r="J32" i="5"/>
  <c r="J35" i="16"/>
  <c r="J34" i="8"/>
  <c r="J32" i="13"/>
  <c r="J32" i="10"/>
  <c r="J34" i="14"/>
  <c r="J32" i="7"/>
  <c r="J34" i="15"/>
  <c r="D34" i="3"/>
  <c r="J33" i="3"/>
  <c r="A35" i="3"/>
  <c r="H35" i="3" s="1"/>
  <c r="C34" i="3"/>
  <c r="F34" i="3"/>
  <c r="B34" i="3"/>
  <c r="E34" i="3"/>
  <c r="N31" i="3" l="1"/>
  <c r="U31" i="3"/>
  <c r="O30" i="3"/>
  <c r="M31" i="3"/>
  <c r="V30" i="3"/>
  <c r="K31" i="14"/>
  <c r="G32" i="14"/>
  <c r="N32" i="14" s="1"/>
  <c r="M31" i="14"/>
  <c r="K31" i="9"/>
  <c r="G32" i="9"/>
  <c r="N32" i="9" s="1"/>
  <c r="M31" i="9"/>
  <c r="K31" i="15"/>
  <c r="G32" i="15"/>
  <c r="N32" i="15" s="1"/>
  <c r="M31" i="15"/>
  <c r="K31" i="7"/>
  <c r="G32" i="7"/>
  <c r="N32" i="7" s="1"/>
  <c r="M31" i="7"/>
  <c r="O30" i="14"/>
  <c r="O30" i="9"/>
  <c r="O30" i="15"/>
  <c r="O30" i="7"/>
  <c r="K31" i="5"/>
  <c r="G32" i="5"/>
  <c r="N32" i="5" s="1"/>
  <c r="M31" i="5"/>
  <c r="K31" i="8"/>
  <c r="G32" i="8"/>
  <c r="N32" i="8" s="1"/>
  <c r="M31" i="8"/>
  <c r="O30" i="16"/>
  <c r="K31" i="16"/>
  <c r="G32" i="16"/>
  <c r="N32" i="16" s="1"/>
  <c r="M31" i="16"/>
  <c r="O30" i="5"/>
  <c r="K32" i="13"/>
  <c r="G33" i="13"/>
  <c r="N33" i="13" s="1"/>
  <c r="M32" i="13"/>
  <c r="O30" i="8"/>
  <c r="K31" i="6"/>
  <c r="G32" i="6"/>
  <c r="N32" i="6" s="1"/>
  <c r="M31" i="6"/>
  <c r="K31" i="10"/>
  <c r="G32" i="10"/>
  <c r="N32" i="10" s="1"/>
  <c r="M31" i="10"/>
  <c r="G32" i="3"/>
  <c r="T32" i="3" s="1"/>
  <c r="K31" i="3"/>
  <c r="O31" i="13"/>
  <c r="O30" i="6"/>
  <c r="O30" i="10"/>
  <c r="J35" i="15"/>
  <c r="J33" i="10"/>
  <c r="J35" i="8"/>
  <c r="J34" i="6"/>
  <c r="J36" i="16"/>
  <c r="J33" i="7"/>
  <c r="H36" i="2"/>
  <c r="I35" i="3" s="1"/>
  <c r="I34" i="5"/>
  <c r="I34" i="8"/>
  <c r="I34" i="14"/>
  <c r="I34" i="10"/>
  <c r="I34" i="16"/>
  <c r="I34" i="15"/>
  <c r="I34" i="7"/>
  <c r="I34" i="6"/>
  <c r="I34" i="13"/>
  <c r="I34" i="9"/>
  <c r="J34" i="9"/>
  <c r="J33" i="13"/>
  <c r="J35" i="14"/>
  <c r="J33" i="5"/>
  <c r="D35" i="3"/>
  <c r="J34" i="3"/>
  <c r="A36" i="3"/>
  <c r="H36" i="3" s="1"/>
  <c r="F35" i="3"/>
  <c r="B35" i="3"/>
  <c r="C35" i="3"/>
  <c r="E35" i="3"/>
  <c r="N32" i="3" l="1"/>
  <c r="U32" i="3"/>
  <c r="O31" i="3"/>
  <c r="M32" i="3"/>
  <c r="V31" i="3"/>
  <c r="O31" i="6"/>
  <c r="O31" i="5"/>
  <c r="O31" i="7"/>
  <c r="O31" i="9"/>
  <c r="K32" i="7"/>
  <c r="G33" i="7"/>
  <c r="N33" i="7" s="1"/>
  <c r="M32" i="7"/>
  <c r="K32" i="10"/>
  <c r="G33" i="10"/>
  <c r="N33" i="10" s="1"/>
  <c r="M32" i="10"/>
  <c r="O31" i="10"/>
  <c r="K33" i="13"/>
  <c r="G34" i="13"/>
  <c r="N34" i="13" s="1"/>
  <c r="M33" i="13"/>
  <c r="G33" i="3"/>
  <c r="T33" i="3" s="1"/>
  <c r="K32" i="3"/>
  <c r="O31" i="16"/>
  <c r="O32" i="13"/>
  <c r="K32" i="8"/>
  <c r="G33" i="8"/>
  <c r="N33" i="8" s="1"/>
  <c r="M32" i="8"/>
  <c r="K32" i="15"/>
  <c r="G33" i="15"/>
  <c r="N33" i="15" s="1"/>
  <c r="M32" i="15"/>
  <c r="K32" i="14"/>
  <c r="G33" i="14"/>
  <c r="N33" i="14" s="1"/>
  <c r="M32" i="14"/>
  <c r="K32" i="16"/>
  <c r="G33" i="16"/>
  <c r="N33" i="16" s="1"/>
  <c r="M32" i="16"/>
  <c r="K32" i="5"/>
  <c r="G33" i="5"/>
  <c r="N33" i="5" s="1"/>
  <c r="M32" i="5"/>
  <c r="K32" i="9"/>
  <c r="G33" i="9"/>
  <c r="N33" i="9" s="1"/>
  <c r="M32" i="9"/>
  <c r="K32" i="6"/>
  <c r="G33" i="6"/>
  <c r="N33" i="6" s="1"/>
  <c r="M32" i="6"/>
  <c r="O31" i="8"/>
  <c r="O31" i="15"/>
  <c r="O31" i="14"/>
  <c r="J35" i="6"/>
  <c r="J34" i="5"/>
  <c r="J36" i="8"/>
  <c r="J36" i="14"/>
  <c r="J34" i="7"/>
  <c r="J34" i="10"/>
  <c r="J34" i="13"/>
  <c r="J37" i="16"/>
  <c r="H37" i="2"/>
  <c r="I36" i="3" s="1"/>
  <c r="I35" i="8"/>
  <c r="I35" i="10"/>
  <c r="I35" i="5"/>
  <c r="I35" i="14"/>
  <c r="I35" i="7"/>
  <c r="I35" i="9"/>
  <c r="I35" i="15"/>
  <c r="I35" i="6"/>
  <c r="I35" i="13"/>
  <c r="I35" i="16"/>
  <c r="J35" i="9"/>
  <c r="J36" i="15"/>
  <c r="D36" i="3"/>
  <c r="J35" i="3"/>
  <c r="A37" i="3"/>
  <c r="H37" i="3" s="1"/>
  <c r="F36" i="3"/>
  <c r="B36" i="3"/>
  <c r="E36" i="3"/>
  <c r="C36" i="3"/>
  <c r="N33" i="3" l="1"/>
  <c r="U33" i="3"/>
  <c r="O32" i="3"/>
  <c r="M33" i="3"/>
  <c r="V32" i="3"/>
  <c r="O32" i="6"/>
  <c r="O32" i="5"/>
  <c r="O32" i="14"/>
  <c r="O32" i="8"/>
  <c r="O32" i="10"/>
  <c r="K34" i="13"/>
  <c r="G35" i="13"/>
  <c r="N35" i="13" s="1"/>
  <c r="M34" i="13"/>
  <c r="K33" i="9"/>
  <c r="G34" i="9"/>
  <c r="N34" i="9" s="1"/>
  <c r="M33" i="9"/>
  <c r="K33" i="16"/>
  <c r="G34" i="16"/>
  <c r="N34" i="16" s="1"/>
  <c r="M33" i="16"/>
  <c r="K33" i="15"/>
  <c r="G34" i="15"/>
  <c r="N34" i="15" s="1"/>
  <c r="M33" i="15"/>
  <c r="O33" i="13"/>
  <c r="K33" i="7"/>
  <c r="G34" i="7"/>
  <c r="N34" i="7" s="1"/>
  <c r="M33" i="7"/>
  <c r="O32" i="9"/>
  <c r="O32" i="16"/>
  <c r="O32" i="15"/>
  <c r="O32" i="7"/>
  <c r="K33" i="6"/>
  <c r="G34" i="6"/>
  <c r="N34" i="6" s="1"/>
  <c r="M33" i="6"/>
  <c r="K33" i="5"/>
  <c r="G34" i="5"/>
  <c r="N34" i="5" s="1"/>
  <c r="M33" i="5"/>
  <c r="K33" i="14"/>
  <c r="G34" i="14"/>
  <c r="N34" i="14" s="1"/>
  <c r="M33" i="14"/>
  <c r="K33" i="8"/>
  <c r="G34" i="8"/>
  <c r="N34" i="8" s="1"/>
  <c r="M33" i="8"/>
  <c r="G34" i="3"/>
  <c r="T34" i="3" s="1"/>
  <c r="K33" i="3"/>
  <c r="K33" i="10"/>
  <c r="G34" i="10"/>
  <c r="N34" i="10" s="1"/>
  <c r="M33" i="10"/>
  <c r="J38" i="16"/>
  <c r="J37" i="14"/>
  <c r="J37" i="15"/>
  <c r="J35" i="5"/>
  <c r="J36" i="9"/>
  <c r="J35" i="10"/>
  <c r="J37" i="8"/>
  <c r="J35" i="13"/>
  <c r="J35" i="7"/>
  <c r="J36" i="6"/>
  <c r="H38" i="2"/>
  <c r="I37" i="3" s="1"/>
  <c r="I36" i="5"/>
  <c r="I36" i="14"/>
  <c r="I36" i="10"/>
  <c r="I36" i="8"/>
  <c r="I36" i="15"/>
  <c r="I36" i="7"/>
  <c r="I36" i="6"/>
  <c r="I36" i="16"/>
  <c r="I36" i="9"/>
  <c r="I36" i="13"/>
  <c r="D37" i="3"/>
  <c r="J36" i="3"/>
  <c r="A38" i="3"/>
  <c r="H38" i="3" s="1"/>
  <c r="F37" i="3"/>
  <c r="B37" i="3"/>
  <c r="E37" i="3"/>
  <c r="C37" i="3"/>
  <c r="N34" i="3" l="1"/>
  <c r="U34" i="3"/>
  <c r="O33" i="3"/>
  <c r="M34" i="3"/>
  <c r="V33" i="3"/>
  <c r="O33" i="10"/>
  <c r="O33" i="8"/>
  <c r="O33" i="5"/>
  <c r="K34" i="5"/>
  <c r="G35" i="5"/>
  <c r="N35" i="5" s="1"/>
  <c r="M34" i="5"/>
  <c r="K34" i="15"/>
  <c r="G35" i="15"/>
  <c r="N35" i="15" s="1"/>
  <c r="M34" i="15"/>
  <c r="K34" i="9"/>
  <c r="G35" i="9"/>
  <c r="N35" i="9" s="1"/>
  <c r="M34" i="9"/>
  <c r="K34" i="8"/>
  <c r="G35" i="8"/>
  <c r="N35" i="8" s="1"/>
  <c r="M34" i="8"/>
  <c r="O33" i="15"/>
  <c r="O33" i="9"/>
  <c r="K34" i="14"/>
  <c r="G35" i="14"/>
  <c r="N35" i="14" s="1"/>
  <c r="M34" i="14"/>
  <c r="K34" i="6"/>
  <c r="G35" i="6"/>
  <c r="N35" i="6" s="1"/>
  <c r="M34" i="6"/>
  <c r="K34" i="10"/>
  <c r="G35" i="10"/>
  <c r="N35" i="10" s="1"/>
  <c r="M34" i="10"/>
  <c r="G35" i="3"/>
  <c r="T35" i="3" s="1"/>
  <c r="K34" i="3"/>
  <c r="O33" i="14"/>
  <c r="O33" i="6"/>
  <c r="K34" i="7"/>
  <c r="G35" i="7"/>
  <c r="N35" i="7" s="1"/>
  <c r="M34" i="7"/>
  <c r="O33" i="7"/>
  <c r="K34" i="16"/>
  <c r="G35" i="16"/>
  <c r="N35" i="16" s="1"/>
  <c r="M34" i="16"/>
  <c r="K35" i="13"/>
  <c r="G36" i="13"/>
  <c r="N36" i="13" s="1"/>
  <c r="M35" i="13"/>
  <c r="O33" i="16"/>
  <c r="O34" i="13"/>
  <c r="J36" i="5"/>
  <c r="J38" i="15"/>
  <c r="H39" i="2"/>
  <c r="I38" i="3" s="1"/>
  <c r="I37" i="10"/>
  <c r="I37" i="14"/>
  <c r="I37" i="5"/>
  <c r="I37" i="8"/>
  <c r="I37" i="15"/>
  <c r="I37" i="7"/>
  <c r="I37" i="6"/>
  <c r="I37" i="13"/>
  <c r="I37" i="16"/>
  <c r="I37" i="9"/>
  <c r="J37" i="6"/>
  <c r="J38" i="14"/>
  <c r="J38" i="8"/>
  <c r="J36" i="10"/>
  <c r="J36" i="13"/>
  <c r="J36" i="7"/>
  <c r="J37" i="9"/>
  <c r="J39" i="16"/>
  <c r="D38" i="3"/>
  <c r="J37" i="3"/>
  <c r="A39" i="3"/>
  <c r="H39" i="3" s="1"/>
  <c r="F38" i="3"/>
  <c r="B38" i="3"/>
  <c r="E38" i="3"/>
  <c r="C38" i="3"/>
  <c r="N35" i="3" l="1"/>
  <c r="U35" i="3"/>
  <c r="O34" i="3"/>
  <c r="M35" i="3"/>
  <c r="V34" i="3"/>
  <c r="O34" i="16"/>
  <c r="O34" i="9"/>
  <c r="O34" i="5"/>
  <c r="O34" i="6"/>
  <c r="O34" i="7"/>
  <c r="K35" i="8"/>
  <c r="G36" i="8"/>
  <c r="N36" i="8" s="1"/>
  <c r="M35" i="8"/>
  <c r="K35" i="15"/>
  <c r="G36" i="15"/>
  <c r="N36" i="15" s="1"/>
  <c r="M35" i="15"/>
  <c r="K36" i="13"/>
  <c r="G37" i="13"/>
  <c r="N37" i="13" s="1"/>
  <c r="M36" i="13"/>
  <c r="K35" i="7"/>
  <c r="M35" i="7"/>
  <c r="G36" i="7"/>
  <c r="N36" i="7" s="1"/>
  <c r="K35" i="10"/>
  <c r="G36" i="10"/>
  <c r="N36" i="10" s="1"/>
  <c r="M35" i="10"/>
  <c r="K35" i="14"/>
  <c r="G36" i="14"/>
  <c r="N36" i="14" s="1"/>
  <c r="M35" i="14"/>
  <c r="O34" i="8"/>
  <c r="O34" i="15"/>
  <c r="G36" i="3"/>
  <c r="T36" i="3" s="1"/>
  <c r="K35" i="3"/>
  <c r="O35" i="13"/>
  <c r="K35" i="16"/>
  <c r="G36" i="16"/>
  <c r="N36" i="16" s="1"/>
  <c r="M35" i="16"/>
  <c r="O34" i="10"/>
  <c r="O34" i="14"/>
  <c r="K35" i="6"/>
  <c r="G36" i="6"/>
  <c r="N36" i="6" s="1"/>
  <c r="M35" i="6"/>
  <c r="K35" i="9"/>
  <c r="G36" i="9"/>
  <c r="N36" i="9" s="1"/>
  <c r="M35" i="9"/>
  <c r="K35" i="5"/>
  <c r="G36" i="5"/>
  <c r="N36" i="5" s="1"/>
  <c r="M35" i="5"/>
  <c r="J40" i="16"/>
  <c r="J37" i="13"/>
  <c r="J37" i="10"/>
  <c r="J39" i="8"/>
  <c r="H40" i="2"/>
  <c r="I39" i="3" s="1"/>
  <c r="I38" i="10"/>
  <c r="I38" i="5"/>
  <c r="I38" i="8"/>
  <c r="I38" i="14"/>
  <c r="I38" i="9"/>
  <c r="I38" i="7"/>
  <c r="I38" i="6"/>
  <c r="I38" i="13"/>
  <c r="I38" i="16"/>
  <c r="I38" i="15"/>
  <c r="J37" i="7"/>
  <c r="J39" i="14"/>
  <c r="J39" i="15"/>
  <c r="J38" i="9"/>
  <c r="J37" i="5"/>
  <c r="J38" i="6"/>
  <c r="D39" i="3"/>
  <c r="J38" i="3"/>
  <c r="A40" i="3"/>
  <c r="H40" i="3" s="1"/>
  <c r="B39" i="3"/>
  <c r="E39" i="3"/>
  <c r="C39" i="3"/>
  <c r="F39" i="3"/>
  <c r="O35" i="3" l="1"/>
  <c r="N36" i="3"/>
  <c r="U36" i="3"/>
  <c r="M36" i="3"/>
  <c r="V35" i="3"/>
  <c r="O35" i="10"/>
  <c r="O36" i="13"/>
  <c r="O35" i="16"/>
  <c r="O35" i="5"/>
  <c r="O35" i="6"/>
  <c r="O35" i="14"/>
  <c r="O35" i="7"/>
  <c r="O35" i="15"/>
  <c r="K36" i="6"/>
  <c r="G37" i="6"/>
  <c r="N37" i="6" s="1"/>
  <c r="M36" i="6"/>
  <c r="K36" i="5"/>
  <c r="G37" i="5"/>
  <c r="N37" i="5" s="1"/>
  <c r="M36" i="5"/>
  <c r="K36" i="15"/>
  <c r="G37" i="15"/>
  <c r="N37" i="15" s="1"/>
  <c r="M36" i="15"/>
  <c r="K36" i="9"/>
  <c r="G37" i="9"/>
  <c r="N37" i="9" s="1"/>
  <c r="M36" i="9"/>
  <c r="G37" i="3"/>
  <c r="T37" i="3" s="1"/>
  <c r="K36" i="3"/>
  <c r="K36" i="14"/>
  <c r="G37" i="14"/>
  <c r="N37" i="14" s="1"/>
  <c r="M36" i="14"/>
  <c r="O35" i="9"/>
  <c r="K36" i="10"/>
  <c r="G37" i="10"/>
  <c r="N37" i="10" s="1"/>
  <c r="M36" i="10"/>
  <c r="K37" i="13"/>
  <c r="G38" i="13"/>
  <c r="N38" i="13" s="1"/>
  <c r="M37" i="13"/>
  <c r="K36" i="8"/>
  <c r="G37" i="8"/>
  <c r="N37" i="8" s="1"/>
  <c r="M36" i="8"/>
  <c r="K36" i="16"/>
  <c r="G37" i="16"/>
  <c r="N37" i="16" s="1"/>
  <c r="M36" i="16"/>
  <c r="O35" i="8"/>
  <c r="K36" i="7"/>
  <c r="G37" i="7"/>
  <c r="N37" i="7" s="1"/>
  <c r="M36" i="7"/>
  <c r="J40" i="8"/>
  <c r="J40" i="14"/>
  <c r="J39" i="9"/>
  <c r="J38" i="13"/>
  <c r="J41" i="16"/>
  <c r="J39" i="6"/>
  <c r="J38" i="5"/>
  <c r="J38" i="7"/>
  <c r="J38" i="10"/>
  <c r="J40" i="15"/>
  <c r="H41" i="2"/>
  <c r="I40" i="3" s="1"/>
  <c r="I39" i="14"/>
  <c r="I39" i="8"/>
  <c r="I39" i="10"/>
  <c r="I39" i="5"/>
  <c r="I39" i="13"/>
  <c r="I39" i="6"/>
  <c r="I39" i="16"/>
  <c r="I39" i="9"/>
  <c r="I39" i="7"/>
  <c r="I39" i="15"/>
  <c r="D40" i="3"/>
  <c r="J39" i="3"/>
  <c r="A41" i="3"/>
  <c r="H41" i="3" s="1"/>
  <c r="E40" i="3"/>
  <c r="C40" i="3"/>
  <c r="F40" i="3"/>
  <c r="B40" i="3"/>
  <c r="N37" i="3" l="1"/>
  <c r="U37" i="3"/>
  <c r="O36" i="3"/>
  <c r="M37" i="3"/>
  <c r="V36" i="3"/>
  <c r="O36" i="14"/>
  <c r="O36" i="9"/>
  <c r="O36" i="5"/>
  <c r="O36" i="7"/>
  <c r="O36" i="10"/>
  <c r="K37" i="15"/>
  <c r="G38" i="15"/>
  <c r="N38" i="15" s="1"/>
  <c r="M37" i="15"/>
  <c r="K37" i="6"/>
  <c r="G38" i="6"/>
  <c r="N38" i="6" s="1"/>
  <c r="M37" i="6"/>
  <c r="K37" i="7"/>
  <c r="G38" i="7"/>
  <c r="N38" i="7" s="1"/>
  <c r="M37" i="7"/>
  <c r="K37" i="8"/>
  <c r="G38" i="8"/>
  <c r="N38" i="8" s="1"/>
  <c r="M37" i="8"/>
  <c r="G38" i="3"/>
  <c r="T38" i="3" s="1"/>
  <c r="K37" i="3"/>
  <c r="O36" i="15"/>
  <c r="O36" i="6"/>
  <c r="K37" i="10"/>
  <c r="G38" i="10"/>
  <c r="N38" i="10" s="1"/>
  <c r="M37" i="10"/>
  <c r="K37" i="16"/>
  <c r="G38" i="16"/>
  <c r="N38" i="16" s="1"/>
  <c r="M37" i="16"/>
  <c r="K38" i="13"/>
  <c r="G39" i="13"/>
  <c r="N39" i="13" s="1"/>
  <c r="M38" i="13"/>
  <c r="O36" i="8"/>
  <c r="O36" i="16"/>
  <c r="O37" i="13"/>
  <c r="K37" i="14"/>
  <c r="G38" i="14"/>
  <c r="N38" i="14" s="1"/>
  <c r="M37" i="14"/>
  <c r="K37" i="9"/>
  <c r="G38" i="9"/>
  <c r="N38" i="9" s="1"/>
  <c r="M37" i="9"/>
  <c r="K37" i="5"/>
  <c r="G38" i="5"/>
  <c r="N38" i="5" s="1"/>
  <c r="M37" i="5"/>
  <c r="J39" i="7"/>
  <c r="J39" i="13"/>
  <c r="J41" i="15"/>
  <c r="J41" i="14"/>
  <c r="J40" i="9"/>
  <c r="J40" i="6"/>
  <c r="J42" i="16"/>
  <c r="J41" i="8"/>
  <c r="J39" i="5"/>
  <c r="H42" i="2"/>
  <c r="I41" i="3" s="1"/>
  <c r="I40" i="8"/>
  <c r="I40" i="10"/>
  <c r="I40" i="14"/>
  <c r="I40" i="5"/>
  <c r="I40" i="6"/>
  <c r="I40" i="7"/>
  <c r="I40" i="13"/>
  <c r="I40" i="15"/>
  <c r="I40" i="9"/>
  <c r="I40" i="16"/>
  <c r="J39" i="10"/>
  <c r="D41" i="3"/>
  <c r="J40" i="3"/>
  <c r="A42" i="3"/>
  <c r="H42" i="3" s="1"/>
  <c r="C41" i="3"/>
  <c r="F41" i="3"/>
  <c r="B41" i="3"/>
  <c r="E41" i="3"/>
  <c r="N38" i="3" l="1"/>
  <c r="U38" i="3"/>
  <c r="V37" i="3"/>
  <c r="O37" i="3"/>
  <c r="M38" i="3"/>
  <c r="O37" i="8"/>
  <c r="O37" i="6"/>
  <c r="O37" i="16"/>
  <c r="O37" i="9"/>
  <c r="K38" i="7"/>
  <c r="G39" i="7"/>
  <c r="N39" i="7" s="1"/>
  <c r="M38" i="7"/>
  <c r="K38" i="15"/>
  <c r="G39" i="15"/>
  <c r="N39" i="15" s="1"/>
  <c r="M38" i="15"/>
  <c r="G39" i="3"/>
  <c r="T39" i="3" s="1"/>
  <c r="K38" i="3"/>
  <c r="O37" i="15"/>
  <c r="K38" i="9"/>
  <c r="G39" i="9"/>
  <c r="N39" i="9" s="1"/>
  <c r="M38" i="9"/>
  <c r="O37" i="7"/>
  <c r="K39" i="13"/>
  <c r="G40" i="13"/>
  <c r="N40" i="13" s="1"/>
  <c r="M39" i="13"/>
  <c r="K38" i="10"/>
  <c r="G39" i="10"/>
  <c r="N39" i="10" s="1"/>
  <c r="M38" i="10"/>
  <c r="K38" i="5"/>
  <c r="G39" i="5"/>
  <c r="N39" i="5" s="1"/>
  <c r="M38" i="5"/>
  <c r="K38" i="14"/>
  <c r="G39" i="14"/>
  <c r="N39" i="14" s="1"/>
  <c r="M38" i="14"/>
  <c r="O38" i="13"/>
  <c r="O37" i="10"/>
  <c r="K38" i="16"/>
  <c r="G39" i="16"/>
  <c r="N39" i="16" s="1"/>
  <c r="M38" i="16"/>
  <c r="O37" i="5"/>
  <c r="O37" i="14"/>
  <c r="K38" i="8"/>
  <c r="G39" i="8"/>
  <c r="N39" i="8" s="1"/>
  <c r="M38" i="8"/>
  <c r="K38" i="6"/>
  <c r="G39" i="6"/>
  <c r="N39" i="6" s="1"/>
  <c r="M38" i="6"/>
  <c r="J42" i="8"/>
  <c r="J42" i="14"/>
  <c r="J41" i="6"/>
  <c r="J40" i="10"/>
  <c r="H43" i="2"/>
  <c r="I42" i="3" s="1"/>
  <c r="I41" i="10"/>
  <c r="I41" i="14"/>
  <c r="I41" i="5"/>
  <c r="I41" i="8"/>
  <c r="I41" i="15"/>
  <c r="I41" i="9"/>
  <c r="I41" i="7"/>
  <c r="I41" i="6"/>
  <c r="I41" i="16"/>
  <c r="I41" i="13"/>
  <c r="J40" i="13"/>
  <c r="J43" i="16"/>
  <c r="J42" i="15"/>
  <c r="J40" i="5"/>
  <c r="J41" i="9"/>
  <c r="J40" i="7"/>
  <c r="D42" i="3"/>
  <c r="J41" i="3"/>
  <c r="A43" i="3"/>
  <c r="H43" i="3" s="1"/>
  <c r="C42" i="3"/>
  <c r="F42" i="3"/>
  <c r="B42" i="3"/>
  <c r="E42" i="3"/>
  <c r="N39" i="3" l="1"/>
  <c r="U39" i="3"/>
  <c r="O38" i="3"/>
  <c r="M39" i="3"/>
  <c r="V38" i="3"/>
  <c r="O38" i="16"/>
  <c r="O38" i="15"/>
  <c r="O38" i="8"/>
  <c r="K39" i="7"/>
  <c r="G40" i="7"/>
  <c r="N40" i="7" s="1"/>
  <c r="M39" i="7"/>
  <c r="O38" i="5"/>
  <c r="G40" i="3"/>
  <c r="T40" i="3" s="1"/>
  <c r="K39" i="3"/>
  <c r="O38" i="7"/>
  <c r="K39" i="8"/>
  <c r="G40" i="8"/>
  <c r="N40" i="8" s="1"/>
  <c r="M39" i="8"/>
  <c r="K40" i="13"/>
  <c r="G41" i="13"/>
  <c r="N41" i="13" s="1"/>
  <c r="M40" i="13"/>
  <c r="O39" i="13"/>
  <c r="K39" i="6"/>
  <c r="G40" i="6"/>
  <c r="N40" i="6" s="1"/>
  <c r="M39" i="6"/>
  <c r="K39" i="14"/>
  <c r="G40" i="14"/>
  <c r="N40" i="14" s="1"/>
  <c r="M39" i="14"/>
  <c r="K39" i="10"/>
  <c r="G40" i="10"/>
  <c r="N40" i="10" s="1"/>
  <c r="M39" i="10"/>
  <c r="K39" i="5"/>
  <c r="G40" i="5"/>
  <c r="N40" i="5" s="1"/>
  <c r="M39" i="5"/>
  <c r="O38" i="6"/>
  <c r="O38" i="14"/>
  <c r="O38" i="10"/>
  <c r="K39" i="9"/>
  <c r="G40" i="9"/>
  <c r="N40" i="9" s="1"/>
  <c r="M39" i="9"/>
  <c r="K39" i="16"/>
  <c r="G40" i="16"/>
  <c r="N40" i="16" s="1"/>
  <c r="M39" i="16"/>
  <c r="O38" i="9"/>
  <c r="K39" i="15"/>
  <c r="G40" i="15"/>
  <c r="N40" i="15" s="1"/>
  <c r="M39" i="15"/>
  <c r="J44" i="16"/>
  <c r="J41" i="10"/>
  <c r="J42" i="6"/>
  <c r="J41" i="13"/>
  <c r="J43" i="14"/>
  <c r="J42" i="9"/>
  <c r="J41" i="5"/>
  <c r="J41" i="7"/>
  <c r="J43" i="8"/>
  <c r="J43" i="15"/>
  <c r="H44" i="2"/>
  <c r="I43" i="3" s="1"/>
  <c r="I42" i="8"/>
  <c r="I42" i="14"/>
  <c r="I42" i="10"/>
  <c r="I42" i="5"/>
  <c r="I42" i="13"/>
  <c r="I42" i="16"/>
  <c r="I42" i="15"/>
  <c r="I42" i="7"/>
  <c r="I42" i="9"/>
  <c r="I42" i="6"/>
  <c r="J42" i="3"/>
  <c r="D43" i="3"/>
  <c r="A44" i="3"/>
  <c r="H44" i="3" s="1"/>
  <c r="F43" i="3"/>
  <c r="B43" i="3"/>
  <c r="E43" i="3"/>
  <c r="C43" i="3"/>
  <c r="N40" i="3" l="1"/>
  <c r="U40" i="3"/>
  <c r="O39" i="3"/>
  <c r="M40" i="3"/>
  <c r="V39" i="3"/>
  <c r="O39" i="6"/>
  <c r="O39" i="10"/>
  <c r="O39" i="9"/>
  <c r="G41" i="3"/>
  <c r="T41" i="3" s="1"/>
  <c r="K40" i="3"/>
  <c r="K40" i="10"/>
  <c r="G41" i="10"/>
  <c r="N41" i="10" s="1"/>
  <c r="M40" i="10"/>
  <c r="K40" i="6"/>
  <c r="G41" i="6"/>
  <c r="N41" i="6" s="1"/>
  <c r="M40" i="6"/>
  <c r="K40" i="7"/>
  <c r="G41" i="7"/>
  <c r="N41" i="7" s="1"/>
  <c r="M40" i="7"/>
  <c r="K40" i="16"/>
  <c r="G41" i="16"/>
  <c r="N41" i="16" s="1"/>
  <c r="M40" i="16"/>
  <c r="K40" i="8"/>
  <c r="G41" i="8"/>
  <c r="N41" i="8" s="1"/>
  <c r="M40" i="8"/>
  <c r="O39" i="16"/>
  <c r="O39" i="8"/>
  <c r="K40" i="15"/>
  <c r="G41" i="15"/>
  <c r="N41" i="15" s="1"/>
  <c r="M40" i="15"/>
  <c r="K40" i="5"/>
  <c r="G41" i="5"/>
  <c r="N41" i="5" s="1"/>
  <c r="M40" i="5"/>
  <c r="K40" i="14"/>
  <c r="G41" i="14"/>
  <c r="N41" i="14" s="1"/>
  <c r="M40" i="14"/>
  <c r="O39" i="7"/>
  <c r="O39" i="15"/>
  <c r="K40" i="9"/>
  <c r="G41" i="9"/>
  <c r="N41" i="9" s="1"/>
  <c r="M40" i="9"/>
  <c r="O39" i="5"/>
  <c r="O39" i="14"/>
  <c r="K41" i="13"/>
  <c r="G42" i="13"/>
  <c r="N42" i="13" s="1"/>
  <c r="M41" i="13"/>
  <c r="O40" i="13"/>
  <c r="J42" i="7"/>
  <c r="J42" i="13"/>
  <c r="J42" i="5"/>
  <c r="J43" i="6"/>
  <c r="J44" i="15"/>
  <c r="J43" i="9"/>
  <c r="J42" i="10"/>
  <c r="H45" i="2"/>
  <c r="I44" i="3" s="1"/>
  <c r="I43" i="14"/>
  <c r="I43" i="5"/>
  <c r="I43" i="10"/>
  <c r="I43" i="8"/>
  <c r="I43" i="16"/>
  <c r="I43" i="9"/>
  <c r="I43" i="6"/>
  <c r="I43" i="7"/>
  <c r="I43" i="15"/>
  <c r="I43" i="13"/>
  <c r="J44" i="8"/>
  <c r="J44" i="14"/>
  <c r="J45" i="16"/>
  <c r="D44" i="3"/>
  <c r="J43" i="3"/>
  <c r="A45" i="3"/>
  <c r="H45" i="3" s="1"/>
  <c r="F44" i="3"/>
  <c r="B44" i="3"/>
  <c r="E44" i="3"/>
  <c r="C44" i="3"/>
  <c r="N41" i="3" l="1"/>
  <c r="U41" i="3"/>
  <c r="O40" i="3"/>
  <c r="M41" i="3"/>
  <c r="V40" i="3"/>
  <c r="O41" i="13"/>
  <c r="O40" i="5"/>
  <c r="K41" i="8"/>
  <c r="G42" i="8"/>
  <c r="N42" i="8" s="1"/>
  <c r="M41" i="8"/>
  <c r="K41" i="7"/>
  <c r="G42" i="7"/>
  <c r="N42" i="7" s="1"/>
  <c r="M41" i="7"/>
  <c r="K41" i="10"/>
  <c r="G42" i="10"/>
  <c r="N42" i="10" s="1"/>
  <c r="M41" i="10"/>
  <c r="K42" i="13"/>
  <c r="G43" i="13"/>
  <c r="N43" i="13" s="1"/>
  <c r="M42" i="13"/>
  <c r="O40" i="8"/>
  <c r="O40" i="7"/>
  <c r="O40" i="10"/>
  <c r="K41" i="5"/>
  <c r="G42" i="5"/>
  <c r="N42" i="5" s="1"/>
  <c r="M41" i="5"/>
  <c r="K41" i="14"/>
  <c r="G42" i="14"/>
  <c r="N42" i="14" s="1"/>
  <c r="M41" i="14"/>
  <c r="O40" i="14"/>
  <c r="O40" i="15"/>
  <c r="K41" i="9"/>
  <c r="G42" i="9"/>
  <c r="N42" i="9" s="1"/>
  <c r="M41" i="9"/>
  <c r="K41" i="16"/>
  <c r="G42" i="16"/>
  <c r="N42" i="16" s="1"/>
  <c r="M41" i="16"/>
  <c r="K41" i="6"/>
  <c r="G42" i="6"/>
  <c r="N42" i="6" s="1"/>
  <c r="M41" i="6"/>
  <c r="K41" i="15"/>
  <c r="G42" i="15"/>
  <c r="N42" i="15" s="1"/>
  <c r="M41" i="15"/>
  <c r="O40" i="9"/>
  <c r="O40" i="16"/>
  <c r="O40" i="6"/>
  <c r="G42" i="3"/>
  <c r="T42" i="3" s="1"/>
  <c r="K41" i="3"/>
  <c r="J44" i="6"/>
  <c r="J46" i="16"/>
  <c r="H46" i="2"/>
  <c r="I45" i="3" s="1"/>
  <c r="I44" i="5"/>
  <c r="I44" i="8"/>
  <c r="I44" i="14"/>
  <c r="I44" i="10"/>
  <c r="I44" i="16"/>
  <c r="I44" i="6"/>
  <c r="I44" i="7"/>
  <c r="I44" i="9"/>
  <c r="I44" i="15"/>
  <c r="I44" i="13"/>
  <c r="J44" i="9"/>
  <c r="J43" i="5"/>
  <c r="J43" i="10"/>
  <c r="J43" i="13"/>
  <c r="J45" i="14"/>
  <c r="J45" i="15"/>
  <c r="J43" i="7"/>
  <c r="J45" i="8"/>
  <c r="J44" i="3"/>
  <c r="D45" i="3"/>
  <c r="A46" i="3"/>
  <c r="H46" i="3" s="1"/>
  <c r="F45" i="3"/>
  <c r="B45" i="3"/>
  <c r="E45" i="3"/>
  <c r="C45" i="3"/>
  <c r="N42" i="3" l="1"/>
  <c r="U42" i="3"/>
  <c r="O41" i="3"/>
  <c r="M42" i="3"/>
  <c r="V41" i="3"/>
  <c r="O41" i="10"/>
  <c r="O41" i="8"/>
  <c r="O41" i="15"/>
  <c r="O41" i="16"/>
  <c r="O41" i="14"/>
  <c r="K42" i="9"/>
  <c r="G43" i="9"/>
  <c r="N43" i="9" s="1"/>
  <c r="M42" i="9"/>
  <c r="O41" i="6"/>
  <c r="O41" i="9"/>
  <c r="K43" i="13"/>
  <c r="G44" i="13"/>
  <c r="N44" i="13" s="1"/>
  <c r="M43" i="13"/>
  <c r="K42" i="7"/>
  <c r="G43" i="7"/>
  <c r="N43" i="7" s="1"/>
  <c r="M42" i="7"/>
  <c r="K42" i="6"/>
  <c r="G43" i="6"/>
  <c r="N43" i="6" s="1"/>
  <c r="M42" i="6"/>
  <c r="K42" i="5"/>
  <c r="G43" i="5"/>
  <c r="N43" i="5" s="1"/>
  <c r="M42" i="5"/>
  <c r="O42" i="13"/>
  <c r="O41" i="7"/>
  <c r="O41" i="5"/>
  <c r="K42" i="15"/>
  <c r="G43" i="15"/>
  <c r="N43" i="15" s="1"/>
  <c r="M42" i="15"/>
  <c r="K42" i="16"/>
  <c r="G43" i="16"/>
  <c r="N43" i="16" s="1"/>
  <c r="M42" i="16"/>
  <c r="K42" i="10"/>
  <c r="G43" i="10"/>
  <c r="N43" i="10" s="1"/>
  <c r="M42" i="10"/>
  <c r="K42" i="8"/>
  <c r="G43" i="8"/>
  <c r="N43" i="8" s="1"/>
  <c r="M42" i="8"/>
  <c r="G43" i="3"/>
  <c r="T43" i="3" s="1"/>
  <c r="K42" i="3"/>
  <c r="K42" i="14"/>
  <c r="G43" i="14"/>
  <c r="N43" i="14" s="1"/>
  <c r="M42" i="14"/>
  <c r="J44" i="10"/>
  <c r="J47" i="16"/>
  <c r="J46" i="8"/>
  <c r="H47" i="2"/>
  <c r="I46" i="3" s="1"/>
  <c r="I45" i="10"/>
  <c r="I45" i="8"/>
  <c r="I45" i="14"/>
  <c r="I45" i="5"/>
  <c r="I45" i="13"/>
  <c r="I45" i="6"/>
  <c r="I45" i="7"/>
  <c r="I45" i="9"/>
  <c r="I45" i="15"/>
  <c r="I45" i="16"/>
  <c r="J46" i="15"/>
  <c r="J44" i="5"/>
  <c r="J44" i="7"/>
  <c r="J45" i="6"/>
  <c r="J44" i="13"/>
  <c r="J46" i="14"/>
  <c r="J45" i="9"/>
  <c r="D46" i="3"/>
  <c r="J45" i="3"/>
  <c r="A47" i="3"/>
  <c r="H47" i="3" s="1"/>
  <c r="F46" i="3"/>
  <c r="B46" i="3"/>
  <c r="E46" i="3"/>
  <c r="C46" i="3"/>
  <c r="N43" i="3" l="1"/>
  <c r="U43" i="3"/>
  <c r="O42" i="3"/>
  <c r="M43" i="3"/>
  <c r="V42" i="3"/>
  <c r="O42" i="15"/>
  <c r="O42" i="7"/>
  <c r="O42" i="10"/>
  <c r="O42" i="5"/>
  <c r="O42" i="14"/>
  <c r="O42" i="8"/>
  <c r="O42" i="16"/>
  <c r="O42" i="6"/>
  <c r="O43" i="13"/>
  <c r="K43" i="10"/>
  <c r="G44" i="10"/>
  <c r="N44" i="10" s="1"/>
  <c r="M43" i="10"/>
  <c r="K43" i="15"/>
  <c r="G44" i="15"/>
  <c r="N44" i="15" s="1"/>
  <c r="M43" i="15"/>
  <c r="K43" i="5"/>
  <c r="G44" i="5"/>
  <c r="N44" i="5" s="1"/>
  <c r="M43" i="5"/>
  <c r="K43" i="7"/>
  <c r="M43" i="7"/>
  <c r="G44" i="7"/>
  <c r="N44" i="7" s="1"/>
  <c r="K43" i="9"/>
  <c r="G44" i="9"/>
  <c r="N44" i="9" s="1"/>
  <c r="M43" i="9"/>
  <c r="G44" i="3"/>
  <c r="T44" i="3" s="1"/>
  <c r="K43" i="3"/>
  <c r="O42" i="9"/>
  <c r="K43" i="14"/>
  <c r="G44" i="14"/>
  <c r="N44" i="14" s="1"/>
  <c r="M43" i="14"/>
  <c r="K43" i="8"/>
  <c r="G44" i="8"/>
  <c r="N44" i="8" s="1"/>
  <c r="M43" i="8"/>
  <c r="K43" i="16"/>
  <c r="G44" i="16"/>
  <c r="N44" i="16" s="1"/>
  <c r="M43" i="16"/>
  <c r="K43" i="6"/>
  <c r="G44" i="6"/>
  <c r="N44" i="6" s="1"/>
  <c r="M43" i="6"/>
  <c r="K44" i="13"/>
  <c r="G45" i="13"/>
  <c r="N45" i="13" s="1"/>
  <c r="M44" i="13"/>
  <c r="J46" i="9"/>
  <c r="J45" i="7"/>
  <c r="H48" i="2"/>
  <c r="I47" i="3" s="1"/>
  <c r="I46" i="5"/>
  <c r="I46" i="10"/>
  <c r="I46" i="8"/>
  <c r="I46" i="14"/>
  <c r="I46" i="7"/>
  <c r="I46" i="13"/>
  <c r="I46" i="6"/>
  <c r="I46" i="16"/>
  <c r="I46" i="9"/>
  <c r="I46" i="15"/>
  <c r="J45" i="5"/>
  <c r="J48" i="16"/>
  <c r="J47" i="14"/>
  <c r="J47" i="15"/>
  <c r="J47" i="8"/>
  <c r="J45" i="13"/>
  <c r="J46" i="6"/>
  <c r="J45" i="10"/>
  <c r="J46" i="3"/>
  <c r="D47" i="3"/>
  <c r="A48" i="3"/>
  <c r="H48" i="3" s="1"/>
  <c r="B47" i="3"/>
  <c r="E47" i="3"/>
  <c r="C47" i="3"/>
  <c r="F47" i="3"/>
  <c r="N44" i="3" l="1"/>
  <c r="U44" i="3"/>
  <c r="O43" i="3"/>
  <c r="M44" i="3"/>
  <c r="V43" i="3"/>
  <c r="O43" i="8"/>
  <c r="O43" i="7"/>
  <c r="O43" i="15"/>
  <c r="K44" i="6"/>
  <c r="G45" i="6"/>
  <c r="N45" i="6" s="1"/>
  <c r="M44" i="6"/>
  <c r="K44" i="8"/>
  <c r="G45" i="8"/>
  <c r="N45" i="8" s="1"/>
  <c r="M44" i="8"/>
  <c r="K44" i="7"/>
  <c r="G45" i="7"/>
  <c r="N45" i="7" s="1"/>
  <c r="M44" i="7"/>
  <c r="O43" i="6"/>
  <c r="K44" i="15"/>
  <c r="G45" i="15"/>
  <c r="N45" i="15" s="1"/>
  <c r="M44" i="15"/>
  <c r="K45" i="13"/>
  <c r="G46" i="13"/>
  <c r="N46" i="13" s="1"/>
  <c r="M45" i="13"/>
  <c r="K44" i="16"/>
  <c r="G45" i="16"/>
  <c r="N45" i="16" s="1"/>
  <c r="M44" i="16"/>
  <c r="K44" i="14"/>
  <c r="G45" i="14"/>
  <c r="N45" i="14" s="1"/>
  <c r="M44" i="14"/>
  <c r="K44" i="10"/>
  <c r="G45" i="10"/>
  <c r="N45" i="10" s="1"/>
  <c r="M44" i="10"/>
  <c r="G45" i="3"/>
  <c r="T45" i="3" s="1"/>
  <c r="K44" i="3"/>
  <c r="O44" i="13"/>
  <c r="O43" i="16"/>
  <c r="O43" i="14"/>
  <c r="K44" i="9"/>
  <c r="G45" i="9"/>
  <c r="N45" i="9" s="1"/>
  <c r="M44" i="9"/>
  <c r="K44" i="5"/>
  <c r="G45" i="5"/>
  <c r="N45" i="5" s="1"/>
  <c r="M44" i="5"/>
  <c r="O43" i="9"/>
  <c r="O43" i="5"/>
  <c r="O43" i="10"/>
  <c r="J46" i="10"/>
  <c r="J48" i="15"/>
  <c r="J47" i="6"/>
  <c r="J46" i="7"/>
  <c r="J48" i="14"/>
  <c r="J46" i="13"/>
  <c r="J49" i="16"/>
  <c r="J47" i="9"/>
  <c r="H49" i="2"/>
  <c r="I48" i="3" s="1"/>
  <c r="I47" i="5"/>
  <c r="I47" i="10"/>
  <c r="I47" i="8"/>
  <c r="I47" i="14"/>
  <c r="I47" i="13"/>
  <c r="I47" i="7"/>
  <c r="I47" i="16"/>
  <c r="I47" i="15"/>
  <c r="I47" i="9"/>
  <c r="I47" i="6"/>
  <c r="J48" i="8"/>
  <c r="J46" i="5"/>
  <c r="D48" i="3"/>
  <c r="J47" i="3"/>
  <c r="A49" i="3"/>
  <c r="H49" i="3" s="1"/>
  <c r="E48" i="3"/>
  <c r="C48" i="3"/>
  <c r="B48" i="3"/>
  <c r="F48" i="3"/>
  <c r="N45" i="3" l="1"/>
  <c r="U45" i="3"/>
  <c r="O44" i="3"/>
  <c r="M45" i="3"/>
  <c r="V44" i="3"/>
  <c r="K45" i="10"/>
  <c r="G46" i="10"/>
  <c r="N46" i="10" s="1"/>
  <c r="M45" i="10"/>
  <c r="K45" i="16"/>
  <c r="G46" i="16"/>
  <c r="N46" i="16" s="1"/>
  <c r="M45" i="16"/>
  <c r="K45" i="15"/>
  <c r="G46" i="15"/>
  <c r="N46" i="15" s="1"/>
  <c r="M45" i="15"/>
  <c r="O44" i="5"/>
  <c r="O44" i="8"/>
  <c r="O44" i="15"/>
  <c r="K45" i="5"/>
  <c r="G46" i="5"/>
  <c r="N46" i="5" s="1"/>
  <c r="M45" i="5"/>
  <c r="K45" i="8"/>
  <c r="G46" i="8"/>
  <c r="N46" i="8" s="1"/>
  <c r="M45" i="8"/>
  <c r="K45" i="14"/>
  <c r="G46" i="14"/>
  <c r="N46" i="14" s="1"/>
  <c r="M45" i="14"/>
  <c r="K46" i="13"/>
  <c r="G47" i="13"/>
  <c r="N47" i="13" s="1"/>
  <c r="M46" i="13"/>
  <c r="O44" i="16"/>
  <c r="K45" i="9"/>
  <c r="G46" i="9"/>
  <c r="N46" i="9" s="1"/>
  <c r="M45" i="9"/>
  <c r="G46" i="3"/>
  <c r="T46" i="3" s="1"/>
  <c r="K45" i="3"/>
  <c r="O44" i="14"/>
  <c r="O45" i="13"/>
  <c r="K45" i="7"/>
  <c r="G46" i="7"/>
  <c r="N46" i="7" s="1"/>
  <c r="M45" i="7"/>
  <c r="K45" i="6"/>
  <c r="G46" i="6"/>
  <c r="N46" i="6" s="1"/>
  <c r="M45" i="6"/>
  <c r="O44" i="10"/>
  <c r="O44" i="9"/>
  <c r="O44" i="7"/>
  <c r="O44" i="6"/>
  <c r="J49" i="8"/>
  <c r="J47" i="5"/>
  <c r="J47" i="7"/>
  <c r="J50" i="16"/>
  <c r="J48" i="6"/>
  <c r="J47" i="13"/>
  <c r="J49" i="15"/>
  <c r="H50" i="2"/>
  <c r="I49" i="3" s="1"/>
  <c r="I48" i="5"/>
  <c r="I48" i="8"/>
  <c r="I48" i="10"/>
  <c r="I48" i="14"/>
  <c r="I48" i="9"/>
  <c r="I48" i="7"/>
  <c r="I48" i="16"/>
  <c r="I48" i="13"/>
  <c r="I48" i="6"/>
  <c r="I48" i="15"/>
  <c r="J49" i="14"/>
  <c r="J48" i="9"/>
  <c r="J47" i="10"/>
  <c r="J48" i="3"/>
  <c r="D49" i="3"/>
  <c r="A50" i="3"/>
  <c r="H50" i="3" s="1"/>
  <c r="C49" i="3"/>
  <c r="E49" i="3"/>
  <c r="F49" i="3"/>
  <c r="B49" i="3"/>
  <c r="N46" i="3" l="1"/>
  <c r="U46" i="3"/>
  <c r="O45" i="3"/>
  <c r="M46" i="3"/>
  <c r="V45" i="3"/>
  <c r="O45" i="14"/>
  <c r="O45" i="5"/>
  <c r="O45" i="6"/>
  <c r="K46" i="16"/>
  <c r="G47" i="16"/>
  <c r="N47" i="16" s="1"/>
  <c r="M46" i="16"/>
  <c r="G47" i="3"/>
  <c r="T47" i="3" s="1"/>
  <c r="K46" i="3"/>
  <c r="K47" i="13"/>
  <c r="G48" i="13"/>
  <c r="N48" i="13" s="1"/>
  <c r="M47" i="13"/>
  <c r="K46" i="8"/>
  <c r="G47" i="8"/>
  <c r="N47" i="8" s="1"/>
  <c r="M46" i="8"/>
  <c r="O45" i="16"/>
  <c r="K46" i="7"/>
  <c r="M46" i="7"/>
  <c r="G47" i="7"/>
  <c r="N47" i="7" s="1"/>
  <c r="O46" i="13"/>
  <c r="O45" i="8"/>
  <c r="K46" i="6"/>
  <c r="G47" i="6"/>
  <c r="N47" i="6" s="1"/>
  <c r="M46" i="6"/>
  <c r="O45" i="7"/>
  <c r="K46" i="9"/>
  <c r="G47" i="9"/>
  <c r="N47" i="9" s="1"/>
  <c r="M46" i="9"/>
  <c r="K46" i="15"/>
  <c r="G47" i="15"/>
  <c r="N47" i="15" s="1"/>
  <c r="M46" i="15"/>
  <c r="K46" i="10"/>
  <c r="G47" i="10"/>
  <c r="N47" i="10" s="1"/>
  <c r="M46" i="10"/>
  <c r="O45" i="9"/>
  <c r="K46" i="14"/>
  <c r="G47" i="14"/>
  <c r="N47" i="14" s="1"/>
  <c r="M46" i="14"/>
  <c r="K46" i="5"/>
  <c r="G47" i="5"/>
  <c r="N47" i="5" s="1"/>
  <c r="M46" i="5"/>
  <c r="O45" i="15"/>
  <c r="O45" i="10"/>
  <c r="J48" i="10"/>
  <c r="J51" i="16"/>
  <c r="H51" i="2"/>
  <c r="I50" i="3" s="1"/>
  <c r="I49" i="8"/>
  <c r="I49" i="5"/>
  <c r="I49" i="10"/>
  <c r="I49" i="14"/>
  <c r="I49" i="9"/>
  <c r="I49" i="16"/>
  <c r="I49" i="7"/>
  <c r="I49" i="15"/>
  <c r="I49" i="6"/>
  <c r="I49" i="13"/>
  <c r="J50" i="15"/>
  <c r="J49" i="9"/>
  <c r="J48" i="5"/>
  <c r="J50" i="14"/>
  <c r="J48" i="13"/>
  <c r="J48" i="7"/>
  <c r="J49" i="6"/>
  <c r="J50" i="8"/>
  <c r="D50" i="3"/>
  <c r="J49" i="3"/>
  <c r="A51" i="3"/>
  <c r="H51" i="3" s="1"/>
  <c r="C50" i="3"/>
  <c r="F50" i="3"/>
  <c r="B50" i="3"/>
  <c r="E50" i="3"/>
  <c r="N47" i="3" l="1"/>
  <c r="U47" i="3"/>
  <c r="O46" i="3"/>
  <c r="V46" i="3"/>
  <c r="M47" i="3"/>
  <c r="O46" i="6"/>
  <c r="O46" i="5"/>
  <c r="K47" i="10"/>
  <c r="G48" i="10"/>
  <c r="N48" i="10" s="1"/>
  <c r="M47" i="10"/>
  <c r="K47" i="9"/>
  <c r="G48" i="9"/>
  <c r="N48" i="9" s="1"/>
  <c r="M47" i="9"/>
  <c r="K47" i="5"/>
  <c r="G48" i="5"/>
  <c r="N48" i="5" s="1"/>
  <c r="M47" i="5"/>
  <c r="O46" i="9"/>
  <c r="K47" i="8"/>
  <c r="G48" i="8"/>
  <c r="N48" i="8" s="1"/>
  <c r="M47" i="8"/>
  <c r="K47" i="7"/>
  <c r="G48" i="7"/>
  <c r="N48" i="7" s="1"/>
  <c r="M47" i="7"/>
  <c r="O46" i="8"/>
  <c r="G48" i="3"/>
  <c r="T48" i="3" s="1"/>
  <c r="K47" i="3"/>
  <c r="K47" i="14"/>
  <c r="G48" i="14"/>
  <c r="N48" i="14" s="1"/>
  <c r="M47" i="14"/>
  <c r="O46" i="14"/>
  <c r="K47" i="15"/>
  <c r="G48" i="15"/>
  <c r="N48" i="15" s="1"/>
  <c r="M47" i="15"/>
  <c r="O46" i="10"/>
  <c r="O46" i="15"/>
  <c r="O46" i="7"/>
  <c r="K48" i="13"/>
  <c r="G49" i="13"/>
  <c r="N49" i="13" s="1"/>
  <c r="M48" i="13"/>
  <c r="K47" i="16"/>
  <c r="G48" i="16"/>
  <c r="N48" i="16" s="1"/>
  <c r="M47" i="16"/>
  <c r="K47" i="6"/>
  <c r="G48" i="6"/>
  <c r="N48" i="6" s="1"/>
  <c r="M47" i="6"/>
  <c r="O47" i="13"/>
  <c r="O46" i="16"/>
  <c r="J49" i="13"/>
  <c r="J51" i="8"/>
  <c r="J51" i="14"/>
  <c r="J50" i="6"/>
  <c r="H52" i="2"/>
  <c r="I51" i="3" s="1"/>
  <c r="I50" i="14"/>
  <c r="I50" i="10"/>
  <c r="I50" i="8"/>
  <c r="I50" i="5"/>
  <c r="I50" i="16"/>
  <c r="I50" i="15"/>
  <c r="I50" i="9"/>
  <c r="I50" i="13"/>
  <c r="I50" i="6"/>
  <c r="I50" i="7"/>
  <c r="J50" i="9"/>
  <c r="J52" i="16"/>
  <c r="R12" i="16"/>
  <c r="F29" i="18" s="1"/>
  <c r="J49" i="7"/>
  <c r="J49" i="5"/>
  <c r="J51" i="15"/>
  <c r="J49" i="10"/>
  <c r="J50" i="3"/>
  <c r="D51" i="3"/>
  <c r="A52" i="3"/>
  <c r="H52" i="3" s="1"/>
  <c r="F51" i="3"/>
  <c r="B51" i="3"/>
  <c r="C51" i="3"/>
  <c r="E51" i="3"/>
  <c r="N48" i="3" l="1"/>
  <c r="U48" i="3"/>
  <c r="O47" i="3"/>
  <c r="M48" i="3"/>
  <c r="V47" i="3"/>
  <c r="O47" i="15"/>
  <c r="O47" i="6"/>
  <c r="O48" i="13"/>
  <c r="G49" i="3"/>
  <c r="T49" i="3" s="1"/>
  <c r="K48" i="3"/>
  <c r="K48" i="8"/>
  <c r="G49" i="8"/>
  <c r="N49" i="8" s="1"/>
  <c r="M48" i="8"/>
  <c r="K49" i="13"/>
  <c r="G50" i="13"/>
  <c r="N50" i="13" s="1"/>
  <c r="M49" i="13"/>
  <c r="O47" i="8"/>
  <c r="K48" i="9"/>
  <c r="G49" i="9"/>
  <c r="N49" i="9" s="1"/>
  <c r="M48" i="9"/>
  <c r="K48" i="6"/>
  <c r="G49" i="6"/>
  <c r="N49" i="6" s="1"/>
  <c r="M48" i="6"/>
  <c r="O47" i="9"/>
  <c r="K48" i="16"/>
  <c r="G49" i="16"/>
  <c r="N49" i="16" s="1"/>
  <c r="M48" i="16"/>
  <c r="K48" i="14"/>
  <c r="G49" i="14"/>
  <c r="N49" i="14" s="1"/>
  <c r="M48" i="14"/>
  <c r="O47" i="16"/>
  <c r="O47" i="14"/>
  <c r="K48" i="7"/>
  <c r="G49" i="7"/>
  <c r="N49" i="7" s="1"/>
  <c r="M48" i="7"/>
  <c r="O47" i="7"/>
  <c r="K48" i="5"/>
  <c r="G49" i="5"/>
  <c r="N49" i="5" s="1"/>
  <c r="M48" i="5"/>
  <c r="K48" i="10"/>
  <c r="G49" i="10"/>
  <c r="N49" i="10" s="1"/>
  <c r="M48" i="10"/>
  <c r="K48" i="15"/>
  <c r="G49" i="15"/>
  <c r="N49" i="15" s="1"/>
  <c r="M48" i="15"/>
  <c r="O47" i="5"/>
  <c r="O47" i="10"/>
  <c r="J51" i="6"/>
  <c r="J52" i="14"/>
  <c r="R12" i="14"/>
  <c r="F27" i="18" s="1"/>
  <c r="J52" i="15"/>
  <c r="R12" i="15"/>
  <c r="F28" i="18" s="1"/>
  <c r="J50" i="5"/>
  <c r="J50" i="7"/>
  <c r="J52" i="8"/>
  <c r="R12" i="8"/>
  <c r="F23" i="18" s="1"/>
  <c r="J51" i="9"/>
  <c r="J50" i="10"/>
  <c r="H53" i="2"/>
  <c r="I52" i="3" s="1"/>
  <c r="I51" i="8"/>
  <c r="I51" i="14"/>
  <c r="I51" i="10"/>
  <c r="I51" i="5"/>
  <c r="I51" i="9"/>
  <c r="I51" i="16"/>
  <c r="I51" i="15"/>
  <c r="I51" i="7"/>
  <c r="I51" i="13"/>
  <c r="I51" i="6"/>
  <c r="J50" i="13"/>
  <c r="D52" i="3"/>
  <c r="J51" i="3"/>
  <c r="F52" i="3"/>
  <c r="B52" i="3"/>
  <c r="E52" i="3"/>
  <c r="C52" i="3"/>
  <c r="N49" i="3" l="1"/>
  <c r="U49" i="3"/>
  <c r="O48" i="3"/>
  <c r="V48" i="3"/>
  <c r="M49" i="3"/>
  <c r="O48" i="9"/>
  <c r="O48" i="14"/>
  <c r="O48" i="15"/>
  <c r="O48" i="5"/>
  <c r="O48" i="16"/>
  <c r="K49" i="8"/>
  <c r="G50" i="8"/>
  <c r="N50" i="8" s="1"/>
  <c r="M49" i="8"/>
  <c r="O48" i="8"/>
  <c r="O48" i="10"/>
  <c r="K49" i="6"/>
  <c r="G50" i="6"/>
  <c r="N50" i="6" s="1"/>
  <c r="M49" i="6"/>
  <c r="K49" i="14"/>
  <c r="G50" i="14"/>
  <c r="N50" i="14" s="1"/>
  <c r="M49" i="14"/>
  <c r="K49" i="7"/>
  <c r="G50" i="7"/>
  <c r="N50" i="7" s="1"/>
  <c r="M49" i="7"/>
  <c r="O48" i="6"/>
  <c r="K50" i="13"/>
  <c r="G51" i="13"/>
  <c r="N51" i="13" s="1"/>
  <c r="M50" i="13"/>
  <c r="O48" i="7"/>
  <c r="O49" i="13"/>
  <c r="G50" i="3"/>
  <c r="T50" i="3" s="1"/>
  <c r="K49" i="3"/>
  <c r="K49" i="10"/>
  <c r="G50" i="10"/>
  <c r="N50" i="10" s="1"/>
  <c r="M49" i="10"/>
  <c r="K49" i="15"/>
  <c r="G50" i="15"/>
  <c r="N50" i="15" s="1"/>
  <c r="M49" i="15"/>
  <c r="K49" i="5"/>
  <c r="G50" i="5"/>
  <c r="N50" i="5" s="1"/>
  <c r="M49" i="5"/>
  <c r="K49" i="16"/>
  <c r="G50" i="16"/>
  <c r="N50" i="16" s="1"/>
  <c r="M49" i="16"/>
  <c r="K49" i="9"/>
  <c r="G50" i="9"/>
  <c r="N50" i="9" s="1"/>
  <c r="M49" i="9"/>
  <c r="J51" i="10"/>
  <c r="J52" i="9"/>
  <c r="R12" i="9"/>
  <c r="F24" i="18" s="1"/>
  <c r="J51" i="7"/>
  <c r="J51" i="13"/>
  <c r="J52" i="6"/>
  <c r="R12" i="6"/>
  <c r="F21" i="18" s="1"/>
  <c r="H54" i="2"/>
  <c r="H55" i="2" s="1"/>
  <c r="H56" i="2" s="1"/>
  <c r="H57" i="2" s="1"/>
  <c r="H58" i="2" s="1"/>
  <c r="H59" i="2" s="1"/>
  <c r="H60" i="2" s="1"/>
  <c r="H61" i="2" s="1"/>
  <c r="H62" i="2" s="1"/>
  <c r="H63" i="2" s="1"/>
  <c r="I52" i="14"/>
  <c r="I52" i="8"/>
  <c r="I52" i="5"/>
  <c r="I52" i="10"/>
  <c r="I52" i="7"/>
  <c r="I52" i="13"/>
  <c r="I52" i="16"/>
  <c r="I52" i="6"/>
  <c r="I52" i="9"/>
  <c r="I52" i="15"/>
  <c r="J51" i="5"/>
  <c r="J52" i="3"/>
  <c r="R12" i="3"/>
  <c r="F19" i="18" s="1"/>
  <c r="N50" i="3" l="1"/>
  <c r="U50" i="3"/>
  <c r="O49" i="3"/>
  <c r="V49" i="3"/>
  <c r="M50" i="3"/>
  <c r="O50" i="13"/>
  <c r="O49" i="8"/>
  <c r="O49" i="7"/>
  <c r="K50" i="7"/>
  <c r="G51" i="7"/>
  <c r="N51" i="7" s="1"/>
  <c r="M50" i="7"/>
  <c r="K50" i="9"/>
  <c r="G51" i="9"/>
  <c r="N51" i="9" s="1"/>
  <c r="M50" i="9"/>
  <c r="K50" i="5"/>
  <c r="G51" i="5"/>
  <c r="N51" i="5" s="1"/>
  <c r="M50" i="5"/>
  <c r="K50" i="10"/>
  <c r="G51" i="10"/>
  <c r="N51" i="10" s="1"/>
  <c r="M50" i="10"/>
  <c r="K50" i="6"/>
  <c r="G51" i="6"/>
  <c r="N51" i="6" s="1"/>
  <c r="M50" i="6"/>
  <c r="O49" i="9"/>
  <c r="O49" i="5"/>
  <c r="O49" i="10"/>
  <c r="O49" i="6"/>
  <c r="K51" i="13"/>
  <c r="G52" i="13"/>
  <c r="M51" i="13"/>
  <c r="K50" i="16"/>
  <c r="G51" i="16"/>
  <c r="N51" i="16" s="1"/>
  <c r="M50" i="16"/>
  <c r="K50" i="15"/>
  <c r="G51" i="15"/>
  <c r="N51" i="15" s="1"/>
  <c r="M50" i="15"/>
  <c r="O49" i="14"/>
  <c r="O49" i="16"/>
  <c r="O49" i="15"/>
  <c r="G51" i="3"/>
  <c r="T51" i="3" s="1"/>
  <c r="K50" i="3"/>
  <c r="K50" i="14"/>
  <c r="G51" i="14"/>
  <c r="N51" i="14" s="1"/>
  <c r="M50" i="14"/>
  <c r="K50" i="8"/>
  <c r="G51" i="8"/>
  <c r="N51" i="8" s="1"/>
  <c r="M50" i="8"/>
  <c r="J52" i="5"/>
  <c r="R12" i="5"/>
  <c r="F20" i="18" s="1"/>
  <c r="J52" i="10"/>
  <c r="R12" i="10"/>
  <c r="F25" i="18" s="1"/>
  <c r="J52" i="13"/>
  <c r="R12" i="13"/>
  <c r="F26" i="18" s="1"/>
  <c r="J52" i="7"/>
  <c r="R12" i="7"/>
  <c r="F22" i="18" s="1"/>
  <c r="M52" i="13" l="1"/>
  <c r="R10" i="13" s="1"/>
  <c r="N52" i="13"/>
  <c r="N51" i="3"/>
  <c r="U51" i="3"/>
  <c r="O50" i="3"/>
  <c r="M51" i="3"/>
  <c r="V50" i="3"/>
  <c r="O50" i="15"/>
  <c r="O51" i="13"/>
  <c r="O50" i="6"/>
  <c r="O50" i="5"/>
  <c r="O50" i="7"/>
  <c r="O50" i="8"/>
  <c r="K51" i="16"/>
  <c r="G52" i="16"/>
  <c r="M51" i="16"/>
  <c r="K51" i="10"/>
  <c r="G52" i="10"/>
  <c r="M51" i="10"/>
  <c r="K51" i="9"/>
  <c r="G52" i="9"/>
  <c r="M51" i="9"/>
  <c r="K51" i="14"/>
  <c r="G52" i="14"/>
  <c r="M51" i="14"/>
  <c r="O50" i="16"/>
  <c r="O50" i="10"/>
  <c r="O50" i="9"/>
  <c r="O50" i="14"/>
  <c r="G52" i="3"/>
  <c r="K51" i="3"/>
  <c r="K51" i="8"/>
  <c r="G52" i="8"/>
  <c r="M51" i="8"/>
  <c r="K51" i="15"/>
  <c r="G52" i="15"/>
  <c r="M51" i="15"/>
  <c r="K52" i="13"/>
  <c r="R13" i="13" s="1"/>
  <c r="G26" i="18" s="1"/>
  <c r="R11" i="13"/>
  <c r="E26" i="18" s="1"/>
  <c r="D26" i="18"/>
  <c r="K51" i="6"/>
  <c r="G52" i="6"/>
  <c r="M51" i="6"/>
  <c r="K51" i="5"/>
  <c r="G52" i="5"/>
  <c r="M51" i="5"/>
  <c r="K51" i="7"/>
  <c r="G52" i="7"/>
  <c r="M51" i="7"/>
  <c r="N52" i="16" l="1"/>
  <c r="M52" i="16"/>
  <c r="R10" i="16" s="1"/>
  <c r="T52" i="3"/>
  <c r="U52" i="3" s="1"/>
  <c r="U53" i="3" s="1"/>
  <c r="R17" i="3" s="1"/>
  <c r="M52" i="3"/>
  <c r="R10" i="3" s="1"/>
  <c r="M52" i="14"/>
  <c r="R10" i="14" s="1"/>
  <c r="N52" i="14"/>
  <c r="M52" i="15"/>
  <c r="R10" i="15" s="1"/>
  <c r="N52" i="15"/>
  <c r="N52" i="7"/>
  <c r="R11" i="7" s="1"/>
  <c r="E22" i="18" s="1"/>
  <c r="M52" i="7"/>
  <c r="R10" i="7" s="1"/>
  <c r="M52" i="8"/>
  <c r="R10" i="8" s="1"/>
  <c r="N52" i="8"/>
  <c r="R11" i="8" s="1"/>
  <c r="E23" i="18" s="1"/>
  <c r="M52" i="5"/>
  <c r="R10" i="5" s="1"/>
  <c r="N52" i="5"/>
  <c r="N52" i="9"/>
  <c r="M52" i="9"/>
  <c r="R10" i="9" s="1"/>
  <c r="M52" i="6"/>
  <c r="R10" i="6" s="1"/>
  <c r="N52" i="6"/>
  <c r="R11" i="6" s="1"/>
  <c r="E21" i="18" s="1"/>
  <c r="M52" i="10"/>
  <c r="R10" i="10" s="1"/>
  <c r="N52" i="10"/>
  <c r="N52" i="3"/>
  <c r="O51" i="3"/>
  <c r="V51" i="3"/>
  <c r="R14" i="13"/>
  <c r="O51" i="8"/>
  <c r="O52" i="13"/>
  <c r="R3" i="13" s="1"/>
  <c r="O51" i="5"/>
  <c r="K52" i="15"/>
  <c r="R13" i="15" s="1"/>
  <c r="G28" i="18" s="1"/>
  <c r="R11" i="15"/>
  <c r="E28" i="18" s="1"/>
  <c r="K52" i="14"/>
  <c r="R13" i="14" s="1"/>
  <c r="G27" i="18" s="1"/>
  <c r="R11" i="14"/>
  <c r="E27" i="18" s="1"/>
  <c r="K52" i="10"/>
  <c r="R13" i="10" s="1"/>
  <c r="G25" i="18" s="1"/>
  <c r="R11" i="10"/>
  <c r="E25" i="18" s="1"/>
  <c r="K52" i="7"/>
  <c r="R13" i="7" s="1"/>
  <c r="G22" i="18" s="1"/>
  <c r="O51" i="14"/>
  <c r="K52" i="5"/>
  <c r="R13" i="5" s="1"/>
  <c r="G20" i="18" s="1"/>
  <c r="R11" i="5"/>
  <c r="E20" i="18" s="1"/>
  <c r="K52" i="6"/>
  <c r="R13" i="6" s="1"/>
  <c r="G21" i="18" s="1"/>
  <c r="O51" i="15"/>
  <c r="R11" i="3"/>
  <c r="E19" i="18" s="1"/>
  <c r="K52" i="3"/>
  <c r="O51" i="10"/>
  <c r="O51" i="7"/>
  <c r="O51" i="6"/>
  <c r="K52" i="8"/>
  <c r="R13" i="8" s="1"/>
  <c r="G23" i="18" s="1"/>
  <c r="K52" i="9"/>
  <c r="R13" i="9" s="1"/>
  <c r="G24" i="18" s="1"/>
  <c r="R11" i="9"/>
  <c r="E24" i="18" s="1"/>
  <c r="K52" i="16"/>
  <c r="R13" i="16" s="1"/>
  <c r="G29" i="18" s="1"/>
  <c r="R11" i="16"/>
  <c r="E29" i="18" s="1"/>
  <c r="O51" i="9"/>
  <c r="O51" i="16"/>
  <c r="R13" i="3" l="1"/>
  <c r="G19" i="18" s="1"/>
  <c r="O52" i="3"/>
  <c r="R3" i="3" s="1"/>
  <c r="V52" i="3"/>
  <c r="R14" i="5"/>
  <c r="D20" i="18"/>
  <c r="R14" i="9"/>
  <c r="D24" i="18"/>
  <c r="D27" i="18"/>
  <c r="R14" i="14"/>
  <c r="R14" i="7"/>
  <c r="D22" i="18"/>
  <c r="D23" i="18"/>
  <c r="R14" i="8"/>
  <c r="R14" i="6"/>
  <c r="D21" i="18"/>
  <c r="D25" i="18"/>
  <c r="R14" i="10"/>
  <c r="D29" i="18"/>
  <c r="R14" i="16"/>
  <c r="R14" i="15"/>
  <c r="D28" i="18"/>
  <c r="D19" i="18"/>
  <c r="O52" i="9"/>
  <c r="R3" i="9" s="1"/>
  <c r="R4" i="9" s="1"/>
  <c r="E9" i="18" s="1"/>
  <c r="O52" i="5"/>
  <c r="R3" i="5" s="1"/>
  <c r="D5" i="18" s="1"/>
  <c r="O52" i="15"/>
  <c r="R3" i="15" s="1"/>
  <c r="D13" i="18" s="1"/>
  <c r="O52" i="14"/>
  <c r="R3" i="14" s="1"/>
  <c r="O52" i="8"/>
  <c r="R3" i="8" s="1"/>
  <c r="O52" i="7"/>
  <c r="R3" i="7" s="1"/>
  <c r="O52" i="16"/>
  <c r="R3" i="16" s="1"/>
  <c r="O52" i="6"/>
  <c r="R3" i="6" s="1"/>
  <c r="O52" i="10"/>
  <c r="R3" i="10" s="1"/>
  <c r="R4" i="13"/>
  <c r="E11" i="18" s="1"/>
  <c r="D11" i="18"/>
  <c r="R6" i="13"/>
  <c r="G11" i="18" s="1"/>
  <c r="R18" i="3" l="1"/>
  <c r="R6" i="3"/>
  <c r="R16" i="3" s="1"/>
  <c r="R4" i="3"/>
  <c r="Q21" i="3"/>
  <c r="Q24" i="3"/>
  <c r="R6" i="9"/>
  <c r="G9" i="18" s="1"/>
  <c r="R14" i="3"/>
  <c r="D9" i="18"/>
  <c r="R6" i="5"/>
  <c r="G5" i="18" s="1"/>
  <c r="R6" i="14"/>
  <c r="G12" i="18" s="1"/>
  <c r="D12" i="18"/>
  <c r="R4" i="14"/>
  <c r="E12" i="18" s="1"/>
  <c r="R4" i="5"/>
  <c r="E5" i="18" s="1"/>
  <c r="R6" i="15"/>
  <c r="G13" i="18" s="1"/>
  <c r="R4" i="15"/>
  <c r="E13" i="18" s="1"/>
  <c r="R6" i="10"/>
  <c r="G10" i="18" s="1"/>
  <c r="D10" i="18"/>
  <c r="R4" i="10"/>
  <c r="E10" i="18" s="1"/>
  <c r="D4" i="18"/>
  <c r="D6" i="18"/>
  <c r="R4" i="6"/>
  <c r="E6" i="18" s="1"/>
  <c r="R6" i="6"/>
  <c r="G6" i="18" s="1"/>
  <c r="R4" i="7"/>
  <c r="E7" i="18" s="1"/>
  <c r="D7" i="18"/>
  <c r="R6" i="7"/>
  <c r="G7" i="18" s="1"/>
  <c r="D14" i="18"/>
  <c r="R6" i="16"/>
  <c r="G14" i="18" s="1"/>
  <c r="R4" i="16"/>
  <c r="E14" i="18" s="1"/>
  <c r="R6" i="8"/>
  <c r="G8" i="18" s="1"/>
  <c r="D8" i="18"/>
  <c r="R4" i="8"/>
  <c r="E8" i="18" s="1"/>
  <c r="R5" i="5" l="1"/>
  <c r="R7" i="5" s="1"/>
  <c r="G4" i="18"/>
  <c r="R5" i="13"/>
  <c r="R5" i="9"/>
  <c r="E4" i="18"/>
  <c r="R5" i="15"/>
  <c r="R7" i="15" s="1"/>
  <c r="R5" i="7"/>
  <c r="R5" i="14"/>
  <c r="R5" i="8"/>
  <c r="R5" i="6"/>
  <c r="R7" i="6" s="1"/>
  <c r="R5" i="3"/>
  <c r="R5" i="16"/>
  <c r="R5" i="10"/>
  <c r="E3" i="17" l="1"/>
  <c r="H6" i="17"/>
  <c r="I4" i="17"/>
  <c r="F5" i="18"/>
  <c r="J4" i="17"/>
  <c r="H5" i="17"/>
  <c r="F6" i="18"/>
  <c r="R7" i="13"/>
  <c r="F11" i="18"/>
  <c r="R7" i="8"/>
  <c r="F8" i="18"/>
  <c r="E5" i="17"/>
  <c r="R7" i="14"/>
  <c r="F12" i="18"/>
  <c r="R7" i="7"/>
  <c r="E4" i="17"/>
  <c r="F7" i="18"/>
  <c r="R7" i="16"/>
  <c r="E11" i="17"/>
  <c r="F14" i="18"/>
  <c r="F10" i="18"/>
  <c r="E10" i="17"/>
  <c r="R7" i="10"/>
  <c r="F13" i="18"/>
  <c r="E12" i="17"/>
  <c r="F4" i="18"/>
  <c r="R7" i="3"/>
  <c r="F9" i="18"/>
  <c r="R7" i="9"/>
  <c r="E9" i="17"/>
  <c r="E18" i="17" l="1" a="1"/>
  <c r="E18" i="17" s="1"/>
  <c r="C38" i="18" s="1"/>
  <c r="E17" i="17" a="1"/>
  <c r="E17" i="17" s="1"/>
  <c r="C37" i="18" s="1"/>
  <c r="D22" i="17" l="1" a="1"/>
  <c r="D22" i="17" s="1"/>
  <c r="C39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<sst xmlns="http://schemas.openxmlformats.org/spreadsheetml/2006/main" count="432" uniqueCount="90">
  <si>
    <t>Years</t>
  </si>
  <si>
    <t>Rates</t>
  </si>
  <si>
    <t>Discounts</t>
  </si>
  <si>
    <t xml:space="preserve"> </t>
  </si>
  <si>
    <t>RD</t>
  </si>
  <si>
    <t>COMM</t>
  </si>
  <si>
    <t>Expanses(€)</t>
  </si>
  <si>
    <t>Inflation</t>
  </si>
  <si>
    <t>Lapse</t>
  </si>
  <si>
    <t>Penalties(€)</t>
  </si>
  <si>
    <t>Massive surrender</t>
  </si>
  <si>
    <t>Dividend</t>
  </si>
  <si>
    <t>Property</t>
  </si>
  <si>
    <t>Equity</t>
  </si>
  <si>
    <t>Age</t>
  </si>
  <si>
    <t>qx (per thousand)</t>
  </si>
  <si>
    <t>px (cumulative)</t>
  </si>
  <si>
    <t>Death</t>
  </si>
  <si>
    <t>Expanses</t>
  </si>
  <si>
    <t>T</t>
  </si>
  <si>
    <t>Rates Down</t>
  </si>
  <si>
    <t>qx (%)</t>
  </si>
  <si>
    <t>Rates Up</t>
  </si>
  <si>
    <t>Down</t>
  </si>
  <si>
    <t>UP</t>
  </si>
  <si>
    <t>Base</t>
  </si>
  <si>
    <t>Forward Discounts</t>
  </si>
  <si>
    <t>Forward Rates</t>
  </si>
  <si>
    <t>CONTRACT YEARS</t>
  </si>
  <si>
    <t>EIOPA Rates</t>
  </si>
  <si>
    <t>Coumpanded Rates</t>
  </si>
  <si>
    <t>Fund Value in t</t>
  </si>
  <si>
    <t>qx(%)</t>
  </si>
  <si>
    <t>Commision</t>
  </si>
  <si>
    <t>Expanses (€)</t>
  </si>
  <si>
    <t>Lapse BEL</t>
  </si>
  <si>
    <t>Death BEL</t>
  </si>
  <si>
    <t>Total Liabilities</t>
  </si>
  <si>
    <t>RESULTS</t>
  </si>
  <si>
    <t>Assets</t>
  </si>
  <si>
    <t>Liabilities</t>
  </si>
  <si>
    <t>BOF</t>
  </si>
  <si>
    <t>Duration</t>
  </si>
  <si>
    <t>Delta BOF</t>
  </si>
  <si>
    <t>SCR</t>
  </si>
  <si>
    <t>BEL Components</t>
  </si>
  <si>
    <t>Commisions</t>
  </si>
  <si>
    <t>TOT</t>
  </si>
  <si>
    <t>Lapse Up</t>
  </si>
  <si>
    <t>Lapse Down</t>
  </si>
  <si>
    <t>Lapse Mass</t>
  </si>
  <si>
    <t>SCR Market Risk</t>
  </si>
  <si>
    <t>Interest</t>
  </si>
  <si>
    <t>Mortality</t>
  </si>
  <si>
    <t>CAT</t>
  </si>
  <si>
    <t>Life Correlation Matrix</t>
  </si>
  <si>
    <t>Market</t>
  </si>
  <si>
    <t>Life</t>
  </si>
  <si>
    <t>BSCR Correlation Matrix</t>
  </si>
  <si>
    <t>BSCR</t>
  </si>
  <si>
    <t>MVA</t>
  </si>
  <si>
    <t>BEL</t>
  </si>
  <si>
    <t>BoF</t>
  </si>
  <si>
    <t>Basic</t>
  </si>
  <si>
    <t>Expense</t>
  </si>
  <si>
    <t>Delta_BoF</t>
  </si>
  <si>
    <t>Expenses</t>
  </si>
  <si>
    <t>Commissions</t>
  </si>
  <si>
    <t>Capital Requirements</t>
  </si>
  <si>
    <t>SCR Life Risk</t>
  </si>
  <si>
    <t>SCR Market</t>
  </si>
  <si>
    <t>SCR Life</t>
  </si>
  <si>
    <t>Prob Remain Contract</t>
  </si>
  <si>
    <t>Market Corelation Matrix (down)</t>
  </si>
  <si>
    <t xml:space="preserve">Life Tables man ISTAT 2022 </t>
  </si>
  <si>
    <t>EIOPA EU Term Structure (yield curve)</t>
  </si>
  <si>
    <t>Data</t>
  </si>
  <si>
    <t>C0 (€)</t>
  </si>
  <si>
    <t>Equity_perc_t0 (€)</t>
  </si>
  <si>
    <t>Property_perc_t0 (€)</t>
  </si>
  <si>
    <t>Zero rate</t>
  </si>
  <si>
    <t xml:space="preserve">Company Profit </t>
  </si>
  <si>
    <t>Discounted margin</t>
  </si>
  <si>
    <t>PVFP</t>
  </si>
  <si>
    <t>Proxy</t>
  </si>
  <si>
    <t>Cumulative gain</t>
  </si>
  <si>
    <t>All graphs are reported on the right side after the calculations</t>
  </si>
  <si>
    <t>LAC Equity shock</t>
  </si>
  <si>
    <t>LAC Property Shock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</si>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</sst>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DF7F7"/>
        <bgColor indexed="64"/>
      </patternFill>
    </fill>
    <fill>
      <patternFill patternType="solid">
        <fgColor rgb="FFD4F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8EF0"/>
        <bgColor indexed="64"/>
      </patternFill>
    </fill>
    <fill>
      <patternFill patternType="solid">
        <fgColor rgb="FFFEE2F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FFE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 style="thin">
        <color indexed="64"/>
      </top>
      <bottom/>
      <diagonal/>
    </border>
    <border>
      <left/>
      <right style="medium">
        <color theme="9" tint="-0.249977111117893"/>
      </right>
      <top style="thin">
        <color indexed="64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 style="thin">
        <color indexed="64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/>
      <bottom/>
      <diagonal/>
    </border>
    <border>
      <left style="thin">
        <color indexed="64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indexed="64"/>
      </right>
      <top/>
      <bottom style="thin">
        <color theme="9" tint="-0.249977111117893"/>
      </bottom>
      <diagonal/>
    </border>
    <border>
      <left/>
      <right style="thin">
        <color indexed="64"/>
      </right>
      <top/>
      <bottom style="medium">
        <color theme="9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30" applyNumberFormat="0" applyFill="0" applyAlignment="0" applyProtection="0"/>
    <xf numFmtId="0" fontId="7" fillId="0" borderId="31" applyNumberFormat="0" applyFill="0" applyAlignment="0" applyProtection="0"/>
    <xf numFmtId="0" fontId="8" fillId="0" borderId="32" applyNumberFormat="0" applyFill="0" applyAlignment="0" applyProtection="0"/>
    <xf numFmtId="0" fontId="8" fillId="0" borderId="0" applyNumberFormat="0" applyFill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33" applyNumberFormat="0" applyAlignment="0" applyProtection="0"/>
    <xf numFmtId="0" fontId="13" fillId="27" borderId="34" applyNumberFormat="0" applyAlignment="0" applyProtection="0"/>
    <xf numFmtId="0" fontId="14" fillId="27" borderId="33" applyNumberFormat="0" applyAlignment="0" applyProtection="0"/>
    <xf numFmtId="0" fontId="15" fillId="0" borderId="35" applyNumberFormat="0" applyFill="0" applyAlignment="0" applyProtection="0"/>
    <xf numFmtId="0" fontId="16" fillId="28" borderId="36" applyNumberFormat="0" applyAlignment="0" applyProtection="0"/>
    <xf numFmtId="0" fontId="17" fillId="0" borderId="0" applyNumberFormat="0" applyFill="0" applyBorder="0" applyAlignment="0" applyProtection="0"/>
    <xf numFmtId="0" fontId="1" fillId="29" borderId="37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38" applyNumberFormat="0" applyFill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9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9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9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20" fillId="0" borderId="0"/>
  </cellStyleXfs>
  <cellXfs count="109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9" borderId="0" xfId="0" applyFill="1"/>
    <xf numFmtId="164" fontId="0" fillId="9" borderId="0" xfId="1" applyNumberFormat="1" applyFont="1" applyFill="1"/>
    <xf numFmtId="165" fontId="0" fillId="9" borderId="0" xfId="0" applyNumberFormat="1" applyFill="1"/>
    <xf numFmtId="164" fontId="0" fillId="9" borderId="1" xfId="1" applyNumberFormat="1" applyFont="1" applyFill="1" applyBorder="1"/>
    <xf numFmtId="0" fontId="2" fillId="5" borderId="1" xfId="0" applyFont="1" applyFill="1" applyBorder="1" applyAlignment="1">
      <alignment horizontal="center" vertical="center"/>
    </xf>
    <xf numFmtId="166" fontId="0" fillId="9" borderId="1" xfId="0" applyNumberFormat="1" applyFill="1" applyBorder="1"/>
    <xf numFmtId="166" fontId="0" fillId="9" borderId="0" xfId="0" applyNumberFormat="1" applyFill="1"/>
    <xf numFmtId="164" fontId="0" fillId="9" borderId="0" xfId="1" applyNumberFormat="1" applyFont="1" applyFill="1" applyBorder="1"/>
    <xf numFmtId="0" fontId="0" fillId="10" borderId="0" xfId="0" applyFill="1"/>
    <xf numFmtId="0" fontId="2" fillId="11" borderId="0" xfId="0" applyFont="1" applyFill="1" applyAlignment="1">
      <alignment horizontal="center" vertical="center"/>
    </xf>
    <xf numFmtId="164" fontId="0" fillId="8" borderId="0" xfId="1" applyNumberFormat="1" applyFont="1" applyFill="1"/>
    <xf numFmtId="165" fontId="0" fillId="8" borderId="0" xfId="0" applyNumberFormat="1" applyFill="1"/>
    <xf numFmtId="2" fontId="0" fillId="8" borderId="0" xfId="0" applyNumberFormat="1" applyFill="1"/>
    <xf numFmtId="0" fontId="2" fillId="12" borderId="0" xfId="0" applyFont="1" applyFill="1" applyAlignment="1">
      <alignment horizontal="center" vertical="center"/>
    </xf>
    <xf numFmtId="164" fontId="0" fillId="2" borderId="0" xfId="1" applyNumberFormat="1" applyFont="1" applyFill="1"/>
    <xf numFmtId="165" fontId="0" fillId="8" borderId="0" xfId="1" applyNumberFormat="1" applyFont="1" applyFill="1"/>
    <xf numFmtId="165" fontId="0" fillId="2" borderId="0" xfId="0" applyNumberFormat="1" applyFill="1"/>
    <xf numFmtId="0" fontId="0" fillId="5" borderId="0" xfId="0" applyFill="1"/>
    <xf numFmtId="0" fontId="2" fillId="13" borderId="0" xfId="0" applyFont="1" applyFill="1" applyAlignment="1">
      <alignment horizontal="center" vertical="center"/>
    </xf>
    <xf numFmtId="0" fontId="0" fillId="14" borderId="0" xfId="0" applyFill="1"/>
    <xf numFmtId="2" fontId="0" fillId="14" borderId="0" xfId="0" applyNumberFormat="1" applyFill="1"/>
    <xf numFmtId="2" fontId="0" fillId="9" borderId="0" xfId="0" applyNumberFormat="1" applyFill="1"/>
    <xf numFmtId="0" fontId="0" fillId="17" borderId="0" xfId="0" applyFill="1"/>
    <xf numFmtId="0" fontId="0" fillId="17" borderId="2" xfId="0" applyFill="1" applyBorder="1"/>
    <xf numFmtId="2" fontId="0" fillId="17" borderId="0" xfId="0" applyNumberFormat="1" applyFill="1"/>
    <xf numFmtId="2" fontId="0" fillId="17" borderId="2" xfId="0" applyNumberForma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8" borderId="0" xfId="0" applyFill="1"/>
    <xf numFmtId="2" fontId="0" fillId="18" borderId="0" xfId="0" applyNumberFormat="1" applyFill="1"/>
    <xf numFmtId="2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18" borderId="6" xfId="0" applyFill="1" applyBorder="1"/>
    <xf numFmtId="0" fontId="0" fillId="18" borderId="5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1" xfId="0" applyFill="1" applyBorder="1"/>
    <xf numFmtId="0" fontId="0" fillId="6" borderId="0" xfId="0" applyFill="1"/>
    <xf numFmtId="0" fontId="0" fillId="5" borderId="4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8" borderId="0" xfId="0" applyFill="1"/>
    <xf numFmtId="2" fontId="0" fillId="0" borderId="0" xfId="0" applyNumberFormat="1"/>
    <xf numFmtId="165" fontId="0" fillId="9" borderId="1" xfId="0" applyNumberFormat="1" applyFill="1" applyBorder="1"/>
    <xf numFmtId="0" fontId="0" fillId="4" borderId="7" xfId="0" applyFill="1" applyBorder="1"/>
    <xf numFmtId="0" fontId="0" fillId="4" borderId="8" xfId="0" applyFill="1" applyBorder="1"/>
    <xf numFmtId="10" fontId="0" fillId="4" borderId="8" xfId="1" applyNumberFormat="1" applyFont="1" applyFill="1" applyBorder="1"/>
    <xf numFmtId="0" fontId="0" fillId="4" borderId="9" xfId="0" applyFill="1" applyBorder="1"/>
    <xf numFmtId="9" fontId="0" fillId="4" borderId="10" xfId="1" applyFont="1" applyFill="1" applyBorder="1"/>
    <xf numFmtId="0" fontId="0" fillId="16" borderId="0" xfId="0" applyFill="1"/>
    <xf numFmtId="0" fontId="0" fillId="17" borderId="4" xfId="0" applyFill="1" applyBorder="1"/>
    <xf numFmtId="0" fontId="0" fillId="22" borderId="1" xfId="0" applyFill="1" applyBorder="1" applyAlignment="1">
      <alignment horizontal="right"/>
    </xf>
    <xf numFmtId="2" fontId="0" fillId="22" borderId="3" xfId="0" applyNumberFormat="1" applyFill="1" applyBorder="1"/>
    <xf numFmtId="2" fontId="0" fillId="22" borderId="4" xfId="0" applyNumberFormat="1" applyFill="1" applyBorder="1"/>
    <xf numFmtId="2" fontId="0" fillId="22" borderId="1" xfId="0" applyNumberFormat="1" applyFill="1" applyBorder="1"/>
    <xf numFmtId="0" fontId="0" fillId="22" borderId="0" xfId="0" applyFill="1" applyAlignment="1">
      <alignment horizontal="right"/>
    </xf>
    <xf numFmtId="2" fontId="0" fillId="22" borderId="0" xfId="0" applyNumberFormat="1" applyFill="1"/>
    <xf numFmtId="0" fontId="0" fillId="22" borderId="17" xfId="0" applyFill="1" applyBorder="1"/>
    <xf numFmtId="0" fontId="0" fillId="22" borderId="18" xfId="0" applyFill="1" applyBorder="1" applyAlignment="1">
      <alignment horizontal="right"/>
    </xf>
    <xf numFmtId="0" fontId="0" fillId="22" borderId="19" xfId="0" applyFill="1" applyBorder="1"/>
    <xf numFmtId="0" fontId="0" fillId="22" borderId="21" xfId="0" applyFill="1" applyBorder="1"/>
    <xf numFmtId="2" fontId="0" fillId="22" borderId="22" xfId="0" applyNumberFormat="1" applyFill="1" applyBorder="1"/>
    <xf numFmtId="2" fontId="0" fillId="22" borderId="23" xfId="0" applyNumberFormat="1" applyFill="1" applyBorder="1"/>
    <xf numFmtId="2" fontId="0" fillId="22" borderId="20" xfId="0" applyNumberFormat="1" applyFill="1" applyBorder="1"/>
    <xf numFmtId="2" fontId="0" fillId="22" borderId="18" xfId="0" applyNumberFormat="1" applyFill="1" applyBorder="1"/>
    <xf numFmtId="2" fontId="0" fillId="22" borderId="24" xfId="0" applyNumberFormat="1" applyFill="1" applyBorder="1"/>
    <xf numFmtId="2" fontId="0" fillId="22" borderId="25" xfId="0" applyNumberFormat="1" applyFill="1" applyBorder="1"/>
    <xf numFmtId="2" fontId="0" fillId="22" borderId="26" xfId="0" applyNumberFormat="1" applyFill="1" applyBorder="1"/>
    <xf numFmtId="165" fontId="0" fillId="22" borderId="20" xfId="0" applyNumberFormat="1" applyFill="1" applyBorder="1"/>
    <xf numFmtId="165" fontId="0" fillId="22" borderId="18" xfId="0" applyNumberFormat="1" applyFill="1" applyBorder="1"/>
    <xf numFmtId="165" fontId="0" fillId="22" borderId="24" xfId="0" applyNumberFormat="1" applyFill="1" applyBorder="1"/>
    <xf numFmtId="0" fontId="0" fillId="22" borderId="27" xfId="0" applyFill="1" applyBorder="1"/>
    <xf numFmtId="0" fontId="0" fillId="22" borderId="28" xfId="0" applyFill="1" applyBorder="1"/>
    <xf numFmtId="10" fontId="0" fillId="9" borderId="0" xfId="1" applyNumberFormat="1" applyFont="1" applyFill="1"/>
    <xf numFmtId="0" fontId="0" fillId="22" borderId="0" xfId="0" applyFill="1"/>
    <xf numFmtId="0" fontId="4" fillId="8" borderId="14" xfId="0" applyFont="1" applyFill="1" applyBorder="1" applyAlignment="1">
      <alignment horizontal="justify" vertical="center" wrapText="1"/>
    </xf>
    <xf numFmtId="0" fontId="0" fillId="8" borderId="16" xfId="0" applyFill="1" applyBorder="1" applyAlignment="1">
      <alignment horizontal="justify" vertical="center" wrapText="1"/>
    </xf>
    <xf numFmtId="0" fontId="0" fillId="8" borderId="21" xfId="0" applyFill="1" applyBorder="1" applyAlignment="1">
      <alignment horizontal="justify" vertical="center" wrapText="1"/>
    </xf>
    <xf numFmtId="0" fontId="0" fillId="8" borderId="24" xfId="0" applyFill="1" applyBorder="1" applyAlignment="1">
      <alignment horizontal="justify" vertical="center" wrapText="1"/>
    </xf>
    <xf numFmtId="0" fontId="2" fillId="6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22" borderId="17" xfId="0" applyFill="1" applyBorder="1"/>
    <xf numFmtId="0" fontId="0" fillId="22" borderId="13" xfId="0" applyFill="1" applyBorder="1"/>
    <xf numFmtId="0" fontId="0" fillId="22" borderId="21" xfId="0" applyFill="1" applyBorder="1"/>
    <xf numFmtId="0" fontId="0" fillId="22" borderId="29" xfId="0" applyFill="1" applyBorder="1"/>
    <xf numFmtId="0" fontId="0" fillId="20" borderId="14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0" fontId="0" fillId="20" borderId="14" xfId="0" applyFill="1" applyBorder="1"/>
    <xf numFmtId="0" fontId="0" fillId="20" borderId="16" xfId="0" applyFill="1" applyBorder="1"/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</cellXfs>
  <cellStyles count="45">
    <cellStyle name="20% - Colore 1" xfId="21" builtinId="30" customBuiltin="1"/>
    <cellStyle name="20% - Colore 2" xfId="25" builtinId="34" customBuiltin="1"/>
    <cellStyle name="20% - Colore 3" xfId="29" builtinId="38" customBuiltin="1"/>
    <cellStyle name="20% - Colore 4" xfId="33" builtinId="42" customBuiltin="1"/>
    <cellStyle name="20% - Colore 5" xfId="37" builtinId="46" customBuiltin="1"/>
    <cellStyle name="20% - Colore 6" xfId="41" builtinId="50" customBuiltin="1"/>
    <cellStyle name="40% - Colore 1" xfId="22" builtinId="31" customBuiltin="1"/>
    <cellStyle name="40% - Colore 2" xfId="26" builtinId="35" customBuiltin="1"/>
    <cellStyle name="40% - Colore 3" xfId="30" builtinId="39" customBuiltin="1"/>
    <cellStyle name="40% - Colore 4" xfId="34" builtinId="43" customBuiltin="1"/>
    <cellStyle name="40% - Colore 5" xfId="38" builtinId="47" customBuiltin="1"/>
    <cellStyle name="40% - Colore 6" xfId="42" builtinId="51" customBuiltin="1"/>
    <cellStyle name="60% - Colore 1" xfId="23" builtinId="32" customBuiltin="1"/>
    <cellStyle name="60% - Colore 2" xfId="27" builtinId="36" customBuiltin="1"/>
    <cellStyle name="60% - Colore 3" xfId="31" builtinId="40" customBuiltin="1"/>
    <cellStyle name="60% - Colore 4" xfId="35" builtinId="44" customBuiltin="1"/>
    <cellStyle name="60% - Colore 5" xfId="39" builtinId="48" customBuiltin="1"/>
    <cellStyle name="60% - Colore 6" xfId="43" builtinId="52" customBuiltin="1"/>
    <cellStyle name="Calcolo" xfId="13" builtinId="22" customBuiltin="1"/>
    <cellStyle name="Cella collegata" xfId="14" builtinId="24" customBuiltin="1"/>
    <cellStyle name="Cella da controllare" xfId="15" builtinId="23" customBuiltin="1"/>
    <cellStyle name="Colore 1" xfId="20" builtinId="29" customBuiltin="1"/>
    <cellStyle name="Colore 2" xfId="24" builtinId="33" customBuiltin="1"/>
    <cellStyle name="Colore 3" xfId="28" builtinId="37" customBuiltin="1"/>
    <cellStyle name="Colore 4" xfId="32" builtinId="41" customBuiltin="1"/>
    <cellStyle name="Colore 5" xfId="36" builtinId="45" customBuiltin="1"/>
    <cellStyle name="Colore 6" xfId="40" builtinId="49" customBuiltin="1"/>
    <cellStyle name="Input" xfId="11" builtinId="20" customBuiltin="1"/>
    <cellStyle name="Neutrale" xfId="10" builtinId="28" customBuiltin="1"/>
    <cellStyle name="Normale" xfId="0" builtinId="0"/>
    <cellStyle name="Normale 2" xfId="44" xr:uid="{27778937-7630-4778-9D2F-44E4FE67CB00}"/>
    <cellStyle name="Normale 3" xfId="2" xr:uid="{C9678C26-C0CC-42B8-9537-1CE70EBE5DBD}"/>
    <cellStyle name="Nota" xfId="17" builtinId="10" customBuiltin="1"/>
    <cellStyle name="Output" xfId="12" builtinId="21" customBuiltin="1"/>
    <cellStyle name="Percentuale" xfId="1" builtinId="5"/>
    <cellStyle name="Testo avviso" xfId="16" builtinId="11" customBuiltin="1"/>
    <cellStyle name="Testo descrittivo" xfId="18" builtinId="53" customBuiltin="1"/>
    <cellStyle name="Titolo" xfId="3" builtinId="15" customBuiltin="1"/>
    <cellStyle name="Titolo 1" xfId="4" builtinId="16" customBuiltin="1"/>
    <cellStyle name="Titolo 2" xfId="5" builtinId="17" customBuiltin="1"/>
    <cellStyle name="Titolo 3" xfId="6" builtinId="18" customBuiltin="1"/>
    <cellStyle name="Titolo 4" xfId="7" builtinId="19" customBuiltin="1"/>
    <cellStyle name="Totale" xfId="19" builtinId="25" customBuiltin="1"/>
    <cellStyle name="Valore non valido" xfId="9" builtinId="27" customBuiltin="1"/>
    <cellStyle name="Valore valido" xfId="8" builtinId="26" customBuiltin="1"/>
  </cellStyles>
  <dxfs count="0"/>
  <tableStyles count="0" defaultTableStyle="TableStyleMedium2" defaultPivotStyle="PivotStyleLight16"/>
  <colors>
    <mruColors>
      <color rgb="FFEFFFEB"/>
      <color rgb="FFFA8EF0"/>
      <color rgb="FFD5FFC9"/>
      <color rgb="FF98F2BC"/>
      <color rgb="FFFEE2FB"/>
      <color rgb="FFFFFFCC"/>
      <color rgb="FFD4F6FC"/>
      <color rgb="FFAD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EIOPA</a:t>
            </a:r>
            <a:r>
              <a:rPr lang="it-IT" baseline="0"/>
              <a:t> </a:t>
            </a:r>
            <a:r>
              <a:rPr lang="it-IT"/>
              <a:t>Term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800267577868753"/>
          <c:y val="0.11505460809040954"/>
          <c:w val="0.7509401576553425"/>
          <c:h val="0.74745278672972348"/>
        </c:manualLayout>
      </c:layout>
      <c:lineChart>
        <c:grouping val="standard"/>
        <c:varyColors val="0"/>
        <c:ser>
          <c:idx val="1"/>
          <c:order val="1"/>
          <c:tx>
            <c:strRef>
              <c:f>DATA!$Q$2</c:f>
              <c:strCache>
                <c:ptCount val="1"/>
                <c:pt idx="0">
                  <c:v>Discounts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DATA!$Q$4:$Q$54</c:f>
              <c:numCache>
                <c:formatCode>0.0000</c:formatCode>
                <c:ptCount val="51"/>
                <c:pt idx="0" formatCode="0.000">
                  <c:v>1</c:v>
                </c:pt>
                <c:pt idx="1">
                  <c:v>0.96605290105686192</c:v>
                </c:pt>
                <c:pt idx="2" formatCode="0.000">
                  <c:v>0.94195563634332247</c:v>
                </c:pt>
                <c:pt idx="3" formatCode="0.000">
                  <c:v>0.92095016751412118</c:v>
                </c:pt>
                <c:pt idx="4" formatCode="0.000">
                  <c:v>0.90112326459071324</c:v>
                </c:pt>
                <c:pt idx="5" formatCode="0.000">
                  <c:v>0.88174468672828576</c:v>
                </c:pt>
                <c:pt idx="6" formatCode="0.000">
                  <c:v>0.86219592102620657</c:v>
                </c:pt>
                <c:pt idx="7" formatCode="0.000">
                  <c:v>0.84258782390013232</c:v>
                </c:pt>
                <c:pt idx="8" formatCode="0.000">
                  <c:v>0.8229278065902943</c:v>
                </c:pt>
                <c:pt idx="9" formatCode="0.000">
                  <c:v>0.80326389514893914</c:v>
                </c:pt>
                <c:pt idx="10" formatCode="0.000">
                  <c:v>0.78348852098697153</c:v>
                </c:pt>
                <c:pt idx="11" formatCode="0.000">
                  <c:v>0.76320887666583503</c:v>
                </c:pt>
                <c:pt idx="12" formatCode="0.000">
                  <c:v>0.7446884743097516</c:v>
                </c:pt>
                <c:pt idx="13" formatCode="0.000">
                  <c:v>0.72615681422166578</c:v>
                </c:pt>
                <c:pt idx="14" formatCode="0.000">
                  <c:v>0.70782386801134656</c:v>
                </c:pt>
                <c:pt idx="15" formatCode="0.000">
                  <c:v>0.69066767586788669</c:v>
                </c:pt>
                <c:pt idx="16" formatCode="0.000">
                  <c:v>0.67509876092267385</c:v>
                </c:pt>
                <c:pt idx="17" formatCode="0.000">
                  <c:v>0.66091208289531456</c:v>
                </c:pt>
                <c:pt idx="18" formatCode="0.000">
                  <c:v>0.64727657622441392</c:v>
                </c:pt>
                <c:pt idx="19" formatCode="0.000">
                  <c:v>0.63405275958074014</c:v>
                </c:pt>
                <c:pt idx="20" formatCode="0.000">
                  <c:v>0.62048117992903384</c:v>
                </c:pt>
                <c:pt idx="21" formatCode="0.000">
                  <c:v>0.6065957554795236</c:v>
                </c:pt>
                <c:pt idx="22" formatCode="0.000">
                  <c:v>0.59232660750473454</c:v>
                </c:pt>
                <c:pt idx="23" formatCode="0.000">
                  <c:v>0.57787375637469418</c:v>
                </c:pt>
                <c:pt idx="24" formatCode="0.000">
                  <c:v>0.56320138825489219</c:v>
                </c:pt>
                <c:pt idx="25" formatCode="0.000">
                  <c:v>0.54854806158178593</c:v>
                </c:pt>
                <c:pt idx="26" formatCode="0.000">
                  <c:v>0.53390072310461201</c:v>
                </c:pt>
                <c:pt idx="27" formatCode="0.000">
                  <c:v>0.51924921182601946</c:v>
                </c:pt>
                <c:pt idx="28" formatCode="0.000">
                  <c:v>0.50472410428806347</c:v>
                </c:pt>
                <c:pt idx="29" formatCode="0.000">
                  <c:v>0.4904619960109568</c:v>
                </c:pt>
                <c:pt idx="30" formatCode="0.000">
                  <c:v>0.47646370067584193</c:v>
                </c:pt>
                <c:pt idx="31" formatCode="0.000">
                  <c:v>0.46258987582736716</c:v>
                </c:pt>
                <c:pt idx="32" formatCode="0.000">
                  <c:v>0.44898020595179028</c:v>
                </c:pt>
                <c:pt idx="33" formatCode="0.000">
                  <c:v>0.43563530089638075</c:v>
                </c:pt>
                <c:pt idx="34" formatCode="0.000">
                  <c:v>0.42255550600771608</c:v>
                </c:pt>
                <c:pt idx="35" formatCode="0.000">
                  <c:v>0.40988073390848667</c:v>
                </c:pt>
                <c:pt idx="36" formatCode="0.000">
                  <c:v>0.39747018785099697</c:v>
                </c:pt>
                <c:pt idx="37" formatCode="0.000">
                  <c:v>0.38532302185706202</c:v>
                </c:pt>
                <c:pt idx="38" formatCode="0.000">
                  <c:v>0.37343818647922677</c:v>
                </c:pt>
                <c:pt idx="39" formatCode="0.000">
                  <c:v>0.36195193998144004</c:v>
                </c:pt>
                <c:pt idx="40" formatCode="0.000">
                  <c:v>0.35072355328981913</c:v>
                </c:pt>
                <c:pt idx="41" formatCode="0.000">
                  <c:v>0.33988676611542634</c:v>
                </c:pt>
                <c:pt idx="42" formatCode="0.000">
                  <c:v>0.32930162970189297</c:v>
                </c:pt>
                <c:pt idx="43" formatCode="0.000">
                  <c:v>0.31896558558159949</c:v>
                </c:pt>
                <c:pt idx="44" formatCode="0.000">
                  <c:v>0.30900832177573911</c:v>
                </c:pt>
                <c:pt idx="45" formatCode="0.000">
                  <c:v>0.29929213083059825</c:v>
                </c:pt>
                <c:pt idx="46" formatCode="0.000">
                  <c:v>0.28994370460990576</c:v>
                </c:pt>
                <c:pt idx="47" formatCode="0.000">
                  <c:v>0.28082727798558388</c:v>
                </c:pt>
                <c:pt idx="48" formatCode="0.000">
                  <c:v>0.27193939918144983</c:v>
                </c:pt>
                <c:pt idx="49" formatCode="0.000">
                  <c:v>0.26340215020802865</c:v>
                </c:pt>
                <c:pt idx="50">
                  <c:v>0.2549593130089392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232E-4FD2-BFE4-717E5A294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249536"/>
        <c:axId val="846252776"/>
      </c:lineChart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Zero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DATA!$N$5:$N$54</c:f>
              <c:numCache>
                <c:formatCode>0.000%</c:formatCode>
                <c:ptCount val="50"/>
                <c:pt idx="0">
                  <c:v>3.4536683270235471E-2</c:v>
                </c:pt>
                <c:pt idx="1">
                  <c:v>2.9898550345863351E-2</c:v>
                </c:pt>
                <c:pt idx="2">
                  <c:v>2.7449783708099751E-2</c:v>
                </c:pt>
                <c:pt idx="3">
                  <c:v>2.6028305521127008E-2</c:v>
                </c:pt>
                <c:pt idx="4">
                  <c:v>2.5170547141944267E-2</c:v>
                </c:pt>
                <c:pt idx="5">
                  <c:v>2.4712124595133091E-2</c:v>
                </c:pt>
                <c:pt idx="6">
                  <c:v>2.4468197167211519E-2</c:v>
                </c:pt>
                <c:pt idx="7">
                  <c:v>2.4360850246257219E-2</c:v>
                </c:pt>
                <c:pt idx="8">
                  <c:v>2.4341331386158117E-2</c:v>
                </c:pt>
                <c:pt idx="9">
                  <c:v>2.4399886823535121E-2</c:v>
                </c:pt>
                <c:pt idx="10">
                  <c:v>2.4565775278567011E-2</c:v>
                </c:pt>
                <c:pt idx="11">
                  <c:v>2.4565775278567011E-2</c:v>
                </c:pt>
                <c:pt idx="12">
                  <c:v>2.4614560763919189E-2</c:v>
                </c:pt>
                <c:pt idx="13">
                  <c:v>2.4682856445219562E-2</c:v>
                </c:pt>
                <c:pt idx="14">
                  <c:v>2.4673100204884196E-2</c:v>
                </c:pt>
                <c:pt idx="15">
                  <c:v>2.4556017895887416E-2</c:v>
                </c:pt>
                <c:pt idx="16">
                  <c:v>2.4360850246257219E-2</c:v>
                </c:pt>
                <c:pt idx="17">
                  <c:v>2.4165644498780187E-2</c:v>
                </c:pt>
                <c:pt idx="18">
                  <c:v>2.3980163736996421E-2</c:v>
                </c:pt>
                <c:pt idx="19">
                  <c:v>2.3863000264527503E-2</c:v>
                </c:pt>
                <c:pt idx="20">
                  <c:v>2.3804413380161302E-2</c:v>
                </c:pt>
                <c:pt idx="21">
                  <c:v>2.3804413380161302E-2</c:v>
                </c:pt>
                <c:pt idx="22">
                  <c:v>2.3843471684450026E-2</c:v>
                </c:pt>
                <c:pt idx="23">
                  <c:v>2.3921583716671978E-2</c:v>
                </c:pt>
                <c:pt idx="24">
                  <c:v>2.4019215177511436E-2</c:v>
                </c:pt>
                <c:pt idx="25">
                  <c:v>2.4136360349799893E-2</c:v>
                </c:pt>
                <c:pt idx="26">
                  <c:v>2.4273012375390805E-2</c:v>
                </c:pt>
                <c:pt idx="27">
                  <c:v>2.4419404540743664E-2</c:v>
                </c:pt>
                <c:pt idx="28">
                  <c:v>2.4565775278567011E-2</c:v>
                </c:pt>
                <c:pt idx="29">
                  <c:v>2.4712124595133091E-2</c:v>
                </c:pt>
                <c:pt idx="30">
                  <c:v>2.4868206928880785E-2</c:v>
                </c:pt>
                <c:pt idx="31">
                  <c:v>2.5024264904735357E-2</c:v>
                </c:pt>
                <c:pt idx="32">
                  <c:v>2.5180298530298326E-2</c:v>
                </c:pt>
                <c:pt idx="33">
                  <c:v>2.5336307813167001E-2</c:v>
                </c:pt>
                <c:pt idx="34">
                  <c:v>2.548254441449891E-2</c:v>
                </c:pt>
                <c:pt idx="35">
                  <c:v>2.5628759633814266E-2</c:v>
                </c:pt>
                <c:pt idx="36">
                  <c:v>2.5774953477364682E-2</c:v>
                </c:pt>
                <c:pt idx="37">
                  <c:v>2.5921125951399046E-2</c:v>
                </c:pt>
                <c:pt idx="38">
                  <c:v>2.6057534319289598E-2</c:v>
                </c:pt>
                <c:pt idx="39">
                  <c:v>2.6193924082475131E-2</c:v>
                </c:pt>
                <c:pt idx="40">
                  <c:v>2.6320555065349444E-2</c:v>
                </c:pt>
                <c:pt idx="41">
                  <c:v>2.6447170014848229E-2</c:v>
                </c:pt>
                <c:pt idx="42">
                  <c:v>2.6573768935031109E-2</c:v>
                </c:pt>
                <c:pt idx="43">
                  <c:v>2.6690615253044576E-2</c:v>
                </c:pt>
                <c:pt idx="44">
                  <c:v>2.6807447919590902E-2</c:v>
                </c:pt>
                <c:pt idx="45">
                  <c:v>2.6914532540881435E-2</c:v>
                </c:pt>
                <c:pt idx="46">
                  <c:v>2.7021605696283663E-2</c:v>
                </c:pt>
                <c:pt idx="47">
                  <c:v>2.7128667388252696E-2</c:v>
                </c:pt>
                <c:pt idx="48">
                  <c:v>2.7225986253591527E-2</c:v>
                </c:pt>
                <c:pt idx="49">
                  <c:v>2.7333026067638905E-2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2E-4FD2-BFE4-717E5A294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251336"/>
        <c:axId val="846247376"/>
      </c:lineChart>
      <c:catAx>
        <c:axId val="84624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252776"/>
        <c:crosses val="autoZero"/>
        <c:auto val="1"/>
        <c:lblAlgn val="ctr"/>
        <c:lblOffset val="100"/>
        <c:noMultiLvlLbl val="0"/>
      </c:catAx>
      <c:valAx>
        <c:axId val="846252776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249536"/>
        <c:crosses val="autoZero"/>
        <c:crossBetween val="between"/>
      </c:valAx>
      <c:valAx>
        <c:axId val="846247376"/>
        <c:scaling>
          <c:orientation val="minMax"/>
          <c:min val="2.0000000000000004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ZeroRate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251336"/>
        <c:crosses val="max"/>
        <c:crossBetween val="between"/>
      </c:valAx>
      <c:catAx>
        <c:axId val="846251336"/>
        <c:scaling>
          <c:orientation val="minMax"/>
        </c:scaling>
        <c:delete val="1"/>
        <c:axPos val="b"/>
        <c:majorTickMark val="out"/>
        <c:minorTickMark val="none"/>
        <c:tickLblPos val="nextTo"/>
        <c:crossAx val="846247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2579218341704"/>
          <c:y val="0.12619239184754971"/>
          <c:w val="0.13125748290184694"/>
          <c:h val="9.7004574034934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</a:t>
            </a:r>
            <a:r>
              <a:rPr lang="en-US" baseline="0"/>
              <a:t> Porbabilies qx</a:t>
            </a:r>
            <a:r>
              <a:rPr lang="en-US"/>
              <a:t>(%) &amp;</a:t>
            </a:r>
            <a:r>
              <a:rPr lang="en-US" baseline="0"/>
              <a:t> Cumulative Survival Probabilities px(%)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736942042955758"/>
          <c:y val="0.12777086238544055"/>
          <c:w val="0.82641110061828538"/>
          <c:h val="0.71025651388818434"/>
        </c:manualLayout>
      </c:layout>
      <c:lineChart>
        <c:grouping val="standard"/>
        <c:varyColors val="0"/>
        <c:ser>
          <c:idx val="0"/>
          <c:order val="0"/>
          <c:tx>
            <c:strRef>
              <c:f>DATA!$G$3</c:f>
              <c:strCache>
                <c:ptCount val="1"/>
                <c:pt idx="0">
                  <c:v>qx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DATA!$E$4:$E$63</c:f>
              <c:numCache>
                <c:formatCode>General</c:formatCode>
                <c:ptCount val="6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</c:numCache>
            </c:numRef>
          </c:cat>
          <c:val>
            <c:numRef>
              <c:f>DATA!$G$4:$G$63</c:f>
              <c:numCache>
                <c:formatCode>0.000%</c:formatCode>
                <c:ptCount val="60"/>
                <c:pt idx="0">
                  <c:v>6.4678699999999997E-3</c:v>
                </c:pt>
                <c:pt idx="1">
                  <c:v>7.1002599999999997E-3</c:v>
                </c:pt>
                <c:pt idx="2">
                  <c:v>7.8151000000000002E-3</c:v>
                </c:pt>
                <c:pt idx="3">
                  <c:v>8.6648699999999999E-3</c:v>
                </c:pt>
                <c:pt idx="4">
                  <c:v>9.6527000000000002E-3</c:v>
                </c:pt>
                <c:pt idx="5">
                  <c:v>1.0795270000000001E-2</c:v>
                </c:pt>
                <c:pt idx="6">
                  <c:v>1.1728260000000001E-2</c:v>
                </c:pt>
                <c:pt idx="7">
                  <c:v>1.2797940000000001E-2</c:v>
                </c:pt>
                <c:pt idx="8">
                  <c:v>1.397499E-2</c:v>
                </c:pt>
                <c:pt idx="9">
                  <c:v>1.5660050000000002E-2</c:v>
                </c:pt>
                <c:pt idx="10">
                  <c:v>1.7473579999999999E-2</c:v>
                </c:pt>
                <c:pt idx="11">
                  <c:v>1.9737480000000002E-2</c:v>
                </c:pt>
                <c:pt idx="12">
                  <c:v>2.1721769999999998E-2</c:v>
                </c:pt>
                <c:pt idx="13">
                  <c:v>2.3921029999999999E-2</c:v>
                </c:pt>
                <c:pt idx="14">
                  <c:v>2.5978890000000001E-2</c:v>
                </c:pt>
                <c:pt idx="15">
                  <c:v>2.922232E-2</c:v>
                </c:pt>
                <c:pt idx="16">
                  <c:v>3.2869429999999998E-2</c:v>
                </c:pt>
                <c:pt idx="17">
                  <c:v>3.7547710000000005E-2</c:v>
                </c:pt>
                <c:pt idx="18">
                  <c:v>4.150015E-2</c:v>
                </c:pt>
                <c:pt idx="19">
                  <c:v>4.704303E-2</c:v>
                </c:pt>
                <c:pt idx="20">
                  <c:v>5.2770629999999999E-2</c:v>
                </c:pt>
                <c:pt idx="21">
                  <c:v>5.8951179999999999E-2</c:v>
                </c:pt>
                <c:pt idx="22">
                  <c:v>6.573641999999999E-2</c:v>
                </c:pt>
                <c:pt idx="23">
                  <c:v>7.2184380000000006E-2</c:v>
                </c:pt>
                <c:pt idx="24">
                  <c:v>8.1257309999999999E-2</c:v>
                </c:pt>
                <c:pt idx="25">
                  <c:v>9.2639579999999999E-2</c:v>
                </c:pt>
                <c:pt idx="26">
                  <c:v>0.10700140000000001</c:v>
                </c:pt>
                <c:pt idx="27">
                  <c:v>0.12226466000000001</c:v>
                </c:pt>
                <c:pt idx="28">
                  <c:v>0.13987938999999999</c:v>
                </c:pt>
                <c:pt idx="29">
                  <c:v>0.16003311000000001</c:v>
                </c:pt>
                <c:pt idx="30">
                  <c:v>0.18075868</c:v>
                </c:pt>
                <c:pt idx="31">
                  <c:v>0.20019365</c:v>
                </c:pt>
                <c:pt idx="32">
                  <c:v>0.22469547000000001</c:v>
                </c:pt>
                <c:pt idx="33">
                  <c:v>0.24599945000000001</c:v>
                </c:pt>
                <c:pt idx="34">
                  <c:v>0.27561788000000004</c:v>
                </c:pt>
                <c:pt idx="35">
                  <c:v>0.30556044000000004</c:v>
                </c:pt>
                <c:pt idx="36">
                  <c:v>0.33257691</c:v>
                </c:pt>
                <c:pt idx="37">
                  <c:v>0.35657767000000001</c:v>
                </c:pt>
                <c:pt idx="38">
                  <c:v>0.37908291000000005</c:v>
                </c:pt>
                <c:pt idx="39">
                  <c:v>0.40251482</c:v>
                </c:pt>
                <c:pt idx="40">
                  <c:v>0.43419751000000001</c:v>
                </c:pt>
                <c:pt idx="41">
                  <c:v>0.47489508999999996</c:v>
                </c:pt>
                <c:pt idx="42">
                  <c:v>0.50954043000000004</c:v>
                </c:pt>
                <c:pt idx="43">
                  <c:v>0.54443039999999998</c:v>
                </c:pt>
                <c:pt idx="44">
                  <c:v>0.57924222000000003</c:v>
                </c:pt>
                <c:pt idx="45">
                  <c:v>0.61364118000000001</c:v>
                </c:pt>
                <c:pt idx="46">
                  <c:v>0.64730123000000006</c:v>
                </c:pt>
                <c:pt idx="47">
                  <c:v>0.67990812</c:v>
                </c:pt>
                <c:pt idx="48">
                  <c:v>0.71117909999999995</c:v>
                </c:pt>
                <c:pt idx="49">
                  <c:v>0.74086099999999999</c:v>
                </c:pt>
                <c:pt idx="50">
                  <c:v>0.76874483999999998</c:v>
                </c:pt>
                <c:pt idx="51">
                  <c:v>0.79466567999999993</c:v>
                </c:pt>
                <c:pt idx="52">
                  <c:v>0.81850801000000006</c:v>
                </c:pt>
                <c:pt idx="53">
                  <c:v>0.84019901000000008</c:v>
                </c:pt>
                <c:pt idx="54">
                  <c:v>0.85971164999999994</c:v>
                </c:pt>
                <c:pt idx="55">
                  <c:v>0.87705601999999994</c:v>
                </c:pt>
                <c:pt idx="56">
                  <c:v>0.89227828999999992</c:v>
                </c:pt>
                <c:pt idx="57">
                  <c:v>0.90545023000000002</c:v>
                </c:pt>
                <c:pt idx="58">
                  <c:v>0.91666747999999998</c:v>
                </c:pt>
                <c:pt idx="59">
                  <c:v>0.92604048000000005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7-4E7C-ABAD-A28E42993C7B}"/>
            </c:ext>
          </c:extLst>
        </c:ser>
        <c:ser>
          <c:idx val="1"/>
          <c:order val="1"/>
          <c:tx>
            <c:strRef>
              <c:f>DATA!$H$3</c:f>
              <c:strCache>
                <c:ptCount val="1"/>
                <c:pt idx="0">
                  <c:v>px (cumulative)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DATA!$H$4:$H$63</c:f>
              <c:numCache>
                <c:formatCode>0.00%</c:formatCode>
                <c:ptCount val="60"/>
                <c:pt idx="0">
                  <c:v>0.99353212999999996</c:v>
                </c:pt>
                <c:pt idx="1">
                  <c:v>0.98647779355864618</c:v>
                </c:pt>
                <c:pt idx="2">
                  <c:v>0.97876837095420599</c:v>
                </c:pt>
                <c:pt idx="3">
                  <c:v>0.97028747025977602</c:v>
                </c:pt>
                <c:pt idx="4">
                  <c:v>0.9609215763955995</c:v>
                </c:pt>
                <c:pt idx="5">
                  <c:v>0.95054816852958335</c:v>
                </c:pt>
                <c:pt idx="6">
                  <c:v>0.93939989246654454</c:v>
                </c:pt>
                <c:pt idx="7">
                  <c:v>0.9273775090067512</c:v>
                </c:pt>
                <c:pt idx="8">
                  <c:v>0.91441741759215689</c:v>
                </c:pt>
                <c:pt idx="9">
                  <c:v>0.90009759511179277</c:v>
                </c:pt>
                <c:pt idx="10">
                  <c:v>0.88436966777579928</c:v>
                </c:pt>
                <c:pt idx="11">
                  <c:v>0.86691443914546784</c:v>
                </c:pt>
                <c:pt idx="12">
                  <c:v>0.84808352308867097</c:v>
                </c:pt>
                <c:pt idx="13">
                  <c:v>0.82779649169036118</c:v>
                </c:pt>
                <c:pt idx="14">
                  <c:v>0.80629125769035137</c:v>
                </c:pt>
                <c:pt idx="15">
                  <c:v>0.78272955654492149</c:v>
                </c:pt>
                <c:pt idx="16">
                  <c:v>0.75700168217713715</c:v>
                </c:pt>
                <c:pt idx="17">
                  <c:v>0.72857800254523786</c:v>
                </c:pt>
                <c:pt idx="18">
                  <c:v>0.69834190615291014</c:v>
                </c:pt>
                <c:pt idx="19">
                  <c:v>0.66548978691150162</c:v>
                </c:pt>
                <c:pt idx="20">
                  <c:v>0.63037147159761586</c:v>
                </c:pt>
                <c:pt idx="21">
                  <c:v>0.59321032950859998</c:v>
                </c:pt>
                <c:pt idx="22">
                  <c:v>0.55421480613968421</c:v>
                </c:pt>
                <c:pt idx="23">
                  <c:v>0.51420915397167088</c:v>
                </c:pt>
                <c:pt idx="24">
                  <c:v>0.47242590134255708</c:v>
                </c:pt>
                <c:pt idx="25">
                  <c:v>0.42866056426106119</c:v>
                </c:pt>
                <c:pt idx="26">
                  <c:v>0.38279328376033767</c:v>
                </c:pt>
                <c:pt idx="27">
                  <c:v>0.33599119307109643</c:v>
                </c:pt>
                <c:pt idx="28">
                  <c:v>0.28899294993893926</c:v>
                </c:pt>
                <c:pt idx="29">
                  <c:v>0.24274450939213651</c:v>
                </c:pt>
                <c:pt idx="30">
                  <c:v>0.1988663322971663</c:v>
                </c:pt>
                <c:pt idx="31">
                  <c:v>0.1590545553724837</c:v>
                </c:pt>
                <c:pt idx="32">
                  <c:v>0.12331571729742245</c:v>
                </c:pt>
                <c:pt idx="33">
                  <c:v>9.2980118665901043E-2</c:v>
                </c:pt>
                <c:pt idx="34">
                  <c:v>6.7353135477056972E-2</c:v>
                </c:pt>
                <c:pt idx="35">
                  <c:v>4.6772681765307828E-2</c:v>
                </c:pt>
                <c:pt idx="36">
                  <c:v>3.1217167791388403E-2</c:v>
                </c:pt>
                <c:pt idx="37">
                  <c:v>2.0085822836336076E-2</c:v>
                </c:pt>
                <c:pt idx="38">
                  <c:v>1.2471630665793342E-2</c:v>
                </c:pt>
                <c:pt idx="39">
                  <c:v>7.4516144932450555E-3</c:v>
                </c:pt>
                <c:pt idx="40">
                  <c:v>4.2161420347981409E-3</c:v>
                </c:pt>
                <c:pt idx="41">
                  <c:v>2.2139168837298946E-3</c:v>
                </c:pt>
                <c:pt idx="42">
                  <c:v>1.0858367228099039E-3</c:v>
                </c:pt>
                <c:pt idx="43">
                  <c:v>4.9467420147581884E-4</c:v>
                </c:pt>
                <c:pt idx="44">
                  <c:v>2.0813801883623825E-4</c:v>
                </c:pt>
                <c:pt idx="45">
                  <c:v>8.0415959354706781E-5</c:v>
                </c:pt>
                <c:pt idx="46">
                  <c:v>2.836260995277507E-5</c:v>
                </c:pt>
                <c:pt idx="47">
                  <c:v>9.0786411414904827E-6</c:v>
                </c:pt>
                <c:pt idx="48">
                  <c:v>2.622101305262309E-6</c:v>
                </c:pt>
                <c:pt idx="49">
                  <c:v>6.794887101443695E-7</c:v>
                </c:pt>
                <c:pt idx="50">
                  <c:v>1.5713527038262981E-7</c:v>
                </c:pt>
                <c:pt idx="51">
                  <c:v>3.2265263892033445E-8</c:v>
                </c:pt>
                <c:pt idx="52">
                  <c:v>5.8558869516402934E-9</c:v>
                </c:pt>
                <c:pt idx="53">
                  <c:v>9.3577653220020044E-10</c:v>
                </c:pt>
                <c:pt idx="54">
                  <c:v>1.3127854567108806E-10</c:v>
                </c:pt>
                <c:pt idx="55">
                  <c:v>1.6139906893415345E-11</c:v>
                </c:pt>
                <c:pt idx="56">
                  <c:v>1.73861836979949E-12</c:v>
                </c:pt>
                <c:pt idx="57">
                  <c:v>1.6438596698231669E-13</c:v>
                </c:pt>
                <c:pt idx="58">
                  <c:v>1.3698696881273249E-14</c:v>
                </c:pt>
                <c:pt idx="59">
                  <c:v>1.0131490459644658E-15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5-47EC-961A-FD6860FE2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234024"/>
        <c:axId val="875235104"/>
      </c:lineChart>
      <c:catAx>
        <c:axId val="87523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layout>
            <c:manualLayout>
              <c:xMode val="edge"/>
              <c:yMode val="edge"/>
              <c:x val="0.478433438494342"/>
              <c:y val="0.911402244946421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5235104"/>
        <c:crosses val="autoZero"/>
        <c:auto val="1"/>
        <c:lblAlgn val="ctr"/>
        <c:lblOffset val="100"/>
        <c:noMultiLvlLbl val="0"/>
      </c:catAx>
      <c:valAx>
        <c:axId val="8752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qx</a:t>
                </a:r>
              </a:p>
            </c:rich>
          </c:tx>
          <c:layout>
            <c:manualLayout>
              <c:xMode val="edge"/>
              <c:yMode val="edge"/>
              <c:x val="1.3823991202405779E-2"/>
              <c:y val="0.45671797740099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523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683448795019131"/>
          <c:y val="0.11820275628942802"/>
          <c:w val="0.42329123261951884"/>
          <c:h val="0.116265753238126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SCR Market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BSCR!$D$3:$D$5</c:f>
              <c:strCache>
                <c:ptCount val="3"/>
                <c:pt idx="0">
                  <c:v>Interest</c:v>
                </c:pt>
                <c:pt idx="1">
                  <c:v>Equity</c:v>
                </c:pt>
                <c:pt idx="2">
                  <c:v>Property</c:v>
                </c:pt>
              </c:strCache>
            </c:strRef>
          </c:cat>
          <c:val>
            <c:numRef>
              <c:f>BSCR!$E$3:$E$5</c:f>
              <c:numCache>
                <c:formatCode>0.00</c:formatCode>
                <c:ptCount val="3"/>
                <c:pt idx="0">
                  <c:v>362.36418511481315</c:v>
                </c:pt>
                <c:pt idx="1">
                  <c:v>3719.9299220280955</c:v>
                </c:pt>
                <c:pt idx="2">
                  <c:v>406.52873917744728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2-4B35-B4A4-F851DD1CD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2175576"/>
        <c:axId val="1272177376"/>
      </c:barChart>
      <c:catAx>
        <c:axId val="127217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7376"/>
        <c:crosses val="autoZero"/>
        <c:auto val="1"/>
        <c:lblAlgn val="ctr"/>
        <c:lblOffset val="100"/>
        <c:noMultiLvlLbl val="0"/>
      </c:catAx>
      <c:valAx>
        <c:axId val="1272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SCR Life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BSCR!$D$9:$D$12</c:f>
              <c:strCache>
                <c:ptCount val="4"/>
                <c:pt idx="0">
                  <c:v>Mortality</c:v>
                </c:pt>
                <c:pt idx="1">
                  <c:v>Lapse</c:v>
                </c:pt>
                <c:pt idx="2">
                  <c:v>Expanses</c:v>
                </c:pt>
                <c:pt idx="3">
                  <c:v>CAT</c:v>
                </c:pt>
              </c:strCache>
            </c:strRef>
          </c:cat>
          <c:val>
            <c:numRef>
              <c:f>BSCR!$E$9:$E$12</c:f>
              <c:numCache>
                <c:formatCode>0.00</c:formatCode>
                <c:ptCount val="4"/>
                <c:pt idx="0">
                  <c:v>30.615173293743283</c:v>
                </c:pt>
                <c:pt idx="1">
                  <c:v>1615.5617859531048</c:v>
                </c:pt>
                <c:pt idx="2">
                  <c:v>45.586205692146905</c:v>
                </c:pt>
                <c:pt idx="3">
                  <c:v>5.2121085712860804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9-4A94-AF77-F541186A15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2175576"/>
        <c:axId val="1272177376"/>
      </c:barChart>
      <c:catAx>
        <c:axId val="127217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7376"/>
        <c:crosses val="autoZero"/>
        <c:auto val="1"/>
        <c:lblAlgn val="ctr"/>
        <c:lblOffset val="100"/>
        <c:noMultiLvlLbl val="0"/>
      </c:catAx>
      <c:valAx>
        <c:axId val="1272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4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>
                <a:effectLst/>
              </a:rPr>
              <a:t>SCR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BSCR!$D$17:$D$18</c:f>
              <c:strCache>
                <c:ptCount val="2"/>
                <c:pt idx="0">
                  <c:v>Market</c:v>
                </c:pt>
                <c:pt idx="1">
                  <c:v>Life</c:v>
                </c:pt>
              </c:strCache>
            </c:strRef>
          </c:cat>
          <c:val>
            <c:numRef>
              <c:f>BSCR!$E$17:$E$18</c:f>
              <c:numCache>
                <c:formatCode>General</c:formatCode>
                <c:ptCount val="2"/>
                <c:pt idx="0">
                  <c:v>4230.6170359599555</c:v>
                </c:pt>
                <c:pt idx="1">
                  <c:v>1640.681692046207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6-4F61-903D-7C5EE1B2D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2175576"/>
        <c:axId val="1272177376"/>
      </c:barChart>
      <c:catAx>
        <c:axId val="127217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7376"/>
        <c:crosses val="autoZero"/>
        <c:auto val="1"/>
        <c:lblAlgn val="ctr"/>
        <c:lblOffset val="100"/>
        <c:noMultiLvlLbl val="0"/>
      </c:catAx>
      <c:valAx>
        <c:axId val="1272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7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3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BOF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826546304033759"/>
          <c:y val="0.17171296296296296"/>
          <c:w val="0.85592472559958976"/>
          <c:h val="0.592718358121901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RESULTS!$E$3</c:f>
              <c:strCache>
                <c:ptCount val="1"/>
                <c:pt idx="0">
                  <c:v>BoF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RESULTS!$B$4:$B$14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RESULTS!$E$4:$E$14</c:f>
              <c:numCache>
                <c:formatCode>0.00</c:formatCode>
                <c:ptCount val="11"/>
                <c:pt idx="0">
                  <c:v>4203.9622420271189</c:v>
                </c:pt>
                <c:pt idx="1">
                  <c:v>4222.9636261805426</c:v>
                </c:pt>
                <c:pt idx="2">
                  <c:v>3841.5980569123058</c:v>
                </c:pt>
                <c:pt idx="3">
                  <c:v>484.03231999902346</c:v>
                </c:pt>
                <c:pt idx="4">
                  <c:v>3797.4335028496716</c:v>
                </c:pt>
                <c:pt idx="5">
                  <c:v>4173.3470687333756</c:v>
                </c:pt>
                <c:pt idx="6">
                  <c:v>3023.0890871476586</c:v>
                </c:pt>
                <c:pt idx="7">
                  <c:v>6684.2773272667691</c:v>
                </c:pt>
                <c:pt idx="8">
                  <c:v>2588.4004560740141</c:v>
                </c:pt>
                <c:pt idx="9">
                  <c:v>4198.7501334558328</c:v>
                </c:pt>
                <c:pt idx="10">
                  <c:v>4158.376036334972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65-443F-BFC0-790FBEC1DD34}"/>
            </c:ext>
          </c:extLst>
        </c:ser>
        <c:ser>
          <c:idx val="1"/>
          <c:order val="1"/>
          <c:tx>
            <c:strRef>
              <c:f>RESULTS!$F$3</c:f>
              <c:strCache>
                <c:ptCount val="1"/>
                <c:pt idx="0">
                  <c:v>Delta_BoF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RESULTS!$B$4:$B$14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RESULTS!$F$4:$F$14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362.36418511481315</c:v>
                </c:pt>
                <c:pt idx="3">
                  <c:v>3719.9299220280955</c:v>
                </c:pt>
                <c:pt idx="4">
                  <c:v>406.52873917744728</c:v>
                </c:pt>
                <c:pt idx="5">
                  <c:v>30.615173293743283</c:v>
                </c:pt>
                <c:pt idx="6">
                  <c:v>1180.8731548794603</c:v>
                </c:pt>
                <c:pt idx="7">
                  <c:v>0</c:v>
                </c:pt>
                <c:pt idx="8">
                  <c:v>1615.5617859531048</c:v>
                </c:pt>
                <c:pt idx="9">
                  <c:v>5.2121085712860804</c:v>
                </c:pt>
                <c:pt idx="10">
                  <c:v>45.586205692146905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65-443F-BFC0-790FBEC1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180976"/>
        <c:axId val="1272181336"/>
      </c:barChart>
      <c:catAx>
        <c:axId val="127218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1336"/>
        <c:crosses val="autoZero"/>
        <c:auto val="1"/>
        <c:lblAlgn val="ctr"/>
        <c:lblOffset val="100"/>
        <c:noMultiLvlLbl val="0"/>
      </c:catAx>
      <c:valAx>
        <c:axId val="127218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23733889014332"/>
          <c:y val="8.4318042137508153E-2"/>
          <c:w val="0.22393744665682164"/>
          <c:h val="0.10580482201844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FFEB"/>
    </a:solidFill>
    <a:ln w="285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BEL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RESULTS!$D$18</c:f>
              <c:strCache>
                <c:ptCount val="1"/>
                <c:pt idx="0">
                  <c:v>Lapse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RESULTS!$B$19:$B$29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RESULTS!$D$19:$D$29</c:f>
              <c:numCache>
                <c:formatCode>0.00</c:formatCode>
                <c:ptCount val="11"/>
                <c:pt idx="0">
                  <c:v>81227.100451071048</c:v>
                </c:pt>
                <c:pt idx="1">
                  <c:v>81228.124375782674</c:v>
                </c:pt>
                <c:pt idx="2">
                  <c:v>81226.192601499526</c:v>
                </c:pt>
                <c:pt idx="3">
                  <c:v>52467.05325486623</c:v>
                </c:pt>
                <c:pt idx="4">
                  <c:v>77164.94689228505</c:v>
                </c:pt>
                <c:pt idx="5">
                  <c:v>80499.870262966491</c:v>
                </c:pt>
                <c:pt idx="6">
                  <c:v>87486.706767610958</c:v>
                </c:pt>
                <c:pt idx="7">
                  <c:v>64525.803690137189</c:v>
                </c:pt>
                <c:pt idx="8">
                  <c:v>88719.404343306102</c:v>
                </c:pt>
                <c:pt idx="9">
                  <c:v>81104.466620722174</c:v>
                </c:pt>
                <c:pt idx="10">
                  <c:v>81227.100451071048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A1-46C8-B771-FE35762947B9}"/>
            </c:ext>
          </c:extLst>
        </c:ser>
        <c:ser>
          <c:idx val="1"/>
          <c:order val="1"/>
          <c:tx>
            <c:strRef>
              <c:f>RESULTS!$E$18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RESULTS!$B$19:$B$29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RESULTS!$E$19:$E$29</c:f>
              <c:numCache>
                <c:formatCode>0.00</c:formatCode>
                <c:ptCount val="11"/>
                <c:pt idx="0">
                  <c:v>6428.6259520095427</c:v>
                </c:pt>
                <c:pt idx="1">
                  <c:v>6428.6259520095418</c:v>
                </c:pt>
                <c:pt idx="2">
                  <c:v>6774.2895950654083</c:v>
                </c:pt>
                <c:pt idx="3">
                  <c:v>6285.8334809230773</c:v>
                </c:pt>
                <c:pt idx="4">
                  <c:v>6289.5724322725591</c:v>
                </c:pt>
                <c:pt idx="5">
                  <c:v>7246.6768298811658</c:v>
                </c:pt>
                <c:pt idx="6">
                  <c:v>3665.2089407307176</c:v>
                </c:pt>
                <c:pt idx="7">
                  <c:v>15750.1208109377</c:v>
                </c:pt>
                <c:pt idx="8">
                  <c:v>3701.064415063875</c:v>
                </c:pt>
                <c:pt idx="9">
                  <c:v>13133.150502430761</c:v>
                </c:pt>
                <c:pt idx="10">
                  <c:v>6428.6259520095427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A1-46C8-B771-FE35762947B9}"/>
            </c:ext>
          </c:extLst>
        </c:ser>
        <c:ser>
          <c:idx val="2"/>
          <c:order val="2"/>
          <c:tx>
            <c:strRef>
              <c:f>RESULTS!$F$18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RESULTS!$B$19:$B$29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RESULTS!$F$19:$F$29</c:f>
              <c:numCache>
                <c:formatCode>0.00</c:formatCode>
                <c:ptCount val="11"/>
                <c:pt idx="0">
                  <c:v>295.02770890188486</c:v>
                </c:pt>
                <c:pt idx="1">
                  <c:v>275.00240003687668</c:v>
                </c:pt>
                <c:pt idx="2">
                  <c:v>312.63610053237272</c:v>
                </c:pt>
                <c:pt idx="3">
                  <c:v>295.02770890188486</c:v>
                </c:pt>
                <c:pt idx="4">
                  <c:v>295.02770890188486</c:v>
                </c:pt>
                <c:pt idx="5">
                  <c:v>292.52702560184611</c:v>
                </c:pt>
                <c:pt idx="6">
                  <c:v>205.36090171300387</c:v>
                </c:pt>
                <c:pt idx="7">
                  <c:v>496.15969074908526</c:v>
                </c:pt>
                <c:pt idx="8">
                  <c:v>178.92179650233578</c:v>
                </c:pt>
                <c:pt idx="9">
                  <c:v>294.65521204486453</c:v>
                </c:pt>
                <c:pt idx="10">
                  <c:v>340.61391459402245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9A1-46C8-B771-FE35762947B9}"/>
            </c:ext>
          </c:extLst>
        </c:ser>
        <c:ser>
          <c:idx val="3"/>
          <c:order val="3"/>
          <c:tx>
            <c:strRef>
              <c:f>RESULTS!$G$18</c:f>
              <c:strCache>
                <c:ptCount val="1"/>
                <c:pt idx="0">
                  <c:v>Commissions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RESULTS!$B$19:$B$29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RESULTS!$G$19:$G$29</c:f>
              <c:numCache>
                <c:formatCode>0.00</c:formatCode>
                <c:ptCount val="11"/>
                <c:pt idx="0">
                  <c:v>7845.2836459903638</c:v>
                </c:pt>
                <c:pt idx="1">
                  <c:v>7845.2836459903629</c:v>
                </c:pt>
                <c:pt idx="2">
                  <c:v>7845.2836459903638</c:v>
                </c:pt>
                <c:pt idx="3">
                  <c:v>5068.0532353097733</c:v>
                </c:pt>
                <c:pt idx="4">
                  <c:v>7453.0194636908445</c:v>
                </c:pt>
                <c:pt idx="5">
                  <c:v>7787.5788128170598</c:v>
                </c:pt>
                <c:pt idx="6">
                  <c:v>5619.6343027976</c:v>
                </c:pt>
                <c:pt idx="7">
                  <c:v>12543.638480909294</c:v>
                </c:pt>
                <c:pt idx="8">
                  <c:v>4812.2089890537236</c:v>
                </c:pt>
                <c:pt idx="9">
                  <c:v>7835.552782561731</c:v>
                </c:pt>
                <c:pt idx="10">
                  <c:v>7845.2836459903638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9A1-46C8-B771-FE3576294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83989840"/>
        <c:axId val="1183997400"/>
      </c:barChart>
      <c:catAx>
        <c:axId val="118398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997400"/>
        <c:crosses val="autoZero"/>
        <c:auto val="1"/>
        <c:lblAlgn val="ctr"/>
        <c:lblOffset val="100"/>
        <c:noMultiLvlLbl val="0"/>
      </c:catAx>
      <c:valAx>
        <c:axId val="118399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9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FFEB"/>
    </a:solidFill>
    <a:ln w="285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826546304033759"/>
          <c:y val="0.17171296296296296"/>
          <c:w val="0.87658050515861818"/>
          <c:h val="0.70224010216813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RESULTS!$G$3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RESULTS!$B$4:$B$14</c:f>
              <c:strCache>
                <c:ptCount val="11"/>
                <c:pt idx="0">
                  <c:v>Basic</c:v>
                </c:pt>
                <c:pt idx="1">
                  <c:v>Rates Up</c:v>
                </c:pt>
                <c:pt idx="2">
                  <c:v>Rates Down</c:v>
                </c:pt>
                <c:pt idx="3">
                  <c:v>Equity</c:v>
                </c:pt>
                <c:pt idx="4">
                  <c:v>Property</c:v>
                </c:pt>
                <c:pt idx="5">
                  <c:v>Mortality</c:v>
                </c:pt>
                <c:pt idx="6">
                  <c:v>Lapse Up</c:v>
                </c:pt>
                <c:pt idx="7">
                  <c:v>Lapse Down</c:v>
                </c:pt>
                <c:pt idx="8">
                  <c:v>Lapse Mass</c:v>
                </c:pt>
                <c:pt idx="9">
                  <c:v>CAT</c:v>
                </c:pt>
                <c:pt idx="10">
                  <c:v>Expense</c:v>
                </c:pt>
              </c:strCache>
            </c:strRef>
          </c:cat>
          <c:val>
            <c:numRef>
              <c:f>RESULTS!$G$4:$G$14</c:f>
              <c:numCache>
                <c:formatCode>0.0000</c:formatCode>
                <c:ptCount val="11"/>
                <c:pt idx="0">
                  <c:v>5.6135512817251243</c:v>
                </c:pt>
                <c:pt idx="1">
                  <c:v>5.6129510428660039</c:v>
                </c:pt>
                <c:pt idx="2">
                  <c:v>5.64023576424675</c:v>
                </c:pt>
                <c:pt idx="3">
                  <c:v>5.716564960999734</c:v>
                </c:pt>
                <c:pt idx="4">
                  <c:v>5.6155706157253391</c:v>
                </c:pt>
                <c:pt idx="5">
                  <c:v>5.5728380330922249</c:v>
                </c:pt>
                <c:pt idx="6">
                  <c:v>4.0159881541028293</c:v>
                </c:pt>
                <c:pt idx="7">
                  <c:v>9.0348499053145943</c:v>
                </c:pt>
                <c:pt idx="8">
                  <c:v>3.4019602289577402</c:v>
                </c:pt>
                <c:pt idx="9">
                  <c:v>5.6063352803375102</c:v>
                </c:pt>
                <c:pt idx="10">
                  <c:v>5.6145416088453928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B-470E-B63D-C06BAE3A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180976"/>
        <c:axId val="1272181336"/>
      </c:barChart>
      <c:catAx>
        <c:axId val="127218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1336"/>
        <c:crosses val="autoZero"/>
        <c:auto val="1"/>
        <c:lblAlgn val="ctr"/>
        <c:lblOffset val="100"/>
        <c:noMultiLvlLbl val="0"/>
      </c:catAx>
      <c:valAx>
        <c:axId val="127218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Years</a:t>
                </a:r>
              </a:p>
            </c:rich>
          </c:tx>
          <c:layout>
            <c:manualLayout>
              <c:xMode val="edge"/>
              <c:yMode val="edge"/>
              <c:x val="1.4256340130377639E-2"/>
              <c:y val="0.3982169967413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FFEB"/>
    </a:solidFill>
    <a:ln w="285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SCR &amp; BSCR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826546304033759"/>
          <c:y val="0.17171296296296296"/>
          <c:w val="0.85592472559958976"/>
          <c:h val="0.592718358121901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RESULTS!$B$37:$B$39</c:f>
              <c:strCache>
                <c:ptCount val="3"/>
                <c:pt idx="0">
                  <c:v>SCR Market</c:v>
                </c:pt>
                <c:pt idx="1">
                  <c:v>SCR Life</c:v>
                </c:pt>
                <c:pt idx="2">
                  <c:v>BSCR</c:v>
                </c:pt>
              </c:strCache>
            </c:strRef>
          </c:cat>
          <c:val>
            <c:numRef>
              <c:f>RESULTS!$C$37:$C$39</c:f>
              <c:numCache>
                <c:formatCode>0.00</c:formatCode>
                <c:ptCount val="3"/>
                <c:pt idx="0">
                  <c:v>4230.6170359599555</c:v>
                </c:pt>
                <c:pt idx="1">
                  <c:v>1640.681692046207</c:v>
                </c:pt>
                <c:pt idx="2">
                  <c:v>4905.1508517118364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25-4D27-A538-ABE38C6FDD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2180976"/>
        <c:axId val="1272181336"/>
      </c:barChart>
      <c:catAx>
        <c:axId val="127218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1336"/>
        <c:crosses val="autoZero"/>
        <c:auto val="1"/>
        <c:lblAlgn val="ctr"/>
        <c:lblOffset val="100"/>
        <c:noMultiLvlLbl val="0"/>
      </c:catAx>
      <c:valAx>
        <c:axId val="127218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218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FFFEB"/>
    </a:solidFill>
    <a:ln w="285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Deterministic</a:t>
            </a:r>
            <a:r>
              <a:rPr lang="it-IT" baseline="0"/>
              <a:t> evolution of the fund value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815692226025764"/>
          <c:y val="0.10433192686357243"/>
          <c:w val="0.81857981883638786"/>
          <c:h val="0.82195488222200075"/>
        </c:manualLayout>
      </c:layout>
      <c:lineChart>
        <c:grouping val="standard"/>
        <c:varyColors val="0"/>
        <c:ser>
          <c:idx val="1"/>
          <c:order val="0"/>
          <c:tx>
            <c:v>Basic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Rates_Basic!$G$2:$G$52</c:f>
              <c:numCache>
                <c:formatCode>0.00</c:formatCode>
                <c:ptCount val="51"/>
                <c:pt idx="0">
                  <c:v>100000</c:v>
                </c:pt>
                <c:pt idx="1">
                  <c:v>101236.692</c:v>
                </c:pt>
                <c:pt idx="2">
                  <c:v>101542.36177332903</c:v>
                </c:pt>
                <c:pt idx="3">
                  <c:v>101573.50364841067</c:v>
                </c:pt>
                <c:pt idx="4">
                  <c:v>101524.58361748398</c:v>
                </c:pt>
                <c:pt idx="5">
                  <c:v>101473.21550031469</c:v>
                </c:pt>
                <c:pt idx="6">
                  <c:v>101490.91426807977</c:v>
                </c:pt>
                <c:pt idx="7">
                  <c:v>101567.977515223</c:v>
                </c:pt>
                <c:pt idx="8">
                  <c:v>101706.59172877399</c:v>
                </c:pt>
                <c:pt idx="9">
                  <c:v>101904.05037203881</c:v>
                </c:pt>
                <c:pt idx="10">
                  <c:v>102177.64997363155</c:v>
                </c:pt>
                <c:pt idx="11">
                  <c:v>102585.02999725792</c:v>
                </c:pt>
                <c:pt idx="12">
                  <c:v>102823.32066003734</c:v>
                </c:pt>
                <c:pt idx="13">
                  <c:v>103127.54876061583</c:v>
                </c:pt>
                <c:pt idx="14">
                  <c:v>103471.02801492599</c:v>
                </c:pt>
                <c:pt idx="15">
                  <c:v>103708.34192369325</c:v>
                </c:pt>
                <c:pt idx="16">
                  <c:v>103765.83035072859</c:v>
                </c:pt>
                <c:pt idx="17">
                  <c:v>103661.3450292019</c:v>
                </c:pt>
                <c:pt idx="18">
                  <c:v>103516.47987899935</c:v>
                </c:pt>
                <c:pt idx="19">
                  <c:v>103350.56231484187</c:v>
                </c:pt>
                <c:pt idx="20">
                  <c:v>103287.67045601258</c:v>
                </c:pt>
                <c:pt idx="21">
                  <c:v>103327.65741678022</c:v>
                </c:pt>
                <c:pt idx="22">
                  <c:v>103488.85062890354</c:v>
                </c:pt>
                <c:pt idx="23">
                  <c:v>103743.45045173459</c:v>
                </c:pt>
                <c:pt idx="24">
                  <c:v>104104.33115306971</c:v>
                </c:pt>
                <c:pt idx="25">
                  <c:v>104533.78721123027</c:v>
                </c:pt>
                <c:pt idx="26">
                  <c:v>105038.79125474684</c:v>
                </c:pt>
                <c:pt idx="27">
                  <c:v>105626.58363362512</c:v>
                </c:pt>
                <c:pt idx="28">
                  <c:v>106275.6789250328</c:v>
                </c:pt>
                <c:pt idx="29">
                  <c:v>106960.00821458982</c:v>
                </c:pt>
                <c:pt idx="30">
                  <c:v>107680.19269634013</c:v>
                </c:pt>
                <c:pt idx="31">
                  <c:v>108469.68395840234</c:v>
                </c:pt>
                <c:pt idx="32">
                  <c:v>109298.99241635308</c:v>
                </c:pt>
                <c:pt idx="33">
                  <c:v>110168.93299488098</c:v>
                </c:pt>
                <c:pt idx="34">
                  <c:v>111080.36489709969</c:v>
                </c:pt>
                <c:pt idx="35">
                  <c:v>111995.97434930738</c:v>
                </c:pt>
                <c:pt idx="36">
                  <c:v>112952.07466069472</c:v>
                </c:pt>
                <c:pt idx="37">
                  <c:v>113949.56447345592</c:v>
                </c:pt>
                <c:pt idx="38">
                  <c:v>114989.38642448734</c:v>
                </c:pt>
                <c:pt idx="39">
                  <c:v>116028.43327320533</c:v>
                </c:pt>
                <c:pt idx="40">
                  <c:v>117108.72670974002</c:v>
                </c:pt>
                <c:pt idx="41">
                  <c:v>118184.0289323925</c:v>
                </c:pt>
                <c:pt idx="42">
                  <c:v>119299.33451310196</c:v>
                </c:pt>
                <c:pt idx="43">
                  <c:v>120455.58134854426</c:v>
                </c:pt>
                <c:pt idx="44">
                  <c:v>121601.64087027364</c:v>
                </c:pt>
                <c:pt idx="45">
                  <c:v>122787.22013559645</c:v>
                </c:pt>
                <c:pt idx="46">
                  <c:v>123957.7363093099</c:v>
                </c:pt>
                <c:pt idx="47">
                  <c:v>125166.14730785093</c:v>
                </c:pt>
                <c:pt idx="48">
                  <c:v>126413.33709681315</c:v>
                </c:pt>
                <c:pt idx="49">
                  <c:v>127639.34553847401</c:v>
                </c:pt>
                <c:pt idx="50">
                  <c:v>128964.99900505773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4-44A3-A097-E5D80AA89B8C}"/>
            </c:ext>
          </c:extLst>
        </c:ser>
        <c:ser>
          <c:idx val="0"/>
          <c:order val="1"/>
          <c:tx>
            <c:v>UP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Rates_Up!$G$2:$G$52</c:f>
              <c:numCache>
                <c:formatCode>0.00</c:formatCode>
                <c:ptCount val="51"/>
                <c:pt idx="0">
                  <c:v>100000</c:v>
                </c:pt>
                <c:pt idx="1">
                  <c:v>103642.57199999999</c:v>
                </c:pt>
                <c:pt idx="2">
                  <c:v>105773.984483904</c:v>
                </c:pt>
                <c:pt idx="3">
                  <c:v>106945.65129257613</c:v>
                </c:pt>
                <c:pt idx="4">
                  <c:v>107822.5478665344</c:v>
                </c:pt>
                <c:pt idx="5">
                  <c:v>108601.952118623</c:v>
                </c:pt>
                <c:pt idx="6">
                  <c:v>109469.3551741877</c:v>
                </c:pt>
                <c:pt idx="7">
                  <c:v>110295.91387622754</c:v>
                </c:pt>
                <c:pt idx="8">
                  <c:v>111282.58022733727</c:v>
                </c:pt>
                <c:pt idx="9">
                  <c:v>112027.62485768792</c:v>
                </c:pt>
                <c:pt idx="10">
                  <c:v>113001.90413478203</c:v>
                </c:pt>
                <c:pt idx="11">
                  <c:v>114148.75339671783</c:v>
                </c:pt>
                <c:pt idx="12">
                  <c:v>115530.27977825284</c:v>
                </c:pt>
                <c:pt idx="13">
                  <c:v>117001.9904731812</c:v>
                </c:pt>
                <c:pt idx="14">
                  <c:v>118535.95928382641</c:v>
                </c:pt>
                <c:pt idx="15">
                  <c:v>119967.10673500376</c:v>
                </c:pt>
                <c:pt idx="16">
                  <c:v>121206.88424372151</c:v>
                </c:pt>
                <c:pt idx="17">
                  <c:v>122270.23419506449</c:v>
                </c:pt>
                <c:pt idx="18">
                  <c:v>123295.15940757687</c:v>
                </c:pt>
                <c:pt idx="19">
                  <c:v>124303.35996765297</c:v>
                </c:pt>
                <c:pt idx="20">
                  <c:v>125443.40143996409</c:v>
                </c:pt>
                <c:pt idx="21">
                  <c:v>126718.80139834275</c:v>
                </c:pt>
                <c:pt idx="22">
                  <c:v>128155.79514057598</c:v>
                </c:pt>
                <c:pt idx="23">
                  <c:v>129724.44295569333</c:v>
                </c:pt>
                <c:pt idx="24">
                  <c:v>131444.40375432462</c:v>
                </c:pt>
                <c:pt idx="25">
                  <c:v>133272.16698171111</c:v>
                </c:pt>
                <c:pt idx="26">
                  <c:v>135219.40252482818</c:v>
                </c:pt>
                <c:pt idx="27">
                  <c:v>137298.52140666347</c:v>
                </c:pt>
                <c:pt idx="28">
                  <c:v>139485.0154712513</c:v>
                </c:pt>
                <c:pt idx="29">
                  <c:v>141747.33765628128</c:v>
                </c:pt>
                <c:pt idx="30">
                  <c:v>144088.02875962932</c:v>
                </c:pt>
                <c:pt idx="31">
                  <c:v>146553.62060565953</c:v>
                </c:pt>
                <c:pt idx="32">
                  <c:v>149107.37823340256</c:v>
                </c:pt>
                <c:pt idx="33">
                  <c:v>151752.4161755261</c:v>
                </c:pt>
                <c:pt idx="34">
                  <c:v>154491.98835607132</c:v>
                </c:pt>
                <c:pt idx="35">
                  <c:v>157276.34220357993</c:v>
                </c:pt>
                <c:pt idx="36">
                  <c:v>160157.13928547039</c:v>
                </c:pt>
                <c:pt idx="37">
                  <c:v>163137.81588403034</c:v>
                </c:pt>
                <c:pt idx="38">
                  <c:v>166221.95853715221</c:v>
                </c:pt>
                <c:pt idx="39">
                  <c:v>169349.5726129158</c:v>
                </c:pt>
                <c:pt idx="40">
                  <c:v>172582.53237367264</c:v>
                </c:pt>
                <c:pt idx="41">
                  <c:v>175855.03487876549</c:v>
                </c:pt>
                <c:pt idx="42">
                  <c:v>179234.4218062993</c:v>
                </c:pt>
                <c:pt idx="43">
                  <c:v>182724.44577571849</c:v>
                </c:pt>
                <c:pt idx="44">
                  <c:v>186249.9767424755</c:v>
                </c:pt>
                <c:pt idx="45">
                  <c:v>189887.35806441124</c:v>
                </c:pt>
                <c:pt idx="46">
                  <c:v>193554.60844880581</c:v>
                </c:pt>
                <c:pt idx="47">
                  <c:v>197334.43037177616</c:v>
                </c:pt>
                <c:pt idx="48">
                  <c:v>201230.63064149159</c:v>
                </c:pt>
                <c:pt idx="49">
                  <c:v>205150.26170304473</c:v>
                </c:pt>
                <c:pt idx="50">
                  <c:v>209287.27978772685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4-44A3-A097-E5D80AA89B8C}"/>
            </c:ext>
          </c:extLst>
        </c:ser>
        <c:ser>
          <c:idx val="2"/>
          <c:order val="2"/>
          <c:tx>
            <c:v>DOWN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Rates_Down!$G$2:$G$52</c:f>
              <c:numCache>
                <c:formatCode>0.00</c:formatCode>
                <c:ptCount val="51"/>
                <c:pt idx="0">
                  <c:v>100000</c:v>
                </c:pt>
                <c:pt idx="1">
                  <c:v>98659.662000000011</c:v>
                </c:pt>
                <c:pt idx="2">
                  <c:v>97690.75966340497</c:v>
                </c:pt>
                <c:pt idx="3">
                  <c:v>97024.166527933528</c:v>
                </c:pt>
                <c:pt idx="4">
                  <c:v>96409.315205136008</c:v>
                </c:pt>
                <c:pt idx="5">
                  <c:v>95800.99729217228</c:v>
                </c:pt>
                <c:pt idx="6">
                  <c:v>95404.996963018057</c:v>
                </c:pt>
                <c:pt idx="7">
                  <c:v>95052.539909066167</c:v>
                </c:pt>
                <c:pt idx="8">
                  <c:v>94865.456140640861</c:v>
                </c:pt>
                <c:pt idx="9">
                  <c:v>94853.768894747307</c:v>
                </c:pt>
                <c:pt idx="10">
                  <c:v>94791.389124190711</c:v>
                </c:pt>
                <c:pt idx="11">
                  <c:v>94663.688855070897</c:v>
                </c:pt>
                <c:pt idx="12">
                  <c:v>94471.043369776147</c:v>
                </c:pt>
                <c:pt idx="13">
                  <c:v>94361.20026396442</c:v>
                </c:pt>
                <c:pt idx="14">
                  <c:v>94005.471619010757</c:v>
                </c:pt>
                <c:pt idx="15">
                  <c:v>93936.66256722383</c:v>
                </c:pt>
                <c:pt idx="16">
                  <c:v>93047.242351626381</c:v>
                </c:pt>
                <c:pt idx="17">
                  <c:v>92412.764311449195</c:v>
                </c:pt>
                <c:pt idx="18">
                  <c:v>91741.106992673158</c:v>
                </c:pt>
                <c:pt idx="19">
                  <c:v>90657.195090200141</c:v>
                </c:pt>
                <c:pt idx="20">
                  <c:v>90048.641312095584</c:v>
                </c:pt>
                <c:pt idx="21">
                  <c:v>89540.948941499038</c:v>
                </c:pt>
                <c:pt idx="22">
                  <c:v>89148.234469939634</c:v>
                </c:pt>
                <c:pt idx="23">
                  <c:v>88804.369768219636</c:v>
                </c:pt>
                <c:pt idx="24">
                  <c:v>88514.014934907813</c:v>
                </c:pt>
                <c:pt idx="25">
                  <c:v>88303.543887335123</c:v>
                </c:pt>
                <c:pt idx="26">
                  <c:v>88112.598370922889</c:v>
                </c:pt>
                <c:pt idx="27">
                  <c:v>88011.075028235777</c:v>
                </c:pt>
                <c:pt idx="28">
                  <c:v>87933.814373328249</c:v>
                </c:pt>
                <c:pt idx="29">
                  <c:v>87880.747707956107</c:v>
                </c:pt>
                <c:pt idx="30">
                  <c:v>87851.826322348803</c:v>
                </c:pt>
                <c:pt idx="31">
                  <c:v>87847.021421440455</c:v>
                </c:pt>
                <c:pt idx="32">
                  <c:v>87893.938308772515</c:v>
                </c:pt>
                <c:pt idx="33">
                  <c:v>87966.729108872125</c:v>
                </c:pt>
                <c:pt idx="34">
                  <c:v>88065.452346163438</c:v>
                </c:pt>
                <c:pt idx="35">
                  <c:v>88159.898425339954</c:v>
                </c:pt>
                <c:pt idx="36">
                  <c:v>88309.839881116612</c:v>
                </c:pt>
                <c:pt idx="37">
                  <c:v>88453.895206443762</c:v>
                </c:pt>
                <c:pt idx="38">
                  <c:v>88622.469295394199</c:v>
                </c:pt>
                <c:pt idx="39">
                  <c:v>88815.696361674709</c:v>
                </c:pt>
                <c:pt idx="40">
                  <c:v>89033.731152701876</c:v>
                </c:pt>
                <c:pt idx="41">
                  <c:v>89240.858829927354</c:v>
                </c:pt>
                <c:pt idx="42">
                  <c:v>89471.219841988932</c:v>
                </c:pt>
                <c:pt idx="43">
                  <c:v>89724.987139900477</c:v>
                </c:pt>
                <c:pt idx="44">
                  <c:v>89963.53753160515</c:v>
                </c:pt>
                <c:pt idx="45">
                  <c:v>90223.893046372468</c:v>
                </c:pt>
                <c:pt idx="46">
                  <c:v>90506.235433820417</c:v>
                </c:pt>
                <c:pt idx="47">
                  <c:v>90810.76246046387</c:v>
                </c:pt>
                <c:pt idx="48">
                  <c:v>91137.688140289261</c:v>
                </c:pt>
                <c:pt idx="49">
                  <c:v>91443.33111668349</c:v>
                </c:pt>
                <c:pt idx="50">
                  <c:v>91769.726008612226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64-44A3-A097-E5D80AA89B8C}"/>
            </c:ext>
          </c:extLst>
        </c:ser>
        <c:ser>
          <c:idx val="3"/>
          <c:order val="3"/>
          <c:tx>
            <c:v>Equity</c:v>
          </c:tx>
          <c:spPr>
            <a:ln w="28575" cap="rnd">
              <a:solidFill>
                <a:srgbClr val="FA8EF0"/>
              </a:solidFill>
              <a:round/>
            </a:ln>
            <a:effectLst/>
          </c:spPr>
          <c:marker>
            <c:symbol val="none"/>
          </c:marker>
          <c:val>
            <c:numRef>
              <c:f>Equity_Shock!$G$2:$G$52</c:f>
              <c:numCache>
                <c:formatCode>0.00</c:formatCode>
                <c:ptCount val="51"/>
                <c:pt idx="0">
                  <c:v>64600</c:v>
                </c:pt>
                <c:pt idx="1">
                  <c:v>65398.903031999995</c:v>
                </c:pt>
                <c:pt idx="2">
                  <c:v>65596.365705570541</c:v>
                </c:pt>
                <c:pt idx="3">
                  <c:v>65616.483356873272</c:v>
                </c:pt>
                <c:pt idx="4">
                  <c:v>65584.881016894622</c:v>
                </c:pt>
                <c:pt idx="5">
                  <c:v>65551.697213203268</c:v>
                </c:pt>
                <c:pt idx="6">
                  <c:v>65563.1306171795</c:v>
                </c:pt>
                <c:pt idx="7">
                  <c:v>65612.913474834029</c:v>
                </c:pt>
                <c:pt idx="8">
                  <c:v>65702.45825678797</c:v>
                </c:pt>
                <c:pt idx="9">
                  <c:v>65830.016540337034</c:v>
                </c:pt>
                <c:pt idx="10">
                  <c:v>66006.761882965948</c:v>
                </c:pt>
                <c:pt idx="11">
                  <c:v>66269.929378228582</c:v>
                </c:pt>
                <c:pt idx="12">
                  <c:v>66423.86514638408</c:v>
                </c:pt>
                <c:pt idx="13">
                  <c:v>66620.396499357783</c:v>
                </c:pt>
                <c:pt idx="14">
                  <c:v>66842.284097642143</c:v>
                </c:pt>
                <c:pt idx="15">
                  <c:v>66995.588882705793</c:v>
                </c:pt>
                <c:pt idx="16">
                  <c:v>67032.726406570611</c:v>
                </c:pt>
                <c:pt idx="17">
                  <c:v>66965.228888864367</c:v>
                </c:pt>
                <c:pt idx="18">
                  <c:v>66871.64600183352</c:v>
                </c:pt>
                <c:pt idx="19">
                  <c:v>66764.463255387789</c:v>
                </c:pt>
                <c:pt idx="20">
                  <c:v>66723.835114584072</c:v>
                </c:pt>
                <c:pt idx="21">
                  <c:v>66749.666691239967</c:v>
                </c:pt>
                <c:pt idx="22">
                  <c:v>66853.797506271629</c:v>
                </c:pt>
                <c:pt idx="23">
                  <c:v>67018.268991820485</c:v>
                </c:pt>
                <c:pt idx="24">
                  <c:v>67251.397924882971</c:v>
                </c:pt>
                <c:pt idx="25">
                  <c:v>67528.826538454698</c:v>
                </c:pt>
                <c:pt idx="26">
                  <c:v>67855.059150566405</c:v>
                </c:pt>
                <c:pt idx="27">
                  <c:v>68234.77302732176</c:v>
                </c:pt>
                <c:pt idx="28">
                  <c:v>68654.088585571124</c:v>
                </c:pt>
                <c:pt idx="29">
                  <c:v>69096.165306624956</c:v>
                </c:pt>
                <c:pt idx="30">
                  <c:v>69561.404481835663</c:v>
                </c:pt>
                <c:pt idx="31">
                  <c:v>70071.415837127846</c:v>
                </c:pt>
                <c:pt idx="32">
                  <c:v>70607.14910096403</c:v>
                </c:pt>
                <c:pt idx="33">
                  <c:v>71169.130714693049</c:v>
                </c:pt>
                <c:pt idx="34">
                  <c:v>71757.915723526341</c:v>
                </c:pt>
                <c:pt idx="35">
                  <c:v>72349.399429652505</c:v>
                </c:pt>
                <c:pt idx="36">
                  <c:v>72967.040230808736</c:v>
                </c:pt>
                <c:pt idx="37">
                  <c:v>73611.41864985245</c:v>
                </c:pt>
                <c:pt idx="38">
                  <c:v>74283.14363021875</c:v>
                </c:pt>
                <c:pt idx="39">
                  <c:v>74954.36789449057</c:v>
                </c:pt>
                <c:pt idx="40">
                  <c:v>75652.237454491988</c:v>
                </c:pt>
                <c:pt idx="41">
                  <c:v>76346.882690325481</c:v>
                </c:pt>
                <c:pt idx="42">
                  <c:v>77067.370095463804</c:v>
                </c:pt>
                <c:pt idx="43">
                  <c:v>77814.305551159545</c:v>
                </c:pt>
                <c:pt idx="44">
                  <c:v>78554.660002196717</c:v>
                </c:pt>
                <c:pt idx="45">
                  <c:v>79320.544207595245</c:v>
                </c:pt>
                <c:pt idx="46">
                  <c:v>80076.697655814118</c:v>
                </c:pt>
                <c:pt idx="47">
                  <c:v>80857.331160871632</c:v>
                </c:pt>
                <c:pt idx="48">
                  <c:v>81663.015764541226</c:v>
                </c:pt>
                <c:pt idx="49">
                  <c:v>82455.01721785414</c:v>
                </c:pt>
                <c:pt idx="50">
                  <c:v>83311.389357267224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64-44A3-A097-E5D80AA89B8C}"/>
            </c:ext>
          </c:extLst>
        </c:ser>
        <c:ser>
          <c:idx val="4"/>
          <c:order val="4"/>
          <c:tx>
            <c:v>Property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'Property_Shock '!$G$2:$G$52</c:f>
              <c:numCache>
                <c:formatCode>0.00</c:formatCode>
                <c:ptCount val="51"/>
                <c:pt idx="0">
                  <c:v>95000</c:v>
                </c:pt>
                <c:pt idx="1">
                  <c:v>96174.857399999994</c:v>
                </c:pt>
                <c:pt idx="2">
                  <c:v>96465.243684662579</c:v>
                </c:pt>
                <c:pt idx="3">
                  <c:v>96494.82846599014</c:v>
                </c:pt>
                <c:pt idx="4">
                  <c:v>96448.354436609778</c:v>
                </c:pt>
                <c:pt idx="5">
                  <c:v>96399.554725298949</c:v>
                </c:pt>
                <c:pt idx="6">
                  <c:v>96416.368554675762</c:v>
                </c:pt>
                <c:pt idx="7">
                  <c:v>96489.578639461834</c:v>
                </c:pt>
                <c:pt idx="8">
                  <c:v>96621.262142335268</c:v>
                </c:pt>
                <c:pt idx="9">
                  <c:v>96808.847853436833</c:v>
                </c:pt>
                <c:pt idx="10">
                  <c:v>97068.767474949927</c:v>
                </c:pt>
                <c:pt idx="11">
                  <c:v>97455.778497395004</c:v>
                </c:pt>
                <c:pt idx="12">
                  <c:v>97682.154627035459</c:v>
                </c:pt>
                <c:pt idx="13">
                  <c:v>97971.171322585025</c:v>
                </c:pt>
                <c:pt idx="14">
                  <c:v>98297.476614179686</c:v>
                </c:pt>
                <c:pt idx="15">
                  <c:v>98522.924827508585</c:v>
                </c:pt>
                <c:pt idx="16">
                  <c:v>98577.538833192157</c:v>
                </c:pt>
                <c:pt idx="17">
                  <c:v>98478.277777741809</c:v>
                </c:pt>
                <c:pt idx="18">
                  <c:v>98340.655885049389</c:v>
                </c:pt>
                <c:pt idx="19">
                  <c:v>98183.034199099769</c:v>
                </c:pt>
                <c:pt idx="20">
                  <c:v>98123.286933211944</c:v>
                </c:pt>
                <c:pt idx="21">
                  <c:v>98161.274545941196</c:v>
                </c:pt>
                <c:pt idx="22">
                  <c:v>98314.408097458363</c:v>
                </c:pt>
                <c:pt idx="23">
                  <c:v>98556.277929147851</c:v>
                </c:pt>
                <c:pt idx="24">
                  <c:v>98899.11459541622</c:v>
                </c:pt>
                <c:pt idx="25">
                  <c:v>99307.097850668753</c:v>
                </c:pt>
                <c:pt idx="26">
                  <c:v>99786.851692009499</c:v>
                </c:pt>
                <c:pt idx="27">
                  <c:v>100345.25445194387</c:v>
                </c:pt>
                <c:pt idx="28">
                  <c:v>100961.89497878116</c:v>
                </c:pt>
                <c:pt idx="29">
                  <c:v>101612.00780386034</c:v>
                </c:pt>
                <c:pt idx="30">
                  <c:v>102296.18306152314</c:v>
                </c:pt>
                <c:pt idx="31">
                  <c:v>103046.19976048222</c:v>
                </c:pt>
                <c:pt idx="32">
                  <c:v>103834.04279553542</c:v>
                </c:pt>
                <c:pt idx="33">
                  <c:v>104660.48634513693</c:v>
                </c:pt>
                <c:pt idx="34">
                  <c:v>105526.34665224471</c:v>
                </c:pt>
                <c:pt idx="35">
                  <c:v>106396.17563184202</c:v>
                </c:pt>
                <c:pt idx="36">
                  <c:v>107304.47092766002</c:v>
                </c:pt>
                <c:pt idx="37">
                  <c:v>108252.08624978314</c:v>
                </c:pt>
                <c:pt idx="38">
                  <c:v>109239.91710326298</c:v>
                </c:pt>
                <c:pt idx="39">
                  <c:v>110227.01160954508</c:v>
                </c:pt>
                <c:pt idx="40">
                  <c:v>111253.29037425305</c:v>
                </c:pt>
                <c:pt idx="41">
                  <c:v>112274.8274857729</c:v>
                </c:pt>
                <c:pt idx="42">
                  <c:v>113334.3677874469</c:v>
                </c:pt>
                <c:pt idx="43">
                  <c:v>114432.80228111708</c:v>
                </c:pt>
                <c:pt idx="44">
                  <c:v>115521.55882676</c:v>
                </c:pt>
                <c:pt idx="45">
                  <c:v>116647.85912881666</c:v>
                </c:pt>
                <c:pt idx="46">
                  <c:v>117759.84949384443</c:v>
                </c:pt>
                <c:pt idx="47">
                  <c:v>118907.83994245843</c:v>
                </c:pt>
                <c:pt idx="48">
                  <c:v>120092.67024197256</c:v>
                </c:pt>
                <c:pt idx="49">
                  <c:v>121257.37826155039</c:v>
                </c:pt>
                <c:pt idx="50">
                  <c:v>122516.74905480494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64-44A3-A097-E5D80AA89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297016"/>
        <c:axId val="751298816"/>
      </c:lineChart>
      <c:catAx>
        <c:axId val="7512970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From</a:t>
                </a:r>
                <a:r>
                  <a:rPr lang="it-IT" baseline="0"/>
                  <a:t> 0 to 50 years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0.41418001584362601"/>
              <c:y val="0.93987977817855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751298816"/>
        <c:crosses val="autoZero"/>
        <c:auto val="1"/>
        <c:lblAlgn val="ctr"/>
        <c:lblOffset val="100"/>
        <c:noMultiLvlLbl val="0"/>
      </c:catAx>
      <c:valAx>
        <c:axId val="751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Fund</a:t>
                </a:r>
                <a:r>
                  <a:rPr lang="it-IT" baseline="0"/>
                  <a:t> Value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1.5712370439434048E-2"/>
              <c:y val="0.43265385991879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129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12545891780734"/>
          <c:y val="0.10709835321217759"/>
          <c:w val="0.80787749557708588"/>
          <c:h val="8.66542631538146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 Liabilities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001822148255497"/>
          <c:y val="0.12079759924384097"/>
          <c:w val="0.79137234673871404"/>
          <c:h val="0.78069488325361358"/>
        </c:manualLayout>
      </c:layout>
      <c:lineChart>
        <c:grouping val="standard"/>
        <c:varyColors val="0"/>
        <c:ser>
          <c:idx val="0"/>
          <c:order val="0"/>
          <c:tx>
            <c:v>Total Liabilities Basic Scenario (per year)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Rates_Basic!$O$3:$O$52</c:f>
              <c:numCache>
                <c:formatCode>General</c:formatCode>
                <c:ptCount val="50"/>
                <c:pt idx="0">
                  <c:v>16653.097264363405</c:v>
                </c:pt>
                <c:pt idx="1">
                  <c:v>13798.283700877582</c:v>
                </c:pt>
                <c:pt idx="2">
                  <c:v>11430.241548597873</c:v>
                </c:pt>
                <c:pt idx="3">
                  <c:v>9467.9990366778202</c:v>
                </c:pt>
                <c:pt idx="4">
                  <c:v>7841.0866500777329</c:v>
                </c:pt>
                <c:pt idx="5">
                  <c:v>6492.0061744398836</c:v>
                </c:pt>
                <c:pt idx="6">
                  <c:v>5363.1978938082539</c:v>
                </c:pt>
                <c:pt idx="7">
                  <c:v>4429.3161372076693</c:v>
                </c:pt>
                <c:pt idx="8">
                  <c:v>3655.8750374132114</c:v>
                </c:pt>
                <c:pt idx="9">
                  <c:v>3021.1125776891922</c:v>
                </c:pt>
                <c:pt idx="10">
                  <c:v>2493.6401803550093</c:v>
                </c:pt>
                <c:pt idx="11">
                  <c:v>2058.6676632749941</c:v>
                </c:pt>
                <c:pt idx="12">
                  <c:v>1693.2636266571258</c:v>
                </c:pt>
                <c:pt idx="13">
                  <c:v>1391.1507886333854</c:v>
                </c:pt>
                <c:pt idx="14">
                  <c:v>1139.5266440609048</c:v>
                </c:pt>
                <c:pt idx="15">
                  <c:v>936.34310635848556</c:v>
                </c:pt>
                <c:pt idx="16">
                  <c:v>768.03413167035535</c:v>
                </c:pt>
                <c:pt idx="17">
                  <c:v>630.25630772014767</c:v>
                </c:pt>
                <c:pt idx="18">
                  <c:v>512.90204871407639</c:v>
                </c:pt>
                <c:pt idx="19">
                  <c:v>418.32541901089934</c:v>
                </c:pt>
                <c:pt idx="20">
                  <c:v>339.28811739979915</c:v>
                </c:pt>
                <c:pt idx="21">
                  <c:v>273.87135884830951</c:v>
                </c:pt>
                <c:pt idx="22">
                  <c:v>220.00475841182188</c:v>
                </c:pt>
                <c:pt idx="23">
                  <c:v>175.11636145701945</c:v>
                </c:pt>
                <c:pt idx="24">
                  <c:v>139.67419400737791</c:v>
                </c:pt>
                <c:pt idx="25">
                  <c:v>111.09001117984214</c:v>
                </c:pt>
                <c:pt idx="26">
                  <c:v>87.993470080031145</c:v>
                </c:pt>
                <c:pt idx="27">
                  <c:v>68.634872907989887</c:v>
                </c:pt>
                <c:pt idx="28">
                  <c:v>52.869625493772496</c:v>
                </c:pt>
                <c:pt idx="29">
                  <c:v>40.084487054376424</c:v>
                </c:pt>
                <c:pt idx="30">
                  <c:v>29.627977279166366</c:v>
                </c:pt>
                <c:pt idx="31">
                  <c:v>21.224060033071012</c:v>
                </c:pt>
                <c:pt idx="32">
                  <c:v>14.988391073216798</c:v>
                </c:pt>
                <c:pt idx="33">
                  <c:v>10.151651333517105</c:v>
                </c:pt>
                <c:pt idx="34">
                  <c:v>6.7912798245369039</c:v>
                </c:pt>
                <c:pt idx="35">
                  <c:v>4.3502482602061914</c:v>
                </c:pt>
                <c:pt idx="36">
                  <c:v>2.6471321474022007</c:v>
                </c:pt>
                <c:pt idx="37">
                  <c:v>1.5356375534418227</c:v>
                </c:pt>
                <c:pt idx="38">
                  <c:v>0.85494834985808599</c:v>
                </c:pt>
                <c:pt idx="39">
                  <c:v>0.45933867621669638</c:v>
                </c:pt>
                <c:pt idx="40">
                  <c:v>0.24026346901532497</c:v>
                </c:pt>
                <c:pt idx="41">
                  <c:v>0.12032724351356876</c:v>
                </c:pt>
                <c:pt idx="42">
                  <c:v>5.5245078872814268E-2</c:v>
                </c:pt>
                <c:pt idx="43">
                  <c:v>2.3641248342585058E-2</c:v>
                </c:pt>
                <c:pt idx="44">
                  <c:v>9.3752870727437983E-3</c:v>
                </c:pt>
                <c:pt idx="45">
                  <c:v>3.425103854456039E-3</c:v>
                </c:pt>
                <c:pt idx="46">
                  <c:v>1.1459144367994404E-3</c:v>
                </c:pt>
                <c:pt idx="47">
                  <c:v>3.489999634035284E-4</c:v>
                </c:pt>
                <c:pt idx="48">
                  <c:v>9.6188799627284208E-5</c:v>
                </c:pt>
                <c:pt idx="49">
                  <c:v>3.0460021602999791E-5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B-4CAF-9242-B66F9F46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509648"/>
        <c:axId val="835512168"/>
      </c:lineChart>
      <c:lineChart>
        <c:grouping val="standard"/>
        <c:varyColors val="0"/>
        <c:ser>
          <c:idx val="1"/>
          <c:order val="1"/>
          <c:tx>
            <c:strRef>
              <c:f>Rates_Basic!$V$1</c:f>
              <c:strCache>
                <c:ptCount val="1"/>
                <c:pt idx="0">
                  <c:v>Cumulative gain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Rates_Basic!$V$3:$V$52</c:f>
              <c:numCache>
                <c:formatCode>General</c:formatCode>
                <c:ptCount val="50"/>
                <c:pt idx="0">
                  <c:v>778.11199999999985</c:v>
                </c:pt>
                <c:pt idx="1">
                  <c:v>1436.49644458743</c:v>
                </c:pt>
                <c:pt idx="2">
                  <c:v>1991.604302419139</c:v>
                </c:pt>
                <c:pt idx="3">
                  <c:v>2458.8925887244313</c:v>
                </c:pt>
                <c:pt idx="4">
                  <c:v>2851.8956667809248</c:v>
                </c:pt>
                <c:pt idx="5">
                  <c:v>3182.3239883823749</c:v>
                </c:pt>
                <c:pt idx="6">
                  <c:v>3459.986235001913</c:v>
                </c:pt>
                <c:pt idx="7">
                  <c:v>3693.2334415657879</c:v>
                </c:pt>
                <c:pt idx="8">
                  <c:v>3889.0741357806946</c:v>
                </c:pt>
                <c:pt idx="9">
                  <c:v>4053.4382371402539</c:v>
                </c:pt>
                <c:pt idx="10">
                  <c:v>4191.3386013200552</c:v>
                </c:pt>
                <c:pt idx="11">
                  <c:v>4306.6138064750157</c:v>
                </c:pt>
                <c:pt idx="12">
                  <c:v>4402.8173223958702</c:v>
                </c:pt>
                <c:pt idx="13">
                  <c:v>4482.9721093433682</c:v>
                </c:pt>
                <c:pt idx="14">
                  <c:v>4549.5289947860319</c:v>
                </c:pt>
                <c:pt idx="15">
                  <c:v>4604.5728210362913</c:v>
                </c:pt>
                <c:pt idx="16">
                  <c:v>4649.8649483490753</c:v>
                </c:pt>
                <c:pt idx="17">
                  <c:v>4686.975636302961</c:v>
                </c:pt>
                <c:pt idx="18">
                  <c:v>4717.2275367243165</c:v>
                </c:pt>
                <c:pt idx="19">
                  <c:v>4741.8126491174526</c:v>
                </c:pt>
                <c:pt idx="20">
                  <c:v>4761.6977801333205</c:v>
                </c:pt>
                <c:pt idx="21">
                  <c:v>4777.7047168161616</c:v>
                </c:pt>
                <c:pt idx="22">
                  <c:v>4790.5179476000267</c:v>
                </c:pt>
                <c:pt idx="23">
                  <c:v>4800.7117904324687</c:v>
                </c:pt>
                <c:pt idx="24">
                  <c:v>4808.7712382507207</c:v>
                </c:pt>
                <c:pt idx="25">
                  <c:v>4815.085607534782</c:v>
                </c:pt>
                <c:pt idx="26">
                  <c:v>4819.9754533084888</c:v>
                </c:pt>
                <c:pt idx="27">
                  <c:v>4823.704379808767</c:v>
                </c:pt>
                <c:pt idx="28">
                  <c:v>4826.5002460618607</c:v>
                </c:pt>
                <c:pt idx="29">
                  <c:v>4828.555077803745</c:v>
                </c:pt>
                <c:pt idx="30">
                  <c:v>4830.0308427221462</c:v>
                </c:pt>
                <c:pt idx="31">
                  <c:v>4831.0649128938694</c:v>
                </c:pt>
                <c:pt idx="32">
                  <c:v>4831.7725303562893</c:v>
                </c:pt>
                <c:pt idx="33">
                  <c:v>4832.2420758981834</c:v>
                </c:pt>
                <c:pt idx="34">
                  <c:v>4832.5450698489394</c:v>
                </c:pt>
                <c:pt idx="35">
                  <c:v>4832.7329671242223</c:v>
                </c:pt>
                <c:pt idx="36">
                  <c:v>4832.8447070582879</c:v>
                </c:pt>
                <c:pt idx="37">
                  <c:v>4832.908591959721</c:v>
                </c:pt>
                <c:pt idx="38">
                  <c:v>4832.9437992597486</c:v>
                </c:pt>
                <c:pt idx="39">
                  <c:v>4832.9625289554806</c:v>
                </c:pt>
                <c:pt idx="40">
                  <c:v>4832.9721152970087</c:v>
                </c:pt>
                <c:pt idx="41">
                  <c:v>4832.9767629063163</c:v>
                </c:pt>
                <c:pt idx="42">
                  <c:v>4832.9788546321706</c:v>
                </c:pt>
                <c:pt idx="43">
                  <c:v>4832.9797337432601</c:v>
                </c:pt>
                <c:pt idx="44">
                  <c:v>4832.9800770182428</c:v>
                </c:pt>
                <c:pt idx="45">
                  <c:v>4832.9802007853314</c:v>
                </c:pt>
                <c:pt idx="46">
                  <c:v>4832.980241770365</c:v>
                </c:pt>
                <c:pt idx="47">
                  <c:v>4832.9802541628187</c:v>
                </c:pt>
                <c:pt idx="48">
                  <c:v>4832.9802575623789</c:v>
                </c:pt>
                <c:pt idx="49">
                  <c:v>4832.9802584044965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7B-4CAF-9242-B66F9F46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491176"/>
        <c:axId val="527494416"/>
      </c:lineChart>
      <c:catAx>
        <c:axId val="835509648"/>
        <c:scaling>
          <c:orientation val="minMax"/>
        </c:scaling>
        <c:delete val="1"/>
        <c:axPos val="b"/>
        <c:majorTickMark val="none"/>
        <c:minorTickMark val="none"/>
        <c:tickLblPos val="nextTo"/>
        <c:crossAx val="835512168"/>
        <c:crosses val="autoZero"/>
        <c:auto val="1"/>
        <c:lblAlgn val="ctr"/>
        <c:lblOffset val="100"/>
        <c:noMultiLvlLbl val="0"/>
      </c:catAx>
      <c:valAx>
        <c:axId val="83551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Total</a:t>
                </a:r>
                <a:r>
                  <a:rPr lang="it-IT" baseline="0"/>
                  <a:t> Liabilities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5509648"/>
        <c:crosses val="autoZero"/>
        <c:crossBetween val="between"/>
      </c:valAx>
      <c:valAx>
        <c:axId val="527494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7491176"/>
        <c:crosses val="max"/>
        <c:crossBetween val="between"/>
      </c:valAx>
      <c:catAx>
        <c:axId val="527491176"/>
        <c:scaling>
          <c:orientation val="minMax"/>
        </c:scaling>
        <c:delete val="1"/>
        <c:axPos val="b"/>
        <c:majorTickMark val="out"/>
        <c:minorTickMark val="none"/>
        <c:tickLblPos val="nextTo"/>
        <c:crossAx val="527494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773752177055288"/>
          <c:y val="0.91341193936589804"/>
          <c:w val="0.56136929693310533"/>
          <c:h val="7.9793297403228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Rates_Basic!$K$1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Rates_Basic!$K$2:$K$52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2-4D63-88B1-8C77071F81F2}"/>
            </c:ext>
          </c:extLst>
        </c:ser>
        <c:ser>
          <c:idx val="1"/>
          <c:order val="1"/>
          <c:tx>
            <c:strRef>
              <c:f>Rates_Basic!$L$1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Rates_Basic!$L$2:$L$52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2-4D63-88B1-8C77071F81F2}"/>
            </c:ext>
          </c:extLst>
        </c:ser>
        <c:ser>
          <c:idx val="2"/>
          <c:order val="2"/>
          <c:tx>
            <c:strRef>
              <c:f>Rates_Basic!$M$1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Rates_Basic!$M$2:$M$52</c:f>
              <c:numCache>
                <c:formatCode>General</c:formatCode>
                <c:ptCount val="51"/>
                <c:pt idx="1">
                  <c:v>15084.305339147093</c:v>
                </c:pt>
                <c:pt idx="2">
                  <c:v>15120.22899133865</c:v>
                </c:pt>
                <c:pt idx="3">
                  <c:v>15113.977929307195</c:v>
                </c:pt>
                <c:pt idx="4">
                  <c:v>15093.75893940515</c:v>
                </c:pt>
                <c:pt idx="5">
                  <c:v>15071.087707058219</c:v>
                </c:pt>
                <c:pt idx="6">
                  <c:v>15056.326252711347</c:v>
                </c:pt>
                <c:pt idx="7">
                  <c:v>15053.549464867547</c:v>
                </c:pt>
                <c:pt idx="8">
                  <c:v>15057.781924353696</c:v>
                </c:pt>
                <c:pt idx="9">
                  <c:v>15069.033268039509</c:v>
                </c:pt>
                <c:pt idx="10">
                  <c:v>15083.678410074295</c:v>
                </c:pt>
                <c:pt idx="11">
                  <c:v>15115.927761059766</c:v>
                </c:pt>
                <c:pt idx="12">
                  <c:v>15116.136326186439</c:v>
                </c:pt>
                <c:pt idx="13">
                  <c:v>15130.180545176092</c:v>
                </c:pt>
                <c:pt idx="14">
                  <c:v>15146.455930537515</c:v>
                </c:pt>
                <c:pt idx="15">
                  <c:v>15149.195084186285</c:v>
                </c:pt>
                <c:pt idx="16">
                  <c:v>15107.120474633082</c:v>
                </c:pt>
                <c:pt idx="17">
                  <c:v>15035.206964048803</c:v>
                </c:pt>
                <c:pt idx="18">
                  <c:v>14941.563609972276</c:v>
                </c:pt>
                <c:pt idx="19">
                  <c:v>14856.349271878738</c:v>
                </c:pt>
                <c:pt idx="20">
                  <c:v>14761.44695050804</c:v>
                </c:pt>
                <c:pt idx="21">
                  <c:v>14678.40708766088</c:v>
                </c:pt>
                <c:pt idx="22">
                  <c:v>14605.385968662891</c:v>
                </c:pt>
                <c:pt idx="23">
                  <c:v>14535.756322348525</c:v>
                </c:pt>
                <c:pt idx="24">
                  <c:v>14485.6602361606</c:v>
                </c:pt>
                <c:pt idx="25">
                  <c:v>14403.191700679994</c:v>
                </c:pt>
                <c:pt idx="26">
                  <c:v>14293.484181119913</c:v>
                </c:pt>
                <c:pt idx="27">
                  <c:v>14145.979700341521</c:v>
                </c:pt>
                <c:pt idx="28">
                  <c:v>13989.654670229173</c:v>
                </c:pt>
                <c:pt idx="29">
                  <c:v>13797.195764840702</c:v>
                </c:pt>
                <c:pt idx="30">
                  <c:v>13564.64958539183</c:v>
                </c:pt>
                <c:pt idx="31">
                  <c:v>13326.969335949652</c:v>
                </c:pt>
                <c:pt idx="32">
                  <c:v>13110.304808430155</c:v>
                </c:pt>
                <c:pt idx="33">
                  <c:v>12809.845008839653</c:v>
                </c:pt>
                <c:pt idx="34">
                  <c:v>12560.936432342078</c:v>
                </c:pt>
                <c:pt idx="35">
                  <c:v>12167.009053232536</c:v>
                </c:pt>
                <c:pt idx="36">
                  <c:v>11763.675035588998</c:v>
                </c:pt>
                <c:pt idx="37">
                  <c:v>11405.883294484225</c:v>
                </c:pt>
                <c:pt idx="38">
                  <c:v>11096.0805737871</c:v>
                </c:pt>
                <c:pt idx="39">
                  <c:v>10804.742820518673</c:v>
                </c:pt>
                <c:pt idx="40">
                  <c:v>10493.816843120974</c:v>
                </c:pt>
                <c:pt idx="41">
                  <c:v>10028.625269756958</c:v>
                </c:pt>
                <c:pt idx="42">
                  <c:v>9395.1246321543458</c:v>
                </c:pt>
                <c:pt idx="43">
                  <c:v>8860.3175161360541</c:v>
                </c:pt>
                <c:pt idx="44">
                  <c:v>8308.3349247921324</c:v>
                </c:pt>
                <c:pt idx="45">
                  <c:v>7748.2894501537294</c:v>
                </c:pt>
                <c:pt idx="46">
                  <c:v>7182.6656330904179</c:v>
                </c:pt>
                <c:pt idx="47">
                  <c:v>6620.8338338576732</c:v>
                </c:pt>
                <c:pt idx="48">
                  <c:v>6068.6221336188992</c:v>
                </c:pt>
                <c:pt idx="49">
                  <c:v>5528.8701353749575</c:v>
                </c:pt>
                <c:pt idx="50">
                  <c:v>33419.860877171654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2-4D63-88B1-8C77071F81F2}"/>
            </c:ext>
          </c:extLst>
        </c:ser>
        <c:ser>
          <c:idx val="3"/>
          <c:order val="3"/>
          <c:tx>
            <c:strRef>
              <c:f>Rates_Basic!$N$1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Rates_Basic!$N$2:$N$52</c:f>
              <c:numCache>
                <c:formatCode>General</c:formatCode>
                <c:ptCount val="51"/>
                <c:pt idx="1">
                  <c:v>654.78576308603999</c:v>
                </c:pt>
                <c:pt idx="2">
                  <c:v>720.97716960469711</c:v>
                </c:pt>
                <c:pt idx="3">
                  <c:v>793.80708836269423</c:v>
                </c:pt>
                <c:pt idx="4">
                  <c:v>879.69731884962835</c:v>
                </c:pt>
                <c:pt idx="5">
                  <c:v>979.49050725988764</c:v>
                </c:pt>
                <c:pt idx="6">
                  <c:v>1095.6218220707735</c:v>
                </c:pt>
                <c:pt idx="7">
                  <c:v>1191.2156479726893</c:v>
                </c:pt>
                <c:pt idx="8">
                  <c:v>1301.6348585493458</c:v>
                </c:pt>
                <c:pt idx="9">
                  <c:v>1424.1080849087386</c:v>
                </c:pt>
                <c:pt idx="10">
                  <c:v>1600.107107469569</c:v>
                </c:pt>
                <c:pt idx="11">
                  <c:v>1792.5277284594861</c:v>
                </c:pt>
                <c:pt idx="12">
                  <c:v>2029.4732350610739</c:v>
                </c:pt>
                <c:pt idx="13">
                  <c:v>2240.1128948418818</c:v>
                </c:pt>
                <c:pt idx="14">
                  <c:v>2475.1335652758848</c:v>
                </c:pt>
                <c:pt idx="15">
                  <c:v>2694.2276069180157</c:v>
                </c:pt>
                <c:pt idx="16">
                  <c:v>3032.2782995747029</c:v>
                </c:pt>
                <c:pt idx="17">
                  <c:v>3407.2893241431993</c:v>
                </c:pt>
                <c:pt idx="18">
                  <c:v>3886.8067667175033</c:v>
                </c:pt>
                <c:pt idx="19">
                  <c:v>4289.0638386502851</c:v>
                </c:pt>
                <c:pt idx="20">
                  <c:v>4858.9649798923137</c:v>
                </c:pt>
                <c:pt idx="21">
                  <c:v>5452.6655783076649</c:v>
                </c:pt>
                <c:pt idx="22">
                  <c:v>6100.7898614176056</c:v>
                </c:pt>
                <c:pt idx="23">
                  <c:v>6819.7230311444137</c:v>
                </c:pt>
                <c:pt idx="24">
                  <c:v>7514.7065995990224</c:v>
                </c:pt>
                <c:pt idx="25">
                  <c:v>8494.1343528969737</c:v>
                </c:pt>
                <c:pt idx="26">
                  <c:v>9730.749505547421</c:v>
                </c:pt>
                <c:pt idx="27">
                  <c:v>11302.192326014976</c:v>
                </c:pt>
                <c:pt idx="28">
                  <c:v>12993.759750038302</c:v>
                </c:pt>
                <c:pt idx="29">
                  <c:v>14961.500703451813</c:v>
                </c:pt>
                <c:pt idx="30">
                  <c:v>17232.396122594597</c:v>
                </c:pt>
                <c:pt idx="31">
                  <c:v>19606.836892337982</c:v>
                </c:pt>
                <c:pt idx="32">
                  <c:v>21880.964233152044</c:v>
                </c:pt>
                <c:pt idx="33">
                  <c:v>24754.46017868329</c:v>
                </c:pt>
                <c:pt idx="34">
                  <c:v>27325.70867048583</c:v>
                </c:pt>
                <c:pt idx="35">
                  <c:v>30868.093018690484</c:v>
                </c:pt>
                <c:pt idx="36">
                  <c:v>34513.685632234738</c:v>
                </c:pt>
                <c:pt idx="37">
                  <c:v>37896.994048427747</c:v>
                </c:pt>
                <c:pt idx="38">
                  <c:v>41002.647485973328</c:v>
                </c:pt>
                <c:pt idx="39">
                  <c:v>43984.396127947504</c:v>
                </c:pt>
                <c:pt idx="40">
                  <c:v>47137.998052000192</c:v>
                </c:pt>
                <c:pt idx="41">
                  <c:v>51315.21108421278</c:v>
                </c:pt>
                <c:pt idx="42">
                  <c:v>56654.668200539658</c:v>
                </c:pt>
                <c:pt idx="43">
                  <c:v>61376.988716237232</c:v>
                </c:pt>
                <c:pt idx="44">
                  <c:v>66203.629979659425</c:v>
                </c:pt>
                <c:pt idx="45">
                  <c:v>71123.541978971596</c:v>
                </c:pt>
                <c:pt idx="46">
                  <c:v>76065.571578973773</c:v>
                </c:pt>
                <c:pt idx="47">
                  <c:v>81020.201106733104</c:v>
                </c:pt>
                <c:pt idx="48">
                  <c:v>85949.454368420484</c:v>
                </c:pt>
                <c:pt idx="49">
                  <c:v>90774.434884640956</c:v>
                </c:pt>
                <c:pt idx="50">
                  <c:v>95545.138127886079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2-4D63-88B1-8C77071F8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79793436623737513"/>
          <c:h val="5.0133465881191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'Mortality_Shock '!$K$1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'Mortality_Shock '!$K$2:$K$52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BD-43DC-B101-16517585A0CC}"/>
            </c:ext>
          </c:extLst>
        </c:ser>
        <c:ser>
          <c:idx val="1"/>
          <c:order val="1"/>
          <c:tx>
            <c:strRef>
              <c:f>'Mortality_Shock '!$L$1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'Mortality_Shock '!$L$2:$L$52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BD-43DC-B101-16517585A0CC}"/>
            </c:ext>
          </c:extLst>
        </c:ser>
        <c:ser>
          <c:idx val="2"/>
          <c:order val="2"/>
          <c:tx>
            <c:strRef>
              <c:f>'Mortality_Shock '!$M$1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'Mortality_Shock '!$M$2:$M$52</c:f>
              <c:numCache>
                <c:formatCode>General</c:formatCode>
                <c:ptCount val="51"/>
                <c:pt idx="1">
                  <c:v>15069.575570019155</c:v>
                </c:pt>
                <c:pt idx="2">
                  <c:v>15104.010200139544</c:v>
                </c:pt>
                <c:pt idx="3">
                  <c:v>15096.120786614036</c:v>
                </c:pt>
                <c:pt idx="4">
                  <c:v>15073.969648922535</c:v>
                </c:pt>
                <c:pt idx="5">
                  <c:v>15049.053514359874</c:v>
                </c:pt>
                <c:pt idx="6">
                  <c:v>15031.679619586257</c:v>
                </c:pt>
                <c:pt idx="7">
                  <c:v>15026.75239050516</c:v>
                </c:pt>
                <c:pt idx="8">
                  <c:v>15028.500899109335</c:v>
                </c:pt>
                <c:pt idx="9">
                  <c:v>15036.997124874562</c:v>
                </c:pt>
                <c:pt idx="10">
                  <c:v>15047.683047178729</c:v>
                </c:pt>
                <c:pt idx="11">
                  <c:v>15075.603750280425</c:v>
                </c:pt>
                <c:pt idx="12">
                  <c:v>15070.482060263565</c:v>
                </c:pt>
                <c:pt idx="13">
                  <c:v>15079.787779838649</c:v>
                </c:pt>
                <c:pt idx="14">
                  <c:v>15090.776189782309</c:v>
                </c:pt>
                <c:pt idx="15">
                  <c:v>15088.586653531129</c:v>
                </c:pt>
                <c:pt idx="16">
                  <c:v>15038.907362936652</c:v>
                </c:pt>
                <c:pt idx="17">
                  <c:v>14958.557745499083</c:v>
                </c:pt>
                <c:pt idx="18">
                  <c:v>14854.12735419063</c:v>
                </c:pt>
                <c:pt idx="19">
                  <c:v>14759.864010576606</c:v>
                </c:pt>
                <c:pt idx="20">
                  <c:v>14652.141407823963</c:v>
                </c:pt>
                <c:pt idx="21">
                  <c:v>14555.745858932461</c:v>
                </c:pt>
                <c:pt idx="22">
                  <c:v>14468.144724811995</c:v>
                </c:pt>
                <c:pt idx="23">
                  <c:v>14382.342135536777</c:v>
                </c:pt>
                <c:pt idx="24">
                  <c:v>14316.611820640625</c:v>
                </c:pt>
                <c:pt idx="25">
                  <c:v>14212.110243529312</c:v>
                </c:pt>
                <c:pt idx="26">
                  <c:v>14074.584005056095</c:v>
                </c:pt>
                <c:pt idx="27">
                  <c:v>13891.728523636186</c:v>
                </c:pt>
                <c:pt idx="28">
                  <c:v>13697.350094950312</c:v>
                </c:pt>
                <c:pt idx="29">
                  <c:v>13460.624944738534</c:v>
                </c:pt>
                <c:pt idx="30">
                  <c:v>13176.992687532951</c:v>
                </c:pt>
                <c:pt idx="31">
                  <c:v>12885.896847278049</c:v>
                </c:pt>
                <c:pt idx="32">
                  <c:v>12618.073200326735</c:v>
                </c:pt>
                <c:pt idx="33">
                  <c:v>12252.97076778078</c:v>
                </c:pt>
                <c:pt idx="34">
                  <c:v>11946.218687008648</c:v>
                </c:pt>
                <c:pt idx="35">
                  <c:v>11472.600988357999</c:v>
                </c:pt>
                <c:pt idx="36">
                  <c:v>10987.254611061715</c:v>
                </c:pt>
                <c:pt idx="37">
                  <c:v>10553.350588004101</c:v>
                </c:pt>
                <c:pt idx="38">
                  <c:v>10173.681465304202</c:v>
                </c:pt>
                <c:pt idx="39">
                  <c:v>9815.2644949493533</c:v>
                </c:pt>
                <c:pt idx="40">
                  <c:v>9433.3930186199686</c:v>
                </c:pt>
                <c:pt idx="41">
                  <c:v>8874.2284092416685</c:v>
                </c:pt>
                <c:pt idx="42">
                  <c:v>8120.6083004327029</c:v>
                </c:pt>
                <c:pt idx="43">
                  <c:v>7479.5645632142187</c:v>
                </c:pt>
                <c:pt idx="44">
                  <c:v>6818.9982439297946</c:v>
                </c:pt>
                <c:pt idx="45">
                  <c:v>6148.2704146258693</c:v>
                </c:pt>
                <c:pt idx="46">
                  <c:v>5471.4664110945105</c:v>
                </c:pt>
                <c:pt idx="47">
                  <c:v>4798.1705945096792</c:v>
                </c:pt>
                <c:pt idx="48">
                  <c:v>4135.0653689834389</c:v>
                </c:pt>
                <c:pt idx="49">
                  <c:v>3486.765381065537</c:v>
                </c:pt>
                <c:pt idx="50">
                  <c:v>19088.090157988758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BD-43DC-B101-16517585A0CC}"/>
            </c:ext>
          </c:extLst>
        </c:ser>
        <c:ser>
          <c:idx val="3"/>
          <c:order val="3"/>
          <c:tx>
            <c:strRef>
              <c:f>'Mortality_Shock '!$N$1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'Mortality_Shock '!$N$2:$N$52</c:f>
              <c:numCache>
                <c:formatCode>General</c:formatCode>
                <c:ptCount val="51"/>
                <c:pt idx="1">
                  <c:v>753.00362754894581</c:v>
                </c:pt>
                <c:pt idx="2">
                  <c:v>829.12374504540162</c:v>
                </c:pt>
                <c:pt idx="3">
                  <c:v>912.87815161709818</c:v>
                </c:pt>
                <c:pt idx="4">
                  <c:v>1011.6519166770726</c:v>
                </c:pt>
                <c:pt idx="5">
                  <c:v>1126.4140833488707</c:v>
                </c:pt>
                <c:pt idx="6">
                  <c:v>1259.9650953813893</c:v>
                </c:pt>
                <c:pt idx="7">
                  <c:v>1369.8979951685926</c:v>
                </c:pt>
                <c:pt idx="8">
                  <c:v>1496.8800873317475</c:v>
                </c:pt>
                <c:pt idx="9">
                  <c:v>1637.7242976450491</c:v>
                </c:pt>
                <c:pt idx="10">
                  <c:v>1840.1231735900042</c:v>
                </c:pt>
                <c:pt idx="11">
                  <c:v>2061.4068877284089</c:v>
                </c:pt>
                <c:pt idx="12">
                  <c:v>2333.894220320235</c:v>
                </c:pt>
                <c:pt idx="13">
                  <c:v>2576.1298290681639</c:v>
                </c:pt>
                <c:pt idx="14">
                  <c:v>2846.4036000672677</c:v>
                </c:pt>
                <c:pt idx="15">
                  <c:v>3098.3617479557179</c:v>
                </c:pt>
                <c:pt idx="16">
                  <c:v>3487.1200445109084</c:v>
                </c:pt>
                <c:pt idx="17">
                  <c:v>3918.3827227646789</c:v>
                </c:pt>
                <c:pt idx="18">
                  <c:v>4469.8277817251283</c:v>
                </c:pt>
                <c:pt idx="19">
                  <c:v>4932.4234144478269</c:v>
                </c:pt>
                <c:pt idx="20">
                  <c:v>5587.8097268761603</c:v>
                </c:pt>
                <c:pt idx="21">
                  <c:v>6270.5654150538139</c:v>
                </c:pt>
                <c:pt idx="22">
                  <c:v>7015.908340630247</c:v>
                </c:pt>
                <c:pt idx="23">
                  <c:v>7842.6814858160742</c:v>
                </c:pt>
                <c:pt idx="24">
                  <c:v>8641.9125895388752</c:v>
                </c:pt>
                <c:pt idx="25">
                  <c:v>9768.2545058315191</c:v>
                </c:pt>
                <c:pt idx="26">
                  <c:v>11190.361931379533</c:v>
                </c:pt>
                <c:pt idx="27">
                  <c:v>12997.521174917221</c:v>
                </c:pt>
                <c:pt idx="28">
                  <c:v>14942.823712544046</c:v>
                </c:pt>
                <c:pt idx="29">
                  <c:v>17205.725808969582</c:v>
                </c:pt>
                <c:pt idx="30">
                  <c:v>19817.255540983784</c:v>
                </c:pt>
                <c:pt idx="31">
                  <c:v>22547.86242618868</c:v>
                </c:pt>
                <c:pt idx="32">
                  <c:v>25163.108868124848</c:v>
                </c:pt>
                <c:pt idx="33">
                  <c:v>28467.62920548578</c:v>
                </c:pt>
                <c:pt idx="34">
                  <c:v>31424.564971058702</c:v>
                </c:pt>
                <c:pt idx="35">
                  <c:v>35498.30697149405</c:v>
                </c:pt>
                <c:pt idx="36">
                  <c:v>39690.738477069943</c:v>
                </c:pt>
                <c:pt idx="37">
                  <c:v>43581.543155691907</c:v>
                </c:pt>
                <c:pt idx="38">
                  <c:v>47153.044608869321</c:v>
                </c:pt>
                <c:pt idx="39">
                  <c:v>50582.055547139629</c:v>
                </c:pt>
                <c:pt idx="40">
                  <c:v>54208.69775980022</c:v>
                </c:pt>
                <c:pt idx="41">
                  <c:v>59012.492746844699</c:v>
                </c:pt>
                <c:pt idx="42">
                  <c:v>65152.868430620598</c:v>
                </c:pt>
                <c:pt idx="43">
                  <c:v>70583.537023672805</c:v>
                </c:pt>
                <c:pt idx="44">
                  <c:v>76134.174476608328</c:v>
                </c:pt>
                <c:pt idx="45">
                  <c:v>81792.073275817325</c:v>
                </c:pt>
                <c:pt idx="46">
                  <c:v>87475.40731581983</c:v>
                </c:pt>
                <c:pt idx="47">
                  <c:v>93173.231272743069</c:v>
                </c:pt>
                <c:pt idx="48">
                  <c:v>98841.87252368356</c:v>
                </c:pt>
                <c:pt idx="49">
                  <c:v>104390.60011733709</c:v>
                </c:pt>
                <c:pt idx="50">
                  <c:v>109876.90884706897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BD-43DC-B101-16517585A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57892297567853357"/>
          <c:h val="6.3191598820657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CAT!$K$1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CAT!$K$2:$K$52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1-4602-98B2-106175BAA9F6}"/>
            </c:ext>
          </c:extLst>
        </c:ser>
        <c:ser>
          <c:idx val="1"/>
          <c:order val="1"/>
          <c:tx>
            <c:strRef>
              <c:f>CAT!$L$1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CAT!$L$2:$L$52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1-4602-98B2-106175BAA9F6}"/>
            </c:ext>
          </c:extLst>
        </c:ser>
        <c:ser>
          <c:idx val="2"/>
          <c:order val="2"/>
          <c:tx>
            <c:strRef>
              <c:f>CAT!$M$1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CAT!$M$2:$M$52</c:f>
              <c:numCache>
                <c:formatCode>General</c:formatCode>
                <c:ptCount val="51"/>
                <c:pt idx="1">
                  <c:v>15061.531583447093</c:v>
                </c:pt>
                <c:pt idx="2">
                  <c:v>15120.22899133865</c:v>
                </c:pt>
                <c:pt idx="3">
                  <c:v>15113.977929307195</c:v>
                </c:pt>
                <c:pt idx="4">
                  <c:v>15093.75893940515</c:v>
                </c:pt>
                <c:pt idx="5">
                  <c:v>15071.087707058219</c:v>
                </c:pt>
                <c:pt idx="6">
                  <c:v>15056.326252711347</c:v>
                </c:pt>
                <c:pt idx="7">
                  <c:v>15053.549464867547</c:v>
                </c:pt>
                <c:pt idx="8">
                  <c:v>15057.781924353696</c:v>
                </c:pt>
                <c:pt idx="9">
                  <c:v>15069.033268039509</c:v>
                </c:pt>
                <c:pt idx="10">
                  <c:v>15083.678410074295</c:v>
                </c:pt>
                <c:pt idx="11">
                  <c:v>15115.927761059766</c:v>
                </c:pt>
                <c:pt idx="12">
                  <c:v>15116.136326186439</c:v>
                </c:pt>
                <c:pt idx="13">
                  <c:v>15130.180545176092</c:v>
                </c:pt>
                <c:pt idx="14">
                  <c:v>15146.455930537515</c:v>
                </c:pt>
                <c:pt idx="15">
                  <c:v>15149.195084186285</c:v>
                </c:pt>
                <c:pt idx="16">
                  <c:v>15107.120474633082</c:v>
                </c:pt>
                <c:pt idx="17">
                  <c:v>15035.206964048803</c:v>
                </c:pt>
                <c:pt idx="18">
                  <c:v>14941.563609972276</c:v>
                </c:pt>
                <c:pt idx="19">
                  <c:v>14856.349271878738</c:v>
                </c:pt>
                <c:pt idx="20">
                  <c:v>14761.44695050804</c:v>
                </c:pt>
                <c:pt idx="21">
                  <c:v>14678.40708766088</c:v>
                </c:pt>
                <c:pt idx="22">
                  <c:v>14605.385968662891</c:v>
                </c:pt>
                <c:pt idx="23">
                  <c:v>14535.756322348525</c:v>
                </c:pt>
                <c:pt idx="24">
                  <c:v>14485.6602361606</c:v>
                </c:pt>
                <c:pt idx="25">
                  <c:v>14403.191700679994</c:v>
                </c:pt>
                <c:pt idx="26">
                  <c:v>14293.484181119913</c:v>
                </c:pt>
                <c:pt idx="27">
                  <c:v>14145.979700341521</c:v>
                </c:pt>
                <c:pt idx="28">
                  <c:v>13989.654670229173</c:v>
                </c:pt>
                <c:pt idx="29">
                  <c:v>13797.195764840702</c:v>
                </c:pt>
                <c:pt idx="30">
                  <c:v>13564.64958539183</c:v>
                </c:pt>
                <c:pt idx="31">
                  <c:v>13326.969335949652</c:v>
                </c:pt>
                <c:pt idx="32">
                  <c:v>13110.304808430155</c:v>
                </c:pt>
                <c:pt idx="33">
                  <c:v>12809.845008839653</c:v>
                </c:pt>
                <c:pt idx="34">
                  <c:v>12560.936432342078</c:v>
                </c:pt>
                <c:pt idx="35">
                  <c:v>12167.009053232536</c:v>
                </c:pt>
                <c:pt idx="36">
                  <c:v>11763.675035588998</c:v>
                </c:pt>
                <c:pt idx="37">
                  <c:v>11405.883294484225</c:v>
                </c:pt>
                <c:pt idx="38">
                  <c:v>11096.0805737871</c:v>
                </c:pt>
                <c:pt idx="39">
                  <c:v>10804.742820518673</c:v>
                </c:pt>
                <c:pt idx="40">
                  <c:v>10493.816843120974</c:v>
                </c:pt>
                <c:pt idx="41">
                  <c:v>10028.625269756958</c:v>
                </c:pt>
                <c:pt idx="42">
                  <c:v>9395.1246321543458</c:v>
                </c:pt>
                <c:pt idx="43">
                  <c:v>8860.3175161360541</c:v>
                </c:pt>
                <c:pt idx="44">
                  <c:v>8308.3349247921324</c:v>
                </c:pt>
                <c:pt idx="45">
                  <c:v>7748.2894501537294</c:v>
                </c:pt>
                <c:pt idx="46">
                  <c:v>7182.6656330904179</c:v>
                </c:pt>
                <c:pt idx="47">
                  <c:v>6620.8338338576732</c:v>
                </c:pt>
                <c:pt idx="48">
                  <c:v>6068.6221336188992</c:v>
                </c:pt>
                <c:pt idx="49">
                  <c:v>5528.8701353749575</c:v>
                </c:pt>
                <c:pt idx="50">
                  <c:v>33419.860877171654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1-4602-98B2-106175BAA9F6}"/>
            </c:ext>
          </c:extLst>
        </c:ser>
        <c:ser>
          <c:idx val="3"/>
          <c:order val="3"/>
          <c:tx>
            <c:strRef>
              <c:f>CAT!$N$1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CAT!$N$2:$N$52</c:f>
              <c:numCache>
                <c:formatCode>General</c:formatCode>
                <c:ptCount val="51"/>
                <c:pt idx="1">
                  <c:v>806.64080108604003</c:v>
                </c:pt>
                <c:pt idx="2">
                  <c:v>720.97716960469711</c:v>
                </c:pt>
                <c:pt idx="3">
                  <c:v>793.80708836269423</c:v>
                </c:pt>
                <c:pt idx="4">
                  <c:v>879.69731884962835</c:v>
                </c:pt>
                <c:pt idx="5">
                  <c:v>979.49050725988764</c:v>
                </c:pt>
                <c:pt idx="6">
                  <c:v>1095.6218220707735</c:v>
                </c:pt>
                <c:pt idx="7">
                  <c:v>1191.2156479726893</c:v>
                </c:pt>
                <c:pt idx="8">
                  <c:v>1301.6348585493458</c:v>
                </c:pt>
                <c:pt idx="9">
                  <c:v>1424.1080849087386</c:v>
                </c:pt>
                <c:pt idx="10">
                  <c:v>1600.107107469569</c:v>
                </c:pt>
                <c:pt idx="11">
                  <c:v>1792.5277284594861</c:v>
                </c:pt>
                <c:pt idx="12">
                  <c:v>2029.4732350610739</c:v>
                </c:pt>
                <c:pt idx="13">
                  <c:v>2240.1128948418818</c:v>
                </c:pt>
                <c:pt idx="14">
                  <c:v>2475.1335652758848</c:v>
                </c:pt>
                <c:pt idx="15">
                  <c:v>2694.2276069180157</c:v>
                </c:pt>
                <c:pt idx="16">
                  <c:v>3032.2782995747029</c:v>
                </c:pt>
                <c:pt idx="17">
                  <c:v>3407.2893241431993</c:v>
                </c:pt>
                <c:pt idx="18">
                  <c:v>3886.8067667175033</c:v>
                </c:pt>
                <c:pt idx="19">
                  <c:v>4289.0638386502851</c:v>
                </c:pt>
                <c:pt idx="20">
                  <c:v>4858.9649798923137</c:v>
                </c:pt>
                <c:pt idx="21">
                  <c:v>5452.6655783076649</c:v>
                </c:pt>
                <c:pt idx="22">
                  <c:v>6100.7898614176056</c:v>
                </c:pt>
                <c:pt idx="23">
                  <c:v>6819.7230311444137</c:v>
                </c:pt>
                <c:pt idx="24">
                  <c:v>7514.7065995990224</c:v>
                </c:pt>
                <c:pt idx="25">
                  <c:v>8494.1343528969737</c:v>
                </c:pt>
                <c:pt idx="26">
                  <c:v>9730.749505547421</c:v>
                </c:pt>
                <c:pt idx="27">
                  <c:v>11302.192326014976</c:v>
                </c:pt>
                <c:pt idx="28">
                  <c:v>12993.759750038302</c:v>
                </c:pt>
                <c:pt idx="29">
                  <c:v>14961.500703451813</c:v>
                </c:pt>
                <c:pt idx="30">
                  <c:v>17232.396122594597</c:v>
                </c:pt>
                <c:pt idx="31">
                  <c:v>19606.836892337982</c:v>
                </c:pt>
                <c:pt idx="32">
                  <c:v>21880.964233152044</c:v>
                </c:pt>
                <c:pt idx="33">
                  <c:v>24754.46017868329</c:v>
                </c:pt>
                <c:pt idx="34">
                  <c:v>27325.70867048583</c:v>
                </c:pt>
                <c:pt idx="35">
                  <c:v>30868.093018690484</c:v>
                </c:pt>
                <c:pt idx="36">
                  <c:v>34513.685632234738</c:v>
                </c:pt>
                <c:pt idx="37">
                  <c:v>37896.994048427747</c:v>
                </c:pt>
                <c:pt idx="38">
                  <c:v>41002.647485973328</c:v>
                </c:pt>
                <c:pt idx="39">
                  <c:v>43984.396127947504</c:v>
                </c:pt>
                <c:pt idx="40">
                  <c:v>47137.998052000192</c:v>
                </c:pt>
                <c:pt idx="41">
                  <c:v>51315.21108421278</c:v>
                </c:pt>
                <c:pt idx="42">
                  <c:v>56654.668200539658</c:v>
                </c:pt>
                <c:pt idx="43">
                  <c:v>61376.988716237232</c:v>
                </c:pt>
                <c:pt idx="44">
                  <c:v>66203.629979659425</c:v>
                </c:pt>
                <c:pt idx="45">
                  <c:v>71123.541978971596</c:v>
                </c:pt>
                <c:pt idx="46">
                  <c:v>76065.571578973773</c:v>
                </c:pt>
                <c:pt idx="47">
                  <c:v>81020.201106733104</c:v>
                </c:pt>
                <c:pt idx="48">
                  <c:v>85949.454368420484</c:v>
                </c:pt>
                <c:pt idx="49">
                  <c:v>90774.434884640956</c:v>
                </c:pt>
                <c:pt idx="50">
                  <c:v>95545.138127886079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C1-4602-98B2-106175BAA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57675311258579132"/>
          <c:h val="6.3191438159777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Lapse_Up!$K$1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Lapse_Up!$K$2:$K$52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E-4B27-9C1E-9A6CD3A9D927}"/>
            </c:ext>
          </c:extLst>
        </c:ser>
        <c:ser>
          <c:idx val="1"/>
          <c:order val="1"/>
          <c:tx>
            <c:strRef>
              <c:f>Lapse_Up!$L$1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Lapse_Up!$L$2:$L$52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E-4B27-9C1E-9A6CD3A9D927}"/>
            </c:ext>
          </c:extLst>
        </c:ser>
        <c:ser>
          <c:idx val="2"/>
          <c:order val="2"/>
          <c:tx>
            <c:strRef>
              <c:f>Lapse_Up!$M$1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Lapse_Up!$M$2:$M$52</c:f>
              <c:numCache>
                <c:formatCode>General</c:formatCode>
                <c:ptCount val="51"/>
                <c:pt idx="1">
                  <c:v>22626.458008720638</c:v>
                </c:pt>
                <c:pt idx="2">
                  <c:v>22680.343487007976</c:v>
                </c:pt>
                <c:pt idx="3">
                  <c:v>22670.966893960798</c:v>
                </c:pt>
                <c:pt idx="4">
                  <c:v>22640.638409107731</c:v>
                </c:pt>
                <c:pt idx="5">
                  <c:v>22606.631560587331</c:v>
                </c:pt>
                <c:pt idx="6">
                  <c:v>22584.489379067025</c:v>
                </c:pt>
                <c:pt idx="7">
                  <c:v>22580.324197301321</c:v>
                </c:pt>
                <c:pt idx="8">
                  <c:v>22586.672886530545</c:v>
                </c:pt>
                <c:pt idx="9">
                  <c:v>22603.549902059265</c:v>
                </c:pt>
                <c:pt idx="10">
                  <c:v>22625.517615111447</c:v>
                </c:pt>
                <c:pt idx="11">
                  <c:v>22673.891641589649</c:v>
                </c:pt>
                <c:pt idx="12">
                  <c:v>22674.204489279658</c:v>
                </c:pt>
                <c:pt idx="13">
                  <c:v>22695.270817764136</c:v>
                </c:pt>
                <c:pt idx="14">
                  <c:v>22719.683895806276</c:v>
                </c:pt>
                <c:pt idx="15">
                  <c:v>22723.792626279432</c:v>
                </c:pt>
                <c:pt idx="16">
                  <c:v>22660.680711949622</c:v>
                </c:pt>
                <c:pt idx="17">
                  <c:v>22552.810446073207</c:v>
                </c:pt>
                <c:pt idx="18">
                  <c:v>22412.345414958418</c:v>
                </c:pt>
                <c:pt idx="19">
                  <c:v>22284.523907818108</c:v>
                </c:pt>
                <c:pt idx="20">
                  <c:v>22142.170425762062</c:v>
                </c:pt>
                <c:pt idx="21">
                  <c:v>22017.610631491323</c:v>
                </c:pt>
                <c:pt idx="22">
                  <c:v>21908.078952994336</c:v>
                </c:pt>
                <c:pt idx="23">
                  <c:v>21803.63448352279</c:v>
                </c:pt>
                <c:pt idx="24">
                  <c:v>21728.490354240905</c:v>
                </c:pt>
                <c:pt idx="25">
                  <c:v>21604.787551019992</c:v>
                </c:pt>
                <c:pt idx="26">
                  <c:v>21440.226271679872</c:v>
                </c:pt>
                <c:pt idx="27">
                  <c:v>21218.969550512284</c:v>
                </c:pt>
                <c:pt idx="28">
                  <c:v>20984.482005343762</c:v>
                </c:pt>
                <c:pt idx="29">
                  <c:v>20695.793647261053</c:v>
                </c:pt>
                <c:pt idx="30">
                  <c:v>20346.974378087747</c:v>
                </c:pt>
                <c:pt idx="31">
                  <c:v>19990.454003924482</c:v>
                </c:pt>
                <c:pt idx="32">
                  <c:v>19665.457212645233</c:v>
                </c:pt>
                <c:pt idx="33">
                  <c:v>19214.767513259481</c:v>
                </c:pt>
                <c:pt idx="34">
                  <c:v>18841.404648513118</c:v>
                </c:pt>
                <c:pt idx="35">
                  <c:v>18250.513579848801</c:v>
                </c:pt>
                <c:pt idx="36">
                  <c:v>17645.512553383498</c:v>
                </c:pt>
                <c:pt idx="37">
                  <c:v>17108.82494172634</c:v>
                </c:pt>
                <c:pt idx="38">
                  <c:v>16644.12086068065</c:v>
                </c:pt>
                <c:pt idx="39">
                  <c:v>16207.114230778012</c:v>
                </c:pt>
                <c:pt idx="40">
                  <c:v>15740.725264681461</c:v>
                </c:pt>
                <c:pt idx="41">
                  <c:v>15042.937904635437</c:v>
                </c:pt>
                <c:pt idx="42">
                  <c:v>14092.686948231518</c:v>
                </c:pt>
                <c:pt idx="43">
                  <c:v>13290.476274204084</c:v>
                </c:pt>
                <c:pt idx="44">
                  <c:v>12462.502387188199</c:v>
                </c:pt>
                <c:pt idx="45">
                  <c:v>11622.434175230592</c:v>
                </c:pt>
                <c:pt idx="46">
                  <c:v>10773.998449635628</c:v>
                </c:pt>
                <c:pt idx="47">
                  <c:v>9931.2507507865103</c:v>
                </c:pt>
                <c:pt idx="48">
                  <c:v>9102.9332004283497</c:v>
                </c:pt>
                <c:pt idx="49">
                  <c:v>8293.3052030624385</c:v>
                </c:pt>
                <c:pt idx="50">
                  <c:v>33419.860877171654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E-4B27-9C1E-9A6CD3A9D927}"/>
            </c:ext>
          </c:extLst>
        </c:ser>
        <c:ser>
          <c:idx val="3"/>
          <c:order val="3"/>
          <c:tx>
            <c:strRef>
              <c:f>Lapse_Up!$N$1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Lapse_Up!$N$2:$N$52</c:f>
              <c:numCache>
                <c:formatCode>General</c:formatCode>
                <c:ptCount val="51"/>
                <c:pt idx="1">
                  <c:v>654.78576308603999</c:v>
                </c:pt>
                <c:pt idx="2">
                  <c:v>720.97716960469711</c:v>
                </c:pt>
                <c:pt idx="3">
                  <c:v>793.80708836269423</c:v>
                </c:pt>
                <c:pt idx="4">
                  <c:v>879.69731884962835</c:v>
                </c:pt>
                <c:pt idx="5">
                  <c:v>979.49050725988764</c:v>
                </c:pt>
                <c:pt idx="6">
                  <c:v>1095.6218220707735</c:v>
                </c:pt>
                <c:pt idx="7">
                  <c:v>1191.2156479726893</c:v>
                </c:pt>
                <c:pt idx="8">
                  <c:v>1301.6348585493458</c:v>
                </c:pt>
                <c:pt idx="9">
                  <c:v>1424.1080849087386</c:v>
                </c:pt>
                <c:pt idx="10">
                  <c:v>1600.107107469569</c:v>
                </c:pt>
                <c:pt idx="11">
                  <c:v>1792.5277284594861</c:v>
                </c:pt>
                <c:pt idx="12">
                  <c:v>2029.4732350610739</c:v>
                </c:pt>
                <c:pt idx="13">
                  <c:v>2240.1128948418818</c:v>
                </c:pt>
                <c:pt idx="14">
                  <c:v>2475.1335652758848</c:v>
                </c:pt>
                <c:pt idx="15">
                  <c:v>2694.2276069180157</c:v>
                </c:pt>
                <c:pt idx="16">
                  <c:v>3032.2782995747029</c:v>
                </c:pt>
                <c:pt idx="17">
                  <c:v>3407.2893241431993</c:v>
                </c:pt>
                <c:pt idx="18">
                  <c:v>3886.8067667175033</c:v>
                </c:pt>
                <c:pt idx="19">
                  <c:v>4289.0638386502851</c:v>
                </c:pt>
                <c:pt idx="20">
                  <c:v>4858.9649798923137</c:v>
                </c:pt>
                <c:pt idx="21">
                  <c:v>5452.6655783076649</c:v>
                </c:pt>
                <c:pt idx="22">
                  <c:v>6100.7898614176056</c:v>
                </c:pt>
                <c:pt idx="23">
                  <c:v>6819.7230311444137</c:v>
                </c:pt>
                <c:pt idx="24">
                  <c:v>7514.7065995990224</c:v>
                </c:pt>
                <c:pt idx="25">
                  <c:v>8494.1343528969737</c:v>
                </c:pt>
                <c:pt idx="26">
                  <c:v>9730.749505547421</c:v>
                </c:pt>
                <c:pt idx="27">
                  <c:v>11302.192326014976</c:v>
                </c:pt>
                <c:pt idx="28">
                  <c:v>12993.759750038302</c:v>
                </c:pt>
                <c:pt idx="29">
                  <c:v>14961.500703451813</c:v>
                </c:pt>
                <c:pt idx="30">
                  <c:v>17232.396122594597</c:v>
                </c:pt>
                <c:pt idx="31">
                  <c:v>19606.836892337982</c:v>
                </c:pt>
                <c:pt idx="32">
                  <c:v>21880.964233152044</c:v>
                </c:pt>
                <c:pt idx="33">
                  <c:v>24754.46017868329</c:v>
                </c:pt>
                <c:pt idx="34">
                  <c:v>27325.70867048583</c:v>
                </c:pt>
                <c:pt idx="35">
                  <c:v>30868.093018690484</c:v>
                </c:pt>
                <c:pt idx="36">
                  <c:v>34513.685632234738</c:v>
                </c:pt>
                <c:pt idx="37">
                  <c:v>37896.994048427747</c:v>
                </c:pt>
                <c:pt idx="38">
                  <c:v>41002.647485973328</c:v>
                </c:pt>
                <c:pt idx="39">
                  <c:v>43984.396127947504</c:v>
                </c:pt>
                <c:pt idx="40">
                  <c:v>47137.998052000192</c:v>
                </c:pt>
                <c:pt idx="41">
                  <c:v>51315.21108421278</c:v>
                </c:pt>
                <c:pt idx="42">
                  <c:v>56654.668200539658</c:v>
                </c:pt>
                <c:pt idx="43">
                  <c:v>61376.988716237232</c:v>
                </c:pt>
                <c:pt idx="44">
                  <c:v>66203.629979659425</c:v>
                </c:pt>
                <c:pt idx="45">
                  <c:v>71123.541978971596</c:v>
                </c:pt>
                <c:pt idx="46">
                  <c:v>76065.571578973773</c:v>
                </c:pt>
                <c:pt idx="47">
                  <c:v>81020.201106733104</c:v>
                </c:pt>
                <c:pt idx="48">
                  <c:v>85949.454368420484</c:v>
                </c:pt>
                <c:pt idx="49">
                  <c:v>90774.434884640956</c:v>
                </c:pt>
                <c:pt idx="50">
                  <c:v>95545.138127886079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DE-4B27-9C1E-9A6CD3A9D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57675311258579132"/>
          <c:h val="6.3191701451951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Lapse</a:t>
            </a:r>
            <a:r>
              <a:rPr lang="it-IT" baseline="0"/>
              <a:t> BEL stress scenarios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6400652477828248"/>
          <c:y val="0.15015155417172801"/>
          <c:w val="0.81232150232383193"/>
          <c:h val="0.66681109169478714"/>
        </c:manualLayout>
      </c:layout>
      <c:lineChart>
        <c:grouping val="standard"/>
        <c:varyColors val="0"/>
        <c:ser>
          <c:idx val="0"/>
          <c:order val="0"/>
          <c:tx>
            <c:v>Lapse 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Lapse_Up!$M$3:$M$51</c:f>
              <c:numCache>
                <c:formatCode>General</c:formatCode>
                <c:ptCount val="49"/>
                <c:pt idx="0">
                  <c:v>22626.458008720638</c:v>
                </c:pt>
                <c:pt idx="1">
                  <c:v>22680.343487007976</c:v>
                </c:pt>
                <c:pt idx="2">
                  <c:v>22670.966893960798</c:v>
                </c:pt>
                <c:pt idx="3">
                  <c:v>22640.638409107731</c:v>
                </c:pt>
                <c:pt idx="4">
                  <c:v>22606.631560587331</c:v>
                </c:pt>
                <c:pt idx="5">
                  <c:v>22584.489379067025</c:v>
                </c:pt>
                <c:pt idx="6">
                  <c:v>22580.324197301321</c:v>
                </c:pt>
                <c:pt idx="7">
                  <c:v>22586.672886530545</c:v>
                </c:pt>
                <c:pt idx="8">
                  <c:v>22603.549902059265</c:v>
                </c:pt>
                <c:pt idx="9">
                  <c:v>22625.517615111447</c:v>
                </c:pt>
                <c:pt idx="10">
                  <c:v>22673.891641589649</c:v>
                </c:pt>
                <c:pt idx="11">
                  <c:v>22674.204489279658</c:v>
                </c:pt>
                <c:pt idx="12">
                  <c:v>22695.270817764136</c:v>
                </c:pt>
                <c:pt idx="13">
                  <c:v>22719.683895806276</c:v>
                </c:pt>
                <c:pt idx="14">
                  <c:v>22723.792626279432</c:v>
                </c:pt>
                <c:pt idx="15">
                  <c:v>22660.680711949622</c:v>
                </c:pt>
                <c:pt idx="16">
                  <c:v>22552.810446073207</c:v>
                </c:pt>
                <c:pt idx="17">
                  <c:v>22412.345414958418</c:v>
                </c:pt>
                <c:pt idx="18">
                  <c:v>22284.523907818108</c:v>
                </c:pt>
                <c:pt idx="19">
                  <c:v>22142.170425762062</c:v>
                </c:pt>
                <c:pt idx="20">
                  <c:v>22017.610631491323</c:v>
                </c:pt>
                <c:pt idx="21">
                  <c:v>21908.078952994336</c:v>
                </c:pt>
                <c:pt idx="22">
                  <c:v>21803.63448352279</c:v>
                </c:pt>
                <c:pt idx="23">
                  <c:v>21728.490354240905</c:v>
                </c:pt>
                <c:pt idx="24">
                  <c:v>21604.787551019992</c:v>
                </c:pt>
                <c:pt idx="25">
                  <c:v>21440.226271679872</c:v>
                </c:pt>
                <c:pt idx="26">
                  <c:v>21218.969550512284</c:v>
                </c:pt>
                <c:pt idx="27">
                  <c:v>20984.482005343762</c:v>
                </c:pt>
                <c:pt idx="28">
                  <c:v>20695.793647261053</c:v>
                </c:pt>
                <c:pt idx="29">
                  <c:v>20346.974378087747</c:v>
                </c:pt>
                <c:pt idx="30">
                  <c:v>19990.454003924482</c:v>
                </c:pt>
                <c:pt idx="31">
                  <c:v>19665.457212645233</c:v>
                </c:pt>
                <c:pt idx="32">
                  <c:v>19214.767513259481</c:v>
                </c:pt>
                <c:pt idx="33">
                  <c:v>18841.404648513118</c:v>
                </c:pt>
                <c:pt idx="34">
                  <c:v>18250.513579848801</c:v>
                </c:pt>
                <c:pt idx="35">
                  <c:v>17645.512553383498</c:v>
                </c:pt>
                <c:pt idx="36">
                  <c:v>17108.82494172634</c:v>
                </c:pt>
                <c:pt idx="37">
                  <c:v>16644.12086068065</c:v>
                </c:pt>
                <c:pt idx="38">
                  <c:v>16207.114230778012</c:v>
                </c:pt>
                <c:pt idx="39">
                  <c:v>15740.725264681461</c:v>
                </c:pt>
                <c:pt idx="40">
                  <c:v>15042.937904635437</c:v>
                </c:pt>
                <c:pt idx="41">
                  <c:v>14092.686948231518</c:v>
                </c:pt>
                <c:pt idx="42">
                  <c:v>13290.476274204084</c:v>
                </c:pt>
                <c:pt idx="43">
                  <c:v>12462.502387188199</c:v>
                </c:pt>
                <c:pt idx="44">
                  <c:v>11622.434175230592</c:v>
                </c:pt>
                <c:pt idx="45">
                  <c:v>10773.998449635628</c:v>
                </c:pt>
                <c:pt idx="46">
                  <c:v>9931.2507507865103</c:v>
                </c:pt>
                <c:pt idx="47">
                  <c:v>9102.9332004283497</c:v>
                </c:pt>
                <c:pt idx="48">
                  <c:v>8293.3052030624385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A-4623-B753-281E3AE23214}"/>
            </c:ext>
          </c:extLst>
        </c:ser>
        <c:ser>
          <c:idx val="1"/>
          <c:order val="1"/>
          <c:tx>
            <c:v>Lapse Down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Lapse_Down!$M$3:$M$51</c:f>
              <c:numCache>
                <c:formatCode>General</c:formatCode>
                <c:ptCount val="49"/>
                <c:pt idx="0">
                  <c:v>7542.1526695735465</c:v>
                </c:pt>
                <c:pt idx="1">
                  <c:v>7560.1144956693252</c:v>
                </c:pt>
                <c:pt idx="2">
                  <c:v>7556.9889646535976</c:v>
                </c:pt>
                <c:pt idx="3">
                  <c:v>7546.8794697025751</c:v>
                </c:pt>
                <c:pt idx="4">
                  <c:v>7535.5438535291096</c:v>
                </c:pt>
                <c:pt idx="5">
                  <c:v>7528.1631263556737</c:v>
                </c:pt>
                <c:pt idx="6">
                  <c:v>7526.7747324337734</c:v>
                </c:pt>
                <c:pt idx="7">
                  <c:v>7528.890962176848</c:v>
                </c:pt>
                <c:pt idx="8">
                  <c:v>7534.5166340197547</c:v>
                </c:pt>
                <c:pt idx="9">
                  <c:v>7541.8392050371476</c:v>
                </c:pt>
                <c:pt idx="10">
                  <c:v>7557.9638805298828</c:v>
                </c:pt>
                <c:pt idx="11">
                  <c:v>7558.0681630932195</c:v>
                </c:pt>
                <c:pt idx="12">
                  <c:v>7565.090272588046</c:v>
                </c:pt>
                <c:pt idx="13">
                  <c:v>7573.2279652687575</c:v>
                </c:pt>
                <c:pt idx="14">
                  <c:v>7574.5975420931427</c:v>
                </c:pt>
                <c:pt idx="15">
                  <c:v>7553.5602373165411</c:v>
                </c:pt>
                <c:pt idx="16">
                  <c:v>7517.6034820244013</c:v>
                </c:pt>
                <c:pt idx="17">
                  <c:v>7470.781804986138</c:v>
                </c:pt>
                <c:pt idx="18">
                  <c:v>7428.1746359393692</c:v>
                </c:pt>
                <c:pt idx="19">
                  <c:v>7380.7234752540198</c:v>
                </c:pt>
                <c:pt idx="20">
                  <c:v>7339.2035438304401</c:v>
                </c:pt>
                <c:pt idx="21">
                  <c:v>7302.6929843314456</c:v>
                </c:pt>
                <c:pt idx="22">
                  <c:v>7267.8781611742625</c:v>
                </c:pt>
                <c:pt idx="23">
                  <c:v>7242.8301180803001</c:v>
                </c:pt>
                <c:pt idx="24">
                  <c:v>7201.595850339997</c:v>
                </c:pt>
                <c:pt idx="25">
                  <c:v>7146.7420905599565</c:v>
                </c:pt>
                <c:pt idx="26">
                  <c:v>7072.9898501707603</c:v>
                </c:pt>
                <c:pt idx="27">
                  <c:v>6994.8273351145863</c:v>
                </c:pt>
                <c:pt idx="28">
                  <c:v>6898.5978824203512</c:v>
                </c:pt>
                <c:pt idx="29">
                  <c:v>6782.3247926959148</c:v>
                </c:pt>
                <c:pt idx="30">
                  <c:v>6663.4846679748262</c:v>
                </c:pt>
                <c:pt idx="31">
                  <c:v>6555.1524042150777</c:v>
                </c:pt>
                <c:pt idx="32">
                  <c:v>6404.9225044198265</c:v>
                </c:pt>
                <c:pt idx="33">
                  <c:v>6280.4682161710389</c:v>
                </c:pt>
                <c:pt idx="34">
                  <c:v>6083.5045266162679</c:v>
                </c:pt>
                <c:pt idx="35">
                  <c:v>5881.837517794499</c:v>
                </c:pt>
                <c:pt idx="36">
                  <c:v>5702.9416472421126</c:v>
                </c:pt>
                <c:pt idx="37">
                  <c:v>5548.0402868935498</c:v>
                </c:pt>
                <c:pt idx="38">
                  <c:v>5402.3714102593367</c:v>
                </c:pt>
                <c:pt idx="39">
                  <c:v>5246.9084215604871</c:v>
                </c:pt>
                <c:pt idx="40">
                  <c:v>5014.312634878479</c:v>
                </c:pt>
                <c:pt idx="41">
                  <c:v>4697.5623160771729</c:v>
                </c:pt>
                <c:pt idx="42">
                  <c:v>4430.1587580680271</c:v>
                </c:pt>
                <c:pt idx="43">
                  <c:v>4154.1674623960662</c:v>
                </c:pt>
                <c:pt idx="44">
                  <c:v>3874.1447250768647</c:v>
                </c:pt>
                <c:pt idx="45">
                  <c:v>3591.332816545209</c:v>
                </c:pt>
                <c:pt idx="46">
                  <c:v>3310.4169169288366</c:v>
                </c:pt>
                <c:pt idx="47">
                  <c:v>3034.3110668094496</c:v>
                </c:pt>
                <c:pt idx="48">
                  <c:v>2764.4350676874787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A-4623-B753-281E3AE23214}"/>
            </c:ext>
          </c:extLst>
        </c:ser>
        <c:ser>
          <c:idx val="2"/>
          <c:order val="2"/>
          <c:tx>
            <c:v>Lapse Mass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Lapse_Mass!$M$3:$M$51</c:f>
              <c:numCache>
                <c:formatCode>General</c:formatCode>
                <c:ptCount val="49"/>
                <c:pt idx="0">
                  <c:v>55309.119576872676</c:v>
                </c:pt>
                <c:pt idx="1">
                  <c:v>15120.22899133865</c:v>
                </c:pt>
                <c:pt idx="2">
                  <c:v>15113.977929307195</c:v>
                </c:pt>
                <c:pt idx="3">
                  <c:v>15093.75893940515</c:v>
                </c:pt>
                <c:pt idx="4">
                  <c:v>15071.087707058219</c:v>
                </c:pt>
                <c:pt idx="5">
                  <c:v>15056.326252711347</c:v>
                </c:pt>
                <c:pt idx="6">
                  <c:v>15053.549464867547</c:v>
                </c:pt>
                <c:pt idx="7">
                  <c:v>15057.781924353696</c:v>
                </c:pt>
                <c:pt idx="8">
                  <c:v>15069.033268039509</c:v>
                </c:pt>
                <c:pt idx="9">
                  <c:v>15083.678410074295</c:v>
                </c:pt>
                <c:pt idx="10">
                  <c:v>15115.927761059766</c:v>
                </c:pt>
                <c:pt idx="11">
                  <c:v>15116.136326186439</c:v>
                </c:pt>
                <c:pt idx="12">
                  <c:v>15130.180545176092</c:v>
                </c:pt>
                <c:pt idx="13">
                  <c:v>15146.455930537515</c:v>
                </c:pt>
                <c:pt idx="14">
                  <c:v>15149.195084186285</c:v>
                </c:pt>
                <c:pt idx="15">
                  <c:v>15107.120474633082</c:v>
                </c:pt>
                <c:pt idx="16">
                  <c:v>15035.206964048803</c:v>
                </c:pt>
                <c:pt idx="17">
                  <c:v>14941.563609972276</c:v>
                </c:pt>
                <c:pt idx="18">
                  <c:v>14856.349271878738</c:v>
                </c:pt>
                <c:pt idx="19">
                  <c:v>14761.44695050804</c:v>
                </c:pt>
                <c:pt idx="20">
                  <c:v>14678.40708766088</c:v>
                </c:pt>
                <c:pt idx="21">
                  <c:v>14605.385968662891</c:v>
                </c:pt>
                <c:pt idx="22">
                  <c:v>14535.756322348525</c:v>
                </c:pt>
                <c:pt idx="23">
                  <c:v>14485.6602361606</c:v>
                </c:pt>
                <c:pt idx="24">
                  <c:v>14403.191700679994</c:v>
                </c:pt>
                <c:pt idx="25">
                  <c:v>14293.484181119913</c:v>
                </c:pt>
                <c:pt idx="26">
                  <c:v>14145.979700341521</c:v>
                </c:pt>
                <c:pt idx="27">
                  <c:v>13989.654670229173</c:v>
                </c:pt>
                <c:pt idx="28">
                  <c:v>13797.195764840702</c:v>
                </c:pt>
                <c:pt idx="29">
                  <c:v>13564.64958539183</c:v>
                </c:pt>
                <c:pt idx="30">
                  <c:v>13326.969335949652</c:v>
                </c:pt>
                <c:pt idx="31">
                  <c:v>13110.304808430155</c:v>
                </c:pt>
                <c:pt idx="32">
                  <c:v>12809.845008839653</c:v>
                </c:pt>
                <c:pt idx="33">
                  <c:v>12560.936432342078</c:v>
                </c:pt>
                <c:pt idx="34">
                  <c:v>12167.009053232536</c:v>
                </c:pt>
                <c:pt idx="35">
                  <c:v>11763.675035588998</c:v>
                </c:pt>
                <c:pt idx="36">
                  <c:v>11405.883294484225</c:v>
                </c:pt>
                <c:pt idx="37">
                  <c:v>11096.0805737871</c:v>
                </c:pt>
                <c:pt idx="38">
                  <c:v>10804.742820518673</c:v>
                </c:pt>
                <c:pt idx="39">
                  <c:v>10493.816843120974</c:v>
                </c:pt>
                <c:pt idx="40">
                  <c:v>10028.625269756958</c:v>
                </c:pt>
                <c:pt idx="41">
                  <c:v>9395.1246321543458</c:v>
                </c:pt>
                <c:pt idx="42">
                  <c:v>8860.3175161360541</c:v>
                </c:pt>
                <c:pt idx="43">
                  <c:v>8308.3349247921324</c:v>
                </c:pt>
                <c:pt idx="44">
                  <c:v>7748.2894501537294</c:v>
                </c:pt>
                <c:pt idx="45">
                  <c:v>7182.6656330904179</c:v>
                </c:pt>
                <c:pt idx="46">
                  <c:v>6620.8338338576732</c:v>
                </c:pt>
                <c:pt idx="47">
                  <c:v>6068.6221336188992</c:v>
                </c:pt>
                <c:pt idx="48">
                  <c:v>5528.8701353749575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A-4623-B753-281E3AE23214}"/>
            </c:ext>
          </c:extLst>
        </c:ser>
        <c:ser>
          <c:idx val="3"/>
          <c:order val="3"/>
          <c:tx>
            <c:v>Lapse Basic</c:v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>
                  <a:alpha val="68000"/>
                </a:srgbClr>
              </a:solidFill>
              <a:ln w="12700">
                <a:solidFill>
                  <a:srgbClr val="FF0000">
                    <a:alpha val="65000"/>
                  </a:srgbClr>
                </a:solidFill>
              </a:ln>
              <a:effectLst/>
            </c:spPr>
          </c:marker>
          <c:val>
            <c:numRef>
              <c:f>Rates_Basic!$M$3:$M$51</c:f>
              <c:numCache>
                <c:formatCode>General</c:formatCode>
                <c:ptCount val="49"/>
                <c:pt idx="0">
                  <c:v>15084.305339147093</c:v>
                </c:pt>
                <c:pt idx="1">
                  <c:v>15120.22899133865</c:v>
                </c:pt>
                <c:pt idx="2">
                  <c:v>15113.977929307195</c:v>
                </c:pt>
                <c:pt idx="3">
                  <c:v>15093.75893940515</c:v>
                </c:pt>
                <c:pt idx="4">
                  <c:v>15071.087707058219</c:v>
                </c:pt>
                <c:pt idx="5">
                  <c:v>15056.326252711347</c:v>
                </c:pt>
                <c:pt idx="6">
                  <c:v>15053.549464867547</c:v>
                </c:pt>
                <c:pt idx="7">
                  <c:v>15057.781924353696</c:v>
                </c:pt>
                <c:pt idx="8">
                  <c:v>15069.033268039509</c:v>
                </c:pt>
                <c:pt idx="9">
                  <c:v>15083.678410074295</c:v>
                </c:pt>
                <c:pt idx="10">
                  <c:v>15115.927761059766</c:v>
                </c:pt>
                <c:pt idx="11">
                  <c:v>15116.136326186439</c:v>
                </c:pt>
                <c:pt idx="12">
                  <c:v>15130.180545176092</c:v>
                </c:pt>
                <c:pt idx="13">
                  <c:v>15146.455930537515</c:v>
                </c:pt>
                <c:pt idx="14">
                  <c:v>15149.195084186285</c:v>
                </c:pt>
                <c:pt idx="15">
                  <c:v>15107.120474633082</c:v>
                </c:pt>
                <c:pt idx="16">
                  <c:v>15035.206964048803</c:v>
                </c:pt>
                <c:pt idx="17">
                  <c:v>14941.563609972276</c:v>
                </c:pt>
                <c:pt idx="18">
                  <c:v>14856.349271878738</c:v>
                </c:pt>
                <c:pt idx="19">
                  <c:v>14761.44695050804</c:v>
                </c:pt>
                <c:pt idx="20">
                  <c:v>14678.40708766088</c:v>
                </c:pt>
                <c:pt idx="21">
                  <c:v>14605.385968662891</c:v>
                </c:pt>
                <c:pt idx="22">
                  <c:v>14535.756322348525</c:v>
                </c:pt>
                <c:pt idx="23">
                  <c:v>14485.6602361606</c:v>
                </c:pt>
                <c:pt idx="24">
                  <c:v>14403.191700679994</c:v>
                </c:pt>
                <c:pt idx="25">
                  <c:v>14293.484181119913</c:v>
                </c:pt>
                <c:pt idx="26">
                  <c:v>14145.979700341521</c:v>
                </c:pt>
                <c:pt idx="27">
                  <c:v>13989.654670229173</c:v>
                </c:pt>
                <c:pt idx="28">
                  <c:v>13797.195764840702</c:v>
                </c:pt>
                <c:pt idx="29">
                  <c:v>13564.64958539183</c:v>
                </c:pt>
                <c:pt idx="30">
                  <c:v>13326.969335949652</c:v>
                </c:pt>
                <c:pt idx="31">
                  <c:v>13110.304808430155</c:v>
                </c:pt>
                <c:pt idx="32">
                  <c:v>12809.845008839653</c:v>
                </c:pt>
                <c:pt idx="33">
                  <c:v>12560.936432342078</c:v>
                </c:pt>
                <c:pt idx="34">
                  <c:v>12167.009053232536</c:v>
                </c:pt>
                <c:pt idx="35">
                  <c:v>11763.675035588998</c:v>
                </c:pt>
                <c:pt idx="36">
                  <c:v>11405.883294484225</c:v>
                </c:pt>
                <c:pt idx="37">
                  <c:v>11096.0805737871</c:v>
                </c:pt>
                <c:pt idx="38">
                  <c:v>10804.742820518673</c:v>
                </c:pt>
                <c:pt idx="39">
                  <c:v>10493.816843120974</c:v>
                </c:pt>
                <c:pt idx="40">
                  <c:v>10028.625269756958</c:v>
                </c:pt>
                <c:pt idx="41">
                  <c:v>9395.1246321543458</c:v>
                </c:pt>
                <c:pt idx="42">
                  <c:v>8860.3175161360541</c:v>
                </c:pt>
                <c:pt idx="43">
                  <c:v>8308.3349247921324</c:v>
                </c:pt>
                <c:pt idx="44">
                  <c:v>7748.2894501537294</c:v>
                </c:pt>
                <c:pt idx="45">
                  <c:v>7182.6656330904179</c:v>
                </c:pt>
                <c:pt idx="46">
                  <c:v>6620.8338338576732</c:v>
                </c:pt>
                <c:pt idx="47">
                  <c:v>6068.6221336188992</c:v>
                </c:pt>
                <c:pt idx="48">
                  <c:v>5528.8701353749575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2-48DF-8A3D-4B83DD207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162992"/>
        <c:axId val="524164792"/>
      </c:lineChart>
      <c:catAx>
        <c:axId val="52416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4164792"/>
        <c:crosses val="autoZero"/>
        <c:auto val="1"/>
        <c:lblAlgn val="ctr"/>
        <c:lblOffset val="100"/>
        <c:noMultiLvlLbl val="0"/>
      </c:catAx>
      <c:valAx>
        <c:axId val="52416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Lapse BEL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416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9505056335290689E-2"/>
          <c:y val="0.89316592330884848"/>
          <c:w val="0.89537979939571355"/>
          <c:h val="8.9493763904677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Lapse_Down!$K$1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Lapse_Down!$K$2:$K$52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C8-4D99-98C8-E0EC8CA2AA8F}"/>
            </c:ext>
          </c:extLst>
        </c:ser>
        <c:ser>
          <c:idx val="1"/>
          <c:order val="1"/>
          <c:tx>
            <c:strRef>
              <c:f>Lapse_Down!$L$1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Lapse_Down!$L$2:$L$52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C8-4D99-98C8-E0EC8CA2AA8F}"/>
            </c:ext>
          </c:extLst>
        </c:ser>
        <c:ser>
          <c:idx val="2"/>
          <c:order val="2"/>
          <c:tx>
            <c:strRef>
              <c:f>Lapse_Down!$M$1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Lapse_Down!$M$2:$M$52</c:f>
              <c:numCache>
                <c:formatCode>General</c:formatCode>
                <c:ptCount val="51"/>
                <c:pt idx="1">
                  <c:v>7542.1526695735465</c:v>
                </c:pt>
                <c:pt idx="2">
                  <c:v>7560.1144956693252</c:v>
                </c:pt>
                <c:pt idx="3">
                  <c:v>7556.9889646535976</c:v>
                </c:pt>
                <c:pt idx="4">
                  <c:v>7546.8794697025751</c:v>
                </c:pt>
                <c:pt idx="5">
                  <c:v>7535.5438535291096</c:v>
                </c:pt>
                <c:pt idx="6">
                  <c:v>7528.1631263556737</c:v>
                </c:pt>
                <c:pt idx="7">
                  <c:v>7526.7747324337734</c:v>
                </c:pt>
                <c:pt idx="8">
                  <c:v>7528.890962176848</c:v>
                </c:pt>
                <c:pt idx="9">
                  <c:v>7534.5166340197547</c:v>
                </c:pt>
                <c:pt idx="10">
                  <c:v>7541.8392050371476</c:v>
                </c:pt>
                <c:pt idx="11">
                  <c:v>7557.9638805298828</c:v>
                </c:pt>
                <c:pt idx="12">
                  <c:v>7558.0681630932195</c:v>
                </c:pt>
                <c:pt idx="13">
                  <c:v>7565.090272588046</c:v>
                </c:pt>
                <c:pt idx="14">
                  <c:v>7573.2279652687575</c:v>
                </c:pt>
                <c:pt idx="15">
                  <c:v>7574.5975420931427</c:v>
                </c:pt>
                <c:pt idx="16">
                  <c:v>7553.5602373165411</c:v>
                </c:pt>
                <c:pt idx="17">
                  <c:v>7517.6034820244013</c:v>
                </c:pt>
                <c:pt idx="18">
                  <c:v>7470.781804986138</c:v>
                </c:pt>
                <c:pt idx="19">
                  <c:v>7428.1746359393692</c:v>
                </c:pt>
                <c:pt idx="20">
                  <c:v>7380.7234752540198</c:v>
                </c:pt>
                <c:pt idx="21">
                  <c:v>7339.2035438304401</c:v>
                </c:pt>
                <c:pt idx="22">
                  <c:v>7302.6929843314456</c:v>
                </c:pt>
                <c:pt idx="23">
                  <c:v>7267.8781611742625</c:v>
                </c:pt>
                <c:pt idx="24">
                  <c:v>7242.8301180803001</c:v>
                </c:pt>
                <c:pt idx="25">
                  <c:v>7201.595850339997</c:v>
                </c:pt>
                <c:pt idx="26">
                  <c:v>7146.7420905599565</c:v>
                </c:pt>
                <c:pt idx="27">
                  <c:v>7072.9898501707603</c:v>
                </c:pt>
                <c:pt idx="28">
                  <c:v>6994.8273351145863</c:v>
                </c:pt>
                <c:pt idx="29">
                  <c:v>6898.5978824203512</c:v>
                </c:pt>
                <c:pt idx="30">
                  <c:v>6782.3247926959148</c:v>
                </c:pt>
                <c:pt idx="31">
                  <c:v>6663.4846679748262</c:v>
                </c:pt>
                <c:pt idx="32">
                  <c:v>6555.1524042150777</c:v>
                </c:pt>
                <c:pt idx="33">
                  <c:v>6404.9225044198265</c:v>
                </c:pt>
                <c:pt idx="34">
                  <c:v>6280.4682161710389</c:v>
                </c:pt>
                <c:pt idx="35">
                  <c:v>6083.5045266162679</c:v>
                </c:pt>
                <c:pt idx="36">
                  <c:v>5881.837517794499</c:v>
                </c:pt>
                <c:pt idx="37">
                  <c:v>5702.9416472421126</c:v>
                </c:pt>
                <c:pt idx="38">
                  <c:v>5548.0402868935498</c:v>
                </c:pt>
                <c:pt idx="39">
                  <c:v>5402.3714102593367</c:v>
                </c:pt>
                <c:pt idx="40">
                  <c:v>5246.9084215604871</c:v>
                </c:pt>
                <c:pt idx="41">
                  <c:v>5014.312634878479</c:v>
                </c:pt>
                <c:pt idx="42">
                  <c:v>4697.5623160771729</c:v>
                </c:pt>
                <c:pt idx="43">
                  <c:v>4430.1587580680271</c:v>
                </c:pt>
                <c:pt idx="44">
                  <c:v>4154.1674623960662</c:v>
                </c:pt>
                <c:pt idx="45">
                  <c:v>3874.1447250768647</c:v>
                </c:pt>
                <c:pt idx="46">
                  <c:v>3591.332816545209</c:v>
                </c:pt>
                <c:pt idx="47">
                  <c:v>3310.4169169288366</c:v>
                </c:pt>
                <c:pt idx="48">
                  <c:v>3034.3110668094496</c:v>
                </c:pt>
                <c:pt idx="49">
                  <c:v>2764.4350676874787</c:v>
                </c:pt>
                <c:pt idx="50">
                  <c:v>33419.860877171654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8-4D99-98C8-E0EC8CA2AA8F}"/>
            </c:ext>
          </c:extLst>
        </c:ser>
        <c:ser>
          <c:idx val="3"/>
          <c:order val="3"/>
          <c:tx>
            <c:strRef>
              <c:f>Lapse_Down!$N$1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Lapse_Down!$N$2:$N$52</c:f>
              <c:numCache>
                <c:formatCode>General</c:formatCode>
                <c:ptCount val="51"/>
                <c:pt idx="1">
                  <c:v>654.78576308603999</c:v>
                </c:pt>
                <c:pt idx="2">
                  <c:v>720.97716960469711</c:v>
                </c:pt>
                <c:pt idx="3">
                  <c:v>793.80708836269423</c:v>
                </c:pt>
                <c:pt idx="4">
                  <c:v>879.69731884962835</c:v>
                </c:pt>
                <c:pt idx="5">
                  <c:v>979.49050725988764</c:v>
                </c:pt>
                <c:pt idx="6">
                  <c:v>1095.6218220707735</c:v>
                </c:pt>
                <c:pt idx="7">
                  <c:v>1191.2156479726893</c:v>
                </c:pt>
                <c:pt idx="8">
                  <c:v>1301.6348585493458</c:v>
                </c:pt>
                <c:pt idx="9">
                  <c:v>1424.1080849087386</c:v>
                </c:pt>
                <c:pt idx="10">
                  <c:v>1600.107107469569</c:v>
                </c:pt>
                <c:pt idx="11">
                  <c:v>1792.5277284594861</c:v>
                </c:pt>
                <c:pt idx="12">
                  <c:v>2029.4732350610739</c:v>
                </c:pt>
                <c:pt idx="13">
                  <c:v>2240.1128948418818</c:v>
                </c:pt>
                <c:pt idx="14">
                  <c:v>2475.1335652758848</c:v>
                </c:pt>
                <c:pt idx="15">
                  <c:v>2694.2276069180157</c:v>
                </c:pt>
                <c:pt idx="16">
                  <c:v>3032.2782995747029</c:v>
                </c:pt>
                <c:pt idx="17">
                  <c:v>3407.2893241431993</c:v>
                </c:pt>
                <c:pt idx="18">
                  <c:v>3886.8067667175033</c:v>
                </c:pt>
                <c:pt idx="19">
                  <c:v>4289.0638386502851</c:v>
                </c:pt>
                <c:pt idx="20">
                  <c:v>4858.9649798923137</c:v>
                </c:pt>
                <c:pt idx="21">
                  <c:v>5452.6655783076649</c:v>
                </c:pt>
                <c:pt idx="22">
                  <c:v>6100.7898614176056</c:v>
                </c:pt>
                <c:pt idx="23">
                  <c:v>6819.7230311444137</c:v>
                </c:pt>
                <c:pt idx="24">
                  <c:v>7514.7065995990224</c:v>
                </c:pt>
                <c:pt idx="25">
                  <c:v>8494.1343528969737</c:v>
                </c:pt>
                <c:pt idx="26">
                  <c:v>9730.749505547421</c:v>
                </c:pt>
                <c:pt idx="27">
                  <c:v>11302.192326014976</c:v>
                </c:pt>
                <c:pt idx="28">
                  <c:v>12993.759750038302</c:v>
                </c:pt>
                <c:pt idx="29">
                  <c:v>14961.500703451813</c:v>
                </c:pt>
                <c:pt idx="30">
                  <c:v>17232.396122594597</c:v>
                </c:pt>
                <c:pt idx="31">
                  <c:v>19606.836892337982</c:v>
                </c:pt>
                <c:pt idx="32">
                  <c:v>21880.964233152044</c:v>
                </c:pt>
                <c:pt idx="33">
                  <c:v>24754.46017868329</c:v>
                </c:pt>
                <c:pt idx="34">
                  <c:v>27325.70867048583</c:v>
                </c:pt>
                <c:pt idx="35">
                  <c:v>30868.093018690484</c:v>
                </c:pt>
                <c:pt idx="36">
                  <c:v>34513.685632234738</c:v>
                </c:pt>
                <c:pt idx="37">
                  <c:v>37896.994048427747</c:v>
                </c:pt>
                <c:pt idx="38">
                  <c:v>41002.647485973328</c:v>
                </c:pt>
                <c:pt idx="39">
                  <c:v>43984.396127947504</c:v>
                </c:pt>
                <c:pt idx="40">
                  <c:v>47137.998052000192</c:v>
                </c:pt>
                <c:pt idx="41">
                  <c:v>51315.21108421278</c:v>
                </c:pt>
                <c:pt idx="42">
                  <c:v>56654.668200539658</c:v>
                </c:pt>
                <c:pt idx="43">
                  <c:v>61376.988716237232</c:v>
                </c:pt>
                <c:pt idx="44">
                  <c:v>66203.629979659425</c:v>
                </c:pt>
                <c:pt idx="45">
                  <c:v>71123.541978971596</c:v>
                </c:pt>
                <c:pt idx="46">
                  <c:v>76065.571578973773</c:v>
                </c:pt>
                <c:pt idx="47">
                  <c:v>81020.201106733104</c:v>
                </c:pt>
                <c:pt idx="48">
                  <c:v>85949.454368420484</c:v>
                </c:pt>
                <c:pt idx="49">
                  <c:v>90774.434884640956</c:v>
                </c:pt>
                <c:pt idx="50">
                  <c:v>95545.138127886079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C8-4D99-98C8-E0EC8CA2A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57281695970060353"/>
          <c:h val="6.3191499961625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BEL Components</a:t>
            </a:r>
          </a:p>
        </c:rich>
      </c:tx>
      <c:layout>
        <c:manualLayout>
          <c:xMode val="edge"/>
          <c:yMode val="edge"/>
          <c:x val="0.35566507202639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6330861268051195E-2"/>
          <c:y val="0.10545635171200296"/>
          <c:w val="0.92829192664196614"/>
          <c:h val="0.7778727625755588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Lapse_Mass!$K$1</c:f>
              <c:strCache>
                <c:ptCount val="1"/>
                <c:pt idx="0">
                  <c:v>Commision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Lapse_Mass!$K$2:$K$52</c:f>
              <c:numCache>
                <c:formatCode>0.00</c:formatCode>
                <c:ptCount val="51"/>
                <c:pt idx="1">
                  <c:v>1449.1960000000001</c:v>
                </c:pt>
                <c:pt idx="2">
                  <c:v>1453.5716409270005</c:v>
                </c:pt>
                <c:pt idx="3">
                  <c:v>1454.0174346398255</c:v>
                </c:pt>
                <c:pt idx="4">
                  <c:v>1453.3171478985437</c:v>
                </c:pt>
                <c:pt idx="5">
                  <c:v>1452.58181697792</c:v>
                </c:pt>
                <c:pt idx="6">
                  <c:v>1452.835173571694</c:v>
                </c:pt>
                <c:pt idx="7">
                  <c:v>1453.938328438775</c:v>
                </c:pt>
                <c:pt idx="8">
                  <c:v>1455.9225809844947</c:v>
                </c:pt>
                <c:pt idx="9">
                  <c:v>1458.749187329799</c:v>
                </c:pt>
                <c:pt idx="10">
                  <c:v>1462.6657460438055</c:v>
                </c:pt>
                <c:pt idx="11">
                  <c:v>1468.4973619239377</c:v>
                </c:pt>
                <c:pt idx="12">
                  <c:v>1471.9084757060559</c:v>
                </c:pt>
                <c:pt idx="13">
                  <c:v>1476.2634791908197</c:v>
                </c:pt>
                <c:pt idx="14">
                  <c:v>1481.180360131865</c:v>
                </c:pt>
                <c:pt idx="15">
                  <c:v>1484.5774917502104</c:v>
                </c:pt>
                <c:pt idx="16">
                  <c:v>1485.4004344685075</c:v>
                </c:pt>
                <c:pt idx="17">
                  <c:v>1483.9047345693523</c:v>
                </c:pt>
                <c:pt idx="18">
                  <c:v>1481.8310003128743</c:v>
                </c:pt>
                <c:pt idx="19">
                  <c:v>1479.4559022574501</c:v>
                </c:pt>
                <c:pt idx="20">
                  <c:v>1478.555609799771</c:v>
                </c:pt>
                <c:pt idx="21">
                  <c:v>1479.1280202811074</c:v>
                </c:pt>
                <c:pt idx="22">
                  <c:v>1481.4354895753065</c:v>
                </c:pt>
                <c:pt idx="23">
                  <c:v>1485.0800678162418</c:v>
                </c:pt>
                <c:pt idx="24">
                  <c:v>1490.2460492259468</c:v>
                </c:pt>
                <c:pt idx="25">
                  <c:v>1496.3936819603516</c:v>
                </c:pt>
                <c:pt idx="26">
                  <c:v>1503.6227786978077</c:v>
                </c:pt>
                <c:pt idx="27">
                  <c:v>1512.036984530421</c:v>
                </c:pt>
                <c:pt idx="28">
                  <c:v>1521.3287371681588</c:v>
                </c:pt>
                <c:pt idx="29">
                  <c:v>1531.1248619675434</c:v>
                </c:pt>
                <c:pt idx="30">
                  <c:v>1541.4342512768526</c:v>
                </c:pt>
                <c:pt idx="31">
                  <c:v>1552.7357621857186</c:v>
                </c:pt>
                <c:pt idx="32">
                  <c:v>1564.6072534038274</c:v>
                </c:pt>
                <c:pt idx="33">
                  <c:v>1577.0603905197688</c:v>
                </c:pt>
                <c:pt idx="34">
                  <c:v>1590.1074729646173</c:v>
                </c:pt>
                <c:pt idx="35">
                  <c:v>1603.2143567385515</c:v>
                </c:pt>
                <c:pt idx="36">
                  <c:v>1616.9008642635238</c:v>
                </c:pt>
                <c:pt idx="37">
                  <c:v>1631.1798595382238</c:v>
                </c:pt>
                <c:pt idx="38">
                  <c:v>1646.0648363423545</c:v>
                </c:pt>
                <c:pt idx="39">
                  <c:v>1660.9387176123464</c:v>
                </c:pt>
                <c:pt idx="40">
                  <c:v>1676.4030408347244</c:v>
                </c:pt>
                <c:pt idx="41">
                  <c:v>1691.7959151876225</c:v>
                </c:pt>
                <c:pt idx="42">
                  <c:v>1707.7614347478809</c:v>
                </c:pt>
                <c:pt idx="43">
                  <c:v>1724.313025439284</c:v>
                </c:pt>
                <c:pt idx="44">
                  <c:v>1740.7187854640399</c:v>
                </c:pt>
                <c:pt idx="45">
                  <c:v>1757.6902677897244</c:v>
                </c:pt>
                <c:pt idx="46">
                  <c:v>1774.446123037156</c:v>
                </c:pt>
                <c:pt idx="47">
                  <c:v>1791.7444399896863</c:v>
                </c:pt>
                <c:pt idx="48">
                  <c:v>1809.5978725515176</c:v>
                </c:pt>
                <c:pt idx="49">
                  <c:v>1827.1480956427774</c:v>
                </c:pt>
                <c:pt idx="50">
                  <c:v>1846.1247301337507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8-49E6-942C-0C90C68E74EF}"/>
            </c:ext>
          </c:extLst>
        </c:ser>
        <c:ser>
          <c:idx val="1"/>
          <c:order val="1"/>
          <c:tx>
            <c:strRef>
              <c:f>Lapse_Mass!$L$1</c:f>
              <c:strCache>
                <c:ptCount val="1"/>
                <c:pt idx="0">
                  <c:v>Expanses (€)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Lapse_Mass!$L$2:$L$52</c:f>
              <c:numCache>
                <c:formatCode>0.00</c:formatCode>
                <c:ptCount val="51"/>
                <c:pt idx="1">
                  <c:v>50</c:v>
                </c:pt>
                <c:pt idx="2">
                  <c:v>51</c:v>
                </c:pt>
                <c:pt idx="3">
                  <c:v>52.02</c:v>
                </c:pt>
                <c:pt idx="4">
                  <c:v>53.060400000000001</c:v>
                </c:pt>
                <c:pt idx="5">
                  <c:v>54.121608000000002</c:v>
                </c:pt>
                <c:pt idx="6">
                  <c:v>55.204040160000005</c:v>
                </c:pt>
                <c:pt idx="7">
                  <c:v>56.308120963200004</c:v>
                </c:pt>
                <c:pt idx="8">
                  <c:v>57.434283382464002</c:v>
                </c:pt>
                <c:pt idx="9">
                  <c:v>58.582969050113284</c:v>
                </c:pt>
                <c:pt idx="10">
                  <c:v>59.754628431115549</c:v>
                </c:pt>
                <c:pt idx="11">
                  <c:v>60.949720999737863</c:v>
                </c:pt>
                <c:pt idx="12">
                  <c:v>62.168715419732621</c:v>
                </c:pt>
                <c:pt idx="13">
                  <c:v>63.412089728127278</c:v>
                </c:pt>
                <c:pt idx="14">
                  <c:v>64.680331522689826</c:v>
                </c:pt>
                <c:pt idx="15">
                  <c:v>65.973938153143621</c:v>
                </c:pt>
                <c:pt idx="16">
                  <c:v>67.293416916206496</c:v>
                </c:pt>
                <c:pt idx="17">
                  <c:v>68.639285254530634</c:v>
                </c:pt>
                <c:pt idx="18">
                  <c:v>70.012070959621255</c:v>
                </c:pt>
                <c:pt idx="19">
                  <c:v>71.412312378813681</c:v>
                </c:pt>
                <c:pt idx="20">
                  <c:v>72.840558626389949</c:v>
                </c:pt>
                <c:pt idx="21">
                  <c:v>74.297369798917757</c:v>
                </c:pt>
                <c:pt idx="22">
                  <c:v>75.783317194896114</c:v>
                </c:pt>
                <c:pt idx="23">
                  <c:v>77.298983538794033</c:v>
                </c:pt>
                <c:pt idx="24">
                  <c:v>78.844963209569912</c:v>
                </c:pt>
                <c:pt idx="25">
                  <c:v>80.421862473761308</c:v>
                </c:pt>
                <c:pt idx="26">
                  <c:v>82.030299723236539</c:v>
                </c:pt>
                <c:pt idx="27">
                  <c:v>83.670905717701274</c:v>
                </c:pt>
                <c:pt idx="28">
                  <c:v>85.344323832055295</c:v>
                </c:pt>
                <c:pt idx="29">
                  <c:v>87.051210308696398</c:v>
                </c:pt>
                <c:pt idx="30">
                  <c:v>88.79223451487033</c:v>
                </c:pt>
                <c:pt idx="31">
                  <c:v>90.568079205167734</c:v>
                </c:pt>
                <c:pt idx="32">
                  <c:v>92.379440789271086</c:v>
                </c:pt>
                <c:pt idx="33">
                  <c:v>94.227029605056515</c:v>
                </c:pt>
                <c:pt idx="34">
                  <c:v>96.111570197157647</c:v>
                </c:pt>
                <c:pt idx="35">
                  <c:v>98.033801601100805</c:v>
                </c:pt>
                <c:pt idx="36">
                  <c:v>99.994477633122827</c:v>
                </c:pt>
                <c:pt idx="37">
                  <c:v>101.99436718578528</c:v>
                </c:pt>
                <c:pt idx="38">
                  <c:v>104.03425452950098</c:v>
                </c:pt>
                <c:pt idx="39">
                  <c:v>106.11493962009101</c:v>
                </c:pt>
                <c:pt idx="40">
                  <c:v>108.23723841249283</c:v>
                </c:pt>
                <c:pt idx="41">
                  <c:v>110.40198318074269</c:v>
                </c:pt>
                <c:pt idx="42">
                  <c:v>112.61002284435754</c:v>
                </c:pt>
                <c:pt idx="43">
                  <c:v>114.8622233012447</c:v>
                </c:pt>
                <c:pt idx="44">
                  <c:v>117.15946776726959</c:v>
                </c:pt>
                <c:pt idx="45">
                  <c:v>119.50265712261498</c:v>
                </c:pt>
                <c:pt idx="46">
                  <c:v>121.89271026506728</c:v>
                </c:pt>
                <c:pt idx="47">
                  <c:v>124.33056447036863</c:v>
                </c:pt>
                <c:pt idx="48">
                  <c:v>126.81717575977601</c:v>
                </c:pt>
                <c:pt idx="49">
                  <c:v>129.35351927497152</c:v>
                </c:pt>
                <c:pt idx="50">
                  <c:v>131.94058966047095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28-49E6-942C-0C90C68E74EF}"/>
            </c:ext>
          </c:extLst>
        </c:ser>
        <c:ser>
          <c:idx val="2"/>
          <c:order val="2"/>
          <c:tx>
            <c:strRef>
              <c:f>Lapse_Mass!$M$1</c:f>
              <c:strCache>
                <c:ptCount val="1"/>
                <c:pt idx="0">
                  <c:v>Lapse BEL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Lapse_Mass!$M$2:$M$52</c:f>
              <c:numCache>
                <c:formatCode>General</c:formatCode>
                <c:ptCount val="51"/>
                <c:pt idx="1">
                  <c:v>55309.119576872676</c:v>
                </c:pt>
                <c:pt idx="2">
                  <c:v>15120.22899133865</c:v>
                </c:pt>
                <c:pt idx="3">
                  <c:v>15113.977929307195</c:v>
                </c:pt>
                <c:pt idx="4">
                  <c:v>15093.75893940515</c:v>
                </c:pt>
                <c:pt idx="5">
                  <c:v>15071.087707058219</c:v>
                </c:pt>
                <c:pt idx="6">
                  <c:v>15056.326252711347</c:v>
                </c:pt>
                <c:pt idx="7">
                  <c:v>15053.549464867547</c:v>
                </c:pt>
                <c:pt idx="8">
                  <c:v>15057.781924353696</c:v>
                </c:pt>
                <c:pt idx="9">
                  <c:v>15069.033268039509</c:v>
                </c:pt>
                <c:pt idx="10">
                  <c:v>15083.678410074295</c:v>
                </c:pt>
                <c:pt idx="11">
                  <c:v>15115.927761059766</c:v>
                </c:pt>
                <c:pt idx="12">
                  <c:v>15116.136326186439</c:v>
                </c:pt>
                <c:pt idx="13">
                  <c:v>15130.180545176092</c:v>
                </c:pt>
                <c:pt idx="14">
                  <c:v>15146.455930537515</c:v>
                </c:pt>
                <c:pt idx="15">
                  <c:v>15149.195084186285</c:v>
                </c:pt>
                <c:pt idx="16">
                  <c:v>15107.120474633082</c:v>
                </c:pt>
                <c:pt idx="17">
                  <c:v>15035.206964048803</c:v>
                </c:pt>
                <c:pt idx="18">
                  <c:v>14941.563609972276</c:v>
                </c:pt>
                <c:pt idx="19">
                  <c:v>14856.349271878738</c:v>
                </c:pt>
                <c:pt idx="20">
                  <c:v>14761.44695050804</c:v>
                </c:pt>
                <c:pt idx="21">
                  <c:v>14678.40708766088</c:v>
                </c:pt>
                <c:pt idx="22">
                  <c:v>14605.385968662891</c:v>
                </c:pt>
                <c:pt idx="23">
                  <c:v>14535.756322348525</c:v>
                </c:pt>
                <c:pt idx="24">
                  <c:v>14485.6602361606</c:v>
                </c:pt>
                <c:pt idx="25">
                  <c:v>14403.191700679994</c:v>
                </c:pt>
                <c:pt idx="26">
                  <c:v>14293.484181119913</c:v>
                </c:pt>
                <c:pt idx="27">
                  <c:v>14145.979700341521</c:v>
                </c:pt>
                <c:pt idx="28">
                  <c:v>13989.654670229173</c:v>
                </c:pt>
                <c:pt idx="29">
                  <c:v>13797.195764840702</c:v>
                </c:pt>
                <c:pt idx="30">
                  <c:v>13564.64958539183</c:v>
                </c:pt>
                <c:pt idx="31">
                  <c:v>13326.969335949652</c:v>
                </c:pt>
                <c:pt idx="32">
                  <c:v>13110.304808430155</c:v>
                </c:pt>
                <c:pt idx="33">
                  <c:v>12809.845008839653</c:v>
                </c:pt>
                <c:pt idx="34">
                  <c:v>12560.936432342078</c:v>
                </c:pt>
                <c:pt idx="35">
                  <c:v>12167.009053232536</c:v>
                </c:pt>
                <c:pt idx="36">
                  <c:v>11763.675035588998</c:v>
                </c:pt>
                <c:pt idx="37">
                  <c:v>11405.883294484225</c:v>
                </c:pt>
                <c:pt idx="38">
                  <c:v>11096.0805737871</c:v>
                </c:pt>
                <c:pt idx="39">
                  <c:v>10804.742820518673</c:v>
                </c:pt>
                <c:pt idx="40">
                  <c:v>10493.816843120974</c:v>
                </c:pt>
                <c:pt idx="41">
                  <c:v>10028.625269756958</c:v>
                </c:pt>
                <c:pt idx="42">
                  <c:v>9395.1246321543458</c:v>
                </c:pt>
                <c:pt idx="43">
                  <c:v>8860.3175161360541</c:v>
                </c:pt>
                <c:pt idx="44">
                  <c:v>8308.3349247921324</c:v>
                </c:pt>
                <c:pt idx="45">
                  <c:v>7748.2894501537294</c:v>
                </c:pt>
                <c:pt idx="46">
                  <c:v>7182.6656330904179</c:v>
                </c:pt>
                <c:pt idx="47">
                  <c:v>6620.8338338576732</c:v>
                </c:pt>
                <c:pt idx="48">
                  <c:v>6068.6221336188992</c:v>
                </c:pt>
                <c:pt idx="49">
                  <c:v>5528.8701353749575</c:v>
                </c:pt>
                <c:pt idx="50">
                  <c:v>33419.860877171654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28-49E6-942C-0C90C68E74EF}"/>
            </c:ext>
          </c:extLst>
        </c:ser>
        <c:ser>
          <c:idx val="3"/>
          <c:order val="3"/>
          <c:tx>
            <c:strRef>
              <c:f>Lapse_Mass!$N$1</c:f>
              <c:strCache>
                <c:ptCount val="1"/>
                <c:pt idx="0">
                  <c:v>Death BEL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Lapse_Mass!$N$2:$N$52</c:f>
              <c:numCache>
                <c:formatCode>General</c:formatCode>
                <c:ptCount val="51"/>
                <c:pt idx="1">
                  <c:v>654.78576308603999</c:v>
                </c:pt>
                <c:pt idx="2">
                  <c:v>720.97716960469711</c:v>
                </c:pt>
                <c:pt idx="3">
                  <c:v>793.80708836269423</c:v>
                </c:pt>
                <c:pt idx="4">
                  <c:v>879.69731884962835</c:v>
                </c:pt>
                <c:pt idx="5">
                  <c:v>979.49050725988764</c:v>
                </c:pt>
                <c:pt idx="6">
                  <c:v>1095.6218220707735</c:v>
                </c:pt>
                <c:pt idx="7">
                  <c:v>1191.2156479726893</c:v>
                </c:pt>
                <c:pt idx="8">
                  <c:v>1301.6348585493458</c:v>
                </c:pt>
                <c:pt idx="9">
                  <c:v>1424.1080849087386</c:v>
                </c:pt>
                <c:pt idx="10">
                  <c:v>1600.107107469569</c:v>
                </c:pt>
                <c:pt idx="11">
                  <c:v>1792.5277284594861</c:v>
                </c:pt>
                <c:pt idx="12">
                  <c:v>2029.4732350610739</c:v>
                </c:pt>
                <c:pt idx="13">
                  <c:v>2240.1128948418818</c:v>
                </c:pt>
                <c:pt idx="14">
                  <c:v>2475.1335652758848</c:v>
                </c:pt>
                <c:pt idx="15">
                  <c:v>2694.2276069180157</c:v>
                </c:pt>
                <c:pt idx="16">
                  <c:v>3032.2782995747029</c:v>
                </c:pt>
                <c:pt idx="17">
                  <c:v>3407.2893241431993</c:v>
                </c:pt>
                <c:pt idx="18">
                  <c:v>3886.8067667175033</c:v>
                </c:pt>
                <c:pt idx="19">
                  <c:v>4289.0638386502851</c:v>
                </c:pt>
                <c:pt idx="20">
                  <c:v>4858.9649798923137</c:v>
                </c:pt>
                <c:pt idx="21">
                  <c:v>5452.6655783076649</c:v>
                </c:pt>
                <c:pt idx="22">
                  <c:v>6100.7898614176056</c:v>
                </c:pt>
                <c:pt idx="23">
                  <c:v>6819.7230311444137</c:v>
                </c:pt>
                <c:pt idx="24">
                  <c:v>7514.7065995990224</c:v>
                </c:pt>
                <c:pt idx="25">
                  <c:v>8494.1343528969737</c:v>
                </c:pt>
                <c:pt idx="26">
                  <c:v>9730.749505547421</c:v>
                </c:pt>
                <c:pt idx="27">
                  <c:v>11302.192326014976</c:v>
                </c:pt>
                <c:pt idx="28">
                  <c:v>12993.759750038302</c:v>
                </c:pt>
                <c:pt idx="29">
                  <c:v>14961.500703451813</c:v>
                </c:pt>
                <c:pt idx="30">
                  <c:v>17232.396122594597</c:v>
                </c:pt>
                <c:pt idx="31">
                  <c:v>19606.836892337982</c:v>
                </c:pt>
                <c:pt idx="32">
                  <c:v>21880.964233152044</c:v>
                </c:pt>
                <c:pt idx="33">
                  <c:v>24754.46017868329</c:v>
                </c:pt>
                <c:pt idx="34">
                  <c:v>27325.70867048583</c:v>
                </c:pt>
                <c:pt idx="35">
                  <c:v>30868.093018690484</c:v>
                </c:pt>
                <c:pt idx="36">
                  <c:v>34513.685632234738</c:v>
                </c:pt>
                <c:pt idx="37">
                  <c:v>37896.994048427747</c:v>
                </c:pt>
                <c:pt idx="38">
                  <c:v>41002.647485973328</c:v>
                </c:pt>
                <c:pt idx="39">
                  <c:v>43984.396127947504</c:v>
                </c:pt>
                <c:pt idx="40">
                  <c:v>47137.998052000192</c:v>
                </c:pt>
                <c:pt idx="41">
                  <c:v>51315.21108421278</c:v>
                </c:pt>
                <c:pt idx="42">
                  <c:v>56654.668200539658</c:v>
                </c:pt>
                <c:pt idx="43">
                  <c:v>61376.988716237232</c:v>
                </c:pt>
                <c:pt idx="44">
                  <c:v>66203.629979659425</c:v>
                </c:pt>
                <c:pt idx="45">
                  <c:v>71123.541978971596</c:v>
                </c:pt>
                <c:pt idx="46">
                  <c:v>76065.571578973773</c:v>
                </c:pt>
                <c:pt idx="47">
                  <c:v>81020.201106733104</c:v>
                </c:pt>
                <c:pt idx="48">
                  <c:v>85949.454368420484</c:v>
                </c:pt>
                <c:pt idx="49">
                  <c:v>90774.434884640956</c:v>
                </c:pt>
                <c:pt idx="50">
                  <c:v>95545.138127886079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28-49E6-942C-0C90C68E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628688"/>
        <c:axId val="1245618608"/>
      </c:barChart>
      <c:catAx>
        <c:axId val="12456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18608"/>
        <c:crosses val="autoZero"/>
        <c:auto val="1"/>
        <c:lblAlgn val="ctr"/>
        <c:lblOffset val="100"/>
        <c:noMultiLvlLbl val="0"/>
      </c:catAx>
      <c:valAx>
        <c:axId val="1245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562868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0324664961633261"/>
          <c:y val="0.93680857248571447"/>
          <c:w val="0.57281695970060353"/>
          <c:h val="6.3191769256973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Expanses BEL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338446607040785E-2"/>
          <c:y val="0.11913277235603133"/>
          <c:w val="0.93604888540513653"/>
          <c:h val="0.80661154349352915"/>
        </c:manualLayout>
      </c:layout>
      <c:lineChart>
        <c:grouping val="standard"/>
        <c:varyColors val="0"/>
        <c:ser>
          <c:idx val="0"/>
          <c:order val="0"/>
          <c:tx>
            <c:v>UP Expanses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Expanses!$L$2:$L$52</c:f>
              <c:numCache>
                <c:formatCode>0.00</c:formatCode>
                <c:ptCount val="51"/>
                <c:pt idx="1">
                  <c:v>55.000000000000007</c:v>
                </c:pt>
                <c:pt idx="2">
                  <c:v>56.650000000000006</c:v>
                </c:pt>
                <c:pt idx="3">
                  <c:v>58.349500000000006</c:v>
                </c:pt>
                <c:pt idx="4">
                  <c:v>60.099985000000011</c:v>
                </c:pt>
                <c:pt idx="5">
                  <c:v>61.902984550000014</c:v>
                </c:pt>
                <c:pt idx="6">
                  <c:v>63.760074086500019</c:v>
                </c:pt>
                <c:pt idx="7">
                  <c:v>65.672876309095017</c:v>
                </c:pt>
                <c:pt idx="8">
                  <c:v>67.643062598367862</c:v>
                </c:pt>
                <c:pt idx="9">
                  <c:v>69.672354476318901</c:v>
                </c:pt>
                <c:pt idx="10">
                  <c:v>71.762525110608465</c:v>
                </c:pt>
                <c:pt idx="11">
                  <c:v>73.91540086392672</c:v>
                </c:pt>
                <c:pt idx="12">
                  <c:v>76.132862889844517</c:v>
                </c:pt>
                <c:pt idx="13">
                  <c:v>78.416848776539851</c:v>
                </c:pt>
                <c:pt idx="14">
                  <c:v>80.769354239836048</c:v>
                </c:pt>
                <c:pt idx="15">
                  <c:v>83.192434867031125</c:v>
                </c:pt>
                <c:pt idx="16">
                  <c:v>85.688207913042064</c:v>
                </c:pt>
                <c:pt idx="17">
                  <c:v>88.258854150433322</c:v>
                </c:pt>
                <c:pt idx="18">
                  <c:v>90.906619774946321</c:v>
                </c:pt>
                <c:pt idx="19">
                  <c:v>93.63381836819471</c:v>
                </c:pt>
                <c:pt idx="20">
                  <c:v>96.442832919240558</c:v>
                </c:pt>
                <c:pt idx="21">
                  <c:v>99.336117906817776</c:v>
                </c:pt>
                <c:pt idx="22">
                  <c:v>102.31620144402231</c:v>
                </c:pt>
                <c:pt idx="23">
                  <c:v>105.38568748734298</c:v>
                </c:pt>
                <c:pt idx="24">
                  <c:v>108.54725811196327</c:v>
                </c:pt>
                <c:pt idx="25">
                  <c:v>111.80367585532217</c:v>
                </c:pt>
                <c:pt idx="26">
                  <c:v>115.15778613098183</c:v>
                </c:pt>
                <c:pt idx="27">
                  <c:v>118.61251971491129</c:v>
                </c:pt>
                <c:pt idx="28">
                  <c:v>122.17089530635863</c:v>
                </c:pt>
                <c:pt idx="29">
                  <c:v>125.83602216554939</c:v>
                </c:pt>
                <c:pt idx="30">
                  <c:v>129.61110283051588</c:v>
                </c:pt>
                <c:pt idx="31">
                  <c:v>133.49943591543135</c:v>
                </c:pt>
                <c:pt idx="32">
                  <c:v>137.5044189928943</c:v>
                </c:pt>
                <c:pt idx="33">
                  <c:v>141.62955156268114</c:v>
                </c:pt>
                <c:pt idx="34">
                  <c:v>145.87843810956159</c:v>
                </c:pt>
                <c:pt idx="35">
                  <c:v>150.25479125284843</c:v>
                </c:pt>
                <c:pt idx="36">
                  <c:v>154.76243499043389</c:v>
                </c:pt>
                <c:pt idx="37">
                  <c:v>159.40530804014691</c:v>
                </c:pt>
                <c:pt idx="38">
                  <c:v>164.18746728135133</c:v>
                </c:pt>
                <c:pt idx="39">
                  <c:v>169.11309129979188</c:v>
                </c:pt>
                <c:pt idx="40">
                  <c:v>174.18648403878564</c:v>
                </c:pt>
                <c:pt idx="41">
                  <c:v>179.41207855994921</c:v>
                </c:pt>
                <c:pt idx="42">
                  <c:v>184.79444091674767</c:v>
                </c:pt>
                <c:pt idx="43">
                  <c:v>190.33827414425011</c:v>
                </c:pt>
                <c:pt idx="44">
                  <c:v>196.0484223685776</c:v>
                </c:pt>
                <c:pt idx="45">
                  <c:v>201.92987503963494</c:v>
                </c:pt>
                <c:pt idx="46">
                  <c:v>207.98777129082399</c:v>
                </c:pt>
                <c:pt idx="47">
                  <c:v>214.2274044295487</c:v>
                </c:pt>
                <c:pt idx="48">
                  <c:v>220.65422656243516</c:v>
                </c:pt>
                <c:pt idx="49">
                  <c:v>227.27385335930822</c:v>
                </c:pt>
                <c:pt idx="50">
                  <c:v>234.09206896008746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7-4E53-9157-689AB3695F70}"/>
            </c:ext>
          </c:extLst>
        </c:ser>
        <c:ser>
          <c:idx val="1"/>
          <c:order val="1"/>
          <c:tx>
            <c:v>Basic Expanses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Rates_Basic!$L$3:$L$52</c:f>
              <c:numCache>
                <c:formatCode>0.00</c:formatCode>
                <c:ptCount val="50"/>
                <c:pt idx="0">
                  <c:v>50</c:v>
                </c:pt>
                <c:pt idx="1">
                  <c:v>51</c:v>
                </c:pt>
                <c:pt idx="2">
                  <c:v>52.02</c:v>
                </c:pt>
                <c:pt idx="3">
                  <c:v>53.060400000000001</c:v>
                </c:pt>
                <c:pt idx="4">
                  <c:v>54.121608000000002</c:v>
                </c:pt>
                <c:pt idx="5">
                  <c:v>55.204040160000005</c:v>
                </c:pt>
                <c:pt idx="6">
                  <c:v>56.308120963200004</c:v>
                </c:pt>
                <c:pt idx="7">
                  <c:v>57.434283382464002</c:v>
                </c:pt>
                <c:pt idx="8">
                  <c:v>58.582969050113284</c:v>
                </c:pt>
                <c:pt idx="9">
                  <c:v>59.754628431115549</c:v>
                </c:pt>
                <c:pt idx="10">
                  <c:v>60.949720999737863</c:v>
                </c:pt>
                <c:pt idx="11">
                  <c:v>62.168715419732621</c:v>
                </c:pt>
                <c:pt idx="12">
                  <c:v>63.412089728127278</c:v>
                </c:pt>
                <c:pt idx="13">
                  <c:v>64.680331522689826</c:v>
                </c:pt>
                <c:pt idx="14">
                  <c:v>65.973938153143621</c:v>
                </c:pt>
                <c:pt idx="15">
                  <c:v>67.293416916206496</c:v>
                </c:pt>
                <c:pt idx="16">
                  <c:v>68.639285254530634</c:v>
                </c:pt>
                <c:pt idx="17">
                  <c:v>70.012070959621255</c:v>
                </c:pt>
                <c:pt idx="18">
                  <c:v>71.412312378813681</c:v>
                </c:pt>
                <c:pt idx="19">
                  <c:v>72.840558626389949</c:v>
                </c:pt>
                <c:pt idx="20">
                  <c:v>74.297369798917757</c:v>
                </c:pt>
                <c:pt idx="21">
                  <c:v>75.783317194896114</c:v>
                </c:pt>
                <c:pt idx="22">
                  <c:v>77.298983538794033</c:v>
                </c:pt>
                <c:pt idx="23">
                  <c:v>78.844963209569912</c:v>
                </c:pt>
                <c:pt idx="24">
                  <c:v>80.421862473761308</c:v>
                </c:pt>
                <c:pt idx="25">
                  <c:v>82.030299723236539</c:v>
                </c:pt>
                <c:pt idx="26">
                  <c:v>83.670905717701274</c:v>
                </c:pt>
                <c:pt idx="27">
                  <c:v>85.344323832055295</c:v>
                </c:pt>
                <c:pt idx="28">
                  <c:v>87.051210308696398</c:v>
                </c:pt>
                <c:pt idx="29">
                  <c:v>88.79223451487033</c:v>
                </c:pt>
                <c:pt idx="30">
                  <c:v>90.568079205167734</c:v>
                </c:pt>
                <c:pt idx="31">
                  <c:v>92.379440789271086</c:v>
                </c:pt>
                <c:pt idx="32">
                  <c:v>94.227029605056515</c:v>
                </c:pt>
                <c:pt idx="33">
                  <c:v>96.111570197157647</c:v>
                </c:pt>
                <c:pt idx="34">
                  <c:v>98.033801601100805</c:v>
                </c:pt>
                <c:pt idx="35">
                  <c:v>99.994477633122827</c:v>
                </c:pt>
                <c:pt idx="36">
                  <c:v>101.99436718578528</c:v>
                </c:pt>
                <c:pt idx="37">
                  <c:v>104.03425452950098</c:v>
                </c:pt>
                <c:pt idx="38">
                  <c:v>106.11493962009101</c:v>
                </c:pt>
                <c:pt idx="39">
                  <c:v>108.23723841249283</c:v>
                </c:pt>
                <c:pt idx="40">
                  <c:v>110.40198318074269</c:v>
                </c:pt>
                <c:pt idx="41">
                  <c:v>112.61002284435754</c:v>
                </c:pt>
                <c:pt idx="42">
                  <c:v>114.8622233012447</c:v>
                </c:pt>
                <c:pt idx="43">
                  <c:v>117.15946776726959</c:v>
                </c:pt>
                <c:pt idx="44">
                  <c:v>119.50265712261498</c:v>
                </c:pt>
                <c:pt idx="45">
                  <c:v>121.89271026506728</c:v>
                </c:pt>
                <c:pt idx="46">
                  <c:v>124.33056447036863</c:v>
                </c:pt>
                <c:pt idx="47">
                  <c:v>126.81717575977601</c:v>
                </c:pt>
                <c:pt idx="48">
                  <c:v>129.35351927497152</c:v>
                </c:pt>
                <c:pt idx="49">
                  <c:v>131.94058966047095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7-4E53-9157-689AB3695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899472"/>
        <c:axId val="891899832"/>
      </c:lineChart>
      <c:catAx>
        <c:axId val="89189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899832"/>
        <c:crosses val="autoZero"/>
        <c:auto val="1"/>
        <c:lblAlgn val="ctr"/>
        <c:lblOffset val="100"/>
        <c:noMultiLvlLbl val="0"/>
      </c:catAx>
      <c:valAx>
        <c:axId val="89189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8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1362322980042249E-2"/>
          <c:y val="0.12153063797489738"/>
          <c:w val="0.35559201584427774"/>
          <c:h val="0.10840547879794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534264</xdr:colOff>
      <xdr:row>1</xdr:row>
      <xdr:rowOff>5195</xdr:rowOff>
    </xdr:from>
    <xdr:to>
      <xdr:col>38</xdr:col>
      <xdr:colOff>486834</xdr:colOff>
      <xdr:row>24</xdr:row>
      <xdr:rowOff>183443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31842E6-5E06-C412-95FD-74F5920F4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533399</xdr:colOff>
      <xdr:row>25</xdr:row>
      <xdr:rowOff>173182</xdr:rowOff>
    </xdr:from>
    <xdr:to>
      <xdr:col>39</xdr:col>
      <xdr:colOff>7470</xdr:colOff>
      <xdr:row>46</xdr:row>
      <xdr:rowOff>7471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E773183-6408-FCFE-DEA8-477620819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</xdr:colOff>
      <xdr:row>0</xdr:row>
      <xdr:rowOff>180975</xdr:rowOff>
    </xdr:from>
    <xdr:to>
      <xdr:col>20</xdr:col>
      <xdr:colOff>1</xdr:colOff>
      <xdr:row>11</xdr:row>
      <xdr:rowOff>6350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E1F893-B05C-CCB2-33BC-9CCB9EBD7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19</xdr:col>
      <xdr:colOff>606426</xdr:colOff>
      <xdr:row>22</xdr:row>
      <xdr:rowOff>9525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640A8EE-064C-45A5-8E8C-2B9489DB9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23</xdr:row>
      <xdr:rowOff>0</xdr:rowOff>
    </xdr:from>
    <xdr:to>
      <xdr:col>19</xdr:col>
      <xdr:colOff>606426</xdr:colOff>
      <xdr:row>33</xdr:row>
      <xdr:rowOff>9525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DF480E3-5F44-44EE-8EC2-0A5795CCA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7056</xdr:rowOff>
    </xdr:from>
    <xdr:to>
      <xdr:col>20</xdr:col>
      <xdr:colOff>599722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94D35A-225E-7E8E-420B-11F8D3C84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7055</xdr:colOff>
      <xdr:row>16</xdr:row>
      <xdr:rowOff>7759</xdr:rowOff>
    </xdr:from>
    <xdr:to>
      <xdr:col>20</xdr:col>
      <xdr:colOff>606777</xdr:colOff>
      <xdr:row>30</xdr:row>
      <xdr:rowOff>18143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D2F0E2A-06B7-2AE9-363F-526F20622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7045</xdr:rowOff>
    </xdr:from>
    <xdr:to>
      <xdr:col>20</xdr:col>
      <xdr:colOff>599721</xdr:colOff>
      <xdr:row>44</xdr:row>
      <xdr:rowOff>181419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20C6F7E-27CD-43E7-AA00-E00B037AC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88699</xdr:colOff>
      <xdr:row>31</xdr:row>
      <xdr:rowOff>18142</xdr:rowOff>
    </xdr:from>
    <xdr:to>
      <xdr:col>7</xdr:col>
      <xdr:colOff>10079</xdr:colOff>
      <xdr:row>45</xdr:row>
      <xdr:rowOff>25197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5DF5214-EF9E-40DC-A431-BA6B81F80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485238</xdr:colOff>
      <xdr:row>1</xdr:row>
      <xdr:rowOff>7752</xdr:rowOff>
    </xdr:from>
    <xdr:to>
      <xdr:col>34</xdr:col>
      <xdr:colOff>329</xdr:colOff>
      <xdr:row>22</xdr:row>
      <xdr:rowOff>21771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B8E4F8E-80BC-511D-0836-9E200ABBF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498684</xdr:colOff>
      <xdr:row>43</xdr:row>
      <xdr:rowOff>154748</xdr:rowOff>
    </xdr:from>
    <xdr:to>
      <xdr:col>34</xdr:col>
      <xdr:colOff>3368</xdr:colOff>
      <xdr:row>64</xdr:row>
      <xdr:rowOff>15421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00B67A8-6AC2-7646-03D4-24D917180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501650</xdr:colOff>
      <xdr:row>22</xdr:row>
      <xdr:rowOff>96157</xdr:rowOff>
    </xdr:from>
    <xdr:to>
      <xdr:col>34</xdr:col>
      <xdr:colOff>2722</xdr:colOff>
      <xdr:row>43</xdr:row>
      <xdr:rowOff>44451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D980A888-3EF1-5AC5-0E02-A428097D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30</xdr:col>
      <xdr:colOff>76805</xdr:colOff>
      <xdr:row>21</xdr:row>
      <xdr:rowOff>117627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3B0E56-871E-488E-81FB-68223A710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30</xdr:col>
      <xdr:colOff>102205</xdr:colOff>
      <xdr:row>21</xdr:row>
      <xdr:rowOff>129173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ADE897-2833-4DAB-8CB8-E23B73A68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6350</xdr:colOff>
      <xdr:row>22</xdr:row>
      <xdr:rowOff>12700</xdr:rowOff>
    </xdr:from>
    <xdr:to>
      <xdr:col>30</xdr:col>
      <xdr:colOff>108555</xdr:colOff>
      <xdr:row>42</xdr:row>
      <xdr:rowOff>141873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74C7852-C0C0-4058-BEA1-5A2108087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4553</xdr:colOff>
      <xdr:row>1</xdr:row>
      <xdr:rowOff>6902</xdr:rowOff>
    </xdr:from>
    <xdr:to>
      <xdr:col>30</xdr:col>
      <xdr:colOff>121477</xdr:colOff>
      <xdr:row>21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B9C0F80-329C-0B11-9471-3CA94E531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30</xdr:col>
      <xdr:colOff>148772</xdr:colOff>
      <xdr:row>21</xdr:row>
      <xdr:rowOff>44506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EE2FE57-1F8D-4521-8F47-1D956FC7A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30</xdr:col>
      <xdr:colOff>148772</xdr:colOff>
      <xdr:row>21</xdr:row>
      <xdr:rowOff>44506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B16FC2D-B99F-443F-B811-5153CFCA3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607390</xdr:colOff>
      <xdr:row>1</xdr:row>
      <xdr:rowOff>0</xdr:rowOff>
    </xdr:from>
    <xdr:to>
      <xdr:col>29</xdr:col>
      <xdr:colOff>5522</xdr:colOff>
      <xdr:row>18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223DFE6-FBBA-7293-74C0-BEBF5A73A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6F04-CFE5-49D6-92EF-F46B3EB9085A}">
  <sheetPr>
    <tabColor theme="3" tint="0.249977111117893"/>
  </sheetPr>
  <dimension ref="B1:Y63"/>
  <sheetViews>
    <sheetView showGridLines="0" zoomScale="90" zoomScaleNormal="90" workbookViewId="0"/>
  </sheetViews>
  <sheetFormatPr defaultColWidth="7.08984375" defaultRowHeight="14.5" x14ac:dyDescent="0.35"/>
  <cols>
    <col min="1" max="1" width="3.6328125" customWidth="1"/>
    <col min="2" max="2" width="15.6328125" bestFit="1" customWidth="1"/>
    <col min="3" max="3" width="15.6328125" customWidth="1"/>
    <col min="4" max="4" width="3.26953125" customWidth="1"/>
    <col min="5" max="5" width="13.6328125" customWidth="1"/>
    <col min="6" max="6" width="15.54296875" bestFit="1" customWidth="1"/>
    <col min="7" max="8" width="13.6328125" customWidth="1"/>
    <col min="9" max="9" width="2.6328125" customWidth="1"/>
    <col min="10" max="25" width="12.6328125" customWidth="1"/>
    <col min="26" max="26" width="4" customWidth="1"/>
  </cols>
  <sheetData>
    <row r="1" spans="2:25" ht="15" thickBot="1" x14ac:dyDescent="0.4"/>
    <row r="2" spans="2:25" x14ac:dyDescent="0.35">
      <c r="B2" s="92" t="s">
        <v>76</v>
      </c>
      <c r="C2" s="93"/>
      <c r="E2" s="91" t="s">
        <v>74</v>
      </c>
      <c r="F2" s="91"/>
      <c r="G2" s="91"/>
      <c r="H2" s="91"/>
      <c r="J2" s="91" t="s">
        <v>75</v>
      </c>
      <c r="K2" s="91"/>
      <c r="L2" s="91"/>
      <c r="M2" s="91"/>
      <c r="N2" s="91" t="s">
        <v>80</v>
      </c>
      <c r="O2" s="91"/>
      <c r="P2" s="91"/>
      <c r="Q2" s="91" t="s">
        <v>2</v>
      </c>
      <c r="R2" s="91"/>
      <c r="S2" s="91"/>
      <c r="T2" s="91" t="s">
        <v>26</v>
      </c>
      <c r="U2" s="91"/>
      <c r="V2" s="91"/>
      <c r="W2" s="91" t="s">
        <v>27</v>
      </c>
      <c r="X2" s="91"/>
      <c r="Y2" s="91"/>
    </row>
    <row r="3" spans="2:25" x14ac:dyDescent="0.35">
      <c r="B3" s="56" t="s">
        <v>77</v>
      </c>
      <c r="C3" s="57">
        <f>10^5</f>
        <v>100000</v>
      </c>
      <c r="E3" s="3" t="s">
        <v>14</v>
      </c>
      <c r="F3" s="3" t="s">
        <v>15</v>
      </c>
      <c r="G3" s="3" t="s">
        <v>21</v>
      </c>
      <c r="H3" s="3" t="s">
        <v>16</v>
      </c>
      <c r="J3" s="3" t="s">
        <v>0</v>
      </c>
      <c r="K3" s="3" t="s">
        <v>1</v>
      </c>
      <c r="L3" s="3" t="s">
        <v>22</v>
      </c>
      <c r="M3" s="3" t="s">
        <v>20</v>
      </c>
      <c r="N3" s="10" t="s">
        <v>25</v>
      </c>
      <c r="O3" s="3" t="s">
        <v>24</v>
      </c>
      <c r="P3" s="3" t="s">
        <v>23</v>
      </c>
      <c r="Q3" s="10" t="s">
        <v>25</v>
      </c>
      <c r="R3" s="3" t="s">
        <v>24</v>
      </c>
      <c r="S3" s="3" t="s">
        <v>23</v>
      </c>
      <c r="T3" s="10" t="s">
        <v>25</v>
      </c>
      <c r="U3" s="3" t="s">
        <v>24</v>
      </c>
      <c r="V3" s="3" t="s">
        <v>23</v>
      </c>
      <c r="W3" s="10" t="s">
        <v>25</v>
      </c>
      <c r="X3" s="3" t="s">
        <v>24</v>
      </c>
      <c r="Y3" s="3" t="s">
        <v>23</v>
      </c>
    </row>
    <row r="4" spans="2:25" x14ac:dyDescent="0.35">
      <c r="B4" s="56" t="s">
        <v>78</v>
      </c>
      <c r="C4" s="57">
        <f>0.8*C3</f>
        <v>80000</v>
      </c>
      <c r="E4" s="6">
        <v>60</v>
      </c>
      <c r="F4" s="8">
        <v>6.4678699999999996</v>
      </c>
      <c r="G4" s="7">
        <f>+F4/10^3</f>
        <v>6.4678699999999997E-3</v>
      </c>
      <c r="H4" s="85">
        <f>1-(F4/10^3)</f>
        <v>0.99353212999999996</v>
      </c>
      <c r="J4" s="6">
        <v>0</v>
      </c>
      <c r="K4" s="7">
        <v>0</v>
      </c>
      <c r="L4" s="7">
        <v>0</v>
      </c>
      <c r="M4" s="7">
        <v>0</v>
      </c>
      <c r="N4" s="9">
        <f>+LN(K4+1)</f>
        <v>0</v>
      </c>
      <c r="O4" s="7">
        <f t="shared" ref="O4:O54" si="0">+LN(L4+1)</f>
        <v>0</v>
      </c>
      <c r="P4" s="7">
        <f t="shared" ref="P4:P54" si="1">+LN(M4+1)</f>
        <v>0</v>
      </c>
      <c r="Q4" s="11">
        <f>+EXP(-K4*$J4)</f>
        <v>1</v>
      </c>
      <c r="R4" s="12">
        <f>+EXP(-O4*$J4)</f>
        <v>1</v>
      </c>
      <c r="S4" s="12">
        <f>+EXP(-P4*$J4)</f>
        <v>1</v>
      </c>
      <c r="T4" s="11">
        <v>1</v>
      </c>
      <c r="U4" s="12">
        <v>1</v>
      </c>
      <c r="V4" s="12">
        <v>1</v>
      </c>
      <c r="W4" s="9">
        <f>-LN(T4)</f>
        <v>0</v>
      </c>
      <c r="X4" s="13">
        <f t="shared" ref="X4:X54" si="2">-LN(U4)</f>
        <v>0</v>
      </c>
      <c r="Y4" s="13">
        <f t="shared" ref="Y4:Y54" si="3">-LN(V4)</f>
        <v>0</v>
      </c>
    </row>
    <row r="5" spans="2:25" x14ac:dyDescent="0.35">
      <c r="B5" s="56" t="s">
        <v>79</v>
      </c>
      <c r="C5" s="57">
        <f>0.2*C3</f>
        <v>20000</v>
      </c>
      <c r="E5" s="6">
        <f>+E4+1</f>
        <v>61</v>
      </c>
      <c r="F5" s="8">
        <v>7.1002599999999996</v>
      </c>
      <c r="G5" s="7">
        <f t="shared" ref="G5:G63" si="4">+F5/10^3</f>
        <v>7.1002599999999997E-3</v>
      </c>
      <c r="H5" s="85">
        <f>(1-(F5/10^3))*H4</f>
        <v>0.98647779355864618</v>
      </c>
      <c r="J5" s="6">
        <v>1</v>
      </c>
      <c r="K5" s="7">
        <v>3.5139999999999998E-2</v>
      </c>
      <c r="L5" s="7">
        <v>5.9740000000000001E-2</v>
      </c>
      <c r="M5" s="7">
        <v>8.7899999999999992E-3</v>
      </c>
      <c r="N5" s="9">
        <f t="shared" ref="N5:N54" si="5">+LN(K5+1)</f>
        <v>3.4536683270235471E-2</v>
      </c>
      <c r="O5" s="7">
        <f t="shared" si="0"/>
        <v>5.8023595018308137E-2</v>
      </c>
      <c r="P5" s="7">
        <f t="shared" si="1"/>
        <v>8.7515928517962922E-3</v>
      </c>
      <c r="Q5" s="55">
        <f>+EXP(-N5*$J5)</f>
        <v>0.96605290105686192</v>
      </c>
      <c r="R5" s="12">
        <f>+EXP(-O5*$J5)</f>
        <v>0.94362768226168692</v>
      </c>
      <c r="S5" s="12">
        <f>+EXP(-P5*$J5)</f>
        <v>0.99128659086628523</v>
      </c>
      <c r="T5" s="11">
        <f>+Q5/Q4</f>
        <v>0.96605290105686192</v>
      </c>
      <c r="U5" s="12">
        <f t="shared" ref="U5:U54" si="6">+R5/R4</f>
        <v>0.94362768226168692</v>
      </c>
      <c r="V5" s="12">
        <f t="shared" ref="V5:V54" si="7">+S5/S4</f>
        <v>0.99128659086628523</v>
      </c>
      <c r="W5" s="9">
        <f t="shared" ref="W5:W54" si="8">-LN(T5)</f>
        <v>3.4536683270235465E-2</v>
      </c>
      <c r="X5" s="13">
        <f t="shared" si="2"/>
        <v>5.802359501830813E-2</v>
      </c>
      <c r="Y5" s="13">
        <f t="shared" si="3"/>
        <v>8.7515928517963373E-3</v>
      </c>
    </row>
    <row r="6" spans="2:25" x14ac:dyDescent="0.35">
      <c r="B6" s="56" t="s">
        <v>11</v>
      </c>
      <c r="C6" s="57">
        <v>0</v>
      </c>
      <c r="E6" s="6">
        <f t="shared" ref="E6:E63" si="9">+E5+1</f>
        <v>62</v>
      </c>
      <c r="F6" s="8">
        <v>7.8151000000000002</v>
      </c>
      <c r="G6" s="7">
        <f t="shared" si="4"/>
        <v>7.8151000000000002E-3</v>
      </c>
      <c r="H6" s="85">
        <f t="shared" ref="H6:H63" si="10">(1-(F6/10^3))*H5</f>
        <v>0.97876837095420599</v>
      </c>
      <c r="J6" s="6">
        <v>2</v>
      </c>
      <c r="K6" s="7">
        <v>3.0349999999999999E-2</v>
      </c>
      <c r="L6" s="7">
        <v>5.16E-2</v>
      </c>
      <c r="M6" s="7">
        <v>1.0619999999999999E-2</v>
      </c>
      <c r="N6" s="9">
        <f t="shared" si="5"/>
        <v>2.9898550345863351E-2</v>
      </c>
      <c r="O6" s="7">
        <f t="shared" si="0"/>
        <v>5.0312813873589178E-2</v>
      </c>
      <c r="P6" s="7">
        <f t="shared" si="1"/>
        <v>1.0564003903476862E-2</v>
      </c>
      <c r="Q6" s="11">
        <f t="shared" ref="Q6:Q54" si="11">+EXP(-N6*$J6)</f>
        <v>0.94195563634332247</v>
      </c>
      <c r="R6" s="12">
        <f t="shared" ref="R6:R54" si="12">+EXP(-O6*$J6)</f>
        <v>0.90427150368487008</v>
      </c>
      <c r="S6" s="12">
        <f t="shared" ref="S6:S54" si="13">+EXP(-P6*$J6)</f>
        <v>0.97909362491967555</v>
      </c>
      <c r="T6" s="11">
        <f t="shared" ref="T6:T54" si="14">+Q6/Q5</f>
        <v>0.97505595740442674</v>
      </c>
      <c r="U6" s="12">
        <f t="shared" si="6"/>
        <v>0.95829268331500417</v>
      </c>
      <c r="V6" s="12">
        <f t="shared" si="7"/>
        <v>0.98769985788271963</v>
      </c>
      <c r="W6" s="9">
        <f t="shared" si="8"/>
        <v>2.5260417421491276E-2</v>
      </c>
      <c r="X6" s="13">
        <f t="shared" si="2"/>
        <v>4.2602032728870157E-2</v>
      </c>
      <c r="Y6" s="13">
        <f t="shared" si="3"/>
        <v>1.2376414955157372E-2</v>
      </c>
    </row>
    <row r="7" spans="2:25" x14ac:dyDescent="0.35">
      <c r="B7" s="56" t="s">
        <v>4</v>
      </c>
      <c r="C7" s="58">
        <v>2.1999999999999999E-2</v>
      </c>
      <c r="E7" s="6">
        <f t="shared" si="9"/>
        <v>63</v>
      </c>
      <c r="F7" s="8">
        <v>8.6648700000000005</v>
      </c>
      <c r="G7" s="7">
        <f t="shared" si="4"/>
        <v>8.6648699999999999E-3</v>
      </c>
      <c r="H7" s="85">
        <f t="shared" si="10"/>
        <v>0.97028747025977602</v>
      </c>
      <c r="J7" s="6">
        <v>3</v>
      </c>
      <c r="K7" s="7">
        <v>2.7830000000000001E-2</v>
      </c>
      <c r="L7" s="7">
        <v>4.564E-2</v>
      </c>
      <c r="M7" s="7">
        <v>1.225E-2</v>
      </c>
      <c r="N7" s="9">
        <f t="shared" si="5"/>
        <v>2.7449783708099751E-2</v>
      </c>
      <c r="O7" s="7">
        <f t="shared" si="0"/>
        <v>4.4629138143204593E-2</v>
      </c>
      <c r="P7" s="7">
        <f t="shared" si="1"/>
        <v>1.2175575930133544E-2</v>
      </c>
      <c r="Q7" s="11">
        <f t="shared" si="11"/>
        <v>0.92095016751412118</v>
      </c>
      <c r="R7" s="12">
        <f t="shared" si="12"/>
        <v>0.87468853636775745</v>
      </c>
      <c r="S7" s="12">
        <f t="shared" si="13"/>
        <v>0.96413232442525931</v>
      </c>
      <c r="T7" s="11">
        <f t="shared" si="14"/>
        <v>0.97770015060290461</v>
      </c>
      <c r="U7" s="12">
        <f t="shared" si="6"/>
        <v>0.96728530403030144</v>
      </c>
      <c r="V7" s="12">
        <f t="shared" si="7"/>
        <v>0.98471923408178286</v>
      </c>
      <c r="W7" s="9">
        <f t="shared" si="8"/>
        <v>2.2552250432572456E-2</v>
      </c>
      <c r="X7" s="13">
        <f t="shared" si="2"/>
        <v>3.3261786682435443E-2</v>
      </c>
      <c r="Y7" s="13">
        <f t="shared" si="3"/>
        <v>1.5398719983446916E-2</v>
      </c>
    </row>
    <row r="8" spans="2:25" x14ac:dyDescent="0.35">
      <c r="B8" s="56" t="s">
        <v>5</v>
      </c>
      <c r="C8" s="58">
        <v>1.4E-2</v>
      </c>
      <c r="E8" s="6">
        <f t="shared" si="9"/>
        <v>64</v>
      </c>
      <c r="F8" s="8">
        <v>9.6526999999999994</v>
      </c>
      <c r="G8" s="7">
        <f t="shared" si="4"/>
        <v>9.6527000000000002E-3</v>
      </c>
      <c r="H8" s="85">
        <f t="shared" si="10"/>
        <v>0.9609215763955995</v>
      </c>
      <c r="J8" s="6">
        <v>4</v>
      </c>
      <c r="K8" s="7">
        <v>2.6370000000000001E-2</v>
      </c>
      <c r="L8" s="7">
        <v>4.1930000000000002E-2</v>
      </c>
      <c r="M8" s="7">
        <v>1.319E-2</v>
      </c>
      <c r="N8" s="9">
        <f t="shared" si="5"/>
        <v>2.6028305521127008E-2</v>
      </c>
      <c r="O8" s="7">
        <f t="shared" si="0"/>
        <v>4.107476257171943E-2</v>
      </c>
      <c r="P8" s="7">
        <f t="shared" si="1"/>
        <v>1.3103769376977175E-2</v>
      </c>
      <c r="Q8" s="11">
        <f t="shared" si="11"/>
        <v>0.90112326459071324</v>
      </c>
      <c r="R8" s="12">
        <f t="shared" si="12"/>
        <v>0.84848824328325068</v>
      </c>
      <c r="S8" s="12">
        <f t="shared" si="13"/>
        <v>0.94893490355096166</v>
      </c>
      <c r="T8" s="11">
        <f t="shared" si="14"/>
        <v>0.97847125325257744</v>
      </c>
      <c r="U8" s="12">
        <f t="shared" si="6"/>
        <v>0.9700461455762226</v>
      </c>
      <c r="V8" s="12">
        <f t="shared" si="7"/>
        <v>0.98423720428276562</v>
      </c>
      <c r="W8" s="9">
        <f t="shared" si="8"/>
        <v>2.1763870960208789E-2</v>
      </c>
      <c r="X8" s="13">
        <f t="shared" si="2"/>
        <v>3.0411635857263992E-2</v>
      </c>
      <c r="Y8" s="13">
        <f t="shared" si="3"/>
        <v>1.5888349717508136E-2</v>
      </c>
    </row>
    <row r="9" spans="2:25" x14ac:dyDescent="0.35">
      <c r="B9" s="56" t="s">
        <v>8</v>
      </c>
      <c r="C9" s="58">
        <v>0.15</v>
      </c>
      <c r="D9" t="s">
        <v>3</v>
      </c>
      <c r="E9" s="6">
        <f t="shared" si="9"/>
        <v>65</v>
      </c>
      <c r="F9" s="8">
        <v>10.79527</v>
      </c>
      <c r="G9" s="7">
        <f t="shared" si="4"/>
        <v>1.0795270000000001E-2</v>
      </c>
      <c r="H9" s="85">
        <f t="shared" si="10"/>
        <v>0.95054816852958335</v>
      </c>
      <c r="J9" s="6">
        <v>5</v>
      </c>
      <c r="K9" s="7">
        <v>2.5489999999999999E-2</v>
      </c>
      <c r="L9" s="7">
        <v>3.9510000000000003E-2</v>
      </c>
      <c r="M9" s="7">
        <v>1.376E-2</v>
      </c>
      <c r="N9" s="9">
        <f t="shared" si="5"/>
        <v>2.5170547141944267E-2</v>
      </c>
      <c r="O9" s="7">
        <f t="shared" si="0"/>
        <v>3.8749448279278509E-2</v>
      </c>
      <c r="P9" s="7">
        <f t="shared" si="1"/>
        <v>1.3666190763814595E-2</v>
      </c>
      <c r="Q9" s="11">
        <f t="shared" si="11"/>
        <v>0.88174468672828576</v>
      </c>
      <c r="R9" s="12">
        <f t="shared" si="12"/>
        <v>0.82386611720300673</v>
      </c>
      <c r="S9" s="12">
        <f t="shared" si="13"/>
        <v>0.93395132766480615</v>
      </c>
      <c r="T9" s="11">
        <f t="shared" si="14"/>
        <v>0.97849508649493233</v>
      </c>
      <c r="U9" s="12">
        <f t="shared" si="6"/>
        <v>0.97098118179579262</v>
      </c>
      <c r="V9" s="12">
        <f t="shared" si="7"/>
        <v>0.98421011195806352</v>
      </c>
      <c r="W9" s="9">
        <f t="shared" si="8"/>
        <v>2.1739513625213296E-2</v>
      </c>
      <c r="X9" s="13">
        <f t="shared" si="2"/>
        <v>2.9448191109514819E-2</v>
      </c>
      <c r="Y9" s="13">
        <f t="shared" si="3"/>
        <v>1.591587631116425E-2</v>
      </c>
    </row>
    <row r="10" spans="2:25" x14ac:dyDescent="0.35">
      <c r="B10" s="56" t="s">
        <v>6</v>
      </c>
      <c r="C10" s="57">
        <v>50</v>
      </c>
      <c r="E10" s="6">
        <f t="shared" si="9"/>
        <v>66</v>
      </c>
      <c r="F10" s="8">
        <v>11.728260000000001</v>
      </c>
      <c r="G10" s="7">
        <f t="shared" si="4"/>
        <v>1.1728260000000001E-2</v>
      </c>
      <c r="H10" s="85">
        <f t="shared" si="10"/>
        <v>0.93939989246654454</v>
      </c>
      <c r="J10" s="6">
        <v>6</v>
      </c>
      <c r="K10" s="7">
        <v>2.5020000000000001E-2</v>
      </c>
      <c r="L10" s="7">
        <v>3.8030000000000001E-2</v>
      </c>
      <c r="M10" s="7">
        <v>1.451E-2</v>
      </c>
      <c r="N10" s="9">
        <f t="shared" si="5"/>
        <v>2.4712124595133091E-2</v>
      </c>
      <c r="O10" s="7">
        <f t="shared" si="0"/>
        <v>3.7324686060153878E-2</v>
      </c>
      <c r="P10" s="7">
        <f t="shared" si="1"/>
        <v>1.4405737307601267E-2</v>
      </c>
      <c r="Q10" s="11">
        <f t="shared" si="11"/>
        <v>0.86219592102620657</v>
      </c>
      <c r="R10" s="12">
        <f t="shared" si="12"/>
        <v>0.79935660682316689</v>
      </c>
      <c r="S10" s="12">
        <f t="shared" si="13"/>
        <v>0.91719569297904247</v>
      </c>
      <c r="T10" s="11">
        <f t="shared" si="14"/>
        <v>0.97782944882308853</v>
      </c>
      <c r="U10" s="12">
        <f t="shared" si="6"/>
        <v>0.97025061491416997</v>
      </c>
      <c r="V10" s="12">
        <f t="shared" si="7"/>
        <v>0.98205941338757086</v>
      </c>
      <c r="W10" s="9">
        <f t="shared" si="8"/>
        <v>2.2420011861077244E-2</v>
      </c>
      <c r="X10" s="13">
        <f t="shared" si="2"/>
        <v>3.0200874964530677E-2</v>
      </c>
      <c r="Y10" s="13">
        <f t="shared" si="3"/>
        <v>1.8103470026534559E-2</v>
      </c>
    </row>
    <row r="11" spans="2:25" x14ac:dyDescent="0.35">
      <c r="B11" s="56" t="s">
        <v>7</v>
      </c>
      <c r="C11" s="58">
        <v>0.02</v>
      </c>
      <c r="E11" s="6">
        <f t="shared" si="9"/>
        <v>67</v>
      </c>
      <c r="F11" s="8">
        <v>12.797940000000001</v>
      </c>
      <c r="G11" s="7">
        <f t="shared" si="4"/>
        <v>1.2797940000000001E-2</v>
      </c>
      <c r="H11" s="85">
        <f t="shared" si="10"/>
        <v>0.9273775090067512</v>
      </c>
      <c r="J11" s="6">
        <v>7</v>
      </c>
      <c r="K11" s="7">
        <v>2.477E-2</v>
      </c>
      <c r="L11" s="7">
        <v>3.6909999999999998E-2</v>
      </c>
      <c r="M11" s="7">
        <v>1.511E-2</v>
      </c>
      <c r="N11" s="9">
        <f t="shared" si="5"/>
        <v>2.4468197167211519E-2</v>
      </c>
      <c r="O11" s="7">
        <f t="shared" si="0"/>
        <v>3.6245136667137037E-2</v>
      </c>
      <c r="P11" s="7">
        <f t="shared" si="1"/>
        <v>1.4996981005907737E-2</v>
      </c>
      <c r="Q11" s="11">
        <f t="shared" si="11"/>
        <v>0.84258782390013232</v>
      </c>
      <c r="R11" s="12">
        <f t="shared" si="12"/>
        <v>0.77591216342362268</v>
      </c>
      <c r="S11" s="12">
        <f t="shared" si="13"/>
        <v>0.90034354930821403</v>
      </c>
      <c r="T11" s="11">
        <f t="shared" si="14"/>
        <v>0.97725795651789182</v>
      </c>
      <c r="U11" s="12">
        <f t="shared" si="6"/>
        <v>0.97067085803829412</v>
      </c>
      <c r="V11" s="12">
        <f t="shared" si="7"/>
        <v>0.98162644700598967</v>
      </c>
      <c r="W11" s="9">
        <f t="shared" si="8"/>
        <v>2.3004632599682183E-2</v>
      </c>
      <c r="X11" s="13">
        <f t="shared" si="2"/>
        <v>2.9767840309035988E-2</v>
      </c>
      <c r="Y11" s="13">
        <f t="shared" si="3"/>
        <v>1.8544443195746604E-2</v>
      </c>
    </row>
    <row r="12" spans="2:25" x14ac:dyDescent="0.35">
      <c r="B12" s="56" t="s">
        <v>9</v>
      </c>
      <c r="C12" s="57">
        <v>20</v>
      </c>
      <c r="E12" s="6">
        <f t="shared" si="9"/>
        <v>68</v>
      </c>
      <c r="F12" s="8">
        <v>13.97499</v>
      </c>
      <c r="G12" s="7">
        <f t="shared" si="4"/>
        <v>1.397499E-2</v>
      </c>
      <c r="H12" s="85">
        <f t="shared" si="10"/>
        <v>0.91441741759215689</v>
      </c>
      <c r="J12" s="6">
        <v>8</v>
      </c>
      <c r="K12" s="7">
        <v>2.4660000000000001E-2</v>
      </c>
      <c r="L12" s="7">
        <v>3.6249999999999998E-2</v>
      </c>
      <c r="M12" s="7">
        <v>1.5779999999999999E-2</v>
      </c>
      <c r="N12" s="9">
        <f t="shared" si="5"/>
        <v>2.4360850246257219E-2</v>
      </c>
      <c r="O12" s="7">
        <f t="shared" si="0"/>
        <v>3.5608427467367573E-2</v>
      </c>
      <c r="P12" s="7">
        <f t="shared" si="1"/>
        <v>1.5656790276037478E-2</v>
      </c>
      <c r="Q12" s="11">
        <f t="shared" si="11"/>
        <v>0.8229278065902943</v>
      </c>
      <c r="R12" s="12">
        <f t="shared" si="12"/>
        <v>0.7521139631751077</v>
      </c>
      <c r="S12" s="12">
        <f t="shared" si="13"/>
        <v>0.88227249256094831</v>
      </c>
      <c r="T12" s="11">
        <f t="shared" si="14"/>
        <v>0.97666710015006319</v>
      </c>
      <c r="U12" s="12">
        <f t="shared" si="6"/>
        <v>0.96932874445026329</v>
      </c>
      <c r="V12" s="12">
        <f t="shared" si="7"/>
        <v>0.97992870970070178</v>
      </c>
      <c r="W12" s="9">
        <f t="shared" si="8"/>
        <v>2.3609421799577101E-2</v>
      </c>
      <c r="X12" s="13">
        <f t="shared" si="2"/>
        <v>3.1151463068981294E-2</v>
      </c>
      <c r="Y12" s="13">
        <f t="shared" si="3"/>
        <v>2.0275455166945608E-2</v>
      </c>
    </row>
    <row r="13" spans="2:25" x14ac:dyDescent="0.35">
      <c r="B13" s="56" t="s">
        <v>10</v>
      </c>
      <c r="C13" s="57">
        <v>1</v>
      </c>
      <c r="E13" s="6">
        <f t="shared" si="9"/>
        <v>69</v>
      </c>
      <c r="F13" s="8">
        <v>15.66005</v>
      </c>
      <c r="G13" s="7">
        <f t="shared" si="4"/>
        <v>1.5660050000000002E-2</v>
      </c>
      <c r="H13" s="85">
        <f t="shared" si="10"/>
        <v>0.90009759511179277</v>
      </c>
      <c r="J13" s="6">
        <v>9</v>
      </c>
      <c r="K13" s="7">
        <v>2.4639999999999999E-2</v>
      </c>
      <c r="L13" s="7">
        <v>3.5479999999999998E-2</v>
      </c>
      <c r="M13" s="7">
        <v>1.651E-2</v>
      </c>
      <c r="N13" s="9">
        <f t="shared" si="5"/>
        <v>2.4341331386158117E-2</v>
      </c>
      <c r="O13" s="7">
        <f t="shared" si="0"/>
        <v>3.4865087326079354E-2</v>
      </c>
      <c r="P13" s="7">
        <f t="shared" si="1"/>
        <v>1.6375191716182576E-2</v>
      </c>
      <c r="Q13" s="11">
        <f t="shared" si="11"/>
        <v>0.80326389514893914</v>
      </c>
      <c r="R13" s="12">
        <f t="shared" si="12"/>
        <v>0.73067553237231897</v>
      </c>
      <c r="S13" s="12">
        <f t="shared" si="13"/>
        <v>0.86296881386049462</v>
      </c>
      <c r="T13" s="11">
        <f t="shared" si="14"/>
        <v>0.97610493741506887</v>
      </c>
      <c r="U13" s="12">
        <f t="shared" si="6"/>
        <v>0.97149576812497307</v>
      </c>
      <c r="V13" s="12">
        <f t="shared" si="7"/>
        <v>0.97812050260750916</v>
      </c>
      <c r="W13" s="9">
        <f t="shared" si="8"/>
        <v>2.4185180505365337E-2</v>
      </c>
      <c r="X13" s="13">
        <f t="shared" si="2"/>
        <v>2.8918366195773544E-2</v>
      </c>
      <c r="Y13" s="13">
        <f t="shared" si="3"/>
        <v>2.2122403237343304E-2</v>
      </c>
    </row>
    <row r="14" spans="2:25" x14ac:dyDescent="0.35">
      <c r="B14" s="56" t="s">
        <v>19</v>
      </c>
      <c r="C14" s="57">
        <v>50</v>
      </c>
      <c r="E14" s="6">
        <f t="shared" si="9"/>
        <v>70</v>
      </c>
      <c r="F14" s="8">
        <v>17.473579999999998</v>
      </c>
      <c r="G14" s="7">
        <f t="shared" si="4"/>
        <v>1.7473579999999999E-2</v>
      </c>
      <c r="H14" s="85">
        <f t="shared" si="10"/>
        <v>0.88436966777579928</v>
      </c>
      <c r="J14" s="6">
        <v>10</v>
      </c>
      <c r="K14" s="7">
        <v>2.47E-2</v>
      </c>
      <c r="L14" s="7">
        <v>3.5069999999999997E-2</v>
      </c>
      <c r="M14" s="7">
        <v>1.704E-2</v>
      </c>
      <c r="N14" s="9">
        <f t="shared" si="5"/>
        <v>2.4399886823535121E-2</v>
      </c>
      <c r="O14" s="7">
        <f t="shared" si="0"/>
        <v>3.4469057280575782E-2</v>
      </c>
      <c r="P14" s="7">
        <f t="shared" si="1"/>
        <v>1.6896447659729915E-2</v>
      </c>
      <c r="Q14" s="11">
        <f t="shared" si="11"/>
        <v>0.78348852098697153</v>
      </c>
      <c r="R14" s="12">
        <f t="shared" si="12"/>
        <v>0.70843953001252158</v>
      </c>
      <c r="S14" s="12">
        <f t="shared" si="13"/>
        <v>0.84453890374874807</v>
      </c>
      <c r="T14" s="11">
        <f t="shared" si="14"/>
        <v>0.97538122367830193</v>
      </c>
      <c r="U14" s="12">
        <f t="shared" si="6"/>
        <v>0.9695678842733344</v>
      </c>
      <c r="V14" s="12">
        <f t="shared" si="7"/>
        <v>0.97864359659846767</v>
      </c>
      <c r="W14" s="9">
        <f t="shared" si="8"/>
        <v>2.4926885759928158E-2</v>
      </c>
      <c r="X14" s="13">
        <f t="shared" si="2"/>
        <v>3.0904786871043748E-2</v>
      </c>
      <c r="Y14" s="13">
        <f t="shared" si="3"/>
        <v>2.1587751151656086E-2</v>
      </c>
    </row>
    <row r="15" spans="2:25" x14ac:dyDescent="0.35">
      <c r="B15" s="56" t="s">
        <v>48</v>
      </c>
      <c r="C15" s="58">
        <v>0.22500000000000001</v>
      </c>
      <c r="E15" s="6">
        <f t="shared" si="9"/>
        <v>71</v>
      </c>
      <c r="F15" s="8">
        <v>19.737480000000001</v>
      </c>
      <c r="G15" s="7">
        <f t="shared" si="4"/>
        <v>1.9737480000000002E-2</v>
      </c>
      <c r="H15" s="85">
        <f t="shared" si="10"/>
        <v>0.86691443914546784</v>
      </c>
      <c r="J15" s="6">
        <v>11</v>
      </c>
      <c r="K15" s="7">
        <v>2.487E-2</v>
      </c>
      <c r="L15" s="7">
        <v>3.4869999999999998E-2</v>
      </c>
      <c r="M15" s="7">
        <v>1.7409999999999998E-2</v>
      </c>
      <c r="N15" s="9">
        <f t="shared" si="5"/>
        <v>2.4565775278567011E-2</v>
      </c>
      <c r="O15" s="7">
        <f t="shared" si="0"/>
        <v>3.427581496377205E-2</v>
      </c>
      <c r="P15" s="7">
        <f t="shared" si="1"/>
        <v>1.7260182334044173E-2</v>
      </c>
      <c r="Q15" s="11">
        <f t="shared" si="11"/>
        <v>0.76320887666583503</v>
      </c>
      <c r="R15" s="12">
        <f t="shared" si="12"/>
        <v>0.68589277742554289</v>
      </c>
      <c r="S15" s="12">
        <f t="shared" si="13"/>
        <v>0.82707325748529803</v>
      </c>
      <c r="T15" s="11">
        <f t="shared" si="14"/>
        <v>0.9741162202407383</v>
      </c>
      <c r="U15" s="12">
        <f t="shared" si="6"/>
        <v>0.96817406196040445</v>
      </c>
      <c r="V15" s="12">
        <f t="shared" si="7"/>
        <v>0.97931931118161242</v>
      </c>
      <c r="W15" s="9">
        <f t="shared" si="8"/>
        <v>2.622465982888585E-2</v>
      </c>
      <c r="X15" s="13">
        <f t="shared" si="2"/>
        <v>3.2343391795734637E-2</v>
      </c>
      <c r="Y15" s="13">
        <f t="shared" si="3"/>
        <v>2.0897529077186758E-2</v>
      </c>
    </row>
    <row r="16" spans="2:25" x14ac:dyDescent="0.35">
      <c r="B16" s="56" t="s">
        <v>49</v>
      </c>
      <c r="C16" s="58">
        <v>7.4999999999999997E-2</v>
      </c>
      <c r="E16" s="6">
        <f t="shared" si="9"/>
        <v>72</v>
      </c>
      <c r="F16" s="8">
        <v>21.721769999999999</v>
      </c>
      <c r="G16" s="7">
        <f t="shared" si="4"/>
        <v>2.1721769999999998E-2</v>
      </c>
      <c r="H16" s="85">
        <f t="shared" si="10"/>
        <v>0.84808352308867097</v>
      </c>
      <c r="J16" s="6">
        <v>12</v>
      </c>
      <c r="K16" s="7">
        <v>2.487E-2</v>
      </c>
      <c r="L16" s="7">
        <v>3.4869999999999998E-2</v>
      </c>
      <c r="M16" s="7">
        <v>1.7659999999999999E-2</v>
      </c>
      <c r="N16" s="9">
        <f t="shared" si="5"/>
        <v>2.4565775278567011E-2</v>
      </c>
      <c r="O16" s="7">
        <f t="shared" si="0"/>
        <v>3.427581496377205E-2</v>
      </c>
      <c r="P16" s="7">
        <f t="shared" si="1"/>
        <v>1.7505874129665627E-2</v>
      </c>
      <c r="Q16" s="11">
        <f t="shared" si="11"/>
        <v>0.7446884743097516</v>
      </c>
      <c r="R16" s="12">
        <f t="shared" si="12"/>
        <v>0.66278158360522854</v>
      </c>
      <c r="S16" s="12">
        <f t="shared" si="13"/>
        <v>0.81052711026035729</v>
      </c>
      <c r="T16" s="11">
        <f t="shared" si="14"/>
        <v>0.97573350766438682</v>
      </c>
      <c r="U16" s="12">
        <f t="shared" si="6"/>
        <v>0.96630494651502119</v>
      </c>
      <c r="V16" s="12">
        <f t="shared" si="7"/>
        <v>0.97999433898364818</v>
      </c>
      <c r="W16" s="9">
        <f t="shared" si="8"/>
        <v>2.4565775278566938E-2</v>
      </c>
      <c r="X16" s="13">
        <f t="shared" si="2"/>
        <v>3.4275814963772112E-2</v>
      </c>
      <c r="Y16" s="13">
        <f t="shared" si="3"/>
        <v>2.0208483881501534E-2</v>
      </c>
    </row>
    <row r="17" spans="2:25" ht="15" thickBot="1" x14ac:dyDescent="0.4">
      <c r="B17" s="59" t="s">
        <v>50</v>
      </c>
      <c r="C17" s="60">
        <v>0.55000000000000004</v>
      </c>
      <c r="E17" s="6">
        <f t="shared" si="9"/>
        <v>73</v>
      </c>
      <c r="F17" s="8">
        <v>23.921029999999998</v>
      </c>
      <c r="G17" s="7">
        <f t="shared" si="4"/>
        <v>2.3921029999999999E-2</v>
      </c>
      <c r="H17" s="85">
        <f t="shared" si="10"/>
        <v>0.82779649169036118</v>
      </c>
      <c r="J17" s="6">
        <v>13</v>
      </c>
      <c r="K17" s="7">
        <v>2.4920000000000001E-2</v>
      </c>
      <c r="L17" s="7">
        <v>3.492E-2</v>
      </c>
      <c r="M17" s="7">
        <v>1.7940000000000001E-2</v>
      </c>
      <c r="N17" s="9">
        <f t="shared" si="5"/>
        <v>2.4614560763919189E-2</v>
      </c>
      <c r="O17" s="7">
        <f t="shared" si="0"/>
        <v>3.432412904395394E-2</v>
      </c>
      <c r="P17" s="7">
        <f t="shared" si="1"/>
        <v>1.778097729508709E-2</v>
      </c>
      <c r="Q17" s="11">
        <f t="shared" si="11"/>
        <v>0.72615681422166578</v>
      </c>
      <c r="R17" s="12">
        <f t="shared" si="12"/>
        <v>0.64004699376173035</v>
      </c>
      <c r="S17" s="12">
        <f t="shared" si="13"/>
        <v>0.79361826743419195</v>
      </c>
      <c r="T17" s="11">
        <f t="shared" si="14"/>
        <v>0.97511488262892376</v>
      </c>
      <c r="U17" s="12">
        <f t="shared" si="6"/>
        <v>0.9656982173224663</v>
      </c>
      <c r="V17" s="12">
        <f t="shared" si="7"/>
        <v>0.97913846111731673</v>
      </c>
      <c r="W17" s="9">
        <f t="shared" si="8"/>
        <v>2.519998658814547E-2</v>
      </c>
      <c r="X17" s="13">
        <f t="shared" si="2"/>
        <v>3.4903898006136691E-2</v>
      </c>
      <c r="Y17" s="13">
        <f t="shared" si="3"/>
        <v>2.1082215280144763E-2</v>
      </c>
    </row>
    <row r="18" spans="2:25" ht="15" thickBot="1" x14ac:dyDescent="0.4">
      <c r="E18" s="6">
        <f t="shared" si="9"/>
        <v>74</v>
      </c>
      <c r="F18" s="8">
        <v>25.97889</v>
      </c>
      <c r="G18" s="7">
        <f t="shared" si="4"/>
        <v>2.5978890000000001E-2</v>
      </c>
      <c r="H18" s="85">
        <f t="shared" si="10"/>
        <v>0.80629125769035137</v>
      </c>
      <c r="J18" s="6">
        <v>14</v>
      </c>
      <c r="K18" s="7">
        <v>2.4989999999999998E-2</v>
      </c>
      <c r="L18" s="7">
        <v>3.499E-2</v>
      </c>
      <c r="M18" s="7">
        <v>1.7989999999999999E-2</v>
      </c>
      <c r="N18" s="9">
        <f t="shared" si="5"/>
        <v>2.4682856445219562E-2</v>
      </c>
      <c r="O18" s="7">
        <f t="shared" si="0"/>
        <v>3.4391764834907843E-2</v>
      </c>
      <c r="P18" s="7">
        <f t="shared" si="1"/>
        <v>1.7830094897371977E-2</v>
      </c>
      <c r="Q18" s="11">
        <f t="shared" si="11"/>
        <v>0.70782386801134656</v>
      </c>
      <c r="R18" s="12">
        <f t="shared" si="12"/>
        <v>0.61786536101900336</v>
      </c>
      <c r="S18" s="12">
        <f t="shared" si="13"/>
        <v>0.77909574852687724</v>
      </c>
      <c r="T18" s="11">
        <f t="shared" si="14"/>
        <v>0.97475346116531392</v>
      </c>
      <c r="U18" s="12">
        <f t="shared" si="6"/>
        <v>0.96534374357051578</v>
      </c>
      <c r="V18" s="12">
        <f t="shared" si="7"/>
        <v>0.98170087622319135</v>
      </c>
      <c r="W18" s="9">
        <f t="shared" si="8"/>
        <v>2.5570700302124431E-2</v>
      </c>
      <c r="X18" s="13">
        <f t="shared" si="2"/>
        <v>3.527103011730854E-2</v>
      </c>
      <c r="Y18" s="13">
        <f t="shared" si="3"/>
        <v>1.8468623727075504E-2</v>
      </c>
    </row>
    <row r="19" spans="2:25" ht="14.5" customHeight="1" x14ac:dyDescent="0.35">
      <c r="B19" s="87" t="s">
        <v>86</v>
      </c>
      <c r="C19" s="88"/>
      <c r="E19" s="6">
        <f t="shared" si="9"/>
        <v>75</v>
      </c>
      <c r="F19" s="8">
        <v>29.22232</v>
      </c>
      <c r="G19" s="7">
        <f t="shared" si="4"/>
        <v>2.922232E-2</v>
      </c>
      <c r="H19" s="85">
        <f t="shared" si="10"/>
        <v>0.78272955654492149</v>
      </c>
      <c r="J19" s="6">
        <v>15</v>
      </c>
      <c r="K19" s="7">
        <v>2.4979999999999999E-2</v>
      </c>
      <c r="L19" s="7">
        <v>3.4979999999999997E-2</v>
      </c>
      <c r="M19" s="7">
        <v>1.8239999999999999E-2</v>
      </c>
      <c r="N19" s="9">
        <f t="shared" si="5"/>
        <v>2.4673100204884196E-2</v>
      </c>
      <c r="O19" s="7">
        <f t="shared" si="0"/>
        <v>3.4382102859130279E-2</v>
      </c>
      <c r="P19" s="7">
        <f t="shared" si="1"/>
        <v>1.8075646727230339E-2</v>
      </c>
      <c r="Q19" s="11">
        <f t="shared" si="11"/>
        <v>0.69066767586788669</v>
      </c>
      <c r="R19" s="12">
        <f t="shared" si="12"/>
        <v>0.59706365714702891</v>
      </c>
      <c r="S19" s="12">
        <f t="shared" si="13"/>
        <v>0.76251377818847066</v>
      </c>
      <c r="T19" s="11">
        <f t="shared" si="14"/>
        <v>0.97576206042378777</v>
      </c>
      <c r="U19" s="12">
        <f t="shared" si="6"/>
        <v>0.96633295021156773</v>
      </c>
      <c r="V19" s="12">
        <f t="shared" si="7"/>
        <v>0.97871638964817875</v>
      </c>
      <c r="W19" s="9">
        <f t="shared" si="8"/>
        <v>2.4536512840189015E-2</v>
      </c>
      <c r="X19" s="13">
        <f t="shared" si="2"/>
        <v>3.4246835198244459E-2</v>
      </c>
      <c r="Y19" s="13">
        <f t="shared" si="3"/>
        <v>2.151337234524733E-2</v>
      </c>
    </row>
    <row r="20" spans="2:25" ht="15" thickBot="1" x14ac:dyDescent="0.4">
      <c r="B20" s="89"/>
      <c r="C20" s="90"/>
      <c r="E20" s="6">
        <f t="shared" si="9"/>
        <v>76</v>
      </c>
      <c r="F20" s="8">
        <v>32.869430000000001</v>
      </c>
      <c r="G20" s="7">
        <f t="shared" si="4"/>
        <v>3.2869429999999998E-2</v>
      </c>
      <c r="H20" s="85">
        <f t="shared" si="10"/>
        <v>0.75700168217713715</v>
      </c>
      <c r="J20" s="6">
        <v>16</v>
      </c>
      <c r="K20" s="7">
        <v>2.486E-2</v>
      </c>
      <c r="L20" s="7">
        <v>3.4860000000000002E-2</v>
      </c>
      <c r="M20" s="7">
        <v>1.7899999999999999E-2</v>
      </c>
      <c r="N20" s="9">
        <f t="shared" si="5"/>
        <v>2.4556017895887416E-2</v>
      </c>
      <c r="O20" s="7">
        <f t="shared" si="0"/>
        <v>3.4266151867619492E-2</v>
      </c>
      <c r="P20" s="7">
        <f t="shared" si="1"/>
        <v>1.7741681476157126E-2</v>
      </c>
      <c r="Q20" s="11">
        <f t="shared" si="11"/>
        <v>0.67509876092267385</v>
      </c>
      <c r="R20" s="12">
        <f t="shared" si="12"/>
        <v>0.57795548440160416</v>
      </c>
      <c r="S20" s="12">
        <f t="shared" si="13"/>
        <v>0.75286684189050335</v>
      </c>
      <c r="T20" s="11">
        <f t="shared" si="14"/>
        <v>0.97745816766993032</v>
      </c>
      <c r="U20" s="12">
        <f t="shared" si="6"/>
        <v>0.96799642296647226</v>
      </c>
      <c r="V20" s="12">
        <f t="shared" si="7"/>
        <v>0.98734850887431058</v>
      </c>
      <c r="W20" s="9">
        <f t="shared" si="8"/>
        <v>2.2799783260935555E-2</v>
      </c>
      <c r="X20" s="13">
        <f t="shared" si="2"/>
        <v>3.2526886994957593E-2</v>
      </c>
      <c r="Y20" s="13">
        <f t="shared" si="3"/>
        <v>1.2732202710059037E-2</v>
      </c>
    </row>
    <row r="21" spans="2:25" x14ac:dyDescent="0.35">
      <c r="E21" s="6">
        <f t="shared" si="9"/>
        <v>77</v>
      </c>
      <c r="F21" s="8">
        <v>37.547710000000002</v>
      </c>
      <c r="G21" s="7">
        <f t="shared" si="4"/>
        <v>3.7547710000000005E-2</v>
      </c>
      <c r="H21" s="85">
        <f t="shared" si="10"/>
        <v>0.72857800254523786</v>
      </c>
      <c r="J21" s="6">
        <v>17</v>
      </c>
      <c r="K21" s="7">
        <v>2.4660000000000001E-2</v>
      </c>
      <c r="L21" s="7">
        <v>3.4660000000000003E-2</v>
      </c>
      <c r="M21" s="7">
        <v>1.7760000000000001E-2</v>
      </c>
      <c r="N21" s="9">
        <f t="shared" si="5"/>
        <v>2.4360850246257219E-2</v>
      </c>
      <c r="O21" s="7">
        <f t="shared" si="0"/>
        <v>3.407287033313533E-2</v>
      </c>
      <c r="P21" s="7">
        <f t="shared" si="1"/>
        <v>1.760413394835705E-2</v>
      </c>
      <c r="Q21" s="11">
        <f t="shared" si="11"/>
        <v>0.66091208289531456</v>
      </c>
      <c r="R21" s="12">
        <f t="shared" si="12"/>
        <v>0.56032472588283599</v>
      </c>
      <c r="S21" s="12">
        <f t="shared" si="13"/>
        <v>0.74135900997489923</v>
      </c>
      <c r="T21" s="11">
        <f t="shared" si="14"/>
        <v>0.97898577386222718</v>
      </c>
      <c r="U21" s="12">
        <f t="shared" si="6"/>
        <v>0.96949460815823474</v>
      </c>
      <c r="V21" s="12">
        <f t="shared" si="7"/>
        <v>0.9847146516816877</v>
      </c>
      <c r="W21" s="9">
        <f t="shared" si="8"/>
        <v>2.1238167852174087E-2</v>
      </c>
      <c r="X21" s="13">
        <f t="shared" si="2"/>
        <v>3.0980365781388877E-2</v>
      </c>
      <c r="Y21" s="13">
        <f t="shared" si="3"/>
        <v>1.5403373503555702E-2</v>
      </c>
    </row>
    <row r="22" spans="2:25" x14ac:dyDescent="0.35">
      <c r="E22" s="6">
        <f t="shared" si="9"/>
        <v>78</v>
      </c>
      <c r="F22" s="8">
        <v>41.500149999999998</v>
      </c>
      <c r="G22" s="7">
        <f t="shared" si="4"/>
        <v>4.150015E-2</v>
      </c>
      <c r="H22" s="85">
        <f t="shared" si="10"/>
        <v>0.69834190615291014</v>
      </c>
      <c r="J22" s="6">
        <v>18</v>
      </c>
      <c r="K22" s="7">
        <v>2.4459999999999999E-2</v>
      </c>
      <c r="L22" s="7">
        <v>3.4459999999999998E-2</v>
      </c>
      <c r="M22" s="7">
        <v>1.7610000000000001E-2</v>
      </c>
      <c r="N22" s="9">
        <f t="shared" si="5"/>
        <v>2.4165644498780187E-2</v>
      </c>
      <c r="O22" s="7">
        <f t="shared" si="0"/>
        <v>3.3879551433677733E-2</v>
      </c>
      <c r="P22" s="7">
        <f t="shared" si="1"/>
        <v>1.7456740599460629E-2</v>
      </c>
      <c r="Q22" s="11">
        <f t="shared" si="11"/>
        <v>0.64727657622441392</v>
      </c>
      <c r="R22" s="12">
        <f t="shared" si="12"/>
        <v>0.54344220000874199</v>
      </c>
      <c r="S22" s="12">
        <f t="shared" si="13"/>
        <v>0.73035735969736371</v>
      </c>
      <c r="T22" s="11">
        <f t="shared" si="14"/>
        <v>0.97936865276972029</v>
      </c>
      <c r="U22" s="12">
        <f t="shared" si="6"/>
        <v>0.96987010371977744</v>
      </c>
      <c r="V22" s="12">
        <f t="shared" si="7"/>
        <v>0.98516015839895432</v>
      </c>
      <c r="W22" s="9">
        <f t="shared" si="8"/>
        <v>2.0847146791670716E-2</v>
      </c>
      <c r="X22" s="13">
        <f t="shared" si="2"/>
        <v>3.0593130142898512E-2</v>
      </c>
      <c r="Y22" s="13">
        <f t="shared" si="3"/>
        <v>1.4951053668221578E-2</v>
      </c>
    </row>
    <row r="23" spans="2:25" x14ac:dyDescent="0.35">
      <c r="E23" s="6">
        <f t="shared" si="9"/>
        <v>79</v>
      </c>
      <c r="F23" s="8">
        <v>47.043030000000002</v>
      </c>
      <c r="G23" s="7">
        <f t="shared" si="4"/>
        <v>4.704303E-2</v>
      </c>
      <c r="H23" s="85">
        <f t="shared" si="10"/>
        <v>0.66548978691150162</v>
      </c>
      <c r="J23" s="6">
        <v>19</v>
      </c>
      <c r="K23" s="7">
        <v>2.427E-2</v>
      </c>
      <c r="L23" s="7">
        <v>3.4270000000000002E-2</v>
      </c>
      <c r="M23" s="7">
        <v>1.7229999999999999E-2</v>
      </c>
      <c r="N23" s="9">
        <f t="shared" si="5"/>
        <v>2.3980163736996421E-2</v>
      </c>
      <c r="O23" s="7">
        <f t="shared" si="0"/>
        <v>3.3695863856725551E-2</v>
      </c>
      <c r="P23" s="7">
        <f t="shared" si="1"/>
        <v>1.708324685605353E-2</v>
      </c>
      <c r="Q23" s="11">
        <f t="shared" si="11"/>
        <v>0.63405275958074014</v>
      </c>
      <c r="R23" s="12">
        <f t="shared" si="12"/>
        <v>0.52717568742308551</v>
      </c>
      <c r="S23" s="12">
        <f t="shared" si="13"/>
        <v>0.72282965709172198</v>
      </c>
      <c r="T23" s="11">
        <f t="shared" si="14"/>
        <v>0.97957006768140942</v>
      </c>
      <c r="U23" s="12">
        <f t="shared" si="6"/>
        <v>0.97006763077031044</v>
      </c>
      <c r="V23" s="12">
        <f t="shared" si="7"/>
        <v>0.98969312418682143</v>
      </c>
      <c r="W23" s="9">
        <f t="shared" si="8"/>
        <v>2.0641510024888652E-2</v>
      </c>
      <c r="X23" s="13">
        <f t="shared" si="2"/>
        <v>3.0389487471586134E-2</v>
      </c>
      <c r="Y23" s="13">
        <f t="shared" si="3"/>
        <v>1.0360359474725628E-2</v>
      </c>
    </row>
    <row r="24" spans="2:25" x14ac:dyDescent="0.35">
      <c r="E24" s="6">
        <f t="shared" si="9"/>
        <v>80</v>
      </c>
      <c r="F24" s="8">
        <v>52.770629999999997</v>
      </c>
      <c r="G24" s="7">
        <f t="shared" si="4"/>
        <v>5.2770629999999999E-2</v>
      </c>
      <c r="H24" s="85">
        <f t="shared" si="10"/>
        <v>0.63037147159761586</v>
      </c>
      <c r="J24" s="6">
        <v>20</v>
      </c>
      <c r="K24" s="7">
        <v>2.4150000000000001E-2</v>
      </c>
      <c r="L24" s="7">
        <v>3.415E-2</v>
      </c>
      <c r="M24" s="7">
        <v>1.7149999999999999E-2</v>
      </c>
      <c r="N24" s="9">
        <f t="shared" si="5"/>
        <v>2.3863000264527503E-2</v>
      </c>
      <c r="O24" s="7">
        <f t="shared" si="0"/>
        <v>3.3579833263195462E-2</v>
      </c>
      <c r="P24" s="7">
        <f t="shared" si="1"/>
        <v>1.7004598815823765E-2</v>
      </c>
      <c r="Q24" s="11">
        <f t="shared" si="11"/>
        <v>0.62048117992903384</v>
      </c>
      <c r="R24" s="12">
        <f t="shared" si="12"/>
        <v>0.51089220238770194</v>
      </c>
      <c r="S24" s="12">
        <f t="shared" si="13"/>
        <v>0.71170485976071463</v>
      </c>
      <c r="T24" s="11">
        <f t="shared" si="14"/>
        <v>0.97859550416485797</v>
      </c>
      <c r="U24" s="12">
        <f t="shared" si="6"/>
        <v>0.96911184369108583</v>
      </c>
      <c r="V24" s="12">
        <f t="shared" si="7"/>
        <v>0.98460937895690726</v>
      </c>
      <c r="W24" s="9">
        <f t="shared" si="8"/>
        <v>2.1636894287617989E-2</v>
      </c>
      <c r="X24" s="13">
        <f t="shared" si="2"/>
        <v>3.1375251986123877E-2</v>
      </c>
      <c r="Y24" s="13">
        <f t="shared" si="3"/>
        <v>1.5510286051458331E-2</v>
      </c>
    </row>
    <row r="25" spans="2:25" x14ac:dyDescent="0.35">
      <c r="E25" s="6">
        <f t="shared" si="9"/>
        <v>81</v>
      </c>
      <c r="F25" s="8">
        <v>58.951180000000001</v>
      </c>
      <c r="G25" s="7">
        <f t="shared" si="4"/>
        <v>5.8951179999999999E-2</v>
      </c>
      <c r="H25" s="85">
        <f t="shared" si="10"/>
        <v>0.59321032950859998</v>
      </c>
      <c r="J25" s="6">
        <v>21</v>
      </c>
      <c r="K25" s="7">
        <v>2.409E-2</v>
      </c>
      <c r="L25" s="7">
        <v>3.4090000000000002E-2</v>
      </c>
      <c r="M25" s="7">
        <v>1.7129999999999999E-2</v>
      </c>
      <c r="N25" s="9">
        <f t="shared" si="5"/>
        <v>2.3804413380161302E-2</v>
      </c>
      <c r="O25" s="7">
        <f t="shared" si="0"/>
        <v>3.3521812917377977E-2</v>
      </c>
      <c r="P25" s="7">
        <f t="shared" si="1"/>
        <v>1.6984935839241825E-2</v>
      </c>
      <c r="Q25" s="11">
        <f t="shared" si="11"/>
        <v>0.6065957554795236</v>
      </c>
      <c r="R25" s="12">
        <f t="shared" si="12"/>
        <v>0.49462366847703543</v>
      </c>
      <c r="S25" s="12">
        <f t="shared" si="13"/>
        <v>0.69999390394680217</v>
      </c>
      <c r="T25" s="11">
        <f t="shared" si="14"/>
        <v>0.97762152197573771</v>
      </c>
      <c r="U25" s="12">
        <f t="shared" si="6"/>
        <v>0.9681566212311834</v>
      </c>
      <c r="V25" s="12">
        <f t="shared" si="7"/>
        <v>0.98354520746443985</v>
      </c>
      <c r="W25" s="9">
        <f t="shared" si="8"/>
        <v>2.2632675692837268E-2</v>
      </c>
      <c r="X25" s="13">
        <f t="shared" si="2"/>
        <v>3.2361406001028103E-2</v>
      </c>
      <c r="Y25" s="13">
        <f t="shared" si="3"/>
        <v>1.6591676307603102E-2</v>
      </c>
    </row>
    <row r="26" spans="2:25" x14ac:dyDescent="0.35">
      <c r="E26" s="6">
        <f t="shared" si="9"/>
        <v>82</v>
      </c>
      <c r="F26" s="8">
        <v>65.736419999999995</v>
      </c>
      <c r="G26" s="7">
        <f t="shared" si="4"/>
        <v>6.573641999999999E-2</v>
      </c>
      <c r="H26" s="85">
        <f t="shared" si="10"/>
        <v>0.55421480613968421</v>
      </c>
      <c r="J26" s="6">
        <v>22</v>
      </c>
      <c r="K26" s="7">
        <v>2.409E-2</v>
      </c>
      <c r="L26" s="7">
        <v>3.4090000000000002E-2</v>
      </c>
      <c r="M26" s="7">
        <v>1.7170000000000001E-2</v>
      </c>
      <c r="N26" s="9">
        <f t="shared" si="5"/>
        <v>2.3804413380161302E-2</v>
      </c>
      <c r="O26" s="7">
        <f t="shared" si="0"/>
        <v>3.3521812917377977E-2</v>
      </c>
      <c r="P26" s="7">
        <f t="shared" si="1"/>
        <v>1.7024261405780658E-2</v>
      </c>
      <c r="Q26" s="11">
        <f t="shared" si="11"/>
        <v>0.59232660750473454</v>
      </c>
      <c r="R26" s="12">
        <f t="shared" si="12"/>
        <v>0.47831781419125552</v>
      </c>
      <c r="S26" s="12">
        <f t="shared" si="13"/>
        <v>0.68760980149587192</v>
      </c>
      <c r="T26" s="11">
        <f t="shared" si="14"/>
        <v>0.97647667685457329</v>
      </c>
      <c r="U26" s="12">
        <f t="shared" si="6"/>
        <v>0.96703381717258652</v>
      </c>
      <c r="V26" s="12">
        <f t="shared" si="7"/>
        <v>0.98230827099906948</v>
      </c>
      <c r="W26" s="9">
        <f t="shared" si="8"/>
        <v>2.3804413380161399E-2</v>
      </c>
      <c r="X26" s="13">
        <f t="shared" si="2"/>
        <v>3.3521812917378026E-2</v>
      </c>
      <c r="Y26" s="13">
        <f t="shared" si="3"/>
        <v>1.7850098303096074E-2</v>
      </c>
    </row>
    <row r="27" spans="2:25" x14ac:dyDescent="0.35">
      <c r="E27" s="6">
        <f t="shared" si="9"/>
        <v>83</v>
      </c>
      <c r="F27" s="8">
        <v>72.184380000000004</v>
      </c>
      <c r="G27" s="7">
        <f t="shared" si="4"/>
        <v>7.2184380000000006E-2</v>
      </c>
      <c r="H27" s="85">
        <f t="shared" si="10"/>
        <v>0.51420915397167088</v>
      </c>
      <c r="J27" s="6">
        <v>23</v>
      </c>
      <c r="K27" s="7">
        <v>2.4129999999999999E-2</v>
      </c>
      <c r="L27" s="7">
        <v>3.4130000000000001E-2</v>
      </c>
      <c r="M27" s="7">
        <v>1.7229999999999999E-2</v>
      </c>
      <c r="N27" s="9">
        <f t="shared" si="5"/>
        <v>2.3843471684450026E-2</v>
      </c>
      <c r="O27" s="7">
        <f t="shared" si="0"/>
        <v>3.3560493521960687E-2</v>
      </c>
      <c r="P27" s="7">
        <f t="shared" si="1"/>
        <v>1.708324685605353E-2</v>
      </c>
      <c r="Q27" s="11">
        <f t="shared" si="11"/>
        <v>0.57787375637469418</v>
      </c>
      <c r="R27" s="12">
        <f t="shared" si="12"/>
        <v>0.4621381757044169</v>
      </c>
      <c r="S27" s="12">
        <f t="shared" si="13"/>
        <v>0.6750863450558523</v>
      </c>
      <c r="T27" s="11">
        <f t="shared" si="14"/>
        <v>0.97559986171999735</v>
      </c>
      <c r="U27" s="12">
        <f t="shared" si="6"/>
        <v>0.96617387434295054</v>
      </c>
      <c r="V27" s="12">
        <f t="shared" si="7"/>
        <v>0.98178697218571453</v>
      </c>
      <c r="W27" s="9">
        <f t="shared" si="8"/>
        <v>2.4702754378801976E-2</v>
      </c>
      <c r="X27" s="13">
        <f t="shared" si="2"/>
        <v>3.4411466822780269E-2</v>
      </c>
      <c r="Y27" s="13">
        <f t="shared" si="3"/>
        <v>1.8380926762056722E-2</v>
      </c>
    </row>
    <row r="28" spans="2:25" x14ac:dyDescent="0.35">
      <c r="E28" s="6">
        <f t="shared" si="9"/>
        <v>84</v>
      </c>
      <c r="F28" s="8">
        <v>81.257310000000004</v>
      </c>
      <c r="G28" s="7">
        <f t="shared" si="4"/>
        <v>8.1257309999999999E-2</v>
      </c>
      <c r="H28" s="85">
        <f t="shared" si="10"/>
        <v>0.47242590134255708</v>
      </c>
      <c r="J28" s="6">
        <v>24</v>
      </c>
      <c r="K28" s="7">
        <v>2.4209999999999999E-2</v>
      </c>
      <c r="L28" s="7">
        <v>3.4209999999999997E-2</v>
      </c>
      <c r="M28" s="7">
        <v>1.7309999999999999E-2</v>
      </c>
      <c r="N28" s="9">
        <f t="shared" si="5"/>
        <v>2.3921583716671978E-2</v>
      </c>
      <c r="O28" s="7">
        <f t="shared" si="0"/>
        <v>3.363785024284794E-2</v>
      </c>
      <c r="P28" s="7">
        <f t="shared" si="1"/>
        <v>1.7161888711255284E-2</v>
      </c>
      <c r="Q28" s="11">
        <f t="shared" si="11"/>
        <v>0.56320138825489219</v>
      </c>
      <c r="R28" s="12">
        <f t="shared" si="12"/>
        <v>0.44605705647492683</v>
      </c>
      <c r="S28" s="12">
        <f t="shared" si="13"/>
        <v>0.66240022974749191</v>
      </c>
      <c r="T28" s="11">
        <f t="shared" si="14"/>
        <v>0.97460973446544885</v>
      </c>
      <c r="U28" s="12">
        <f t="shared" si="6"/>
        <v>0.96520278982583874</v>
      </c>
      <c r="V28" s="12">
        <f t="shared" si="7"/>
        <v>0.98120815892475088</v>
      </c>
      <c r="W28" s="9">
        <f t="shared" si="8"/>
        <v>2.5718160457776952E-2</v>
      </c>
      <c r="X28" s="13">
        <f t="shared" si="2"/>
        <v>3.5417054823254926E-2</v>
      </c>
      <c r="Y28" s="13">
        <f t="shared" si="3"/>
        <v>1.8970651380895643E-2</v>
      </c>
    </row>
    <row r="29" spans="2:25" x14ac:dyDescent="0.35">
      <c r="E29" s="6">
        <f t="shared" si="9"/>
        <v>85</v>
      </c>
      <c r="F29" s="8">
        <v>92.639579999999995</v>
      </c>
      <c r="G29" s="7">
        <f t="shared" si="4"/>
        <v>9.2639579999999999E-2</v>
      </c>
      <c r="H29" s="85">
        <f t="shared" si="10"/>
        <v>0.42866056426106119</v>
      </c>
      <c r="J29" s="6">
        <v>25</v>
      </c>
      <c r="K29" s="7">
        <v>2.4309999999999998E-2</v>
      </c>
      <c r="L29" s="7">
        <v>3.431E-2</v>
      </c>
      <c r="M29" s="7">
        <v>1.7420000000000001E-2</v>
      </c>
      <c r="N29" s="9">
        <f t="shared" si="5"/>
        <v>2.4019215177511436E-2</v>
      </c>
      <c r="O29" s="7">
        <f t="shared" si="0"/>
        <v>3.3734537729628727E-2</v>
      </c>
      <c r="P29" s="7">
        <f t="shared" si="1"/>
        <v>1.7270011164954024E-2</v>
      </c>
      <c r="Q29" s="11">
        <f t="shared" si="11"/>
        <v>0.54854806158178593</v>
      </c>
      <c r="R29" s="12">
        <f t="shared" si="12"/>
        <v>0.43026092876836186</v>
      </c>
      <c r="S29" s="12">
        <f t="shared" si="13"/>
        <v>0.64937151806369853</v>
      </c>
      <c r="T29" s="11">
        <f t="shared" si="14"/>
        <v>0.97398208353407945</v>
      </c>
      <c r="U29" s="12">
        <f t="shared" si="6"/>
        <v>0.96458720363848149</v>
      </c>
      <c r="V29" s="12">
        <f t="shared" si="7"/>
        <v>0.98033105802399867</v>
      </c>
      <c r="W29" s="9">
        <f t="shared" si="8"/>
        <v>2.6362370237658257E-2</v>
      </c>
      <c r="X29" s="13">
        <f t="shared" si="2"/>
        <v>3.6055037412367541E-2</v>
      </c>
      <c r="Y29" s="13">
        <f t="shared" si="3"/>
        <v>1.9864950053723782E-2</v>
      </c>
    </row>
    <row r="30" spans="2:25" x14ac:dyDescent="0.35">
      <c r="E30" s="6">
        <f t="shared" si="9"/>
        <v>86</v>
      </c>
      <c r="F30" s="8">
        <v>107.0014</v>
      </c>
      <c r="G30" s="7">
        <f t="shared" si="4"/>
        <v>0.10700140000000001</v>
      </c>
      <c r="H30" s="85">
        <f t="shared" si="10"/>
        <v>0.38279328376033767</v>
      </c>
      <c r="J30" s="6">
        <v>26</v>
      </c>
      <c r="K30" s="7">
        <v>2.443E-2</v>
      </c>
      <c r="L30" s="7">
        <v>3.4430000000000002E-2</v>
      </c>
      <c r="M30" s="7">
        <v>1.753E-2</v>
      </c>
      <c r="N30" s="9">
        <f t="shared" si="5"/>
        <v>2.4136360349799893E-2</v>
      </c>
      <c r="O30" s="7">
        <f t="shared" si="0"/>
        <v>3.3850550375137088E-2</v>
      </c>
      <c r="P30" s="7">
        <f t="shared" si="1"/>
        <v>1.7378121929451623E-2</v>
      </c>
      <c r="Q30" s="11">
        <f t="shared" si="11"/>
        <v>0.53390072310461201</v>
      </c>
      <c r="R30" s="12">
        <f t="shared" si="12"/>
        <v>0.41473550065898712</v>
      </c>
      <c r="S30" s="12">
        <f t="shared" si="13"/>
        <v>0.63646161436376603</v>
      </c>
      <c r="T30" s="11">
        <f t="shared" si="14"/>
        <v>0.97329798516662869</v>
      </c>
      <c r="U30" s="12">
        <f t="shared" si="6"/>
        <v>0.96391624925410524</v>
      </c>
      <c r="V30" s="12">
        <f t="shared" si="7"/>
        <v>0.98011938722162106</v>
      </c>
      <c r="W30" s="9">
        <f t="shared" si="8"/>
        <v>2.7064989657011405E-2</v>
      </c>
      <c r="X30" s="13">
        <f t="shared" si="2"/>
        <v>3.675086651284612E-2</v>
      </c>
      <c r="Y30" s="13">
        <f t="shared" si="3"/>
        <v>2.0080891041891539E-2</v>
      </c>
    </row>
    <row r="31" spans="2:25" x14ac:dyDescent="0.35">
      <c r="E31" s="6">
        <f t="shared" si="9"/>
        <v>87</v>
      </c>
      <c r="F31" s="8">
        <v>122.26466000000001</v>
      </c>
      <c r="G31" s="7">
        <f t="shared" si="4"/>
        <v>0.12226466000000001</v>
      </c>
      <c r="H31" s="85">
        <f t="shared" si="10"/>
        <v>0.33599119307109643</v>
      </c>
      <c r="J31" s="6">
        <v>27</v>
      </c>
      <c r="K31" s="7">
        <v>2.4570000000000002E-2</v>
      </c>
      <c r="L31" s="7">
        <v>3.4569999999999997E-2</v>
      </c>
      <c r="M31" s="7">
        <v>1.7670000000000002E-2</v>
      </c>
      <c r="N31" s="9">
        <f t="shared" si="5"/>
        <v>2.4273012375390805E-2</v>
      </c>
      <c r="O31" s="7">
        <f t="shared" si="0"/>
        <v>3.3985881453159034E-2</v>
      </c>
      <c r="P31" s="7">
        <f t="shared" si="1"/>
        <v>1.7515700546020859E-2</v>
      </c>
      <c r="Q31" s="11">
        <f t="shared" si="11"/>
        <v>0.51924921182601946</v>
      </c>
      <c r="R31" s="12">
        <f t="shared" si="12"/>
        <v>0.3994691256520197</v>
      </c>
      <c r="S31" s="12">
        <f t="shared" si="13"/>
        <v>0.62317748399322537</v>
      </c>
      <c r="T31" s="11">
        <f t="shared" si="14"/>
        <v>0.9725576110978188</v>
      </c>
      <c r="U31" s="12">
        <f t="shared" si="6"/>
        <v>0.96319009348678819</v>
      </c>
      <c r="V31" s="12">
        <f t="shared" si="7"/>
        <v>0.97912815153224908</v>
      </c>
      <c r="W31" s="9">
        <f t="shared" si="8"/>
        <v>2.7825965040754602E-2</v>
      </c>
      <c r="X31" s="13">
        <f t="shared" si="2"/>
        <v>3.7504489481729554E-2</v>
      </c>
      <c r="Y31" s="13">
        <f t="shared" si="3"/>
        <v>2.1092744576820859E-2</v>
      </c>
    </row>
    <row r="32" spans="2:25" x14ac:dyDescent="0.35">
      <c r="E32" s="6">
        <f t="shared" si="9"/>
        <v>88</v>
      </c>
      <c r="F32" s="8">
        <v>139.87939</v>
      </c>
      <c r="G32" s="7">
        <f t="shared" si="4"/>
        <v>0.13987938999999999</v>
      </c>
      <c r="H32" s="85">
        <f t="shared" si="10"/>
        <v>0.28899294993893926</v>
      </c>
      <c r="J32" s="6">
        <v>28</v>
      </c>
      <c r="K32" s="7">
        <v>2.4719999999999999E-2</v>
      </c>
      <c r="L32" s="7">
        <v>3.4720000000000001E-2</v>
      </c>
      <c r="M32" s="7">
        <v>1.7809999999999999E-2</v>
      </c>
      <c r="N32" s="9">
        <f t="shared" si="5"/>
        <v>2.4419404540743664E-2</v>
      </c>
      <c r="O32" s="7">
        <f t="shared" si="0"/>
        <v>3.4130858716145684E-2</v>
      </c>
      <c r="P32" s="7">
        <f t="shared" si="1"/>
        <v>1.7653260237318041E-2</v>
      </c>
      <c r="Q32" s="11">
        <f t="shared" si="11"/>
        <v>0.50472410428806347</v>
      </c>
      <c r="R32" s="12">
        <f t="shared" si="12"/>
        <v>0.38455669716076774</v>
      </c>
      <c r="S32" s="12">
        <f t="shared" si="13"/>
        <v>0.61000307146135635</v>
      </c>
      <c r="T32" s="11">
        <f t="shared" si="14"/>
        <v>0.97202671240101413</v>
      </c>
      <c r="U32" s="12">
        <f t="shared" si="6"/>
        <v>0.96266938410593894</v>
      </c>
      <c r="V32" s="12">
        <f t="shared" si="7"/>
        <v>0.97885929310627617</v>
      </c>
      <c r="W32" s="9">
        <f t="shared" si="8"/>
        <v>2.8371993005270855E-2</v>
      </c>
      <c r="X32" s="13">
        <f t="shared" si="2"/>
        <v>3.8045244816785243E-2</v>
      </c>
      <c r="Y32" s="13">
        <f t="shared" si="3"/>
        <v>2.1367371902342166E-2</v>
      </c>
    </row>
    <row r="33" spans="5:25" x14ac:dyDescent="0.35">
      <c r="E33" s="6">
        <f t="shared" si="9"/>
        <v>89</v>
      </c>
      <c r="F33" s="8">
        <v>160.03310999999999</v>
      </c>
      <c r="G33" s="7">
        <f t="shared" si="4"/>
        <v>0.16003311000000001</v>
      </c>
      <c r="H33" s="85">
        <f t="shared" si="10"/>
        <v>0.24274450939213651</v>
      </c>
      <c r="J33" s="6">
        <v>29</v>
      </c>
      <c r="K33" s="7">
        <v>2.487E-2</v>
      </c>
      <c r="L33" s="7">
        <v>3.4869999999999998E-2</v>
      </c>
      <c r="M33" s="7">
        <v>1.7950000000000001E-2</v>
      </c>
      <c r="N33" s="9">
        <f t="shared" si="5"/>
        <v>2.4565775278567011E-2</v>
      </c>
      <c r="O33" s="7">
        <f t="shared" si="0"/>
        <v>3.427581496377205E-2</v>
      </c>
      <c r="P33" s="7">
        <f t="shared" si="1"/>
        <v>1.7790801008548941E-2</v>
      </c>
      <c r="Q33" s="11">
        <f t="shared" si="11"/>
        <v>0.4904619960109568</v>
      </c>
      <c r="R33" s="12">
        <f t="shared" si="12"/>
        <v>0.3700938584785573</v>
      </c>
      <c r="S33" s="12">
        <f t="shared" si="13"/>
        <v>0.59694324969343315</v>
      </c>
      <c r="T33" s="11">
        <f t="shared" si="14"/>
        <v>0.97174276370805779</v>
      </c>
      <c r="U33" s="12">
        <f t="shared" si="6"/>
        <v>0.96239088074920698</v>
      </c>
      <c r="V33" s="12">
        <f t="shared" si="7"/>
        <v>0.97859056391857768</v>
      </c>
      <c r="W33" s="9">
        <f t="shared" si="8"/>
        <v>2.8664155937620766E-2</v>
      </c>
      <c r="X33" s="13">
        <f t="shared" si="2"/>
        <v>3.8334589897310249E-2</v>
      </c>
      <c r="Y33" s="13">
        <f t="shared" si="3"/>
        <v>2.1641942603014115E-2</v>
      </c>
    </row>
    <row r="34" spans="5:25" x14ac:dyDescent="0.35">
      <c r="E34" s="6">
        <f t="shared" si="9"/>
        <v>90</v>
      </c>
      <c r="F34" s="8">
        <v>180.75868</v>
      </c>
      <c r="G34" s="7">
        <f t="shared" si="4"/>
        <v>0.18075868</v>
      </c>
      <c r="H34" s="85">
        <f t="shared" si="10"/>
        <v>0.1988663322971663</v>
      </c>
      <c r="J34" s="6">
        <v>30</v>
      </c>
      <c r="K34" s="7">
        <v>2.5020000000000001E-2</v>
      </c>
      <c r="L34" s="7">
        <v>3.5020000000000003E-2</v>
      </c>
      <c r="M34" s="7">
        <v>1.8089999999999998E-2</v>
      </c>
      <c r="N34" s="9">
        <f t="shared" si="5"/>
        <v>2.4712124595133091E-2</v>
      </c>
      <c r="O34" s="7">
        <f t="shared" si="0"/>
        <v>3.4420750202130299E-2</v>
      </c>
      <c r="P34" s="7">
        <f t="shared" si="1"/>
        <v>1.7928322864917846E-2</v>
      </c>
      <c r="Q34" s="11">
        <f t="shared" si="11"/>
        <v>0.47646370067584193</v>
      </c>
      <c r="R34" s="12">
        <f t="shared" si="12"/>
        <v>0.35607193424219313</v>
      </c>
      <c r="S34" s="12">
        <f t="shared" si="13"/>
        <v>0.58400269236672897</v>
      </c>
      <c r="T34" s="11">
        <f t="shared" si="14"/>
        <v>0.97145896022736455</v>
      </c>
      <c r="U34" s="12">
        <f t="shared" si="6"/>
        <v>0.96211251844597534</v>
      </c>
      <c r="V34" s="12">
        <f t="shared" si="7"/>
        <v>0.97832196388291526</v>
      </c>
      <c r="W34" s="9">
        <f t="shared" si="8"/>
        <v>2.8956254775549289E-2</v>
      </c>
      <c r="X34" s="13">
        <f t="shared" si="2"/>
        <v>3.8623872114519384E-2</v>
      </c>
      <c r="Y34" s="13">
        <f t="shared" si="3"/>
        <v>2.1916456699616019E-2</v>
      </c>
    </row>
    <row r="35" spans="5:25" x14ac:dyDescent="0.35">
      <c r="E35" s="6">
        <f t="shared" si="9"/>
        <v>91</v>
      </c>
      <c r="F35" s="8">
        <v>200.19364999999999</v>
      </c>
      <c r="G35" s="7">
        <f t="shared" si="4"/>
        <v>0.20019365</v>
      </c>
      <c r="H35" s="85">
        <f t="shared" si="10"/>
        <v>0.1590545553724837</v>
      </c>
      <c r="J35" s="6">
        <v>31</v>
      </c>
      <c r="K35" s="7">
        <v>2.5180000000000001E-2</v>
      </c>
      <c r="L35" s="7">
        <v>3.5180000000000003E-2</v>
      </c>
      <c r="M35" s="7">
        <v>1.823E-2</v>
      </c>
      <c r="N35" s="9">
        <f t="shared" si="5"/>
        <v>2.4868206928880785E-2</v>
      </c>
      <c r="O35" s="7">
        <f t="shared" si="0"/>
        <v>3.4575324639690451E-2</v>
      </c>
      <c r="P35" s="7">
        <f t="shared" si="1"/>
        <v>1.8065825811626232E-2</v>
      </c>
      <c r="Q35" s="11">
        <f t="shared" si="11"/>
        <v>0.46258987582736716</v>
      </c>
      <c r="R35" s="12">
        <f t="shared" si="12"/>
        <v>0.34237965207536719</v>
      </c>
      <c r="S35" s="12">
        <f t="shared" si="13"/>
        <v>0.5711858731399696</v>
      </c>
      <c r="T35" s="11">
        <f t="shared" si="14"/>
        <v>0.97088167508081857</v>
      </c>
      <c r="U35" s="12">
        <f t="shared" si="6"/>
        <v>0.96154630328850144</v>
      </c>
      <c r="V35" s="12">
        <f t="shared" si="7"/>
        <v>0.97805349291316113</v>
      </c>
      <c r="W35" s="9">
        <f t="shared" si="8"/>
        <v>2.9550676941311613E-2</v>
      </c>
      <c r="X35" s="13">
        <f t="shared" si="2"/>
        <v>3.9212557766495057E-2</v>
      </c>
      <c r="Y35" s="13">
        <f t="shared" si="3"/>
        <v>2.2190914212877874E-2</v>
      </c>
    </row>
    <row r="36" spans="5:25" x14ac:dyDescent="0.35">
      <c r="E36" s="6">
        <f t="shared" si="9"/>
        <v>92</v>
      </c>
      <c r="F36" s="8">
        <v>224.69547</v>
      </c>
      <c r="G36" s="7">
        <f t="shared" si="4"/>
        <v>0.22469547000000001</v>
      </c>
      <c r="H36" s="85">
        <f t="shared" si="10"/>
        <v>0.12331571729742245</v>
      </c>
      <c r="J36" s="6">
        <v>32</v>
      </c>
      <c r="K36" s="7">
        <v>2.5340000000000001E-2</v>
      </c>
      <c r="L36" s="7">
        <v>3.5340000000000003E-2</v>
      </c>
      <c r="M36" s="7">
        <v>1.8380000000000001E-2</v>
      </c>
      <c r="N36" s="9">
        <f t="shared" si="5"/>
        <v>2.5024264904735357E-2</v>
      </c>
      <c r="O36" s="7">
        <f t="shared" si="0"/>
        <v>3.4729875187686526E-2</v>
      </c>
      <c r="P36" s="7">
        <f t="shared" si="1"/>
        <v>1.8213129419358026E-2</v>
      </c>
      <c r="Q36" s="11">
        <f t="shared" si="11"/>
        <v>0.44898020595179028</v>
      </c>
      <c r="R36" s="12">
        <f t="shared" si="12"/>
        <v>0.32911237999639209</v>
      </c>
      <c r="S36" s="12">
        <f t="shared" si="13"/>
        <v>0.55832159839081263</v>
      </c>
      <c r="T36" s="11">
        <f t="shared" si="14"/>
        <v>0.9705794039455895</v>
      </c>
      <c r="U36" s="12">
        <f t="shared" si="6"/>
        <v>0.96124982311724938</v>
      </c>
      <c r="V36" s="12">
        <f t="shared" si="7"/>
        <v>0.97747795358026202</v>
      </c>
      <c r="W36" s="9">
        <f t="shared" si="8"/>
        <v>2.98620621562272E-2</v>
      </c>
      <c r="X36" s="13">
        <f t="shared" si="2"/>
        <v>3.9520942175564878E-2</v>
      </c>
      <c r="Y36" s="13">
        <f t="shared" si="3"/>
        <v>2.2779541259043735E-2</v>
      </c>
    </row>
    <row r="37" spans="5:25" x14ac:dyDescent="0.35">
      <c r="E37" s="6">
        <f t="shared" si="9"/>
        <v>93</v>
      </c>
      <c r="F37" s="8">
        <v>245.99945</v>
      </c>
      <c r="G37" s="7">
        <f t="shared" si="4"/>
        <v>0.24599945000000001</v>
      </c>
      <c r="H37" s="85">
        <f t="shared" si="10"/>
        <v>9.2980118665901043E-2</v>
      </c>
      <c r="J37" s="6">
        <v>33</v>
      </c>
      <c r="K37" s="7">
        <v>2.5499999999999998E-2</v>
      </c>
      <c r="L37" s="7">
        <v>3.5499999999999997E-2</v>
      </c>
      <c r="M37" s="7">
        <v>1.8530000000000001E-2</v>
      </c>
      <c r="N37" s="9">
        <f t="shared" si="5"/>
        <v>2.5180298530298326E-2</v>
      </c>
      <c r="O37" s="7">
        <f t="shared" si="0"/>
        <v>3.4884401853501883E-2</v>
      </c>
      <c r="P37" s="7">
        <f t="shared" si="1"/>
        <v>1.8360411331932485E-2</v>
      </c>
      <c r="Q37" s="11">
        <f t="shared" si="11"/>
        <v>0.43563530089638075</v>
      </c>
      <c r="R37" s="12">
        <f t="shared" si="12"/>
        <v>0.31626169443751051</v>
      </c>
      <c r="S37" s="12">
        <f t="shared" si="13"/>
        <v>0.54558668670354882</v>
      </c>
      <c r="T37" s="11">
        <f t="shared" si="14"/>
        <v>0.97027729757680581</v>
      </c>
      <c r="U37" s="12">
        <f t="shared" si="6"/>
        <v>0.96095350299790472</v>
      </c>
      <c r="V37" s="12">
        <f t="shared" si="7"/>
        <v>0.97719072354720249</v>
      </c>
      <c r="W37" s="9">
        <f t="shared" si="8"/>
        <v>3.0173374548313252E-2</v>
      </c>
      <c r="X37" s="13">
        <f t="shared" si="2"/>
        <v>3.982925515959327E-2</v>
      </c>
      <c r="Y37" s="13">
        <f t="shared" si="3"/>
        <v>2.3073432534315021E-2</v>
      </c>
    </row>
    <row r="38" spans="5:25" x14ac:dyDescent="0.35">
      <c r="E38" s="6">
        <f t="shared" si="9"/>
        <v>94</v>
      </c>
      <c r="F38" s="8">
        <v>275.61788000000001</v>
      </c>
      <c r="G38" s="7">
        <f t="shared" si="4"/>
        <v>0.27561788000000004</v>
      </c>
      <c r="H38" s="85">
        <f t="shared" si="10"/>
        <v>6.7353135477056972E-2</v>
      </c>
      <c r="J38" s="6">
        <v>34</v>
      </c>
      <c r="K38" s="7">
        <v>2.5659999999999999E-2</v>
      </c>
      <c r="L38" s="7">
        <v>3.5659999999999997E-2</v>
      </c>
      <c r="M38" s="7">
        <v>1.8679999999999999E-2</v>
      </c>
      <c r="N38" s="9">
        <f t="shared" si="5"/>
        <v>2.5336307813167001E-2</v>
      </c>
      <c r="O38" s="7">
        <f t="shared" si="0"/>
        <v>3.5038904644515825E-2</v>
      </c>
      <c r="P38" s="7">
        <f t="shared" si="1"/>
        <v>1.8507671555739718E-2</v>
      </c>
      <c r="Q38" s="11">
        <f t="shared" si="11"/>
        <v>0.42255550600771608</v>
      </c>
      <c r="R38" s="12">
        <f t="shared" si="12"/>
        <v>0.30381911901110631</v>
      </c>
      <c r="S38" s="12">
        <f t="shared" si="13"/>
        <v>0.53298562087793011</v>
      </c>
      <c r="T38" s="11">
        <f t="shared" si="14"/>
        <v>0.96997535584983319</v>
      </c>
      <c r="U38" s="12">
        <f t="shared" si="6"/>
        <v>0.96065734281056692</v>
      </c>
      <c r="V38" s="12">
        <f t="shared" si="7"/>
        <v>0.97690364128612683</v>
      </c>
      <c r="W38" s="9">
        <f t="shared" si="8"/>
        <v>3.0484614147833235E-2</v>
      </c>
      <c r="X38" s="13">
        <f t="shared" si="2"/>
        <v>4.0137496747975981E-2</v>
      </c>
      <c r="Y38" s="13">
        <f t="shared" si="3"/>
        <v>2.3367258941378585E-2</v>
      </c>
    </row>
    <row r="39" spans="5:25" x14ac:dyDescent="0.35">
      <c r="E39" s="6">
        <f t="shared" si="9"/>
        <v>95</v>
      </c>
      <c r="F39" s="8">
        <v>305.56044000000003</v>
      </c>
      <c r="G39" s="7">
        <f t="shared" si="4"/>
        <v>0.30556044000000004</v>
      </c>
      <c r="H39" s="85">
        <f t="shared" si="10"/>
        <v>4.6772681765307828E-2</v>
      </c>
      <c r="J39" s="6">
        <v>35</v>
      </c>
      <c r="K39" s="7">
        <v>2.581E-2</v>
      </c>
      <c r="L39" s="7">
        <v>3.5810000000000002E-2</v>
      </c>
      <c r="M39" s="7">
        <v>1.882E-2</v>
      </c>
      <c r="N39" s="9">
        <f t="shared" si="5"/>
        <v>2.548254441449891E-2</v>
      </c>
      <c r="O39" s="7">
        <f t="shared" si="0"/>
        <v>3.5183729334481939E-2</v>
      </c>
      <c r="P39" s="7">
        <f t="shared" si="1"/>
        <v>1.8645094868839453E-2</v>
      </c>
      <c r="Q39" s="11">
        <f t="shared" si="11"/>
        <v>0.40988073390848667</v>
      </c>
      <c r="R39" s="12">
        <f t="shared" si="12"/>
        <v>0.29187474427444587</v>
      </c>
      <c r="S39" s="12">
        <f t="shared" si="13"/>
        <v>0.52070150920109937</v>
      </c>
      <c r="T39" s="11">
        <f t="shared" si="14"/>
        <v>0.97000448007652285</v>
      </c>
      <c r="U39" s="12">
        <f t="shared" si="6"/>
        <v>0.96068590161297984</v>
      </c>
      <c r="V39" s="12">
        <f t="shared" si="7"/>
        <v>0.97695226438455052</v>
      </c>
      <c r="W39" s="9">
        <f t="shared" si="8"/>
        <v>3.0454588859783846E-2</v>
      </c>
      <c r="X39" s="13">
        <f t="shared" si="2"/>
        <v>4.0107768793329751E-2</v>
      </c>
      <c r="Y39" s="13">
        <f t="shared" si="3"/>
        <v>2.3317487514230243E-2</v>
      </c>
    </row>
    <row r="40" spans="5:25" x14ac:dyDescent="0.35">
      <c r="E40" s="6">
        <f t="shared" si="9"/>
        <v>96</v>
      </c>
      <c r="F40" s="8">
        <v>332.57691</v>
      </c>
      <c r="G40" s="7">
        <f t="shared" si="4"/>
        <v>0.33257691</v>
      </c>
      <c r="H40" s="85">
        <f t="shared" si="10"/>
        <v>3.1217167791388403E-2</v>
      </c>
      <c r="J40" s="6">
        <v>36</v>
      </c>
      <c r="K40" s="7">
        <v>2.596E-2</v>
      </c>
      <c r="L40" s="7">
        <v>3.5959999999999999E-2</v>
      </c>
      <c r="M40" s="7">
        <v>1.8970000000000001E-2</v>
      </c>
      <c r="N40" s="9">
        <f t="shared" si="5"/>
        <v>2.5628759633814266E-2</v>
      </c>
      <c r="O40" s="7">
        <f t="shared" si="0"/>
        <v>3.5328533053294545E-2</v>
      </c>
      <c r="P40" s="7">
        <f t="shared" si="1"/>
        <v>1.8792313179137165E-2</v>
      </c>
      <c r="Q40" s="11">
        <f t="shared" si="11"/>
        <v>0.39747018785099697</v>
      </c>
      <c r="R40" s="12">
        <f t="shared" si="12"/>
        <v>0.28031895758030112</v>
      </c>
      <c r="S40" s="12">
        <f t="shared" si="13"/>
        <v>0.50838142605608005</v>
      </c>
      <c r="T40" s="11">
        <f t="shared" si="14"/>
        <v>0.96972156768836915</v>
      </c>
      <c r="U40" s="12">
        <f t="shared" si="6"/>
        <v>0.96040840490371782</v>
      </c>
      <c r="V40" s="12">
        <f t="shared" si="7"/>
        <v>0.97633945182159787</v>
      </c>
      <c r="W40" s="9">
        <f t="shared" si="8"/>
        <v>3.0746292309851757E-2</v>
      </c>
      <c r="X40" s="13">
        <f t="shared" si="2"/>
        <v>4.0396663211735656E-2</v>
      </c>
      <c r="Y40" s="13">
        <f t="shared" si="3"/>
        <v>2.3944954039557029E-2</v>
      </c>
    </row>
    <row r="41" spans="5:25" x14ac:dyDescent="0.35">
      <c r="E41" s="6">
        <f t="shared" si="9"/>
        <v>97</v>
      </c>
      <c r="F41" s="8">
        <v>356.57767000000001</v>
      </c>
      <c r="G41" s="7">
        <f t="shared" si="4"/>
        <v>0.35657767000000001</v>
      </c>
      <c r="H41" s="85">
        <f t="shared" si="10"/>
        <v>2.0085822836336076E-2</v>
      </c>
      <c r="J41" s="6">
        <v>37</v>
      </c>
      <c r="K41" s="7">
        <v>2.6110000000000001E-2</v>
      </c>
      <c r="L41" s="7">
        <v>3.6110000000000003E-2</v>
      </c>
      <c r="M41" s="7">
        <v>1.9109999999999999E-2</v>
      </c>
      <c r="N41" s="9">
        <f t="shared" si="5"/>
        <v>2.5774953477364682E-2</v>
      </c>
      <c r="O41" s="7">
        <f t="shared" si="0"/>
        <v>3.5473315807025951E-2</v>
      </c>
      <c r="P41" s="7">
        <f t="shared" si="1"/>
        <v>1.8929697384094998E-2</v>
      </c>
      <c r="Q41" s="11">
        <f t="shared" si="11"/>
        <v>0.38532302185706202</v>
      </c>
      <c r="R41" s="12">
        <f t="shared" si="12"/>
        <v>0.26914293466709494</v>
      </c>
      <c r="S41" s="12">
        <f t="shared" si="13"/>
        <v>0.49638730346167431</v>
      </c>
      <c r="T41" s="11">
        <f t="shared" si="14"/>
        <v>0.96943879977612646</v>
      </c>
      <c r="U41" s="12">
        <f t="shared" si="6"/>
        <v>0.96013104853957421</v>
      </c>
      <c r="V41" s="12">
        <f t="shared" si="7"/>
        <v>0.9764072368114356</v>
      </c>
      <c r="W41" s="9">
        <f t="shared" si="8"/>
        <v>3.1037931845179736E-2</v>
      </c>
      <c r="X41" s="13">
        <f t="shared" si="2"/>
        <v>4.0685494941356745E-2</v>
      </c>
      <c r="Y41" s="13">
        <f t="shared" si="3"/>
        <v>2.3875528762577144E-2</v>
      </c>
    </row>
    <row r="42" spans="5:25" x14ac:dyDescent="0.35">
      <c r="E42" s="6">
        <f t="shared" si="9"/>
        <v>98</v>
      </c>
      <c r="F42" s="8">
        <v>379.08291000000003</v>
      </c>
      <c r="G42" s="7">
        <f t="shared" si="4"/>
        <v>0.37908291000000005</v>
      </c>
      <c r="H42" s="85">
        <f t="shared" si="10"/>
        <v>1.2471630665793342E-2</v>
      </c>
      <c r="J42" s="6">
        <v>38</v>
      </c>
      <c r="K42" s="7">
        <v>2.6259999999999999E-2</v>
      </c>
      <c r="L42" s="7">
        <v>3.6260000000000001E-2</v>
      </c>
      <c r="M42" s="7">
        <v>1.925E-2</v>
      </c>
      <c r="N42" s="9">
        <f t="shared" si="5"/>
        <v>2.5921125951399046E-2</v>
      </c>
      <c r="O42" s="7">
        <f t="shared" si="0"/>
        <v>3.5618077601745832E-2</v>
      </c>
      <c r="P42" s="7">
        <f t="shared" si="1"/>
        <v>1.9067062717225722E-2</v>
      </c>
      <c r="Q42" s="11">
        <f t="shared" si="11"/>
        <v>0.37343818647922677</v>
      </c>
      <c r="R42" s="12">
        <f t="shared" si="12"/>
        <v>0.25833787730952368</v>
      </c>
      <c r="S42" s="12">
        <f t="shared" si="13"/>
        <v>0.48454334743921723</v>
      </c>
      <c r="T42" s="11">
        <f t="shared" si="14"/>
        <v>0.96915617623739081</v>
      </c>
      <c r="U42" s="12">
        <f t="shared" si="6"/>
        <v>0.95985383242203215</v>
      </c>
      <c r="V42" s="12">
        <f t="shared" si="7"/>
        <v>0.97613968782065852</v>
      </c>
      <c r="W42" s="9">
        <f t="shared" si="8"/>
        <v>3.1329507490670302E-2</v>
      </c>
      <c r="X42" s="13">
        <f t="shared" si="2"/>
        <v>4.0974264006381447E-2</v>
      </c>
      <c r="Y42" s="13">
        <f t="shared" si="3"/>
        <v>2.4149580043062495E-2</v>
      </c>
    </row>
    <row r="43" spans="5:25" x14ac:dyDescent="0.35">
      <c r="E43" s="6">
        <f t="shared" si="9"/>
        <v>99</v>
      </c>
      <c r="F43" s="8">
        <v>402.51481999999999</v>
      </c>
      <c r="G43" s="7">
        <f t="shared" si="4"/>
        <v>0.40251482</v>
      </c>
      <c r="H43" s="85">
        <f t="shared" si="10"/>
        <v>7.4516144932450555E-3</v>
      </c>
      <c r="J43" s="6">
        <v>39</v>
      </c>
      <c r="K43" s="7">
        <v>2.64E-2</v>
      </c>
      <c r="L43" s="7">
        <v>3.6400000000000002E-2</v>
      </c>
      <c r="M43" s="7">
        <v>1.9390000000000001E-2</v>
      </c>
      <c r="N43" s="9">
        <f t="shared" si="5"/>
        <v>2.6057534319289598E-2</v>
      </c>
      <c r="O43" s="7">
        <f t="shared" si="0"/>
        <v>3.5753169705817843E-2</v>
      </c>
      <c r="P43" s="7">
        <f t="shared" si="1"/>
        <v>1.920440918371329E-2</v>
      </c>
      <c r="Q43" s="11">
        <f t="shared" si="11"/>
        <v>0.36195193998144004</v>
      </c>
      <c r="R43" s="12">
        <f t="shared" si="12"/>
        <v>0.2479883230188959</v>
      </c>
      <c r="S43" s="12">
        <f t="shared" si="13"/>
        <v>0.47285241501935604</v>
      </c>
      <c r="T43" s="11">
        <f t="shared" si="14"/>
        <v>0.96924190692419809</v>
      </c>
      <c r="U43" s="12">
        <f t="shared" si="6"/>
        <v>0.95993791387304916</v>
      </c>
      <c r="V43" s="12">
        <f t="shared" si="7"/>
        <v>0.97587226719415909</v>
      </c>
      <c r="W43" s="9">
        <f t="shared" si="8"/>
        <v>3.1241052299130538E-2</v>
      </c>
      <c r="X43" s="13">
        <f t="shared" si="2"/>
        <v>4.0886669660554049E-2</v>
      </c>
      <c r="Y43" s="13">
        <f t="shared" si="3"/>
        <v>2.4423574910240862E-2</v>
      </c>
    </row>
    <row r="44" spans="5:25" x14ac:dyDescent="0.35">
      <c r="E44" s="6">
        <f t="shared" si="9"/>
        <v>100</v>
      </c>
      <c r="F44" s="8">
        <v>434.19751000000002</v>
      </c>
      <c r="G44" s="7">
        <f t="shared" si="4"/>
        <v>0.43419751000000001</v>
      </c>
      <c r="H44" s="85">
        <f t="shared" si="10"/>
        <v>4.2161420347981409E-3</v>
      </c>
      <c r="J44" s="6">
        <v>40</v>
      </c>
      <c r="K44" s="7">
        <v>2.6540000000000001E-2</v>
      </c>
      <c r="L44" s="7">
        <v>3.6540000000000003E-2</v>
      </c>
      <c r="M44" s="7">
        <v>1.9529999999999999E-2</v>
      </c>
      <c r="N44" s="9">
        <f t="shared" si="5"/>
        <v>2.6193924082475131E-2</v>
      </c>
      <c r="O44" s="7">
        <f t="shared" si="0"/>
        <v>3.5888243562478321E-2</v>
      </c>
      <c r="P44" s="7">
        <f t="shared" si="1"/>
        <v>1.934173678873953E-2</v>
      </c>
      <c r="Q44" s="11">
        <f t="shared" si="11"/>
        <v>0.35072355328981913</v>
      </c>
      <c r="R44" s="12">
        <f t="shared" si="12"/>
        <v>0.2379892575915869</v>
      </c>
      <c r="S44" s="12">
        <f t="shared" si="13"/>
        <v>0.46131716846104487</v>
      </c>
      <c r="T44" s="11">
        <f t="shared" si="14"/>
        <v>0.96897823867943167</v>
      </c>
      <c r="U44" s="12">
        <f t="shared" si="6"/>
        <v>0.95967928930852486</v>
      </c>
      <c r="V44" s="12">
        <f t="shared" si="7"/>
        <v>0.97560497484645614</v>
      </c>
      <c r="W44" s="9">
        <f t="shared" si="8"/>
        <v>3.1513124846710809E-2</v>
      </c>
      <c r="X44" s="13">
        <f t="shared" si="2"/>
        <v>4.1156123972237085E-2</v>
      </c>
      <c r="Y44" s="13">
        <f t="shared" si="3"/>
        <v>2.469751338476283E-2</v>
      </c>
    </row>
    <row r="45" spans="5:25" x14ac:dyDescent="0.35">
      <c r="E45" s="6">
        <f t="shared" si="9"/>
        <v>101</v>
      </c>
      <c r="F45" s="8">
        <v>474.89508999999998</v>
      </c>
      <c r="G45" s="7">
        <f t="shared" si="4"/>
        <v>0.47489508999999996</v>
      </c>
      <c r="H45" s="85">
        <f t="shared" si="10"/>
        <v>2.2139168837298946E-3</v>
      </c>
      <c r="J45" s="6">
        <v>41</v>
      </c>
      <c r="K45" s="7">
        <v>2.6669999999999999E-2</v>
      </c>
      <c r="L45" s="7">
        <v>3.6670000000000001E-2</v>
      </c>
      <c r="M45" s="7">
        <v>1.966E-2</v>
      </c>
      <c r="N45" s="9">
        <f t="shared" si="5"/>
        <v>2.6320555065349444E-2</v>
      </c>
      <c r="O45" s="7">
        <f t="shared" si="0"/>
        <v>3.601365295194716E-2</v>
      </c>
      <c r="P45" s="7">
        <f t="shared" si="1"/>
        <v>1.9469238394942068E-2</v>
      </c>
      <c r="Q45" s="11">
        <f t="shared" si="11"/>
        <v>0.33988676611542634</v>
      </c>
      <c r="R45" s="12">
        <f t="shared" si="12"/>
        <v>0.22842216276614152</v>
      </c>
      <c r="S45" s="12">
        <f t="shared" si="13"/>
        <v>0.45012103118456231</v>
      </c>
      <c r="T45" s="11">
        <f t="shared" si="14"/>
        <v>0.96910162698586189</v>
      </c>
      <c r="U45" s="12">
        <f t="shared" si="6"/>
        <v>0.95980030812204364</v>
      </c>
      <c r="V45" s="12">
        <f t="shared" si="7"/>
        <v>0.97573006590274347</v>
      </c>
      <c r="W45" s="9">
        <f t="shared" si="8"/>
        <v>3.1385794380322039E-2</v>
      </c>
      <c r="X45" s="13">
        <f t="shared" si="2"/>
        <v>4.1030028530700612E-2</v>
      </c>
      <c r="Y45" s="13">
        <f t="shared" si="3"/>
        <v>2.4569302643043502E-2</v>
      </c>
    </row>
    <row r="46" spans="5:25" x14ac:dyDescent="0.35">
      <c r="E46" s="6">
        <f t="shared" si="9"/>
        <v>102</v>
      </c>
      <c r="F46" s="8">
        <v>509.54043000000001</v>
      </c>
      <c r="G46" s="7">
        <f t="shared" si="4"/>
        <v>0.50954043000000004</v>
      </c>
      <c r="H46" s="85">
        <f t="shared" si="10"/>
        <v>1.0858367228099039E-3</v>
      </c>
      <c r="J46" s="6">
        <v>42</v>
      </c>
      <c r="K46" s="7">
        <v>2.6800000000000001E-2</v>
      </c>
      <c r="L46" s="7">
        <v>3.6799999999999999E-2</v>
      </c>
      <c r="M46" s="7">
        <v>1.9789999999999999E-2</v>
      </c>
      <c r="N46" s="9">
        <f t="shared" si="5"/>
        <v>2.6447170014848229E-2</v>
      </c>
      <c r="O46" s="7">
        <f t="shared" si="0"/>
        <v>3.6139046615873138E-2</v>
      </c>
      <c r="P46" s="7">
        <f t="shared" si="1"/>
        <v>1.9596723746557486E-2</v>
      </c>
      <c r="Q46" s="11">
        <f t="shared" si="11"/>
        <v>0.32930162970189297</v>
      </c>
      <c r="R46" s="12">
        <f t="shared" si="12"/>
        <v>0.21918482444165785</v>
      </c>
      <c r="S46" s="12">
        <f t="shared" si="13"/>
        <v>0.43908494091056355</v>
      </c>
      <c r="T46" s="11">
        <f t="shared" si="14"/>
        <v>0.9688568739097696</v>
      </c>
      <c r="U46" s="12">
        <f t="shared" si="6"/>
        <v>0.9595602361319866</v>
      </c>
      <c r="V46" s="12">
        <f t="shared" si="7"/>
        <v>0.97548194927716303</v>
      </c>
      <c r="W46" s="9">
        <f t="shared" si="8"/>
        <v>3.1638382944298472E-2</v>
      </c>
      <c r="X46" s="13">
        <f t="shared" si="2"/>
        <v>4.1280186836838248E-2</v>
      </c>
      <c r="Y46" s="13">
        <f t="shared" si="3"/>
        <v>2.4823623162789677E-2</v>
      </c>
    </row>
    <row r="47" spans="5:25" x14ac:dyDescent="0.35">
      <c r="E47" s="6">
        <f t="shared" si="9"/>
        <v>103</v>
      </c>
      <c r="F47" s="8">
        <v>544.43039999999996</v>
      </c>
      <c r="G47" s="7">
        <f t="shared" si="4"/>
        <v>0.54443039999999998</v>
      </c>
      <c r="H47" s="85">
        <f t="shared" si="10"/>
        <v>4.9467420147581884E-4</v>
      </c>
      <c r="J47" s="6">
        <v>43</v>
      </c>
      <c r="K47" s="7">
        <v>2.6929999999999999E-2</v>
      </c>
      <c r="L47" s="7">
        <v>3.6929999999999998E-2</v>
      </c>
      <c r="M47" s="7">
        <v>1.992E-2</v>
      </c>
      <c r="N47" s="9">
        <f t="shared" si="5"/>
        <v>2.6573768935031109E-2</v>
      </c>
      <c r="O47" s="7">
        <f t="shared" si="0"/>
        <v>3.6264424558199539E-2</v>
      </c>
      <c r="P47" s="7">
        <f t="shared" si="1"/>
        <v>1.97241928477297E-2</v>
      </c>
      <c r="Q47" s="11">
        <f t="shared" si="11"/>
        <v>0.31896558558159949</v>
      </c>
      <c r="R47" s="12">
        <f t="shared" si="12"/>
        <v>0.21026844480661194</v>
      </c>
      <c r="S47" s="12">
        <f t="shared" si="13"/>
        <v>0.42821053829189792</v>
      </c>
      <c r="T47" s="11">
        <f t="shared" si="14"/>
        <v>0.96861222906898337</v>
      </c>
      <c r="U47" s="12">
        <f t="shared" si="6"/>
        <v>0.95932026928525227</v>
      </c>
      <c r="V47" s="12">
        <f t="shared" si="7"/>
        <v>0.9752339431270074</v>
      </c>
      <c r="W47" s="9">
        <f t="shared" si="8"/>
        <v>3.1890923582712095E-2</v>
      </c>
      <c r="X47" s="13">
        <f t="shared" si="2"/>
        <v>4.1530298135908528E-2</v>
      </c>
      <c r="Y47" s="13">
        <f t="shared" si="3"/>
        <v>2.5077895096962722E-2</v>
      </c>
    </row>
    <row r="48" spans="5:25" x14ac:dyDescent="0.35">
      <c r="E48" s="6">
        <f t="shared" si="9"/>
        <v>104</v>
      </c>
      <c r="F48" s="8">
        <v>579.24221999999997</v>
      </c>
      <c r="G48" s="7">
        <f t="shared" si="4"/>
        <v>0.57924222000000003</v>
      </c>
      <c r="H48" s="85">
        <f t="shared" si="10"/>
        <v>2.0813801883623825E-4</v>
      </c>
      <c r="J48" s="6">
        <v>44</v>
      </c>
      <c r="K48" s="7">
        <v>2.7050000000000001E-2</v>
      </c>
      <c r="L48" s="7">
        <v>3.705E-2</v>
      </c>
      <c r="M48" s="7">
        <v>2.0039999999999999E-2</v>
      </c>
      <c r="N48" s="9">
        <f t="shared" si="5"/>
        <v>2.6690615253044576E-2</v>
      </c>
      <c r="O48" s="7">
        <f t="shared" si="0"/>
        <v>3.6380144092750526E-2</v>
      </c>
      <c r="P48" s="7">
        <f t="shared" si="1"/>
        <v>1.9841842213539358E-2</v>
      </c>
      <c r="Q48" s="11">
        <f t="shared" si="11"/>
        <v>0.30900832177573911</v>
      </c>
      <c r="R48" s="12">
        <f t="shared" si="12"/>
        <v>0.20174992570578915</v>
      </c>
      <c r="S48" s="12">
        <f t="shared" si="13"/>
        <v>0.41767942881635295</v>
      </c>
      <c r="T48" s="11">
        <f t="shared" si="14"/>
        <v>0.9687826390809392</v>
      </c>
      <c r="U48" s="12">
        <f t="shared" si="6"/>
        <v>0.95948741092056178</v>
      </c>
      <c r="V48" s="12">
        <f t="shared" si="7"/>
        <v>0.9754067017650877</v>
      </c>
      <c r="W48" s="9">
        <f t="shared" si="8"/>
        <v>3.1715006927623565E-2</v>
      </c>
      <c r="X48" s="13">
        <f t="shared" si="2"/>
        <v>4.1356084078443094E-2</v>
      </c>
      <c r="Y48" s="13">
        <f t="shared" si="3"/>
        <v>2.4900764943354595E-2</v>
      </c>
    </row>
    <row r="49" spans="5:25" x14ac:dyDescent="0.35">
      <c r="E49" s="6">
        <f t="shared" si="9"/>
        <v>105</v>
      </c>
      <c r="F49" s="8">
        <v>613.64117999999996</v>
      </c>
      <c r="G49" s="7">
        <f t="shared" si="4"/>
        <v>0.61364118000000001</v>
      </c>
      <c r="H49" s="85">
        <f t="shared" si="10"/>
        <v>8.0415959354706781E-5</v>
      </c>
      <c r="J49" s="6">
        <v>45</v>
      </c>
      <c r="K49" s="7">
        <v>2.717E-2</v>
      </c>
      <c r="L49" s="7">
        <v>3.7170000000000002E-2</v>
      </c>
      <c r="M49" s="7">
        <v>2.0160000000000001E-2</v>
      </c>
      <c r="N49" s="9">
        <f t="shared" si="5"/>
        <v>2.6807447919590902E-2</v>
      </c>
      <c r="O49" s="7">
        <f t="shared" si="0"/>
        <v>3.6495850237840036E-2</v>
      </c>
      <c r="P49" s="7">
        <f t="shared" si="1"/>
        <v>1.9959477739603743E-2</v>
      </c>
      <c r="Q49" s="11">
        <f t="shared" si="11"/>
        <v>0.29929213083059825</v>
      </c>
      <c r="R49" s="12">
        <f t="shared" si="12"/>
        <v>0.19353183449254571</v>
      </c>
      <c r="S49" s="12">
        <f t="shared" si="13"/>
        <v>0.40731171657889259</v>
      </c>
      <c r="T49" s="11">
        <f t="shared" si="14"/>
        <v>0.96855686316372946</v>
      </c>
      <c r="U49" s="12">
        <f t="shared" si="6"/>
        <v>0.95926595172467211</v>
      </c>
      <c r="V49" s="12">
        <f t="shared" si="7"/>
        <v>0.97517782413454968</v>
      </c>
      <c r="W49" s="9">
        <f t="shared" si="8"/>
        <v>3.1948085247629182E-2</v>
      </c>
      <c r="X49" s="13">
        <f t="shared" si="2"/>
        <v>4.1586920621778448E-2</v>
      </c>
      <c r="Y49" s="13">
        <f t="shared" si="3"/>
        <v>2.5135440886436707E-2</v>
      </c>
    </row>
    <row r="50" spans="5:25" x14ac:dyDescent="0.35">
      <c r="E50" s="6">
        <f t="shared" si="9"/>
        <v>106</v>
      </c>
      <c r="F50" s="8">
        <v>647.30123000000003</v>
      </c>
      <c r="G50" s="7">
        <f t="shared" si="4"/>
        <v>0.64730123000000006</v>
      </c>
      <c r="H50" s="85">
        <f t="shared" si="10"/>
        <v>2.836260995277507E-5</v>
      </c>
      <c r="J50" s="6">
        <v>46</v>
      </c>
      <c r="K50" s="7">
        <v>2.7279999999999999E-2</v>
      </c>
      <c r="L50" s="7">
        <v>3.7280000000000001E-2</v>
      </c>
      <c r="M50" s="7">
        <v>2.0279999999999999E-2</v>
      </c>
      <c r="N50" s="9">
        <f t="shared" si="5"/>
        <v>2.6914532540881435E-2</v>
      </c>
      <c r="O50" s="7">
        <f t="shared" si="0"/>
        <v>3.6601902444548466E-2</v>
      </c>
      <c r="P50" s="7">
        <f t="shared" si="1"/>
        <v>2.0077099429178999E-2</v>
      </c>
      <c r="Q50" s="11">
        <f t="shared" si="11"/>
        <v>0.28994370460990576</v>
      </c>
      <c r="R50" s="12">
        <f t="shared" si="12"/>
        <v>0.18568798525964977</v>
      </c>
      <c r="S50" s="12">
        <f t="shared" si="13"/>
        <v>0.39710816728046949</v>
      </c>
      <c r="T50" s="11">
        <f t="shared" si="14"/>
        <v>0.96876487799813293</v>
      </c>
      <c r="U50" s="12">
        <f t="shared" si="6"/>
        <v>0.95946997943018997</v>
      </c>
      <c r="V50" s="12">
        <f t="shared" si="7"/>
        <v>0.97494904054289155</v>
      </c>
      <c r="W50" s="9">
        <f t="shared" si="8"/>
        <v>3.1733340498955577E-2</v>
      </c>
      <c r="X50" s="13">
        <f t="shared" si="2"/>
        <v>4.1374251746427747E-2</v>
      </c>
      <c r="Y50" s="13">
        <f t="shared" si="3"/>
        <v>2.5370075460065405E-2</v>
      </c>
    </row>
    <row r="51" spans="5:25" x14ac:dyDescent="0.35">
      <c r="E51" s="6">
        <f t="shared" si="9"/>
        <v>107</v>
      </c>
      <c r="F51" s="8">
        <v>679.90812000000005</v>
      </c>
      <c r="G51" s="7">
        <f t="shared" si="4"/>
        <v>0.67990812</v>
      </c>
      <c r="H51" s="85">
        <f t="shared" si="10"/>
        <v>9.0786411414904827E-6</v>
      </c>
      <c r="J51" s="6">
        <v>47</v>
      </c>
      <c r="K51" s="7">
        <v>2.7390000000000001E-2</v>
      </c>
      <c r="L51" s="7">
        <v>3.739E-2</v>
      </c>
      <c r="M51" s="7">
        <v>2.0400000000000001E-2</v>
      </c>
      <c r="N51" s="9">
        <f t="shared" si="5"/>
        <v>2.7021605696283663E-2</v>
      </c>
      <c r="O51" s="7">
        <f t="shared" si="0"/>
        <v>3.6707943405378987E-2</v>
      </c>
      <c r="P51" s="7">
        <f t="shared" si="1"/>
        <v>2.0194707285519253E-2</v>
      </c>
      <c r="Q51" s="11">
        <f t="shared" si="11"/>
        <v>0.28082727798558388</v>
      </c>
      <c r="R51" s="12">
        <f t="shared" si="12"/>
        <v>0.17812435659699125</v>
      </c>
      <c r="S51" s="12">
        <f t="shared" si="13"/>
        <v>0.3870694121713778</v>
      </c>
      <c r="T51" s="11">
        <f t="shared" si="14"/>
        <v>0.96855794252685279</v>
      </c>
      <c r="U51" s="12">
        <f t="shared" si="6"/>
        <v>0.95926700022038469</v>
      </c>
      <c r="V51" s="12">
        <f t="shared" si="7"/>
        <v>0.97472035093652076</v>
      </c>
      <c r="W51" s="9">
        <f t="shared" si="8"/>
        <v>3.1946970844786197E-2</v>
      </c>
      <c r="X51" s="13">
        <f t="shared" si="2"/>
        <v>4.1585827603582932E-2</v>
      </c>
      <c r="Y51" s="13">
        <f t="shared" si="3"/>
        <v>2.5604668677170865E-2</v>
      </c>
    </row>
    <row r="52" spans="5:25" x14ac:dyDescent="0.35">
      <c r="E52" s="6">
        <f t="shared" si="9"/>
        <v>108</v>
      </c>
      <c r="F52" s="8">
        <v>711.17909999999995</v>
      </c>
      <c r="G52" s="7">
        <f t="shared" si="4"/>
        <v>0.71117909999999995</v>
      </c>
      <c r="H52" s="85">
        <f t="shared" si="10"/>
        <v>2.622101305262309E-6</v>
      </c>
      <c r="J52" s="6">
        <v>48</v>
      </c>
      <c r="K52" s="7">
        <v>2.75E-2</v>
      </c>
      <c r="L52" s="7">
        <v>3.7499999999999999E-2</v>
      </c>
      <c r="M52" s="7">
        <v>2.052E-2</v>
      </c>
      <c r="N52" s="9">
        <f t="shared" si="5"/>
        <v>2.7128667388252696E-2</v>
      </c>
      <c r="O52" s="7">
        <f t="shared" si="0"/>
        <v>3.6813973122716399E-2</v>
      </c>
      <c r="P52" s="7">
        <f t="shared" si="1"/>
        <v>2.0312301311878347E-2</v>
      </c>
      <c r="Q52" s="11">
        <f t="shared" si="11"/>
        <v>0.27193939918144983</v>
      </c>
      <c r="R52" s="12">
        <f t="shared" si="12"/>
        <v>0.17083267507059799</v>
      </c>
      <c r="S52" s="12">
        <f t="shared" si="13"/>
        <v>0.37719595087504182</v>
      </c>
      <c r="T52" s="11">
        <f t="shared" si="14"/>
        <v>0.9683510844534472</v>
      </c>
      <c r="U52" s="12">
        <f t="shared" si="6"/>
        <v>0.95906409619830502</v>
      </c>
      <c r="V52" s="12">
        <f t="shared" si="7"/>
        <v>0.97449175526180709</v>
      </c>
      <c r="W52" s="9">
        <f t="shared" si="8"/>
        <v>3.2160566910797161E-2</v>
      </c>
      <c r="X52" s="13">
        <f t="shared" si="2"/>
        <v>4.1797369837574906E-2</v>
      </c>
      <c r="Y52" s="13">
        <f t="shared" si="3"/>
        <v>2.5839220550755854E-2</v>
      </c>
    </row>
    <row r="53" spans="5:25" x14ac:dyDescent="0.35">
      <c r="E53" s="6">
        <f t="shared" si="9"/>
        <v>109</v>
      </c>
      <c r="F53" s="8">
        <v>740.86099999999999</v>
      </c>
      <c r="G53" s="7">
        <f t="shared" si="4"/>
        <v>0.74086099999999999</v>
      </c>
      <c r="H53" s="85">
        <f t="shared" si="10"/>
        <v>6.794887101443695E-7</v>
      </c>
      <c r="J53" s="6">
        <v>49</v>
      </c>
      <c r="K53" s="7">
        <v>2.76E-2</v>
      </c>
      <c r="L53" s="7">
        <v>3.7600000000000001E-2</v>
      </c>
      <c r="M53" s="7">
        <v>2.0629999999999999E-2</v>
      </c>
      <c r="N53" s="9">
        <f t="shared" si="5"/>
        <v>2.7225986253591527E-2</v>
      </c>
      <c r="O53" s="7">
        <f t="shared" si="0"/>
        <v>3.6910354020097152E-2</v>
      </c>
      <c r="P53" s="7">
        <f t="shared" si="1"/>
        <v>2.0420083689563794E-2</v>
      </c>
      <c r="Q53" s="11">
        <f t="shared" si="11"/>
        <v>0.26340215020802865</v>
      </c>
      <c r="R53" s="12">
        <f t="shared" si="12"/>
        <v>0.16388220900563749</v>
      </c>
      <c r="S53" s="12">
        <f t="shared" si="13"/>
        <v>0.36766462524291893</v>
      </c>
      <c r="T53" s="11">
        <f t="shared" si="14"/>
        <v>0.96860606076530764</v>
      </c>
      <c r="U53" s="12">
        <f t="shared" si="6"/>
        <v>0.95931418821318482</v>
      </c>
      <c r="V53" s="12">
        <f t="shared" si="7"/>
        <v>0.97473110299829158</v>
      </c>
      <c r="W53" s="9">
        <f t="shared" si="8"/>
        <v>3.1897291789855411E-2</v>
      </c>
      <c r="X53" s="13">
        <f t="shared" si="2"/>
        <v>4.1536637094373191E-2</v>
      </c>
      <c r="Y53" s="13">
        <f t="shared" si="3"/>
        <v>2.5593637818465232E-2</v>
      </c>
    </row>
    <row r="54" spans="5:25" x14ac:dyDescent="0.35">
      <c r="E54" s="6">
        <f t="shared" si="9"/>
        <v>110</v>
      </c>
      <c r="F54" s="8">
        <v>768.74483999999995</v>
      </c>
      <c r="G54" s="7">
        <f t="shared" si="4"/>
        <v>0.76874483999999998</v>
      </c>
      <c r="H54" s="85">
        <f t="shared" si="10"/>
        <v>1.5713527038262981E-7</v>
      </c>
      <c r="J54" s="6">
        <v>50</v>
      </c>
      <c r="K54" s="7">
        <v>2.7709999999999999E-2</v>
      </c>
      <c r="L54" s="7">
        <v>3.771E-2</v>
      </c>
      <c r="M54" s="7">
        <v>2.0740000000000001E-2</v>
      </c>
      <c r="N54" s="9">
        <f t="shared" si="5"/>
        <v>2.7333026067638905E-2</v>
      </c>
      <c r="O54" s="7">
        <f t="shared" si="0"/>
        <v>3.7016362279203352E-2</v>
      </c>
      <c r="P54" s="7">
        <f t="shared" si="1"/>
        <v>2.0527854451460482E-2</v>
      </c>
      <c r="Q54" s="55">
        <f t="shared" si="11"/>
        <v>0.2549593130089392</v>
      </c>
      <c r="R54" s="12">
        <f t="shared" si="12"/>
        <v>0.15710858099870181</v>
      </c>
      <c r="S54" s="12">
        <f t="shared" si="13"/>
        <v>0.35829710928244785</v>
      </c>
      <c r="T54" s="11">
        <f t="shared" si="14"/>
        <v>0.96794696933027502</v>
      </c>
      <c r="U54" s="12">
        <f t="shared" si="6"/>
        <v>0.95866770378532873</v>
      </c>
      <c r="V54" s="12">
        <f t="shared" si="7"/>
        <v>0.97452157396354933</v>
      </c>
      <c r="W54" s="9">
        <f t="shared" si="8"/>
        <v>3.2577976955960347E-2</v>
      </c>
      <c r="X54" s="13">
        <f t="shared" si="2"/>
        <v>4.2210766975407071E-2</v>
      </c>
      <c r="Y54" s="13">
        <f t="shared" si="3"/>
        <v>2.5808621784398095E-2</v>
      </c>
    </row>
    <row r="55" spans="5:25" x14ac:dyDescent="0.35">
      <c r="E55" s="6">
        <f t="shared" si="9"/>
        <v>111</v>
      </c>
      <c r="F55" s="8">
        <v>794.66567999999995</v>
      </c>
      <c r="G55" s="7">
        <f t="shared" si="4"/>
        <v>0.79466567999999993</v>
      </c>
      <c r="H55" s="85">
        <f t="shared" si="10"/>
        <v>3.2265263892033445E-8</v>
      </c>
      <c r="N55" s="1"/>
      <c r="O55" s="1"/>
      <c r="P55" s="1"/>
    </row>
    <row r="56" spans="5:25" x14ac:dyDescent="0.35">
      <c r="E56" s="6">
        <f t="shared" si="9"/>
        <v>112</v>
      </c>
      <c r="F56" s="8">
        <v>818.50801000000001</v>
      </c>
      <c r="G56" s="7">
        <f t="shared" si="4"/>
        <v>0.81850801000000006</v>
      </c>
      <c r="H56" s="85">
        <f t="shared" si="10"/>
        <v>5.8558869516402934E-9</v>
      </c>
      <c r="N56" s="1"/>
      <c r="O56" s="1"/>
      <c r="P56" s="1"/>
    </row>
    <row r="57" spans="5:25" x14ac:dyDescent="0.35">
      <c r="E57" s="6">
        <f t="shared" si="9"/>
        <v>113</v>
      </c>
      <c r="F57" s="8">
        <v>840.19901000000004</v>
      </c>
      <c r="G57" s="7">
        <f t="shared" si="4"/>
        <v>0.84019901000000008</v>
      </c>
      <c r="H57" s="85">
        <f t="shared" si="10"/>
        <v>9.3577653220020044E-10</v>
      </c>
    </row>
    <row r="58" spans="5:25" x14ac:dyDescent="0.35">
      <c r="E58" s="6">
        <f t="shared" si="9"/>
        <v>114</v>
      </c>
      <c r="F58" s="8">
        <v>859.71164999999996</v>
      </c>
      <c r="G58" s="7">
        <f t="shared" si="4"/>
        <v>0.85971164999999994</v>
      </c>
      <c r="H58" s="85">
        <f t="shared" si="10"/>
        <v>1.3127854567108806E-10</v>
      </c>
    </row>
    <row r="59" spans="5:25" x14ac:dyDescent="0.35">
      <c r="E59" s="6">
        <f t="shared" si="9"/>
        <v>115</v>
      </c>
      <c r="F59" s="8">
        <v>877.05601999999999</v>
      </c>
      <c r="G59" s="7">
        <f t="shared" si="4"/>
        <v>0.87705601999999994</v>
      </c>
      <c r="H59" s="85">
        <f t="shared" si="10"/>
        <v>1.6139906893415345E-11</v>
      </c>
    </row>
    <row r="60" spans="5:25" x14ac:dyDescent="0.35">
      <c r="E60" s="6">
        <f t="shared" si="9"/>
        <v>116</v>
      </c>
      <c r="F60" s="8">
        <v>892.27828999999997</v>
      </c>
      <c r="G60" s="7">
        <f t="shared" si="4"/>
        <v>0.89227828999999992</v>
      </c>
      <c r="H60" s="85">
        <f t="shared" si="10"/>
        <v>1.73861836979949E-12</v>
      </c>
    </row>
    <row r="61" spans="5:25" x14ac:dyDescent="0.35">
      <c r="E61" s="6">
        <f t="shared" si="9"/>
        <v>117</v>
      </c>
      <c r="F61" s="8">
        <v>905.45023000000003</v>
      </c>
      <c r="G61" s="7">
        <f t="shared" si="4"/>
        <v>0.90545023000000002</v>
      </c>
      <c r="H61" s="85">
        <f t="shared" si="10"/>
        <v>1.6438596698231669E-13</v>
      </c>
    </row>
    <row r="62" spans="5:25" x14ac:dyDescent="0.35">
      <c r="E62" s="6">
        <f t="shared" si="9"/>
        <v>118</v>
      </c>
      <c r="F62" s="8">
        <v>916.66747999999995</v>
      </c>
      <c r="G62" s="7">
        <f t="shared" si="4"/>
        <v>0.91666747999999998</v>
      </c>
      <c r="H62" s="85">
        <f t="shared" si="10"/>
        <v>1.3698696881273249E-14</v>
      </c>
    </row>
    <row r="63" spans="5:25" x14ac:dyDescent="0.35">
      <c r="E63" s="6">
        <f t="shared" si="9"/>
        <v>119</v>
      </c>
      <c r="F63" s="8">
        <v>926.04048</v>
      </c>
      <c r="G63" s="7">
        <f t="shared" si="4"/>
        <v>0.92604048000000005</v>
      </c>
      <c r="H63" s="85">
        <f t="shared" si="10"/>
        <v>1.0131490459644658E-15</v>
      </c>
    </row>
  </sheetData>
  <mergeCells count="8">
    <mergeCell ref="B19:C20"/>
    <mergeCell ref="W2:Y2"/>
    <mergeCell ref="B2:C2"/>
    <mergeCell ref="E2:H2"/>
    <mergeCell ref="J2:M2"/>
    <mergeCell ref="Q2:S2"/>
    <mergeCell ref="N2:P2"/>
    <mergeCell ref="T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4A2D-E19B-499B-BC40-E80DC7B85324}">
  <sheetPr>
    <tabColor rgb="FF92D050"/>
  </sheetPr>
  <dimension ref="A2:U39"/>
  <sheetViews>
    <sheetView showGridLines="0" zoomScaleNormal="100" workbookViewId="0"/>
  </sheetViews>
  <sheetFormatPr defaultColWidth="0" defaultRowHeight="14.5" x14ac:dyDescent="0.35"/>
  <cols>
    <col min="1" max="1" width="2.1796875" customWidth="1"/>
    <col min="2" max="3" width="8.7265625" customWidth="1"/>
    <col min="4" max="4" width="8.453125" bestFit="1" customWidth="1"/>
    <col min="5" max="5" width="9" bestFit="1" customWidth="1"/>
    <col min="6" max="6" width="2.81640625" customWidth="1"/>
    <col min="7" max="7" width="8.453125" bestFit="1" customWidth="1"/>
    <col min="8" max="8" width="7.90625" bestFit="1" customWidth="1"/>
    <col min="9" max="9" width="5.7265625" bestFit="1" customWidth="1"/>
    <col min="10" max="10" width="8.453125" bestFit="1" customWidth="1"/>
    <col min="11" max="11" width="4.81640625" bestFit="1" customWidth="1"/>
    <col min="12" max="12" width="5.1796875" customWidth="1"/>
    <col min="13" max="13" width="8.7265625" customWidth="1"/>
    <col min="14" max="14" width="9" bestFit="1" customWidth="1"/>
    <col min="15" max="20" width="8.7265625" customWidth="1"/>
    <col min="21" max="21" width="3" customWidth="1"/>
    <col min="22" max="16384" width="8.7265625" hidden="1"/>
  </cols>
  <sheetData>
    <row r="2" spans="2:15" x14ac:dyDescent="0.35">
      <c r="G2" s="96" t="s">
        <v>73</v>
      </c>
      <c r="H2" s="96"/>
      <c r="I2" s="96"/>
      <c r="J2" s="96"/>
      <c r="M2" s="33"/>
      <c r="N2" s="33"/>
      <c r="O2" s="32"/>
    </row>
    <row r="3" spans="2:15" x14ac:dyDescent="0.35">
      <c r="B3" s="96" t="s">
        <v>51</v>
      </c>
      <c r="C3" s="96"/>
      <c r="D3" s="2" t="s">
        <v>52</v>
      </c>
      <c r="E3" s="36">
        <f>+MAX(Rates_Up!R5,Rates_Down!R5)</f>
        <v>362.36418511481315</v>
      </c>
      <c r="G3" s="2"/>
      <c r="H3" s="39" t="s">
        <v>52</v>
      </c>
      <c r="I3" s="2" t="s">
        <v>13</v>
      </c>
      <c r="J3" s="2" t="s">
        <v>12</v>
      </c>
      <c r="M3" s="33"/>
      <c r="N3" s="33"/>
      <c r="O3" s="32"/>
    </row>
    <row r="4" spans="2:15" x14ac:dyDescent="0.35">
      <c r="B4" s="96"/>
      <c r="C4" s="96"/>
      <c r="D4" s="2" t="s">
        <v>13</v>
      </c>
      <c r="E4" s="36">
        <f>+Equity_Shock!R5</f>
        <v>3719.9299220280955</v>
      </c>
      <c r="G4" s="38" t="s">
        <v>52</v>
      </c>
      <c r="H4" s="37">
        <v>1</v>
      </c>
      <c r="I4" s="38">
        <f>+IF(Rates_Up!$R$5 &gt;Rates_Down!$R$5,0,0.5)</f>
        <v>0.5</v>
      </c>
      <c r="J4" s="38">
        <f>+IF(Rates_Up!$R$5 &gt;Rates_Down!$R$5,0,0.5)</f>
        <v>0.5</v>
      </c>
      <c r="M4" s="33"/>
      <c r="N4" s="33"/>
      <c r="O4" s="32"/>
    </row>
    <row r="5" spans="2:15" x14ac:dyDescent="0.35">
      <c r="B5" s="96"/>
      <c r="C5" s="96"/>
      <c r="D5" s="2" t="s">
        <v>12</v>
      </c>
      <c r="E5" s="36">
        <f>+'Property_Shock '!R5</f>
        <v>406.52873917744728</v>
      </c>
      <c r="G5" s="2" t="s">
        <v>13</v>
      </c>
      <c r="H5" s="39">
        <f>+IF(Rates_Up!$R$5 &gt;Rates_Down!$R$5,0,0.5)</f>
        <v>0.5</v>
      </c>
      <c r="I5" s="2">
        <v>1</v>
      </c>
      <c r="J5" s="2">
        <v>0.75</v>
      </c>
      <c r="M5" s="33"/>
      <c r="N5" s="33"/>
      <c r="O5" s="32"/>
    </row>
    <row r="6" spans="2:15" x14ac:dyDescent="0.35">
      <c r="G6" s="2" t="s">
        <v>12</v>
      </c>
      <c r="H6" s="39">
        <f>+IF(Rates_Up!$R$5 &gt;Rates_Down!$R$5,0,0.5)</f>
        <v>0.5</v>
      </c>
      <c r="I6" s="2">
        <v>0.75</v>
      </c>
      <c r="J6" s="2">
        <v>1</v>
      </c>
      <c r="M6" s="33"/>
      <c r="N6" s="33"/>
      <c r="O6" s="32"/>
    </row>
    <row r="8" spans="2:15" x14ac:dyDescent="0.35">
      <c r="B8" s="33"/>
      <c r="C8" s="33"/>
      <c r="G8" s="97" t="s">
        <v>55</v>
      </c>
      <c r="H8" s="97"/>
      <c r="I8" s="97"/>
      <c r="J8" s="97"/>
      <c r="K8" s="97"/>
    </row>
    <row r="9" spans="2:15" x14ac:dyDescent="0.35">
      <c r="B9" s="97" t="s">
        <v>69</v>
      </c>
      <c r="C9" s="97"/>
      <c r="D9" s="34" t="s">
        <v>53</v>
      </c>
      <c r="E9" s="35">
        <f>+'Mortality_Shock '!R5</f>
        <v>30.615173293743283</v>
      </c>
      <c r="G9" s="34"/>
      <c r="H9" s="40" t="s">
        <v>53</v>
      </c>
      <c r="I9" s="34" t="s">
        <v>8</v>
      </c>
      <c r="J9" s="34" t="s">
        <v>18</v>
      </c>
      <c r="K9" s="34" t="s">
        <v>54</v>
      </c>
      <c r="M9" s="33"/>
      <c r="N9" s="33"/>
      <c r="O9" s="32"/>
    </row>
    <row r="10" spans="2:15" x14ac:dyDescent="0.35">
      <c r="B10" s="97"/>
      <c r="C10" s="97"/>
      <c r="D10" s="34" t="s">
        <v>8</v>
      </c>
      <c r="E10" s="35">
        <f>+MAX(Lapse_Up!R5,Lapse_Down!R5,Lapse_Mass!R5)</f>
        <v>1615.5617859531048</v>
      </c>
      <c r="G10" s="41" t="s">
        <v>53</v>
      </c>
      <c r="H10" s="42">
        <v>1</v>
      </c>
      <c r="I10" s="43">
        <v>0</v>
      </c>
      <c r="J10" s="43">
        <v>0.25</v>
      </c>
      <c r="K10" s="43">
        <v>0.25</v>
      </c>
      <c r="M10" s="33"/>
      <c r="N10" s="33"/>
      <c r="O10" s="32"/>
    </row>
    <row r="11" spans="2:15" x14ac:dyDescent="0.35">
      <c r="B11" s="97"/>
      <c r="C11" s="97"/>
      <c r="D11" s="34" t="s">
        <v>18</v>
      </c>
      <c r="E11" s="35">
        <f>+Expanses!R5</f>
        <v>45.586205692146905</v>
      </c>
      <c r="G11" s="34" t="s">
        <v>8</v>
      </c>
      <c r="H11" s="44">
        <v>0</v>
      </c>
      <c r="I11" s="34">
        <v>1</v>
      </c>
      <c r="J11" s="34">
        <v>0.5</v>
      </c>
      <c r="K11" s="34">
        <v>0.25</v>
      </c>
      <c r="M11" s="33"/>
      <c r="N11" s="33"/>
      <c r="O11" s="32"/>
    </row>
    <row r="12" spans="2:15" x14ac:dyDescent="0.35">
      <c r="B12" s="97"/>
      <c r="C12" s="97"/>
      <c r="D12" s="34" t="s">
        <v>54</v>
      </c>
      <c r="E12" s="35">
        <f>+CAT!R5</f>
        <v>5.2121085712860804</v>
      </c>
      <c r="G12" s="34" t="s">
        <v>18</v>
      </c>
      <c r="H12" s="44">
        <v>0.25</v>
      </c>
      <c r="I12" s="34">
        <v>0.5</v>
      </c>
      <c r="J12" s="34">
        <v>1</v>
      </c>
      <c r="K12" s="34">
        <v>0.25</v>
      </c>
      <c r="M12" s="33"/>
      <c r="N12" s="33"/>
      <c r="O12" s="32"/>
    </row>
    <row r="13" spans="2:15" x14ac:dyDescent="0.35">
      <c r="G13" s="34" t="s">
        <v>54</v>
      </c>
      <c r="H13" s="44">
        <v>0.25</v>
      </c>
      <c r="I13" s="34">
        <v>0.25</v>
      </c>
      <c r="J13" s="34">
        <v>0.25</v>
      </c>
      <c r="K13" s="34">
        <v>1</v>
      </c>
      <c r="M13" s="33"/>
      <c r="N13" s="33"/>
      <c r="O13" s="32"/>
    </row>
    <row r="17" spans="2:9" x14ac:dyDescent="0.35">
      <c r="B17" s="95" t="s">
        <v>44</v>
      </c>
      <c r="C17" s="95"/>
      <c r="D17" s="51" t="s">
        <v>56</v>
      </c>
      <c r="E17" s="52" cm="1">
        <f t="array" ref="E17">+(MMULT(MMULT(TRANSPOSE(E3:E5),H4:J6),E3:E5)) ^ 0.5</f>
        <v>4230.6170359599555</v>
      </c>
    </row>
    <row r="18" spans="2:9" x14ac:dyDescent="0.35">
      <c r="B18" s="95"/>
      <c r="C18" s="95"/>
      <c r="D18" s="51" t="s">
        <v>57</v>
      </c>
      <c r="E18" s="52" cm="1">
        <f t="array" ref="E18">+(MMULT(MMULT(TRANSPOSE(E9:E12),H10:K13),E9:E12)) ^ 0.5</f>
        <v>1640.681692046207</v>
      </c>
    </row>
    <row r="22" spans="2:9" x14ac:dyDescent="0.35">
      <c r="B22" s="91" t="s">
        <v>59</v>
      </c>
      <c r="C22" s="91"/>
      <c r="D22" s="94" cm="1">
        <f t="array" ref="D22">+(MMULT(MMULT(TRANSPOSE(E17:E18),H24:I25),E17:E18)) ^ 0.5</f>
        <v>4905.1508517118364</v>
      </c>
      <c r="E22" s="94"/>
      <c r="G22" s="45" t="s">
        <v>58</v>
      </c>
      <c r="H22" s="45"/>
      <c r="I22" s="45"/>
    </row>
    <row r="23" spans="2:9" x14ac:dyDescent="0.35">
      <c r="B23" s="91"/>
      <c r="C23" s="91"/>
      <c r="D23" s="94"/>
      <c r="E23" s="94"/>
      <c r="G23" s="23"/>
      <c r="H23" s="49" t="s">
        <v>56</v>
      </c>
      <c r="I23" s="23" t="s">
        <v>57</v>
      </c>
    </row>
    <row r="24" spans="2:9" x14ac:dyDescent="0.35">
      <c r="B24" s="91"/>
      <c r="C24" s="91"/>
      <c r="D24" s="94"/>
      <c r="E24" s="94"/>
      <c r="G24" s="50" t="s">
        <v>56</v>
      </c>
      <c r="H24" s="47">
        <v>1</v>
      </c>
      <c r="I24" s="46">
        <v>0.25</v>
      </c>
    </row>
    <row r="25" spans="2:9" x14ac:dyDescent="0.35">
      <c r="B25" s="91"/>
      <c r="C25" s="91"/>
      <c r="D25" s="94"/>
      <c r="E25" s="94"/>
      <c r="G25" s="23" t="s">
        <v>57</v>
      </c>
      <c r="H25" s="48">
        <v>0.25</v>
      </c>
      <c r="I25" s="23">
        <v>1</v>
      </c>
    </row>
    <row r="29" spans="2:9" x14ac:dyDescent="0.35">
      <c r="D29" s="54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</sheetData>
  <mergeCells count="7">
    <mergeCell ref="D22:E25"/>
    <mergeCell ref="B22:C25"/>
    <mergeCell ref="B17:C18"/>
    <mergeCell ref="G2:J2"/>
    <mergeCell ref="G8:K8"/>
    <mergeCell ref="B3:C5"/>
    <mergeCell ref="B9:C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22F2-D109-41D1-A70F-CD45A0A3B38B}">
  <sheetPr>
    <tabColor rgb="FFFF0000"/>
  </sheetPr>
  <dimension ref="A1:V60"/>
  <sheetViews>
    <sheetView showGridLines="0" tabSelected="1" zoomScale="70" zoomScaleNormal="70" workbookViewId="0"/>
  </sheetViews>
  <sheetFormatPr defaultColWidth="0" defaultRowHeight="14.5" x14ac:dyDescent="0.35"/>
  <cols>
    <col min="1" max="1" width="4" customWidth="1"/>
    <col min="2" max="7" width="18.6328125" customWidth="1"/>
    <col min="8" max="8" width="4" customWidth="1"/>
    <col min="9" max="9" width="10.1796875" bestFit="1" customWidth="1"/>
    <col min="10" max="21" width="8.7265625" customWidth="1"/>
    <col min="22" max="22" width="3" customWidth="1"/>
    <col min="23" max="16384" width="8.7265625" hidden="1"/>
  </cols>
  <sheetData>
    <row r="1" spans="2:7" ht="15" thickBot="1" x14ac:dyDescent="0.4"/>
    <row r="2" spans="2:7" x14ac:dyDescent="0.35">
      <c r="B2" s="102" t="s">
        <v>38</v>
      </c>
      <c r="C2" s="103"/>
      <c r="D2" s="103"/>
      <c r="E2" s="103"/>
      <c r="F2" s="103"/>
      <c r="G2" s="104"/>
    </row>
    <row r="3" spans="2:7" x14ac:dyDescent="0.35">
      <c r="B3" s="69"/>
      <c r="C3" s="63" t="s">
        <v>60</v>
      </c>
      <c r="D3" s="67" t="s">
        <v>61</v>
      </c>
      <c r="E3" s="67" t="s">
        <v>62</v>
      </c>
      <c r="F3" s="67" t="s">
        <v>65</v>
      </c>
      <c r="G3" s="70" t="s">
        <v>42</v>
      </c>
    </row>
    <row r="4" spans="2:7" x14ac:dyDescent="0.35">
      <c r="B4" s="71" t="s">
        <v>63</v>
      </c>
      <c r="C4" s="64">
        <f>+Rates_Basic!G2</f>
        <v>100000</v>
      </c>
      <c r="D4" s="65">
        <f>+Rates_Basic!R3</f>
        <v>95796.037757972881</v>
      </c>
      <c r="E4" s="65">
        <f>+Rates_Basic!R4</f>
        <v>4203.9622420271189</v>
      </c>
      <c r="F4" s="65">
        <f>+Rates_Basic!R5</f>
        <v>0</v>
      </c>
      <c r="G4" s="80">
        <f>+Rates_Basic!R6</f>
        <v>5.6135512817251243</v>
      </c>
    </row>
    <row r="5" spans="2:7" x14ac:dyDescent="0.35">
      <c r="B5" s="69" t="s">
        <v>22</v>
      </c>
      <c r="C5" s="66">
        <f>+Rates_Up!G2</f>
        <v>100000</v>
      </c>
      <c r="D5" s="68">
        <f>+Rates_Up!R3</f>
        <v>95777.036373819457</v>
      </c>
      <c r="E5" s="68">
        <f>+Rates_Up!R4</f>
        <v>4222.9636261805426</v>
      </c>
      <c r="F5" s="68">
        <f>+Rates_Up!R5</f>
        <v>0</v>
      </c>
      <c r="G5" s="81">
        <f>+Rates_Up!R6</f>
        <v>5.6129510428660039</v>
      </c>
    </row>
    <row r="6" spans="2:7" x14ac:dyDescent="0.35">
      <c r="B6" s="69" t="s">
        <v>20</v>
      </c>
      <c r="C6" s="66">
        <f>+Rates_Down!G2</f>
        <v>100000</v>
      </c>
      <c r="D6" s="68">
        <f>+Rates_Down!R3</f>
        <v>96158.401943087694</v>
      </c>
      <c r="E6" s="68">
        <f>+Rates_Down!R4</f>
        <v>3841.5980569123058</v>
      </c>
      <c r="F6" s="68">
        <f>+Rates_Down!R5</f>
        <v>362.36418511481315</v>
      </c>
      <c r="G6" s="81">
        <f>+Rates_Down!R6</f>
        <v>5.64023576424675</v>
      </c>
    </row>
    <row r="7" spans="2:7" x14ac:dyDescent="0.35">
      <c r="B7" s="69" t="s">
        <v>13</v>
      </c>
      <c r="C7" s="66">
        <f>+Equity_Shock!G2</f>
        <v>64600</v>
      </c>
      <c r="D7" s="68">
        <f>+Equity_Shock!R3</f>
        <v>64115.967680000977</v>
      </c>
      <c r="E7" s="68">
        <f>+Equity_Shock!R4</f>
        <v>484.03231999902346</v>
      </c>
      <c r="F7" s="68">
        <f>+Equity_Shock!R5</f>
        <v>3719.9299220280955</v>
      </c>
      <c r="G7" s="81">
        <f>+Equity_Shock!R6</f>
        <v>5.716564960999734</v>
      </c>
    </row>
    <row r="8" spans="2:7" x14ac:dyDescent="0.35">
      <c r="B8" s="69" t="s">
        <v>12</v>
      </c>
      <c r="C8" s="66">
        <f>+'Property_Shock '!G2</f>
        <v>95000</v>
      </c>
      <c r="D8" s="68">
        <f>+'Property_Shock '!R3</f>
        <v>91202.566497150328</v>
      </c>
      <c r="E8" s="68">
        <f>+'Property_Shock '!R4</f>
        <v>3797.4335028496716</v>
      </c>
      <c r="F8" s="68">
        <f>+'Property_Shock '!R5</f>
        <v>406.52873917744728</v>
      </c>
      <c r="G8" s="81">
        <f>+'Property_Shock '!R6</f>
        <v>5.6155706157253391</v>
      </c>
    </row>
    <row r="9" spans="2:7" x14ac:dyDescent="0.35">
      <c r="B9" s="69" t="s">
        <v>53</v>
      </c>
      <c r="C9" s="66">
        <f>+'Mortality_Shock '!G2</f>
        <v>100000</v>
      </c>
      <c r="D9" s="68">
        <f>+'Mortality_Shock '!R3</f>
        <v>95826.652931266624</v>
      </c>
      <c r="E9" s="68">
        <f>+'Mortality_Shock '!R4</f>
        <v>4173.3470687333756</v>
      </c>
      <c r="F9" s="68">
        <f>+'Mortality_Shock '!R5</f>
        <v>30.615173293743283</v>
      </c>
      <c r="G9" s="81">
        <f>+'Mortality_Shock '!R6</f>
        <v>5.5728380330922249</v>
      </c>
    </row>
    <row r="10" spans="2:7" x14ac:dyDescent="0.35">
      <c r="B10" s="69" t="s">
        <v>48</v>
      </c>
      <c r="C10" s="66">
        <f>+Lapse_Up!G2</f>
        <v>100000</v>
      </c>
      <c r="D10" s="68">
        <f>+Lapse_Up!R3</f>
        <v>96976.910912852341</v>
      </c>
      <c r="E10" s="68">
        <f>+Lapse_Up!R4</f>
        <v>3023.0890871476586</v>
      </c>
      <c r="F10" s="68">
        <f>+Lapse_Up!R5</f>
        <v>1180.8731548794603</v>
      </c>
      <c r="G10" s="81">
        <f>+Lapse_Up!R6</f>
        <v>4.0159881541028293</v>
      </c>
    </row>
    <row r="11" spans="2:7" x14ac:dyDescent="0.35">
      <c r="B11" s="69" t="s">
        <v>49</v>
      </c>
      <c r="C11" s="66">
        <f>+Lapse_Down!G2</f>
        <v>100000</v>
      </c>
      <c r="D11" s="68">
        <f>+Lapse_Down!R3</f>
        <v>93315.722672733231</v>
      </c>
      <c r="E11" s="68">
        <f>+Lapse_Down!R4</f>
        <v>6684.2773272667691</v>
      </c>
      <c r="F11" s="68">
        <f>+Lapse_Down!R5</f>
        <v>0</v>
      </c>
      <c r="G11" s="81">
        <f>+Lapse_Down!R6</f>
        <v>9.0348499053145943</v>
      </c>
    </row>
    <row r="12" spans="2:7" x14ac:dyDescent="0.35">
      <c r="B12" s="69" t="s">
        <v>50</v>
      </c>
      <c r="C12" s="66">
        <f>+Lapse_Mass!G2</f>
        <v>100000</v>
      </c>
      <c r="D12" s="68">
        <f>+Lapse_Mass!R3</f>
        <v>97411.599543925986</v>
      </c>
      <c r="E12" s="68">
        <f>+Lapse_Mass!R4</f>
        <v>2588.4004560740141</v>
      </c>
      <c r="F12" s="68">
        <f>+Lapse_Mass!R5</f>
        <v>1615.5617859531048</v>
      </c>
      <c r="G12" s="81">
        <f>+Lapse_Mass!R6</f>
        <v>3.4019602289577402</v>
      </c>
    </row>
    <row r="13" spans="2:7" x14ac:dyDescent="0.35">
      <c r="B13" s="69" t="s">
        <v>54</v>
      </c>
      <c r="C13" s="66">
        <f>+CAT!G2</f>
        <v>100000</v>
      </c>
      <c r="D13" s="68">
        <f>+CAT!R3</f>
        <v>95801.249866544167</v>
      </c>
      <c r="E13" s="68">
        <f>+CAT!R4</f>
        <v>4198.7501334558328</v>
      </c>
      <c r="F13" s="68">
        <f>+CAT!R5</f>
        <v>5.2121085712860804</v>
      </c>
      <c r="G13" s="81">
        <f>+CAT!R6</f>
        <v>5.6063352803375102</v>
      </c>
    </row>
    <row r="14" spans="2:7" ht="15" thickBot="1" x14ac:dyDescent="0.4">
      <c r="B14" s="72" t="s">
        <v>64</v>
      </c>
      <c r="C14" s="73">
        <f>+Expanses!G2</f>
        <v>100000</v>
      </c>
      <c r="D14" s="74">
        <f>+Expanses!R3</f>
        <v>95841.623963665028</v>
      </c>
      <c r="E14" s="74">
        <f>+Expanses!R4</f>
        <v>4158.376036334972</v>
      </c>
      <c r="F14" s="74">
        <f>+Expanses!R5</f>
        <v>45.586205692146905</v>
      </c>
      <c r="G14" s="82">
        <f>+Expanses!R6</f>
        <v>5.6145416088453928</v>
      </c>
    </row>
    <row r="16" spans="2:7" ht="15" thickBot="1" x14ac:dyDescent="0.4"/>
    <row r="17" spans="2:7" x14ac:dyDescent="0.35">
      <c r="B17" s="102" t="s">
        <v>45</v>
      </c>
      <c r="C17" s="103"/>
      <c r="D17" s="103"/>
      <c r="E17" s="103"/>
      <c r="F17" s="103"/>
      <c r="G17" s="104"/>
    </row>
    <row r="18" spans="2:7" x14ac:dyDescent="0.35">
      <c r="B18" s="83"/>
      <c r="C18" s="84"/>
      <c r="D18" s="63" t="s">
        <v>8</v>
      </c>
      <c r="E18" s="67" t="s">
        <v>17</v>
      </c>
      <c r="F18" s="67" t="s">
        <v>66</v>
      </c>
      <c r="G18" s="70" t="s">
        <v>67</v>
      </c>
    </row>
    <row r="19" spans="2:7" x14ac:dyDescent="0.35">
      <c r="B19" s="98" t="s">
        <v>63</v>
      </c>
      <c r="C19" s="99"/>
      <c r="D19" s="64">
        <f>+Rates_Basic!R10</f>
        <v>81227.100451071048</v>
      </c>
      <c r="E19" s="65">
        <f>+Rates_Basic!R11</f>
        <v>6428.6259520095427</v>
      </c>
      <c r="F19" s="65">
        <f>+Rates_Basic!R12</f>
        <v>295.02770890188486</v>
      </c>
      <c r="G19" s="75">
        <f>+Rates_Basic!R13</f>
        <v>7845.2836459903638</v>
      </c>
    </row>
    <row r="20" spans="2:7" x14ac:dyDescent="0.35">
      <c r="B20" s="98" t="s">
        <v>22</v>
      </c>
      <c r="C20" s="99"/>
      <c r="D20" s="66">
        <f>+Rates_Up!R10</f>
        <v>81228.124375782674</v>
      </c>
      <c r="E20" s="68">
        <f>+Rates_Up!R11</f>
        <v>6428.6259520095418</v>
      </c>
      <c r="F20" s="68">
        <f>+Rates_Up!R12</f>
        <v>275.00240003687668</v>
      </c>
      <c r="G20" s="76">
        <f>+Rates_Up!R13</f>
        <v>7845.2836459903629</v>
      </c>
    </row>
    <row r="21" spans="2:7" x14ac:dyDescent="0.35">
      <c r="B21" s="98" t="s">
        <v>20</v>
      </c>
      <c r="C21" s="99"/>
      <c r="D21" s="66">
        <f>+Rates_Down!R10</f>
        <v>81226.192601499526</v>
      </c>
      <c r="E21" s="68">
        <f>+Rates_Down!R11</f>
        <v>6774.2895950654083</v>
      </c>
      <c r="F21" s="68">
        <f>+Rates_Down!R12</f>
        <v>312.63610053237272</v>
      </c>
      <c r="G21" s="76">
        <f>+Rates_Down!R13</f>
        <v>7845.2836459903638</v>
      </c>
    </row>
    <row r="22" spans="2:7" x14ac:dyDescent="0.35">
      <c r="B22" s="98" t="s">
        <v>13</v>
      </c>
      <c r="C22" s="99"/>
      <c r="D22" s="66">
        <f>+Equity_Shock!R10</f>
        <v>52467.05325486623</v>
      </c>
      <c r="E22" s="68">
        <f>+Equity_Shock!R11</f>
        <v>6285.8334809230773</v>
      </c>
      <c r="F22" s="68">
        <f>+Equity_Shock!R12</f>
        <v>295.02770890188486</v>
      </c>
      <c r="G22" s="76">
        <f>+Equity_Shock!R13</f>
        <v>5068.0532353097733</v>
      </c>
    </row>
    <row r="23" spans="2:7" x14ac:dyDescent="0.35">
      <c r="B23" s="98" t="s">
        <v>12</v>
      </c>
      <c r="C23" s="99"/>
      <c r="D23" s="66">
        <f>+'Property_Shock '!R10</f>
        <v>77164.94689228505</v>
      </c>
      <c r="E23" s="68">
        <f>+'Property_Shock '!R11</f>
        <v>6289.5724322725591</v>
      </c>
      <c r="F23" s="68">
        <f>+'Property_Shock '!R12</f>
        <v>295.02770890188486</v>
      </c>
      <c r="G23" s="76">
        <f>+'Property_Shock '!R13</f>
        <v>7453.0194636908445</v>
      </c>
    </row>
    <row r="24" spans="2:7" x14ac:dyDescent="0.35">
      <c r="B24" s="98" t="s">
        <v>53</v>
      </c>
      <c r="C24" s="99"/>
      <c r="D24" s="66">
        <f>+'Mortality_Shock '!R10</f>
        <v>80499.870262966491</v>
      </c>
      <c r="E24" s="68">
        <f>+'Mortality_Shock '!R11</f>
        <v>7246.6768298811658</v>
      </c>
      <c r="F24" s="68">
        <f>+'Mortality_Shock '!R12</f>
        <v>292.52702560184611</v>
      </c>
      <c r="G24" s="76">
        <f>+'Mortality_Shock '!R13</f>
        <v>7787.5788128170598</v>
      </c>
    </row>
    <row r="25" spans="2:7" x14ac:dyDescent="0.35">
      <c r="B25" s="98" t="s">
        <v>48</v>
      </c>
      <c r="C25" s="99"/>
      <c r="D25" s="66">
        <f>+Lapse_Up!R10</f>
        <v>87486.706767610958</v>
      </c>
      <c r="E25" s="68">
        <f>+Lapse_Up!R11</f>
        <v>3665.2089407307176</v>
      </c>
      <c r="F25" s="68">
        <f>+Lapse_Up!R12</f>
        <v>205.36090171300387</v>
      </c>
      <c r="G25" s="76">
        <f>+Lapse_Up!R13</f>
        <v>5619.6343027976</v>
      </c>
    </row>
    <row r="26" spans="2:7" x14ac:dyDescent="0.35">
      <c r="B26" s="98" t="s">
        <v>49</v>
      </c>
      <c r="C26" s="99"/>
      <c r="D26" s="66">
        <f>+Lapse_Down!R10</f>
        <v>64525.803690137189</v>
      </c>
      <c r="E26" s="68">
        <f>+Lapse_Down!R11</f>
        <v>15750.1208109377</v>
      </c>
      <c r="F26" s="68">
        <f>+Lapse_Down!R12</f>
        <v>496.15969074908526</v>
      </c>
      <c r="G26" s="76">
        <f>+Lapse_Down!R13</f>
        <v>12543.638480909294</v>
      </c>
    </row>
    <row r="27" spans="2:7" x14ac:dyDescent="0.35">
      <c r="B27" s="98" t="s">
        <v>50</v>
      </c>
      <c r="C27" s="99"/>
      <c r="D27" s="66">
        <f>+Lapse_Mass!R10</f>
        <v>88719.404343306102</v>
      </c>
      <c r="E27" s="68">
        <f>+Lapse_Mass!R11</f>
        <v>3701.064415063875</v>
      </c>
      <c r="F27" s="68">
        <f>+Lapse_Mass!R12</f>
        <v>178.92179650233578</v>
      </c>
      <c r="G27" s="76">
        <f>+Lapse_Mass!R13</f>
        <v>4812.2089890537236</v>
      </c>
    </row>
    <row r="28" spans="2:7" x14ac:dyDescent="0.35">
      <c r="B28" s="98" t="s">
        <v>54</v>
      </c>
      <c r="C28" s="99"/>
      <c r="D28" s="66">
        <f>+CAT!R10</f>
        <v>81104.466620722174</v>
      </c>
      <c r="E28" s="68">
        <f>+CAT!R11+CAT!R11</f>
        <v>13133.150502430761</v>
      </c>
      <c r="F28" s="68">
        <f>+CAT!R12</f>
        <v>294.65521204486453</v>
      </c>
      <c r="G28" s="76">
        <f>+CAT!R13</f>
        <v>7835.552782561731</v>
      </c>
    </row>
    <row r="29" spans="2:7" ht="15" thickBot="1" x14ac:dyDescent="0.4">
      <c r="B29" s="100" t="s">
        <v>64</v>
      </c>
      <c r="C29" s="101"/>
      <c r="D29" s="73">
        <f>+Expanses!R10</f>
        <v>81227.100451071048</v>
      </c>
      <c r="E29" s="74">
        <f>+Expanses!R11</f>
        <v>6428.6259520095427</v>
      </c>
      <c r="F29" s="74">
        <f>+Expanses!R12</f>
        <v>340.61391459402245</v>
      </c>
      <c r="G29" s="77">
        <f>+Expanses!R13</f>
        <v>7845.2836459903638</v>
      </c>
    </row>
    <row r="35" spans="2:3" ht="15" thickBot="1" x14ac:dyDescent="0.4"/>
    <row r="36" spans="2:3" x14ac:dyDescent="0.35">
      <c r="B36" s="105" t="s">
        <v>68</v>
      </c>
      <c r="C36" s="106"/>
    </row>
    <row r="37" spans="2:3" x14ac:dyDescent="0.35">
      <c r="B37" s="69" t="s">
        <v>70</v>
      </c>
      <c r="C37" s="78">
        <f>+BSCR!E17</f>
        <v>4230.6170359599555</v>
      </c>
    </row>
    <row r="38" spans="2:3" x14ac:dyDescent="0.35">
      <c r="B38" s="69" t="s">
        <v>71</v>
      </c>
      <c r="C38" s="78">
        <f>+BSCR!E18</f>
        <v>1640.681692046207</v>
      </c>
    </row>
    <row r="39" spans="2:3" ht="15" thickBot="1" x14ac:dyDescent="0.4">
      <c r="B39" s="72" t="s">
        <v>59</v>
      </c>
      <c r="C39" s="79">
        <f>+BSCR!D22</f>
        <v>4905.1508517118364</v>
      </c>
    </row>
    <row r="51" hidden="1" x14ac:dyDescent="0.35"/>
    <row r="52" hidden="1" x14ac:dyDescent="0.35"/>
    <row r="54" hidden="1" x14ac:dyDescent="0.35"/>
    <row r="60" hidden="1" x14ac:dyDescent="0.35"/>
  </sheetData>
  <mergeCells count="14">
    <mergeCell ref="B27:C27"/>
    <mergeCell ref="B28:C28"/>
    <mergeCell ref="B29:C29"/>
    <mergeCell ref="B2:G2"/>
    <mergeCell ref="B36:C36"/>
    <mergeCell ref="B17:G17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81E0-FB65-469E-A9DC-F95B42360F15}">
  <sheetPr>
    <tabColor theme="9" tint="0.79998168889431442"/>
  </sheetPr>
  <dimension ref="A1:V53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0" max="10" width="19.26953125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6.81640625" bestFit="1" customWidth="1"/>
    <col min="18" max="18" width="12.08984375" bestFit="1" customWidth="1"/>
    <col min="20" max="20" width="22.453125" bestFit="1" customWidth="1"/>
    <col min="21" max="21" width="16.08984375" bestFit="1" customWidth="1"/>
    <col min="22" max="22" width="13.81640625" bestFit="1" customWidth="1"/>
  </cols>
  <sheetData>
    <row r="1" spans="1:22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  <c r="T1" s="61" t="s">
        <v>81</v>
      </c>
      <c r="U1" s="61" t="s">
        <v>82</v>
      </c>
      <c r="V1" s="61" t="s">
        <v>85</v>
      </c>
    </row>
    <row r="2" spans="1:22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+DATA!C4+DATA!C5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  <c r="T2" s="28"/>
      <c r="U2" s="28"/>
      <c r="V2" s="28"/>
    </row>
    <row r="3" spans="1:22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+(1-H3)*(1-DATA!$C$9)*Rates_Basic!J2</f>
        <v>0.84450231049999991</v>
      </c>
      <c r="K3" s="26">
        <f>+(G3/(1-DATA!$C$7)) *DATA!$C$8</f>
        <v>1449.1960000000001</v>
      </c>
      <c r="L3" s="26">
        <f>+DATA!C10</f>
        <v>50</v>
      </c>
      <c r="M3" s="23">
        <f>+DATA!$C$9*(1-Rates_Basic!H3) * (G3 - DATA!$C$12)</f>
        <v>15084.305339147093</v>
      </c>
      <c r="N3" s="23">
        <f>Rates_Basic!H3 * (MAX($G$2,G3))</f>
        <v>654.78576308603999</v>
      </c>
      <c r="O3" s="23">
        <f t="shared" ref="O3:O34" si="0">+J2*D3*(K3+L3+M3+N3)</f>
        <v>16653.097264363405</v>
      </c>
      <c r="Q3" s="6" t="s">
        <v>40</v>
      </c>
      <c r="R3" s="27">
        <f>+SUM(O2:O52)</f>
        <v>95796.037757972881</v>
      </c>
      <c r="T3" s="28">
        <f>+ (((DATA!$C$7-DATA!$C$8) *J2 )/ (1 - DATA!$C$7)*G3 ) - (L3*J2)</f>
        <v>778.11199999999985</v>
      </c>
      <c r="U3" s="28">
        <f t="shared" ref="U3:U34" si="1">+T3*D3</f>
        <v>751.69735494715678</v>
      </c>
      <c r="V3" s="28">
        <f>+T3</f>
        <v>778.11199999999985</v>
      </c>
    </row>
    <row r="4" spans="1:22" x14ac:dyDescent="0.35">
      <c r="A4" s="14">
        <f t="shared" ref="A4:A52" si="2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+(1-H4)*(1-DATA!$C$9)*Rates_Basic!J3</f>
        <v>0.71273020584612179</v>
      </c>
      <c r="K4" s="26">
        <f>+(G4/(1-DATA!$C$7)) *DATA!$C$8</f>
        <v>1453.5716409270005</v>
      </c>
      <c r="L4" s="26">
        <f>+L3*(1+DATA!$C$11)</f>
        <v>51</v>
      </c>
      <c r="M4" s="23">
        <f>+DATA!$C$9*(1-Rates_Basic!H4) * (G4 - DATA!$C$12)</f>
        <v>15120.22899133865</v>
      </c>
      <c r="N4" s="23">
        <f>Rates_Basic!H4 * (MAX($G$2,G4))</f>
        <v>720.97716960469711</v>
      </c>
      <c r="O4" s="23">
        <f t="shared" si="0"/>
        <v>13798.283700877582</v>
      </c>
      <c r="Q4" s="6" t="s">
        <v>41</v>
      </c>
      <c r="R4" s="27">
        <f>+R2-R3</f>
        <v>4203.9622420271189</v>
      </c>
      <c r="T4" s="28">
        <f>+ (((DATA!$C$7-DATA!$C$8) *J3 )/ (1 - DATA!$C$7)*G4 ) - (L4*J3)</f>
        <v>658.38444458743015</v>
      </c>
      <c r="U4" s="28">
        <f t="shared" si="1"/>
        <v>620.16893845989773</v>
      </c>
      <c r="V4" s="28">
        <f t="shared" ref="V4:V35" si="3">+V3+T4</f>
        <v>1436.49644458743</v>
      </c>
    </row>
    <row r="5" spans="1:22" x14ac:dyDescent="0.35">
      <c r="A5" s="14">
        <f t="shared" si="2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+(1-H5)*(1-DATA!$C$9)*Rates_Basic!J4</f>
        <v>0.60108612581225174</v>
      </c>
      <c r="K5" s="26">
        <f>+(G5/(1-DATA!$C$7)) *DATA!$C$8</f>
        <v>1454.0174346398255</v>
      </c>
      <c r="L5" s="26">
        <f>+L4*(1+DATA!$C$11)</f>
        <v>52.02</v>
      </c>
      <c r="M5" s="23">
        <f>+DATA!$C$9*(1-Rates_Basic!H5) * (G5 - DATA!$C$12)</f>
        <v>15113.977929307195</v>
      </c>
      <c r="N5" s="23">
        <f>Rates_Basic!H5 * (MAX($G$2,G5))</f>
        <v>793.80708836269423</v>
      </c>
      <c r="O5" s="23">
        <f t="shared" si="0"/>
        <v>11430.241548597873</v>
      </c>
      <c r="Q5" s="6" t="s">
        <v>43</v>
      </c>
      <c r="R5" s="27">
        <f>+MAX($R$4-R4,0)</f>
        <v>0</v>
      </c>
      <c r="T5" s="28">
        <f>+ (((DATA!$C$7-DATA!$C$8) *J4 )/ (1 - DATA!$C$7)*G5 ) - (L5*J4)</f>
        <v>555.10785783170911</v>
      </c>
      <c r="U5" s="28">
        <f t="shared" si="1"/>
        <v>511.22667465851748</v>
      </c>
      <c r="V5" s="28">
        <f t="shared" si="3"/>
        <v>1991.604302419139</v>
      </c>
    </row>
    <row r="6" spans="1:22" x14ac:dyDescent="0.35">
      <c r="A6" s="14">
        <f t="shared" si="2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+(1-H6)*(1-DATA!$C$9)*Rates_Basic!J5</f>
        <v>0.50649612377229214</v>
      </c>
      <c r="K6" s="26">
        <f>+(G6/(1-DATA!$C$7)) *DATA!$C$8</f>
        <v>1453.3171478985437</v>
      </c>
      <c r="L6" s="26">
        <f>+L5*(1+DATA!$C$11)</f>
        <v>53.060400000000001</v>
      </c>
      <c r="M6" s="23">
        <f>+DATA!$C$9*(1-Rates_Basic!H6) * (G6 - DATA!$C$12)</f>
        <v>15093.75893940515</v>
      </c>
      <c r="N6" s="23">
        <f>Rates_Basic!H6 * (MAX($G$2,G6))</f>
        <v>879.69731884962835</v>
      </c>
      <c r="O6" s="23">
        <f t="shared" si="0"/>
        <v>9467.9990366778202</v>
      </c>
      <c r="Q6" s="6" t="s">
        <v>42</v>
      </c>
      <c r="R6" s="8">
        <f>+SUMPRODUCT(A2:A52,O2:O52)/R3</f>
        <v>5.6135512817251243</v>
      </c>
      <c r="T6" s="28">
        <f>+ (((DATA!$C$7-DATA!$C$8) *J5 )/ (1 - DATA!$C$7)*G6 ) - (L6*J5)</f>
        <v>467.28828630529256</v>
      </c>
      <c r="U6" s="28">
        <f t="shared" si="1"/>
        <v>421.0843460604251</v>
      </c>
      <c r="V6" s="28">
        <f t="shared" si="3"/>
        <v>2458.8925887244313</v>
      </c>
    </row>
    <row r="7" spans="1:22" x14ac:dyDescent="0.35">
      <c r="A7" s="14">
        <f t="shared" si="2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+(1-H7)*(1-DATA!$C$9)*Rates_Basic!J6</f>
        <v>0.42636600834260208</v>
      </c>
      <c r="K7" s="26">
        <f>+(G7/(1-DATA!$C$7)) *DATA!$C$8</f>
        <v>1452.58181697792</v>
      </c>
      <c r="L7" s="26">
        <f>+L6*(1+DATA!$C$11)</f>
        <v>54.121608000000002</v>
      </c>
      <c r="M7" s="23">
        <f>+DATA!$C$9*(1-Rates_Basic!H7) * (G7 - DATA!$C$12)</f>
        <v>15071.087707058219</v>
      </c>
      <c r="N7" s="23">
        <f>Rates_Basic!H7 * (MAX($G$2,G7))</f>
        <v>979.49050725988764</v>
      </c>
      <c r="O7" s="23">
        <f t="shared" si="0"/>
        <v>7841.0866500777329</v>
      </c>
      <c r="Q7" s="6" t="s">
        <v>44</v>
      </c>
      <c r="R7" s="6">
        <f>+MAX(R5,0)</f>
        <v>0</v>
      </c>
      <c r="T7" s="28">
        <f>+ (((DATA!$C$7-DATA!$C$8) *J6 )/ (1 - DATA!$C$7)*G7 ) - (L7*J6)</f>
        <v>393.00307805649328</v>
      </c>
      <c r="U7" s="28">
        <f t="shared" si="1"/>
        <v>346.52837594417468</v>
      </c>
      <c r="V7" s="28">
        <f t="shared" si="3"/>
        <v>2851.8956667809248</v>
      </c>
    </row>
    <row r="8" spans="1:22" x14ac:dyDescent="0.35">
      <c r="A8" s="14">
        <f t="shared" si="2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+(1-H8)*(1-DATA!$C$9)*Rates_Basic!J7</f>
        <v>0.35849878133916319</v>
      </c>
      <c r="K8" s="26">
        <f>+(G8/(1-DATA!$C$7)) *DATA!$C$8</f>
        <v>1452.835173571694</v>
      </c>
      <c r="L8" s="26">
        <f>+L7*(1+DATA!$C$11)</f>
        <v>55.204040160000005</v>
      </c>
      <c r="M8" s="23">
        <f>+DATA!$C$9*(1-Rates_Basic!H8) * (G8 - DATA!$C$12)</f>
        <v>15056.326252711347</v>
      </c>
      <c r="N8" s="23">
        <f>Rates_Basic!H8 * (MAX($G$2,G8))</f>
        <v>1095.6218220707735</v>
      </c>
      <c r="O8" s="23">
        <f t="shared" si="0"/>
        <v>6492.0061744398836</v>
      </c>
      <c r="T8" s="28">
        <f>+ (((DATA!$C$7-DATA!$C$8) *J7 )/ (1 - DATA!$C$7)*G8 ) - (L8*J7)</f>
        <v>330.42832160145019</v>
      </c>
      <c r="U8" s="28">
        <f t="shared" si="1"/>
        <v>284.89395107630594</v>
      </c>
      <c r="V8" s="28">
        <f t="shared" si="3"/>
        <v>3182.3239883823749</v>
      </c>
    </row>
    <row r="9" spans="1:22" x14ac:dyDescent="0.35">
      <c r="A9" s="14">
        <f t="shared" si="2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+(1-H9)*(1-DATA!$C$9)*Rates_Basic!J8</f>
        <v>0.30115008225864415</v>
      </c>
      <c r="K9" s="26">
        <f>+(G9/(1-DATA!$C$7)) *DATA!$C$8</f>
        <v>1453.938328438775</v>
      </c>
      <c r="L9" s="26">
        <f>+L8*(1+DATA!$C$11)</f>
        <v>56.308120963200004</v>
      </c>
      <c r="M9" s="23">
        <f>+DATA!$C$9*(1-Rates_Basic!H9) * (G9 - DATA!$C$12)</f>
        <v>15053.549464867547</v>
      </c>
      <c r="N9" s="23">
        <f>Rates_Basic!H9 * (MAX($G$2,G9))</f>
        <v>1191.2156479726893</v>
      </c>
      <c r="O9" s="23">
        <f t="shared" si="0"/>
        <v>5363.1978938082539</v>
      </c>
      <c r="Q9" s="108" t="s">
        <v>45</v>
      </c>
      <c r="R9" s="108"/>
      <c r="T9" s="28">
        <f>+ (((DATA!$C$7-DATA!$C$8) *J8 )/ (1 - DATA!$C$7)*G9 ) - (L9*J8)</f>
        <v>277.66224661953788</v>
      </c>
      <c r="U9" s="28">
        <f t="shared" si="1"/>
        <v>233.95482815837829</v>
      </c>
      <c r="V9" s="28">
        <f t="shared" si="3"/>
        <v>3459.986235001913</v>
      </c>
    </row>
    <row r="10" spans="1:22" x14ac:dyDescent="0.35">
      <c r="A10" s="14">
        <f t="shared" si="2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+(1-H10)*(1-DATA!$C$9)*Rates_Basic!J9</f>
        <v>0.25270158433866752</v>
      </c>
      <c r="K10" s="26">
        <f>+(G10/(1-DATA!$C$7)) *DATA!$C$8</f>
        <v>1455.9225809844947</v>
      </c>
      <c r="L10" s="26">
        <f>+L9*(1+DATA!$C$11)</f>
        <v>57.434283382464002</v>
      </c>
      <c r="M10" s="23">
        <f>+DATA!$C$9*(1-Rates_Basic!H10) * (G10 - DATA!$C$12)</f>
        <v>15057.781924353696</v>
      </c>
      <c r="N10" s="23">
        <f>Rates_Basic!H10 * (MAX($G$2,G10))</f>
        <v>1301.6348585493458</v>
      </c>
      <c r="O10" s="23">
        <f t="shared" si="0"/>
        <v>4429.3161372076693</v>
      </c>
      <c r="Q10" s="28" t="s">
        <v>8</v>
      </c>
      <c r="R10" s="30">
        <f>+SUMPRODUCT(D3:D52,J2:J51,M3:M52)</f>
        <v>81227.100451071048</v>
      </c>
      <c r="T10" s="28">
        <f>+ (((DATA!$C$7-DATA!$C$8) *J9 )/ (1 - DATA!$C$7)*G10 ) - (L10*J9)</f>
        <v>233.24720656387501</v>
      </c>
      <c r="U10" s="28">
        <f t="shared" si="1"/>
        <v>191.94561209092296</v>
      </c>
      <c r="V10" s="28">
        <f t="shared" si="3"/>
        <v>3693.2334415657879</v>
      </c>
    </row>
    <row r="11" spans="1:22" x14ac:dyDescent="0.35">
      <c r="A11" s="14">
        <f t="shared" si="2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+(1-H11)*(1-DATA!$C$9)*Rates_Basic!J10</f>
        <v>0.2117945698908679</v>
      </c>
      <c r="K11" s="26">
        <f>+(G11/(1-DATA!$C$7)) *DATA!$C$8</f>
        <v>1458.749187329799</v>
      </c>
      <c r="L11" s="26">
        <f>+L10*(1+DATA!$C$11)</f>
        <v>58.582969050113284</v>
      </c>
      <c r="M11" s="23">
        <f>+DATA!$C$9*(1-Rates_Basic!H11) * (G11 - DATA!$C$12)</f>
        <v>15069.033268039509</v>
      </c>
      <c r="N11" s="23">
        <f>Rates_Basic!H11 * (MAX($G$2,G11))</f>
        <v>1424.1080849087386</v>
      </c>
      <c r="O11" s="23">
        <f t="shared" si="0"/>
        <v>3655.8750374132114</v>
      </c>
      <c r="Q11" s="28" t="s">
        <v>17</v>
      </c>
      <c r="R11" s="30">
        <f>+SUMPRODUCT(D3:D52,J2:J51,N3:N52)</f>
        <v>6428.6259520095427</v>
      </c>
      <c r="T11" s="28">
        <f>+ (((DATA!$C$7-DATA!$C$8) *J10 )/ (1 - DATA!$C$7)*G11 ) - (L11*J10)</f>
        <v>195.84069421490688</v>
      </c>
      <c r="U11" s="28">
        <f t="shared" si="1"/>
        <v>157.31175886373842</v>
      </c>
      <c r="V11" s="28">
        <f t="shared" si="3"/>
        <v>3889.0741357806946</v>
      </c>
    </row>
    <row r="12" spans="1:22" x14ac:dyDescent="0.35">
      <c r="A12" s="14">
        <f t="shared" si="2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+(1-H12)*(1-DATA!$C$9)*Rates_Basic!J11</f>
        <v>0.17720617788615114</v>
      </c>
      <c r="K12" s="26">
        <f>+(G12/(1-DATA!$C$7)) *DATA!$C$8</f>
        <v>1462.6657460438055</v>
      </c>
      <c r="L12" s="26">
        <f>+L11*(1+DATA!$C$11)</f>
        <v>59.754628431115549</v>
      </c>
      <c r="M12" s="23">
        <f>+DATA!$C$9*(1-Rates_Basic!H12) * (G12 - DATA!$C$12)</f>
        <v>15083.678410074295</v>
      </c>
      <c r="N12" s="23">
        <f>Rates_Basic!H12 * (MAX($G$2,G12))</f>
        <v>1600.107107469569</v>
      </c>
      <c r="O12" s="23">
        <f t="shared" si="0"/>
        <v>3021.1125776891922</v>
      </c>
      <c r="Q12" s="28" t="s">
        <v>18</v>
      </c>
      <c r="R12" s="30">
        <f>+SUMPRODUCT(D3:D52,J2:J51,L3:L52)</f>
        <v>295.02770890188486</v>
      </c>
      <c r="T12" s="28">
        <f>+ (((DATA!$C$7-DATA!$C$8) *J11 )/ (1 - DATA!$C$7)*G12 ) - (L12*J11)</f>
        <v>164.36410135955933</v>
      </c>
      <c r="U12" s="28">
        <f t="shared" si="1"/>
        <v>128.77738667755381</v>
      </c>
      <c r="V12" s="28">
        <f t="shared" si="3"/>
        <v>4053.4382371402539</v>
      </c>
    </row>
    <row r="13" spans="1:22" x14ac:dyDescent="0.35">
      <c r="A13" s="14">
        <f t="shared" si="2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+(1-H13)*(1-DATA!$C$9)*Rates_Basic!J12</f>
        <v>0.14799328882630877</v>
      </c>
      <c r="K13" s="26">
        <f>+(G13/(1-DATA!$C$7)) *DATA!$C$8</f>
        <v>1468.4973619239377</v>
      </c>
      <c r="L13" s="26">
        <f>+L12*(1+DATA!$C$11)</f>
        <v>60.949720999737863</v>
      </c>
      <c r="M13" s="23">
        <f>+DATA!$C$9*(1-Rates_Basic!H13) * (G13 - DATA!$C$12)</f>
        <v>15115.927761059766</v>
      </c>
      <c r="N13" s="23">
        <f>Rates_Basic!H13 * (MAX($G$2,G13))</f>
        <v>1792.5277284594861</v>
      </c>
      <c r="O13" s="23">
        <f t="shared" si="0"/>
        <v>2493.6401803550093</v>
      </c>
      <c r="Q13" s="29" t="s">
        <v>46</v>
      </c>
      <c r="R13" s="31">
        <f>+SUMPRODUCT(D3:D52,J2:J51,K3:K52)</f>
        <v>7845.2836459903638</v>
      </c>
      <c r="T13" s="28">
        <f>+ (((DATA!$C$7-DATA!$C$8) *J12 )/ (1 - DATA!$C$7)*G13 ) - (L13*J12)</f>
        <v>137.9003641798017</v>
      </c>
      <c r="U13" s="28">
        <f t="shared" si="1"/>
        <v>105.24678203747601</v>
      </c>
      <c r="V13" s="28">
        <f t="shared" si="3"/>
        <v>4191.3386013200552</v>
      </c>
    </row>
    <row r="14" spans="1:22" x14ac:dyDescent="0.35">
      <c r="A14" s="14">
        <f t="shared" si="2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+(1-H14)*(1-DATA!$C$9)*Rates_Basic!J13</f>
        <v>0.12331143311077049</v>
      </c>
      <c r="K14" s="26">
        <f>+(G14/(1-DATA!$C$7)) *DATA!$C$8</f>
        <v>1471.9084757060559</v>
      </c>
      <c r="L14" s="26">
        <f>+L13*(1+DATA!$C$11)</f>
        <v>62.168715419732621</v>
      </c>
      <c r="M14" s="23">
        <f>+DATA!$C$9*(1-Rates_Basic!H14) * (G14 - DATA!$C$12)</f>
        <v>15116.136326186439</v>
      </c>
      <c r="N14" s="23">
        <f>Rates_Basic!H14 * (MAX($G$2,G14))</f>
        <v>2029.4732350610739</v>
      </c>
      <c r="O14" s="23">
        <f t="shared" si="0"/>
        <v>2058.6676632749941</v>
      </c>
      <c r="Q14" s="28" t="s">
        <v>47</v>
      </c>
      <c r="R14" s="30">
        <f>+SUM(R10:R13)</f>
        <v>95796.037757972837</v>
      </c>
      <c r="T14" s="28">
        <f>+ (((DATA!$C$7-DATA!$C$8) *J13 )/ (1 - DATA!$C$7)*G14 ) - (L14*J13)</f>
        <v>115.27520515496018</v>
      </c>
      <c r="U14" s="28">
        <f t="shared" si="1"/>
        <v>85.844116652590913</v>
      </c>
      <c r="V14" s="28">
        <f t="shared" si="3"/>
        <v>4306.6138064750157</v>
      </c>
    </row>
    <row r="15" spans="1:22" x14ac:dyDescent="0.35">
      <c r="A15" s="14">
        <f t="shared" si="2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+(1-H15)*(1-DATA!$C$9)*Rates_Basic!J14</f>
        <v>0.10253795694401276</v>
      </c>
      <c r="K15" s="26">
        <f>+(G15/(1-DATA!$C$7)) *DATA!$C$8</f>
        <v>1476.2634791908197</v>
      </c>
      <c r="L15" s="26">
        <f>+L14*(1+DATA!$C$11)</f>
        <v>63.412089728127278</v>
      </c>
      <c r="M15" s="23">
        <f>+DATA!$C$9*(1-Rates_Basic!H15) * (G15 - DATA!$C$12)</f>
        <v>15130.180545176092</v>
      </c>
      <c r="N15" s="23">
        <f>Rates_Basic!H15 * (MAX($G$2,G15))</f>
        <v>2240.1128948418818</v>
      </c>
      <c r="O15" s="23">
        <f t="shared" si="0"/>
        <v>1693.2636266571258</v>
      </c>
      <c r="T15" s="28">
        <f>+ (((DATA!$C$7-DATA!$C$8) *J14 )/ (1 - DATA!$C$7)*G15 ) - (L15*J14)</f>
        <v>96.203515920854173</v>
      </c>
      <c r="U15" s="28">
        <f t="shared" si="1"/>
        <v>69.858838638010766</v>
      </c>
      <c r="V15" s="28">
        <f t="shared" si="3"/>
        <v>4402.8173223958702</v>
      </c>
    </row>
    <row r="16" spans="1:22" x14ac:dyDescent="0.35">
      <c r="A16" s="14">
        <f t="shared" si="2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+(1-H16)*(1-DATA!$C$9)*Rates_Basic!J15</f>
        <v>8.5072371889843873E-2</v>
      </c>
      <c r="K16" s="26">
        <f>+(G16/(1-DATA!$C$7)) *DATA!$C$8</f>
        <v>1481.180360131865</v>
      </c>
      <c r="L16" s="26">
        <f>+L15*(1+DATA!$C$11)</f>
        <v>64.680331522689826</v>
      </c>
      <c r="M16" s="23">
        <f>+DATA!$C$9*(1-Rates_Basic!H16) * (G16 - DATA!$C$12)</f>
        <v>15146.455930537515</v>
      </c>
      <c r="N16" s="23">
        <f>Rates_Basic!H16 * (MAX($G$2,G16))</f>
        <v>2475.1335652758848</v>
      </c>
      <c r="O16" s="23">
        <f t="shared" si="0"/>
        <v>1391.1507886333854</v>
      </c>
      <c r="Q16" s="53" t="s">
        <v>84</v>
      </c>
      <c r="R16" s="18">
        <f>+(DATA!C7-DATA!C8 )*R6*G2  - (SUM(L3:L7) + L8*(R6-5))</f>
        <v>4196.7685077835249</v>
      </c>
      <c r="S16" s="54"/>
      <c r="T16" s="28">
        <f>+ (((DATA!$C$7-DATA!$C$8) *J15 )/ (1 - DATA!$C$7)*G16 ) - (L16*J15)</f>
        <v>80.154786947498209</v>
      </c>
      <c r="U16" s="28">
        <f t="shared" si="1"/>
        <v>56.735471336803577</v>
      </c>
      <c r="V16" s="28">
        <f t="shared" si="3"/>
        <v>4482.9721093433682</v>
      </c>
    </row>
    <row r="17" spans="1:22" x14ac:dyDescent="0.35">
      <c r="A17" s="14">
        <f t="shared" si="2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+(1-H17)*(1-DATA!$C$9)*Rates_Basic!J16</f>
        <v>7.0432943183706756E-2</v>
      </c>
      <c r="K17" s="26">
        <f>+(G17/(1-DATA!$C$7)) *DATA!$C$8</f>
        <v>1484.5774917502104</v>
      </c>
      <c r="L17" s="26">
        <f>+L16*(1+DATA!$C$11)</f>
        <v>65.973938153143621</v>
      </c>
      <c r="M17" s="23">
        <f>+DATA!$C$9*(1-Rates_Basic!H17) * (G17 - DATA!$C$12)</f>
        <v>15149.195084186285</v>
      </c>
      <c r="N17" s="23">
        <f>Rates_Basic!H17 * (MAX($G$2,G17))</f>
        <v>2694.2276069180157</v>
      </c>
      <c r="O17" s="23">
        <f t="shared" si="0"/>
        <v>1139.5266440609048</v>
      </c>
      <c r="Q17" s="53" t="s">
        <v>83</v>
      </c>
      <c r="R17" s="18">
        <f>+U53</f>
        <v>4187.9915173783211</v>
      </c>
      <c r="T17" s="28">
        <f>+ (((DATA!$C$7-DATA!$C$8) *J16 )/ (1 - DATA!$C$7)*G17 ) - (L17*J16)</f>
        <v>66.556885442664196</v>
      </c>
      <c r="U17" s="28">
        <f t="shared" si="1"/>
        <v>45.968689381690062</v>
      </c>
      <c r="V17" s="28">
        <f t="shared" si="3"/>
        <v>4549.5289947860319</v>
      </c>
    </row>
    <row r="18" spans="1:22" x14ac:dyDescent="0.35">
      <c r="A18" s="14">
        <f t="shared" si="2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+(1-H18)*(1-DATA!$C$9)*Rates_Basic!J17</f>
        <v>5.8118519802533054E-2</v>
      </c>
      <c r="K18" s="26">
        <f>+(G18/(1-DATA!$C$7)) *DATA!$C$8</f>
        <v>1485.4004344685075</v>
      </c>
      <c r="L18" s="26">
        <f>+L17*(1+DATA!$C$11)</f>
        <v>67.293416916206496</v>
      </c>
      <c r="M18" s="23">
        <f>+DATA!$C$9*(1-Rates_Basic!H18) * (G18 - DATA!$C$12)</f>
        <v>15107.120474633082</v>
      </c>
      <c r="N18" s="23">
        <f>Rates_Basic!H18 * (MAX($G$2,G18))</f>
        <v>3032.2782995747029</v>
      </c>
      <c r="O18" s="23">
        <f t="shared" si="0"/>
        <v>936.34310635848556</v>
      </c>
      <c r="Q18" s="53" t="s">
        <v>89</v>
      </c>
      <c r="R18" s="18">
        <f>+R2 -(R3+R17)</f>
        <v>15.970724648796022</v>
      </c>
      <c r="T18" s="28">
        <f>+ (((DATA!$C$7-DATA!$C$8) *J17 )/ (1 - DATA!$C$7)*G18 ) - (L18*J17)</f>
        <v>55.043826250259741</v>
      </c>
      <c r="U18" s="28">
        <f t="shared" si="1"/>
        <v>37.160018897993297</v>
      </c>
      <c r="V18" s="28">
        <f t="shared" si="3"/>
        <v>4604.5728210362913</v>
      </c>
    </row>
    <row r="19" spans="1:22" x14ac:dyDescent="0.35">
      <c r="A19" s="14">
        <f t="shared" si="2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+(1-H19)*(1-DATA!$C$9)*Rates_Basic!J18</f>
        <v>4.7776967606553068E-2</v>
      </c>
      <c r="K19" s="26">
        <f>+(G19/(1-DATA!$C$7)) *DATA!$C$8</f>
        <v>1483.9047345693523</v>
      </c>
      <c r="L19" s="26">
        <f>+L18*(1+DATA!$C$11)</f>
        <v>68.639285254530634</v>
      </c>
      <c r="M19" s="23">
        <f>+DATA!$C$9*(1-Rates_Basic!H19) * (G19 - DATA!$C$12)</f>
        <v>15035.206964048803</v>
      </c>
      <c r="N19" s="23">
        <f>Rates_Basic!H19 * (MAX($G$2,G19))</f>
        <v>3407.2893241431993</v>
      </c>
      <c r="O19" s="23">
        <f t="shared" si="0"/>
        <v>768.03413167035535</v>
      </c>
      <c r="T19" s="28">
        <f>+ (((DATA!$C$7-DATA!$C$8) *J18 )/ (1 - DATA!$C$7)*G19 ) - (L19*J18)</f>
        <v>45.292127312783663</v>
      </c>
      <c r="U19" s="28">
        <f t="shared" si="1"/>
        <v>29.934114201051617</v>
      </c>
      <c r="V19" s="28">
        <f t="shared" si="3"/>
        <v>4649.8649483490753</v>
      </c>
    </row>
    <row r="20" spans="1:22" x14ac:dyDescent="0.35">
      <c r="A20" s="14">
        <f t="shared" si="2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+(1-H20)*(1-DATA!$C$9)*Rates_Basic!J19</f>
        <v>3.9085594099855396E-2</v>
      </c>
      <c r="K20" s="26">
        <f>+(G20/(1-DATA!$C$7)) *DATA!$C$8</f>
        <v>1481.8310003128743</v>
      </c>
      <c r="L20" s="26">
        <f>+L19*(1+DATA!$C$11)</f>
        <v>70.012070959621255</v>
      </c>
      <c r="M20" s="23">
        <f>+DATA!$C$9*(1-Rates_Basic!H20) * (G20 - DATA!$C$12)</f>
        <v>14941.563609972276</v>
      </c>
      <c r="N20" s="23">
        <f>Rates_Basic!H20 * (MAX($G$2,G20))</f>
        <v>3886.8067667175033</v>
      </c>
      <c r="O20" s="23">
        <f t="shared" si="0"/>
        <v>630.25630772014767</v>
      </c>
      <c r="Q20" s="86" t="s">
        <v>87</v>
      </c>
      <c r="T20" s="28">
        <f>+ (((DATA!$C$7-DATA!$C$8) *J19 )/ (1 - DATA!$C$7)*G20 ) - (L20*J19)</f>
        <v>37.11068795388551</v>
      </c>
      <c r="U20" s="28">
        <f t="shared" si="1"/>
        <v>24.020879040123614</v>
      </c>
      <c r="V20" s="28">
        <f t="shared" si="3"/>
        <v>4686.975636302961</v>
      </c>
    </row>
    <row r="21" spans="1:22" x14ac:dyDescent="0.35">
      <c r="A21" s="14">
        <f t="shared" si="2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+(1-H21)*(1-DATA!$C$9)*Rates_Basic!J20</f>
        <v>3.1844005669591439E-2</v>
      </c>
      <c r="K21" s="26">
        <f>+(G21/(1-DATA!$C$7)) *DATA!$C$8</f>
        <v>1479.4559022574501</v>
      </c>
      <c r="L21" s="26">
        <f>+L20*(1+DATA!$C$11)</f>
        <v>71.412312378813681</v>
      </c>
      <c r="M21" s="23">
        <f>+DATA!$C$9*(1-Rates_Basic!H21) * (G21 - DATA!$C$12)</f>
        <v>14856.349271878738</v>
      </c>
      <c r="N21" s="23">
        <f>Rates_Basic!H21 * (MAX($G$2,G21))</f>
        <v>4289.0638386502851</v>
      </c>
      <c r="O21" s="23">
        <f t="shared" si="0"/>
        <v>512.90204871407639</v>
      </c>
      <c r="Q21" s="86">
        <f>+(Equity_Shock!R3-Rates_Basic!R3)/(Equity_Shock!R2 - Rates_Basic!R2-Equity_Shock!R2)</f>
        <v>0.31680070077971906</v>
      </c>
      <c r="T21" s="28">
        <f>+ (((DATA!$C$7-DATA!$C$8) *J20 )/ (1 - DATA!$C$7)*G21 ) - (L21*J20)</f>
        <v>30.251900421355334</v>
      </c>
      <c r="U21" s="28">
        <f t="shared" si="1"/>
        <v>19.181300944722103</v>
      </c>
      <c r="V21" s="28">
        <f t="shared" si="3"/>
        <v>4717.2275367243165</v>
      </c>
    </row>
    <row r="22" spans="1:22" x14ac:dyDescent="0.35">
      <c r="A22" s="14">
        <f t="shared" si="2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+(1-H22)*(1-DATA!$C$9)*Rates_Basic!J21</f>
        <v>2.5794072082223177E-2</v>
      </c>
      <c r="K22" s="26">
        <f>+(G22/(1-DATA!$C$7)) *DATA!$C$8</f>
        <v>1478.555609799771</v>
      </c>
      <c r="L22" s="26">
        <f>+L21*(1+DATA!$C$11)</f>
        <v>72.840558626389949</v>
      </c>
      <c r="M22" s="23">
        <f>+DATA!$C$9*(1-Rates_Basic!H22) * (G22 - DATA!$C$12)</f>
        <v>14761.44695050804</v>
      </c>
      <c r="N22" s="23">
        <f>Rates_Basic!H22 * (MAX($G$2,G22))</f>
        <v>4858.9649798923137</v>
      </c>
      <c r="O22" s="23">
        <f t="shared" si="0"/>
        <v>418.32541901089934</v>
      </c>
      <c r="T22" s="28">
        <f>+ (((DATA!$C$7-DATA!$C$8) *J21 )/ (1 - DATA!$C$7)*G22 ) - (L22*J21)</f>
        <v>24.585112393136534</v>
      </c>
      <c r="U22" s="28">
        <f t="shared" si="1"/>
        <v>15.25459954638127</v>
      </c>
      <c r="V22" s="28">
        <f t="shared" si="3"/>
        <v>4741.8126491174526</v>
      </c>
    </row>
    <row r="23" spans="1:22" x14ac:dyDescent="0.35">
      <c r="A23" s="14">
        <f t="shared" si="2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+(1-H23)*(1-DATA!$C$9)*Rates_Basic!J22</f>
        <v>2.0767967250952021E-2</v>
      </c>
      <c r="K23" s="26">
        <f>+(G23/(1-DATA!$C$7)) *DATA!$C$8</f>
        <v>1479.1280202811074</v>
      </c>
      <c r="L23" s="26">
        <f>+L22*(1+DATA!$C$11)</f>
        <v>74.297369798917757</v>
      </c>
      <c r="M23" s="23">
        <f>+DATA!$C$9*(1-Rates_Basic!H23) * (G23 - DATA!$C$12)</f>
        <v>14678.40708766088</v>
      </c>
      <c r="N23" s="23">
        <f>Rates_Basic!H23 * (MAX($G$2,G23))</f>
        <v>5452.6655783076649</v>
      </c>
      <c r="O23" s="23">
        <f t="shared" si="0"/>
        <v>339.28811739979915</v>
      </c>
      <c r="Q23" s="86" t="s">
        <v>88</v>
      </c>
      <c r="T23" s="28">
        <f>+ (((DATA!$C$7-DATA!$C$8) *J22 )/ (1 - DATA!$C$7)*G23 ) - (L23*J22)</f>
        <v>19.885131015868236</v>
      </c>
      <c r="U23" s="28">
        <f t="shared" si="1"/>
        <v>12.0622360713799</v>
      </c>
      <c r="V23" s="28">
        <f t="shared" si="3"/>
        <v>4761.6977801333205</v>
      </c>
    </row>
    <row r="24" spans="1:22" x14ac:dyDescent="0.35">
      <c r="A24" s="14">
        <f t="shared" si="2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+(1-H24)*(1-DATA!$C$9)*Rates_Basic!J23</f>
        <v>1.6612120414010986E-2</v>
      </c>
      <c r="K24" s="26">
        <f>+(G24/(1-DATA!$C$7)) *DATA!$C$8</f>
        <v>1481.4354895753065</v>
      </c>
      <c r="L24" s="26">
        <f>+L23*(1+DATA!$C$11)</f>
        <v>75.783317194896114</v>
      </c>
      <c r="M24" s="23">
        <f>+DATA!$C$9*(1-Rates_Basic!H24) * (G24 - DATA!$C$12)</f>
        <v>14605.385968662891</v>
      </c>
      <c r="N24" s="23">
        <f>Rates_Basic!H24 * (MAX($G$2,G24))</f>
        <v>6100.7898614176056</v>
      </c>
      <c r="O24" s="23">
        <f t="shared" si="0"/>
        <v>273.87135884830951</v>
      </c>
      <c r="Q24" s="86">
        <f>+('Property_Shock '!R3-Rates_Basic!R3)/('Property_Shock '!R2-Rates_Basic!R2)</f>
        <v>0.91869425216451051</v>
      </c>
      <c r="T24" s="28">
        <f>+ (((DATA!$C$7-DATA!$C$8) *J23 )/ (1 - DATA!$C$7)*G24 ) - (L24*J23)</f>
        <v>16.006936682841047</v>
      </c>
      <c r="U24" s="28">
        <f t="shared" si="1"/>
        <v>9.481334501890327</v>
      </c>
      <c r="V24" s="28">
        <f t="shared" si="3"/>
        <v>4777.7047168161616</v>
      </c>
    </row>
    <row r="25" spans="1:22" x14ac:dyDescent="0.35">
      <c r="A25" s="14">
        <f t="shared" si="2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+(1-H25)*(1-DATA!$C$9)*Rates_Basic!J24</f>
        <v>1.3192084225977237E-2</v>
      </c>
      <c r="K25" s="26">
        <f>+(G25/(1-DATA!$C$7)) *DATA!$C$8</f>
        <v>1485.0800678162418</v>
      </c>
      <c r="L25" s="26">
        <f>+L24*(1+DATA!$C$11)</f>
        <v>77.298983538794033</v>
      </c>
      <c r="M25" s="23">
        <f>+DATA!$C$9*(1-Rates_Basic!H25) * (G25 - DATA!$C$12)</f>
        <v>14535.756322348525</v>
      </c>
      <c r="N25" s="23">
        <f>Rates_Basic!H25 * (MAX($G$2,G25))</f>
        <v>6819.7230311444137</v>
      </c>
      <c r="O25" s="23">
        <f t="shared" si="0"/>
        <v>220.00475841182188</v>
      </c>
      <c r="T25" s="28">
        <f>+ (((DATA!$C$7-DATA!$C$8) *J24 )/ (1 - DATA!$C$7)*G25 ) - (L25*J24)</f>
        <v>12.813230783864903</v>
      </c>
      <c r="U25" s="28">
        <f t="shared" si="1"/>
        <v>7.4044298043678785</v>
      </c>
      <c r="V25" s="28">
        <f t="shared" si="3"/>
        <v>4790.5179476000267</v>
      </c>
    </row>
    <row r="26" spans="1:22" x14ac:dyDescent="0.35">
      <c r="A26" s="14">
        <f t="shared" si="2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+(1-H26)*(1-DATA!$C$9)*Rates_Basic!J25</f>
        <v>1.0403848534434695E-2</v>
      </c>
      <c r="K26" s="26">
        <f>+(G26/(1-DATA!$C$7)) *DATA!$C$8</f>
        <v>1490.2460492259468</v>
      </c>
      <c r="L26" s="26">
        <f>+L25*(1+DATA!$C$11)</f>
        <v>78.844963209569912</v>
      </c>
      <c r="M26" s="23">
        <f>+DATA!$C$9*(1-Rates_Basic!H26) * (G26 - DATA!$C$12)</f>
        <v>14485.6602361606</v>
      </c>
      <c r="N26" s="23">
        <f>Rates_Basic!H26 * (MAX($G$2,G26))</f>
        <v>7514.7065995990224</v>
      </c>
      <c r="O26" s="23">
        <f t="shared" si="0"/>
        <v>175.11636145701945</v>
      </c>
      <c r="T26" s="28">
        <f>+ (((DATA!$C$7-DATA!$C$8) *J25 )/ (1 - DATA!$C$7)*G26 ) - (L26*J25)</f>
        <v>10.193842832441566</v>
      </c>
      <c r="U26" s="28">
        <f t="shared" si="1"/>
        <v>5.7411864348832724</v>
      </c>
      <c r="V26" s="28">
        <f t="shared" si="3"/>
        <v>4800.7117904324687</v>
      </c>
    </row>
    <row r="27" spans="1:22" x14ac:dyDescent="0.35">
      <c r="A27" s="14">
        <f t="shared" si="2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+(1-H27)*(1-DATA!$C$9)*Rates_Basic!J26</f>
        <v>8.124690820547226E-3</v>
      </c>
      <c r="K27" s="26">
        <f>+(G27/(1-DATA!$C$7)) *DATA!$C$8</f>
        <v>1496.3936819603516</v>
      </c>
      <c r="L27" s="26">
        <f>+L26*(1+DATA!$C$11)</f>
        <v>80.421862473761308</v>
      </c>
      <c r="M27" s="23">
        <f>+DATA!$C$9*(1-Rates_Basic!H27) * (G27 - DATA!$C$12)</f>
        <v>14403.191700679994</v>
      </c>
      <c r="N27" s="23">
        <f>Rates_Basic!H27 * (MAX($G$2,G27))</f>
        <v>8494.1343528969737</v>
      </c>
      <c r="O27" s="23">
        <f t="shared" si="0"/>
        <v>139.67419400737791</v>
      </c>
      <c r="T27" s="28">
        <f>+ (((DATA!$C$7-DATA!$C$8) *J26 )/ (1 - DATA!$C$7)*G27 ) - (L27*J26)</f>
        <v>8.0594478182518703</v>
      </c>
      <c r="U27" s="28">
        <f t="shared" si="1"/>
        <v>4.4209944781216173</v>
      </c>
      <c r="V27" s="28">
        <f t="shared" si="3"/>
        <v>4808.7712382507207</v>
      </c>
    </row>
    <row r="28" spans="1:22" x14ac:dyDescent="0.35">
      <c r="A28" s="14">
        <f t="shared" si="2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+(1-H28)*(1-DATA!$C$9)*Rates_Basic!J27</f>
        <v>6.2662194440065945E-3</v>
      </c>
      <c r="K28" s="26">
        <f>+(G28/(1-DATA!$C$7)) *DATA!$C$8</f>
        <v>1503.6227786978077</v>
      </c>
      <c r="L28" s="26">
        <f>+L27*(1+DATA!$C$11)</f>
        <v>82.030299723236539</v>
      </c>
      <c r="M28" s="23">
        <f>+DATA!$C$9*(1-Rates_Basic!H28) * (G28 - DATA!$C$12)</f>
        <v>14293.484181119913</v>
      </c>
      <c r="N28" s="23">
        <f>Rates_Basic!H28 * (MAX($G$2,G28))</f>
        <v>9730.749505547421</v>
      </c>
      <c r="O28" s="23">
        <f t="shared" si="0"/>
        <v>111.09001117984214</v>
      </c>
      <c r="T28" s="28">
        <f>+ (((DATA!$C$7-DATA!$C$8) *J27 )/ (1 - DATA!$C$7)*G28 ) - (L28*J27)</f>
        <v>6.3143692840614758</v>
      </c>
      <c r="U28" s="28">
        <f t="shared" si="1"/>
        <v>3.371246326709973</v>
      </c>
      <c r="V28" s="28">
        <f t="shared" si="3"/>
        <v>4815.085607534782</v>
      </c>
    </row>
    <row r="29" spans="1:22" x14ac:dyDescent="0.35">
      <c r="A29" s="14">
        <f t="shared" si="2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+(1-H29)*(1-DATA!$C$9)*Rates_Basic!J28</f>
        <v>4.7563664121720662E-3</v>
      </c>
      <c r="K29" s="26">
        <f>+(G29/(1-DATA!$C$7)) *DATA!$C$8</f>
        <v>1512.036984530421</v>
      </c>
      <c r="L29" s="26">
        <f>+L28*(1+DATA!$C$11)</f>
        <v>83.670905717701274</v>
      </c>
      <c r="M29" s="23">
        <f>+DATA!$C$9*(1-Rates_Basic!H29) * (G29 - DATA!$C$12)</f>
        <v>14145.979700341521</v>
      </c>
      <c r="N29" s="23">
        <f>Rates_Basic!H29 * (MAX($G$2,G29))</f>
        <v>11302.192326014976</v>
      </c>
      <c r="O29" s="23">
        <f t="shared" si="0"/>
        <v>87.993470080031145</v>
      </c>
      <c r="T29" s="28">
        <f>+ (((DATA!$C$7-DATA!$C$8) *J28 )/ (1 - DATA!$C$7)*G29 ) - (L29*J28)</f>
        <v>4.8898457737064529</v>
      </c>
      <c r="U29" s="28">
        <f t="shared" si="1"/>
        <v>2.5390485639478682</v>
      </c>
      <c r="V29" s="28">
        <f t="shared" si="3"/>
        <v>4819.9754533084888</v>
      </c>
    </row>
    <row r="30" spans="1:22" x14ac:dyDescent="0.35">
      <c r="A30" s="14">
        <f t="shared" si="2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+(1-H30)*(1-DATA!$C$9)*Rates_Basic!J29</f>
        <v>3.5486062564595642E-3</v>
      </c>
      <c r="K30" s="26">
        <f>+(G30/(1-DATA!$C$7)) *DATA!$C$8</f>
        <v>1521.3287371681588</v>
      </c>
      <c r="L30" s="26">
        <f>+L29*(1+DATA!$C$11)</f>
        <v>85.344323832055295</v>
      </c>
      <c r="M30" s="23">
        <f>+DATA!$C$9*(1-Rates_Basic!H30) * (G30 - DATA!$C$12)</f>
        <v>13989.654670229173</v>
      </c>
      <c r="N30" s="23">
        <f>Rates_Basic!H30 * (MAX($G$2,G30))</f>
        <v>12993.759750038302</v>
      </c>
      <c r="O30" s="23">
        <f t="shared" si="0"/>
        <v>68.634872907989887</v>
      </c>
      <c r="T30" s="28">
        <f>+ (((DATA!$C$7-DATA!$C$8) *J29 )/ (1 - DATA!$C$7)*G30 ) - (L30*J29)</f>
        <v>3.7289265002778325</v>
      </c>
      <c r="U30" s="28">
        <f t="shared" si="1"/>
        <v>1.8820790878087523</v>
      </c>
      <c r="V30" s="28">
        <f t="shared" si="3"/>
        <v>4823.704379808767</v>
      </c>
    </row>
    <row r="31" spans="1:22" x14ac:dyDescent="0.35">
      <c r="A31" s="14">
        <f t="shared" si="2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+(1-H31)*(1-DATA!$C$9)*Rates_Basic!J30</f>
        <v>2.5943949712624445E-3</v>
      </c>
      <c r="K31" s="26">
        <f>+(G31/(1-DATA!$C$7)) *DATA!$C$8</f>
        <v>1531.1248619675434</v>
      </c>
      <c r="L31" s="26">
        <f>+L30*(1+DATA!$C$11)</f>
        <v>87.051210308696398</v>
      </c>
      <c r="M31" s="23">
        <f>+DATA!$C$9*(1-Rates_Basic!H31) * (G31 - DATA!$C$12)</f>
        <v>13797.195764840702</v>
      </c>
      <c r="N31" s="23">
        <f>Rates_Basic!H31 * (MAX($G$2,G31))</f>
        <v>14961.500703451813</v>
      </c>
      <c r="O31" s="23">
        <f t="shared" si="0"/>
        <v>52.869625493772496</v>
      </c>
      <c r="T31" s="28">
        <f>+ (((DATA!$C$7-DATA!$C$8) *J30 )/ (1 - DATA!$C$7)*G31 ) - (L31*J30)</f>
        <v>2.7958662530940748</v>
      </c>
      <c r="U31" s="28">
        <f t="shared" si="1"/>
        <v>1.3712661430721949</v>
      </c>
      <c r="V31" s="28">
        <f t="shared" si="3"/>
        <v>4826.5002460618607</v>
      </c>
    </row>
    <row r="32" spans="1:22" x14ac:dyDescent="0.35">
      <c r="A32" s="14">
        <f t="shared" si="2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+(1-H32)*(1-DATA!$C$9)*Rates_Basic!J31</f>
        <v>1.8523249941265114E-3</v>
      </c>
      <c r="K32" s="26">
        <f>+(G32/(1-DATA!$C$7)) *DATA!$C$8</f>
        <v>1541.4342512768526</v>
      </c>
      <c r="L32" s="26">
        <f>+L31*(1+DATA!$C$11)</f>
        <v>88.79223451487033</v>
      </c>
      <c r="M32" s="23">
        <f>+DATA!$C$9*(1-Rates_Basic!H32) * (G32 - DATA!$C$12)</f>
        <v>13564.64958539183</v>
      </c>
      <c r="N32" s="23">
        <f>Rates_Basic!H32 * (MAX($G$2,G32))</f>
        <v>17232.396122594597</v>
      </c>
      <c r="O32" s="23">
        <f t="shared" si="0"/>
        <v>40.084487054376424</v>
      </c>
      <c r="T32" s="28">
        <f>+ (((DATA!$C$7-DATA!$C$8) *J31 )/ (1 - DATA!$C$7)*G32 ) - (L32*J31)</f>
        <v>2.0548317418842403</v>
      </c>
      <c r="U32" s="28">
        <f t="shared" si="1"/>
        <v>0.97905273600435161</v>
      </c>
      <c r="V32" s="28">
        <f t="shared" si="3"/>
        <v>4828.555077803745</v>
      </c>
    </row>
    <row r="33" spans="1:22" x14ac:dyDescent="0.35">
      <c r="A33" s="14">
        <f t="shared" si="2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+(1-H33)*(1-DATA!$C$9)*Rates_Basic!J32</f>
        <v>1.289875997268616E-3</v>
      </c>
      <c r="K33" s="26">
        <f>+(G33/(1-DATA!$C$7)) *DATA!$C$8</f>
        <v>1552.7357621857186</v>
      </c>
      <c r="L33" s="26">
        <f>+L32*(1+DATA!$C$11)</f>
        <v>90.568079205167734</v>
      </c>
      <c r="M33" s="23">
        <f>+DATA!$C$9*(1-Rates_Basic!H33) * (G33 - DATA!$C$12)</f>
        <v>13326.969335949652</v>
      </c>
      <c r="N33" s="23">
        <f>Rates_Basic!H33 * (MAX($G$2,G33))</f>
        <v>19606.836892337982</v>
      </c>
      <c r="O33" s="23">
        <f t="shared" si="0"/>
        <v>29.627977279166366</v>
      </c>
      <c r="T33" s="28">
        <f>+ (((DATA!$C$7-DATA!$C$8) *J32 )/ (1 - DATA!$C$7)*G33 ) - (L33*J32)</f>
        <v>1.4757649184014867</v>
      </c>
      <c r="U33" s="28">
        <f t="shared" si="1"/>
        <v>0.68267391035372837</v>
      </c>
      <c r="V33" s="28">
        <f t="shared" si="3"/>
        <v>4830.0308427221462</v>
      </c>
    </row>
    <row r="34" spans="1:22" x14ac:dyDescent="0.35">
      <c r="A34" s="14">
        <f t="shared" si="2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+(1-H34)*(1-DATA!$C$9)*Rates_Basic!J33</f>
        <v>8.7690336132881849E-4</v>
      </c>
      <c r="K34" s="26">
        <f>+(G34/(1-DATA!$C$7)) *DATA!$C$8</f>
        <v>1564.6072534038274</v>
      </c>
      <c r="L34" s="26">
        <f>+L33*(1+DATA!$C$11)</f>
        <v>92.379440789271086</v>
      </c>
      <c r="M34" s="23">
        <f>+DATA!$C$9*(1-Rates_Basic!H34) * (G34 - DATA!$C$12)</f>
        <v>13110.304808430155</v>
      </c>
      <c r="N34" s="23">
        <f>Rates_Basic!H34 * (MAX($G$2,G34))</f>
        <v>21880.964233152044</v>
      </c>
      <c r="O34" s="23">
        <f t="shared" si="0"/>
        <v>21.224060033071012</v>
      </c>
      <c r="T34" s="28">
        <f>+ (((DATA!$C$7-DATA!$C$8) *J33 )/ (1 - DATA!$C$7)*G34 ) - (L34*J33)</f>
        <v>1.0340701717236629</v>
      </c>
      <c r="U34" s="28">
        <f t="shared" si="1"/>
        <v>0.46427703866909331</v>
      </c>
      <c r="V34" s="28">
        <f t="shared" si="3"/>
        <v>4831.0649128938694</v>
      </c>
    </row>
    <row r="35" spans="1:22" x14ac:dyDescent="0.35">
      <c r="A35" s="14">
        <f t="shared" si="2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+(1-H35)*(1-DATA!$C$9)*Rates_Basic!J34</f>
        <v>5.7788707614889081E-4</v>
      </c>
      <c r="K35" s="26">
        <f>+(G35/(1-DATA!$C$7)) *DATA!$C$8</f>
        <v>1577.0603905197688</v>
      </c>
      <c r="L35" s="26">
        <f>+L34*(1+DATA!$C$11)</f>
        <v>94.227029605056515</v>
      </c>
      <c r="M35" s="23">
        <f>+DATA!$C$9*(1-Rates_Basic!H35) * (G35 - DATA!$C$12)</f>
        <v>12809.845008839653</v>
      </c>
      <c r="N35" s="23">
        <f>Rates_Basic!H35 * (MAX($G$2,G35))</f>
        <v>24754.46017868329</v>
      </c>
      <c r="O35" s="23">
        <f t="shared" ref="O35:O52" si="4">+J34*D35*(K35+L35+M35+N35)</f>
        <v>14.988391073216798</v>
      </c>
      <c r="T35" s="28">
        <f>+ (((DATA!$C$7-DATA!$C$8) *J34 )/ (1 - DATA!$C$7)*G35 ) - (L35*J34)</f>
        <v>0.70761746242005241</v>
      </c>
      <c r="U35" s="28">
        <f t="shared" ref="U35:U52" si="5">+T35*D35</f>
        <v>0.30826314616089295</v>
      </c>
      <c r="V35" s="28">
        <f t="shared" si="3"/>
        <v>4831.7725303562893</v>
      </c>
    </row>
    <row r="36" spans="1:22" x14ac:dyDescent="0.35">
      <c r="A36" s="14">
        <f t="shared" si="2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+(1-H36)*(1-DATA!$C$9)*Rates_Basic!J35</f>
        <v>3.7036809726603219E-4</v>
      </c>
      <c r="K36" s="26">
        <f>+(G36/(1-DATA!$C$7)) *DATA!$C$8</f>
        <v>1590.1074729646173</v>
      </c>
      <c r="L36" s="26">
        <f>+L35*(1+DATA!$C$11)</f>
        <v>96.111570197157647</v>
      </c>
      <c r="M36" s="23">
        <f>+DATA!$C$9*(1-Rates_Basic!H36) * (G36 - DATA!$C$12)</f>
        <v>12560.936432342078</v>
      </c>
      <c r="N36" s="23">
        <f>Rates_Basic!H36 * (MAX($G$2,G36))</f>
        <v>27325.70867048583</v>
      </c>
      <c r="O36" s="23">
        <f t="shared" si="4"/>
        <v>10.151651333517105</v>
      </c>
      <c r="T36" s="28">
        <f>+ (((DATA!$C$7-DATA!$C$8) *J35 )/ (1 - DATA!$C$7)*G36 ) - (L36*J35)</f>
        <v>0.46954554189412789</v>
      </c>
      <c r="U36" s="28">
        <f t="shared" si="5"/>
        <v>0.19840905404874046</v>
      </c>
      <c r="V36" s="28">
        <f t="shared" ref="V36:V52" si="6">+V35+T36</f>
        <v>4832.2420758981834</v>
      </c>
    </row>
    <row r="37" spans="1:22" x14ac:dyDescent="0.35">
      <c r="A37" s="14">
        <f t="shared" si="2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+(1-H37)*(1-DATA!$C$9)*Rates_Basic!J36</f>
        <v>2.280448233562444E-4</v>
      </c>
      <c r="K37" s="26">
        <f>+(G37/(1-DATA!$C$7)) *DATA!$C$8</f>
        <v>1603.2143567385515</v>
      </c>
      <c r="L37" s="26">
        <f>+L36*(1+DATA!$C$11)</f>
        <v>98.033801601100805</v>
      </c>
      <c r="M37" s="23">
        <f>+DATA!$C$9*(1-Rates_Basic!H37) * (G37 - DATA!$C$12)</f>
        <v>12167.009053232536</v>
      </c>
      <c r="N37" s="23">
        <f>Rates_Basic!H37 * (MAX($G$2,G37))</f>
        <v>30868.093018690484</v>
      </c>
      <c r="O37" s="23">
        <f t="shared" si="4"/>
        <v>6.7912798245369039</v>
      </c>
      <c r="T37" s="28">
        <f>+ (((DATA!$C$7-DATA!$C$8) *J36 )/ (1 - DATA!$C$7)*G37 ) - (L37*J36)</f>
        <v>0.30299395075601199</v>
      </c>
      <c r="U37" s="28">
        <f t="shared" si="5"/>
        <v>0.12419138290570607</v>
      </c>
      <c r="V37" s="28">
        <f t="shared" si="6"/>
        <v>4832.5450698489394</v>
      </c>
    </row>
    <row r="38" spans="1:22" x14ac:dyDescent="0.35">
      <c r="A38" s="14">
        <f t="shared" si="2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+(1-H38)*(1-DATA!$C$9)*Rates_Basic!J37</f>
        <v>1.3460884477301988E-4</v>
      </c>
      <c r="K38" s="26">
        <f>+(G38/(1-DATA!$C$7)) *DATA!$C$8</f>
        <v>1616.9008642635238</v>
      </c>
      <c r="L38" s="26">
        <f>+L37*(1+DATA!$C$11)</f>
        <v>99.994477633122827</v>
      </c>
      <c r="M38" s="23">
        <f>+DATA!$C$9*(1-Rates_Basic!H38) * (G38 - DATA!$C$12)</f>
        <v>11763.675035588998</v>
      </c>
      <c r="N38" s="23">
        <f>Rates_Basic!H38 * (MAX($G$2,G38))</f>
        <v>34513.685632234738</v>
      </c>
      <c r="O38" s="23">
        <f t="shared" si="4"/>
        <v>4.3502482602061914</v>
      </c>
      <c r="T38" s="28">
        <f>+ (((DATA!$C$7-DATA!$C$8) *J37 )/ (1 - DATA!$C$7)*G38 ) - (L38*J37)</f>
        <v>0.18789727528328837</v>
      </c>
      <c r="U38" s="28">
        <f t="shared" si="5"/>
        <v>7.4683565303539118E-2</v>
      </c>
      <c r="V38" s="28">
        <f t="shared" si="6"/>
        <v>4832.7329671242223</v>
      </c>
    </row>
    <row r="39" spans="1:22" x14ac:dyDescent="0.35">
      <c r="A39" s="14">
        <f t="shared" si="2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+(1-H39)*(1-DATA!$C$9)*Rates_Basic!J38</f>
        <v>7.6364893451778384E-5</v>
      </c>
      <c r="K39" s="26">
        <f>+(G39/(1-DATA!$C$7)) *DATA!$C$8</f>
        <v>1631.1798595382238</v>
      </c>
      <c r="L39" s="26">
        <f>+L38*(1+DATA!$C$11)</f>
        <v>101.99436718578528</v>
      </c>
      <c r="M39" s="23">
        <f>+DATA!$C$9*(1-Rates_Basic!H39) * (G39 - DATA!$C$12)</f>
        <v>11405.883294484225</v>
      </c>
      <c r="N39" s="23">
        <f>Rates_Basic!H39 * (MAX($G$2,G39))</f>
        <v>37896.994048427747</v>
      </c>
      <c r="O39" s="23">
        <f t="shared" si="4"/>
        <v>2.6471321474022007</v>
      </c>
      <c r="T39" s="28">
        <f>+ (((DATA!$C$7-DATA!$C$8) *J38 )/ (1 - DATA!$C$7)*G39 ) - (L39*J38)</f>
        <v>0.11173993406517027</v>
      </c>
      <c r="U39" s="28">
        <f t="shared" si="5"/>
        <v>4.3055969056100277E-2</v>
      </c>
      <c r="V39" s="28">
        <f t="shared" si="6"/>
        <v>4832.8447070582879</v>
      </c>
    </row>
    <row r="40" spans="1:22" x14ac:dyDescent="0.35">
      <c r="A40" s="14">
        <f t="shared" si="2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+(1-H40)*(1-DATA!$C$9)*Rates_Basic!J39</f>
        <v>4.1764646023703237E-5</v>
      </c>
      <c r="K40" s="26">
        <f>+(G40/(1-DATA!$C$7)) *DATA!$C$8</f>
        <v>1646.0648363423545</v>
      </c>
      <c r="L40" s="26">
        <f>+L39*(1+DATA!$C$11)</f>
        <v>104.03425452950098</v>
      </c>
      <c r="M40" s="23">
        <f>+DATA!$C$9*(1-Rates_Basic!H40) * (G40 - DATA!$C$12)</f>
        <v>11096.0805737871</v>
      </c>
      <c r="N40" s="23">
        <f>Rates_Basic!H40 * (MAX($G$2,G40))</f>
        <v>41002.647485973328</v>
      </c>
      <c r="O40" s="23">
        <f t="shared" si="4"/>
        <v>1.5356375534418227</v>
      </c>
      <c r="T40" s="28">
        <f>+ (((DATA!$C$7-DATA!$C$8) *J39 )/ (1 - DATA!$C$7)*G40 ) - (L40*J39)</f>
        <v>6.3884901432949698E-2</v>
      </c>
      <c r="U40" s="28">
        <f t="shared" si="5"/>
        <v>2.3857061734524891E-2</v>
      </c>
      <c r="V40" s="28">
        <f t="shared" si="6"/>
        <v>4832.908591959721</v>
      </c>
    </row>
    <row r="41" spans="1:22" x14ac:dyDescent="0.35">
      <c r="A41" s="14">
        <f t="shared" si="2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+(1-H41)*(1-DATA!$C$9)*Rates_Basic!J40</f>
        <v>2.2042525102830199E-5</v>
      </c>
      <c r="K41" s="26">
        <f>+(G41/(1-DATA!$C$7)) *DATA!$C$8</f>
        <v>1660.9387176123464</v>
      </c>
      <c r="L41" s="26">
        <f>+L40*(1+DATA!$C$11)</f>
        <v>106.11493962009101</v>
      </c>
      <c r="M41" s="23">
        <f>+DATA!$C$9*(1-Rates_Basic!H41) * (G41 - DATA!$C$12)</f>
        <v>10804.742820518673</v>
      </c>
      <c r="N41" s="23">
        <f>Rates_Basic!H41 * (MAX($G$2,G41))</f>
        <v>43984.396127947504</v>
      </c>
      <c r="O41" s="23">
        <f t="shared" si="4"/>
        <v>0.85494834985808599</v>
      </c>
      <c r="T41" s="28">
        <f>+ (((DATA!$C$7-DATA!$C$8) *J40 )/ (1 - DATA!$C$7)*G41 ) - (L41*J40)</f>
        <v>3.5207300027879238E-2</v>
      </c>
      <c r="U41" s="28">
        <f t="shared" si="5"/>
        <v>1.2743350546599499E-2</v>
      </c>
      <c r="V41" s="28">
        <f t="shared" si="6"/>
        <v>4832.9437992597486</v>
      </c>
    </row>
    <row r="42" spans="1:22" x14ac:dyDescent="0.35">
      <c r="A42" s="14">
        <f t="shared" si="2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+(1-H42)*(1-DATA!$C$9)*Rates_Basic!J41</f>
        <v>1.1194569766911169E-5</v>
      </c>
      <c r="K42" s="26">
        <f>+(G42/(1-DATA!$C$7)) *DATA!$C$8</f>
        <v>1676.4030408347244</v>
      </c>
      <c r="L42" s="26">
        <f>+L41*(1+DATA!$C$11)</f>
        <v>108.23723841249283</v>
      </c>
      <c r="M42" s="23">
        <f>+DATA!$C$9*(1-Rates_Basic!H42) * (G42 - DATA!$C$12)</f>
        <v>10493.816843120974</v>
      </c>
      <c r="N42" s="23">
        <f>Rates_Basic!H42 * (MAX($G$2,G42))</f>
        <v>47137.998052000192</v>
      </c>
      <c r="O42" s="23">
        <f t="shared" si="4"/>
        <v>0.45933867621669638</v>
      </c>
      <c r="T42" s="28">
        <f>+ (((DATA!$C$7-DATA!$C$8) *J41 )/ (1 - DATA!$C$7)*G42 ) - (L42*J41)</f>
        <v>1.8729695732408916E-2</v>
      </c>
      <c r="U42" s="28">
        <f t="shared" si="5"/>
        <v>6.5689454393076168E-3</v>
      </c>
      <c r="V42" s="28">
        <f t="shared" si="6"/>
        <v>4832.9625289554806</v>
      </c>
    </row>
    <row r="43" spans="1:22" x14ac:dyDescent="0.35">
      <c r="A43" s="14">
        <f t="shared" si="2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+(1-H43)*(1-DATA!$C$9)*Rates_Basic!J42</f>
        <v>5.3838281313074997E-6</v>
      </c>
      <c r="K43" s="26">
        <f>+(G43/(1-DATA!$C$7)) *DATA!$C$8</f>
        <v>1691.7959151876225</v>
      </c>
      <c r="L43" s="26">
        <f>+L42*(1+DATA!$C$11)</f>
        <v>110.40198318074269</v>
      </c>
      <c r="M43" s="23">
        <f>+DATA!$C$9*(1-Rates_Basic!H43) * (G43 - DATA!$C$12)</f>
        <v>10028.625269756958</v>
      </c>
      <c r="N43" s="23">
        <f>Rates_Basic!H43 * (MAX($G$2,G43))</f>
        <v>51315.21108421278</v>
      </c>
      <c r="O43" s="23">
        <f t="shared" si="4"/>
        <v>0.24026346901532497</v>
      </c>
      <c r="T43" s="28">
        <f>+ (((DATA!$C$7-DATA!$C$8) *J42 )/ (1 - DATA!$C$7)*G43 ) - (L43*J42)</f>
        <v>9.586341527702491E-3</v>
      </c>
      <c r="U43" s="28">
        <f t="shared" si="5"/>
        <v>3.2582706207288153E-3</v>
      </c>
      <c r="V43" s="28">
        <f t="shared" si="6"/>
        <v>4832.9721152970087</v>
      </c>
    </row>
    <row r="44" spans="1:22" x14ac:dyDescent="0.35">
      <c r="A44" s="14">
        <f t="shared" si="2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+(1-H44)*(1-DATA!$C$9)*Rates_Basic!J43</f>
        <v>2.4030133983938392E-6</v>
      </c>
      <c r="K44" s="26">
        <f>+(G44/(1-DATA!$C$7)) *DATA!$C$8</f>
        <v>1707.7614347478809</v>
      </c>
      <c r="L44" s="26">
        <f>+L43*(1+DATA!$C$11)</f>
        <v>112.61002284435754</v>
      </c>
      <c r="M44" s="23">
        <f>+DATA!$C$9*(1-Rates_Basic!H44) * (G44 - DATA!$C$12)</f>
        <v>9395.1246321543458</v>
      </c>
      <c r="N44" s="23">
        <f>Rates_Basic!H44 * (MAX($G$2,G44))</f>
        <v>56654.668200539658</v>
      </c>
      <c r="O44" s="23">
        <f t="shared" si="4"/>
        <v>0.12032724351356876</v>
      </c>
      <c r="T44" s="28">
        <f>+ (((DATA!$C$7-DATA!$C$8) *J43 )/ (1 - DATA!$C$7)*G44 ) - (L44*J43)</f>
        <v>4.6476093076906217E-3</v>
      </c>
      <c r="U44" s="28">
        <f t="shared" si="5"/>
        <v>1.5304653192402082E-3</v>
      </c>
      <c r="V44" s="28">
        <f t="shared" si="6"/>
        <v>4832.9767629063163</v>
      </c>
    </row>
    <row r="45" spans="1:22" x14ac:dyDescent="0.35">
      <c r="A45" s="14">
        <f t="shared" si="2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+(1-H45)*(1-DATA!$C$9)*Rates_Basic!J44</f>
        <v>1.0017937803684089E-6</v>
      </c>
      <c r="K45" s="26">
        <f>+(G45/(1-DATA!$C$7)) *DATA!$C$8</f>
        <v>1724.313025439284</v>
      </c>
      <c r="L45" s="26">
        <f>+L44*(1+DATA!$C$11)</f>
        <v>114.8622233012447</v>
      </c>
      <c r="M45" s="23">
        <f>+DATA!$C$9*(1-Rates_Basic!H45) * (G45 - DATA!$C$12)</f>
        <v>8860.3175161360541</v>
      </c>
      <c r="N45" s="23">
        <f>Rates_Basic!H45 * (MAX($G$2,G45))</f>
        <v>61376.988716237232</v>
      </c>
      <c r="O45" s="23">
        <f t="shared" si="4"/>
        <v>5.5245078872814268E-2</v>
      </c>
      <c r="T45" s="28">
        <f>+ (((DATA!$C$7-DATA!$C$8) *J44 )/ (1 - DATA!$C$7)*G45 ) - (L45*J44)</f>
        <v>2.0917258545267272E-3</v>
      </c>
      <c r="U45" s="28">
        <f t="shared" si="5"/>
        <v>6.6718856206528915E-4</v>
      </c>
      <c r="V45" s="28">
        <f t="shared" si="6"/>
        <v>4832.9788546321706</v>
      </c>
    </row>
    <row r="46" spans="1:22" x14ac:dyDescent="0.35">
      <c r="A46" s="14">
        <f t="shared" si="2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+(1-H46)*(1-DATA!$C$9)*Rates_Basic!J45</f>
        <v>3.879287730341853E-7</v>
      </c>
      <c r="K46" s="26">
        <f>+(G46/(1-DATA!$C$7)) *DATA!$C$8</f>
        <v>1740.7187854640399</v>
      </c>
      <c r="L46" s="26">
        <f>+L45*(1+DATA!$C$11)</f>
        <v>117.15946776726959</v>
      </c>
      <c r="M46" s="23">
        <f>+DATA!$C$9*(1-Rates_Basic!H46) * (G46 - DATA!$C$12)</f>
        <v>8308.3349247921324</v>
      </c>
      <c r="N46" s="23">
        <f>Rates_Basic!H46 * (MAX($G$2,G46))</f>
        <v>66203.629979659425</v>
      </c>
      <c r="O46" s="23">
        <f t="shared" si="4"/>
        <v>2.3641248342585058E-2</v>
      </c>
      <c r="T46" s="28">
        <f>+ (((DATA!$C$7-DATA!$C$8) *J45 )/ (1 - DATA!$C$7)*G46 ) - (L46*J45)</f>
        <v>8.791110896785194E-4</v>
      </c>
      <c r="U46" s="28">
        <f t="shared" si="5"/>
        <v>2.7165264247600056E-4</v>
      </c>
      <c r="V46" s="28">
        <f t="shared" si="6"/>
        <v>4832.9797337432601</v>
      </c>
    </row>
    <row r="47" spans="1:22" x14ac:dyDescent="0.35">
      <c r="A47" s="14">
        <f t="shared" si="2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+(1-H47)*(1-DATA!$C$9)*Rates_Basic!J46</f>
        <v>1.3874044193898951E-7</v>
      </c>
      <c r="K47" s="26">
        <f>+(G47/(1-DATA!$C$7)) *DATA!$C$8</f>
        <v>1757.6902677897244</v>
      </c>
      <c r="L47" s="26">
        <f>+L46*(1+DATA!$C$11)</f>
        <v>119.50265712261498</v>
      </c>
      <c r="M47" s="23">
        <f>+DATA!$C$9*(1-Rates_Basic!H47) * (G47 - DATA!$C$12)</f>
        <v>7748.2894501537294</v>
      </c>
      <c r="N47" s="23">
        <f>Rates_Basic!H47 * (MAX($G$2,G47))</f>
        <v>71123.541978971596</v>
      </c>
      <c r="O47" s="23">
        <f t="shared" si="4"/>
        <v>9.3752870727437983E-3</v>
      </c>
      <c r="T47" s="28">
        <f>+ (((DATA!$C$7-DATA!$C$8) *J46 )/ (1 - DATA!$C$7)*G47 ) - (L47*J46)</f>
        <v>3.4327498310969686E-4</v>
      </c>
      <c r="U47" s="28">
        <f t="shared" si="5"/>
        <v>1.027395011557388E-4</v>
      </c>
      <c r="V47" s="28">
        <f t="shared" si="6"/>
        <v>4832.9800770182428</v>
      </c>
    </row>
    <row r="48" spans="1:22" x14ac:dyDescent="0.35">
      <c r="A48" s="14">
        <f t="shared" si="2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+(1-H48)*(1-DATA!$C$9)*Rates_Basic!J47</f>
        <v>4.5563054418752522E-8</v>
      </c>
      <c r="K48" s="26">
        <f>+(G48/(1-DATA!$C$7)) *DATA!$C$8</f>
        <v>1774.446123037156</v>
      </c>
      <c r="L48" s="26">
        <f>+L47*(1+DATA!$C$11)</f>
        <v>121.89271026506728</v>
      </c>
      <c r="M48" s="23">
        <f>+DATA!$C$9*(1-Rates_Basic!H48) * (G48 - DATA!$C$12)</f>
        <v>7182.6656330904179</v>
      </c>
      <c r="N48" s="23">
        <f>Rates_Basic!H48 * (MAX($G$2,G48))</f>
        <v>76065.571578973773</v>
      </c>
      <c r="O48" s="23">
        <f t="shared" si="4"/>
        <v>3.425103854456039E-3</v>
      </c>
      <c r="T48" s="28">
        <f>+ (((DATA!$C$7-DATA!$C$8) *J47 )/ (1 - DATA!$C$7)*G48 ) - (L48*J47)</f>
        <v>1.2376708825559852E-4</v>
      </c>
      <c r="U48" s="28">
        <f t="shared" si="5"/>
        <v>3.5885488077609395E-5</v>
      </c>
      <c r="V48" s="28">
        <f t="shared" si="6"/>
        <v>4832.9802007853314</v>
      </c>
    </row>
    <row r="49" spans="1:22" x14ac:dyDescent="0.35">
      <c r="A49" s="14">
        <f t="shared" si="2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+(1-H49)*(1-DATA!$C$9)*Rates_Basic!J48</f>
        <v>1.3659528263296515E-8</v>
      </c>
      <c r="K49" s="26">
        <f>+(G49/(1-DATA!$C$7)) *DATA!$C$8</f>
        <v>1791.7444399896863</v>
      </c>
      <c r="L49" s="26">
        <f>+L48*(1+DATA!$C$11)</f>
        <v>124.33056447036863</v>
      </c>
      <c r="M49" s="23">
        <f>+DATA!$C$9*(1-Rates_Basic!H49) * (G49 - DATA!$C$12)</f>
        <v>6620.8338338576732</v>
      </c>
      <c r="N49" s="23">
        <f>Rates_Basic!H49 * (MAX($G$2,G49))</f>
        <v>81020.201106733104</v>
      </c>
      <c r="O49" s="23">
        <f t="shared" si="4"/>
        <v>1.1459144367994404E-3</v>
      </c>
      <c r="T49" s="28">
        <f>+ (((DATA!$C$7-DATA!$C$8) *J48 )/ (1 - DATA!$C$7)*G49 ) - (L49*J48)</f>
        <v>4.0985033681549413E-5</v>
      </c>
      <c r="U49" s="28">
        <f t="shared" si="5"/>
        <v>1.1509715446936996E-5</v>
      </c>
      <c r="V49" s="28">
        <f t="shared" si="6"/>
        <v>4832.980241770365</v>
      </c>
    </row>
    <row r="50" spans="1:22" x14ac:dyDescent="0.35">
      <c r="A50" s="14">
        <f t="shared" si="2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+(1-H50)*(1-DATA!$C$9)*Rates_Basic!J49</f>
        <v>3.7164584694549589E-9</v>
      </c>
      <c r="K50" s="26">
        <f>+(G50/(1-DATA!$C$7)) *DATA!$C$8</f>
        <v>1809.5978725515176</v>
      </c>
      <c r="L50" s="26">
        <f>+L49*(1+DATA!$C$11)</f>
        <v>126.81717575977601</v>
      </c>
      <c r="M50" s="23">
        <f>+DATA!$C$9*(1-Rates_Basic!H50) * (G50 - DATA!$C$12)</f>
        <v>6068.6221336188992</v>
      </c>
      <c r="N50" s="23">
        <f>Rates_Basic!H50 * (MAX($G$2,G50))</f>
        <v>85949.454368420484</v>
      </c>
      <c r="O50" s="23">
        <f t="shared" si="4"/>
        <v>3.489999634035284E-4</v>
      </c>
      <c r="T50" s="28">
        <f>+ (((DATA!$C$7-DATA!$C$8) *J49 )/ (1 - DATA!$C$7)*G50 ) - (L50*J49)</f>
        <v>1.2392453366477153E-5</v>
      </c>
      <c r="U50" s="28">
        <f t="shared" si="5"/>
        <v>3.3699963228639324E-6</v>
      </c>
      <c r="V50" s="28">
        <f t="shared" si="6"/>
        <v>4832.9802541628187</v>
      </c>
    </row>
    <row r="51" spans="1:22" x14ac:dyDescent="0.35">
      <c r="A51" s="14">
        <f t="shared" si="2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+(1-H51)*(1-DATA!$C$9)*Rates_Basic!J50</f>
        <v>9.1238224796651336E-10</v>
      </c>
      <c r="K51" s="26">
        <f>+(G51/(1-DATA!$C$7)) *DATA!$C$8</f>
        <v>1827.1480956427774</v>
      </c>
      <c r="L51" s="26">
        <f>+L50*(1+DATA!$C$11)</f>
        <v>129.35351927497152</v>
      </c>
      <c r="M51" s="23">
        <f>+DATA!$C$9*(1-Rates_Basic!H51) * (G51 - DATA!$C$12)</f>
        <v>5528.8701353749575</v>
      </c>
      <c r="N51" s="23">
        <f>Rates_Basic!H51 * (MAX($G$2,G51))</f>
        <v>90774.434884640956</v>
      </c>
      <c r="O51" s="23">
        <f t="shared" si="4"/>
        <v>9.6188799627284208E-5</v>
      </c>
      <c r="T51" s="28">
        <f>+ (((DATA!$C$7-DATA!$C$8) *J50 )/ (1 - DATA!$C$7)*G51 ) - (L51*J50)</f>
        <v>3.3995601691653538E-6</v>
      </c>
      <c r="U51" s="28">
        <f t="shared" si="5"/>
        <v>8.9545145831972385E-7</v>
      </c>
      <c r="V51" s="28">
        <f t="shared" si="6"/>
        <v>4832.9802575623789</v>
      </c>
    </row>
    <row r="52" spans="1:22" x14ac:dyDescent="0.35">
      <c r="A52" s="14">
        <f t="shared" si="2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+(1-H52)*(1-DATA!$C$9)*Rates_Basic!J51</f>
        <v>2.0096874985242516E-10</v>
      </c>
      <c r="K52" s="26">
        <f>+(G52/(1-DATA!$C$7)) *DATA!$C$8</f>
        <v>1846.1247301337507</v>
      </c>
      <c r="L52" s="26">
        <f>+L51*(1+DATA!$C$11)</f>
        <v>131.94058966047095</v>
      </c>
      <c r="M52" s="23">
        <f>(1-Rates_Basic!H52) * (G52)</f>
        <v>33419.860877171654</v>
      </c>
      <c r="N52" s="23">
        <f>Rates_Basic!H52 * (MAX($G$2,G52))</f>
        <v>95545.138127886079</v>
      </c>
      <c r="O52" s="23">
        <f t="shared" si="4"/>
        <v>3.0460021602999791E-5</v>
      </c>
      <c r="T52" s="28">
        <f>+ (((DATA!$C$7-DATA!$C$8) *J51 )/ (1 - DATA!$C$7)*G52 ) - (L52*J51)</f>
        <v>8.4211770895384044E-7</v>
      </c>
      <c r="U52" s="28">
        <f t="shared" si="5"/>
        <v>2.1470575254753297E-7</v>
      </c>
      <c r="V52" s="28">
        <f t="shared" si="6"/>
        <v>4832.9802584044965</v>
      </c>
    </row>
    <row r="53" spans="1:22" x14ac:dyDescent="0.35">
      <c r="T53" s="62" t="s">
        <v>47</v>
      </c>
      <c r="U53" s="62">
        <f>+SUM(U3:U52)</f>
        <v>4187.9915173783211</v>
      </c>
      <c r="V53" s="54"/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A53D-DDE3-4855-A23E-0FE69E365EAC}">
  <sheetPr>
    <tabColor theme="9" tint="0.79998168889431442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+VLOOKUP($A2,DATA!$J$2:$Y$54,3)</f>
        <v>0</v>
      </c>
      <c r="C2" s="16">
        <f>+VLOOKUP($A2,DATA!$J$2:$Y$54,6)</f>
        <v>0</v>
      </c>
      <c r="D2" s="21">
        <f>+VLOOKUP($A2,DATA!$J$2:$Y$54,9)</f>
        <v>1</v>
      </c>
      <c r="E2" s="16">
        <f>+VLOOKUP($A2,DATA!$J$2:$Y$54,15)</f>
        <v>0</v>
      </c>
      <c r="F2" s="17">
        <f>+VLOOKUP($A2,DATA!$J$2:$Y$54,12)</f>
        <v>1</v>
      </c>
      <c r="G2" s="18">
        <f>+DATA!C4+DATA!C5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+VLOOKUP($A3,DATA!$J$2:$Y$54,3)</f>
        <v>5.9740000000000001E-2</v>
      </c>
      <c r="C3" s="16">
        <f>+VLOOKUP($A3,DATA!$J$2:$Y$54,6)</f>
        <v>5.8023595018308137E-2</v>
      </c>
      <c r="D3" s="21">
        <f>+VLOOKUP($A3,DATA!$J$2:$Y$54,9)</f>
        <v>0.94362768226168692</v>
      </c>
      <c r="E3" s="16">
        <f>+VLOOKUP($A3,DATA!$J$2:$Y$54,15)</f>
        <v>5.802359501830813E-2</v>
      </c>
      <c r="F3" s="17">
        <f>+VLOOKUP($A3,DATA!$J$2:$Y$54,12)</f>
        <v>0.94362768226168692</v>
      </c>
      <c r="G3" s="18">
        <f>+(G2*(1-DATA!$C$7)/F3)</f>
        <v>103642.57199999999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+(1-H3)*(1-DATA!$C$9)*Rates_Up!J2</f>
        <v>0.84450231049999991</v>
      </c>
      <c r="K3" s="26">
        <f>+(G3/(1-DATA!$C$7)) *DATA!$C$8</f>
        <v>1483.6359999999997</v>
      </c>
      <c r="L3" s="26">
        <f>+DATA!C10</f>
        <v>50</v>
      </c>
      <c r="M3" s="23">
        <f>+DATA!$C$9*(1-Rates_Up!H3) * (G3 - DATA!$C$12)</f>
        <v>15442.85320128575</v>
      </c>
      <c r="N3" s="23">
        <f>Rates_Up!H3 * (MAX($G$2,G3) )</f>
        <v>670.34668216163982</v>
      </c>
      <c r="O3" s="23">
        <f t="shared" ref="O3:O34" si="0">+J2*D3*(K3+L3+M3+N3)</f>
        <v>16652.042843949828</v>
      </c>
      <c r="Q3" s="6" t="s">
        <v>40</v>
      </c>
      <c r="R3" s="27">
        <f>+SUM(O2:O52)</f>
        <v>95777.036373819457</v>
      </c>
    </row>
    <row r="4" spans="1:18" x14ac:dyDescent="0.35">
      <c r="A4" s="14">
        <f t="shared" ref="A4:A52" si="1">+A3+1</f>
        <v>2</v>
      </c>
      <c r="B4" s="16">
        <f>+VLOOKUP($A4,DATA!$J$2:$Y$54,3)</f>
        <v>5.16E-2</v>
      </c>
      <c r="C4" s="16">
        <f>+VLOOKUP($A4,DATA!$J$2:$Y$54,6)</f>
        <v>5.0312813873589178E-2</v>
      </c>
      <c r="D4" s="21">
        <f>+VLOOKUP($A4,DATA!$J$2:$Y$54,9)</f>
        <v>0.90427150368487008</v>
      </c>
      <c r="E4" s="16">
        <f>+VLOOKUP($A4,DATA!$J$2:$Y$54,15)</f>
        <v>4.2602032728870157E-2</v>
      </c>
      <c r="F4" s="17">
        <f>+VLOOKUP($A4,DATA!$J$2:$Y$54,12)</f>
        <v>0.95829268331500417</v>
      </c>
      <c r="G4" s="18">
        <f>+(G3*(1-DATA!$C$7)/F4)</f>
        <v>105773.984483904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+(1-H4)*(1-DATA!$C$9)*Rates_Up!J3</f>
        <v>0.71273020584612179</v>
      </c>
      <c r="K4" s="26">
        <f>+(G4/(1-DATA!$C$7)) *DATA!$C$8</f>
        <v>1514.147017152</v>
      </c>
      <c r="L4" s="26">
        <f>+L3*(1+DATA!$C$11)</f>
        <v>51</v>
      </c>
      <c r="M4" s="23">
        <f>+DATA!$C$9*(1-Rates_Up!H4) * (G4 - DATA!$C$12)</f>
        <v>15750.465554704848</v>
      </c>
      <c r="N4" s="23">
        <f>Rates_Up!H4 * (MAX($G$2,G4) )</f>
        <v>751.0227910716842</v>
      </c>
      <c r="O4" s="23">
        <f t="shared" si="0"/>
        <v>13796.755454813616</v>
      </c>
      <c r="Q4" s="6" t="s">
        <v>41</v>
      </c>
      <c r="R4" s="27">
        <f>+R2-R3</f>
        <v>4222.9636261805426</v>
      </c>
    </row>
    <row r="5" spans="1:18" x14ac:dyDescent="0.35">
      <c r="A5" s="14">
        <f t="shared" si="1"/>
        <v>3</v>
      </c>
      <c r="B5" s="16">
        <f>+VLOOKUP($A5,DATA!$J$2:$Y$54,3)</f>
        <v>4.564E-2</v>
      </c>
      <c r="C5" s="16">
        <f>+VLOOKUP($A5,DATA!$J$2:$Y$54,6)</f>
        <v>4.4629138143204593E-2</v>
      </c>
      <c r="D5" s="21">
        <f>+VLOOKUP($A5,DATA!$J$2:$Y$54,9)</f>
        <v>0.87468853636775745</v>
      </c>
      <c r="E5" s="16">
        <f>+VLOOKUP($A5,DATA!$J$2:$Y$54,15)</f>
        <v>3.3261786682435443E-2</v>
      </c>
      <c r="F5" s="17">
        <f>+VLOOKUP($A5,DATA!$J$2:$Y$54,12)</f>
        <v>0.96728530403030144</v>
      </c>
      <c r="G5" s="18">
        <f>+(G4*(1-DATA!$C$7)/F5)</f>
        <v>106945.65129257613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+(1-H5)*(1-DATA!$C$9)*Rates_Up!J4</f>
        <v>0.60108612581225174</v>
      </c>
      <c r="K5" s="26">
        <f>+(G5/(1-DATA!$C$7)) *DATA!$C$8</f>
        <v>1530.919343656509</v>
      </c>
      <c r="L5" s="26">
        <f>+L4*(1+DATA!$C$11)</f>
        <v>52.02</v>
      </c>
      <c r="M5" s="23">
        <f>+DATA!$C$9*(1-Rates_Up!H5) * (G5 - DATA!$C$12)</f>
        <v>15913.502495273928</v>
      </c>
      <c r="N5" s="23">
        <f>Rates_Up!H5 * (MAX($G$2,G5) )</f>
        <v>835.79095941661171</v>
      </c>
      <c r="O5" s="23">
        <f t="shared" si="0"/>
        <v>11428.624485084158</v>
      </c>
      <c r="Q5" s="6" t="s">
        <v>43</v>
      </c>
      <c r="R5" s="27">
        <f>+MAX(Rates_Basic!R4-R4,0)</f>
        <v>0</v>
      </c>
    </row>
    <row r="6" spans="1:18" x14ac:dyDescent="0.35">
      <c r="A6" s="14">
        <f t="shared" si="1"/>
        <v>4</v>
      </c>
      <c r="B6" s="16">
        <f>+VLOOKUP($A6,DATA!$J$2:$Y$54,3)</f>
        <v>4.1930000000000002E-2</v>
      </c>
      <c r="C6" s="16">
        <f>+VLOOKUP($A6,DATA!$J$2:$Y$54,6)</f>
        <v>4.107476257171943E-2</v>
      </c>
      <c r="D6" s="21">
        <f>+VLOOKUP($A6,DATA!$J$2:$Y$54,9)</f>
        <v>0.84848824328325068</v>
      </c>
      <c r="E6" s="16">
        <f>+VLOOKUP($A6,DATA!$J$2:$Y$54,15)</f>
        <v>3.0411635857263992E-2</v>
      </c>
      <c r="F6" s="17">
        <f>+VLOOKUP($A6,DATA!$J$2:$Y$54,12)</f>
        <v>0.9700461455762226</v>
      </c>
      <c r="G6" s="18">
        <f>+(G5*(1-DATA!$C$7)/F6)</f>
        <v>107822.5478665344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+(1-H6)*(1-DATA!$C$9)*Rates_Up!J5</f>
        <v>0.50649612377229214</v>
      </c>
      <c r="K6" s="26">
        <f>+(G6/(1-DATA!$C$7)) *DATA!$C$8</f>
        <v>1543.4720553491632</v>
      </c>
      <c r="L6" s="26">
        <f>+L5*(1+DATA!$C$11)</f>
        <v>53.060400000000001</v>
      </c>
      <c r="M6" s="23">
        <f>+DATA!$C$9*(1-Rates_Up!H6) * (G6 - DATA!$C$12)</f>
        <v>16030.267920540313</v>
      </c>
      <c r="N6" s="23">
        <f>Rates_Up!H6 * (MAX($G$2,G6) )</f>
        <v>934.2683603322979</v>
      </c>
      <c r="O6" s="23">
        <f t="shared" si="0"/>
        <v>9466.4143942575192</v>
      </c>
      <c r="Q6" s="6" t="s">
        <v>42</v>
      </c>
      <c r="R6" s="8">
        <f>+SUMPRODUCT(A2:A52,O2:O52)/R3</f>
        <v>5.6129510428660039</v>
      </c>
    </row>
    <row r="7" spans="1:18" x14ac:dyDescent="0.35">
      <c r="A7" s="14">
        <f t="shared" si="1"/>
        <v>5</v>
      </c>
      <c r="B7" s="16">
        <f>+VLOOKUP($A7,DATA!$J$2:$Y$54,3)</f>
        <v>3.9510000000000003E-2</v>
      </c>
      <c r="C7" s="16">
        <f>+VLOOKUP($A7,DATA!$J$2:$Y$54,6)</f>
        <v>3.8749448279278509E-2</v>
      </c>
      <c r="D7" s="21">
        <f>+VLOOKUP($A7,DATA!$J$2:$Y$54,9)</f>
        <v>0.82386611720300673</v>
      </c>
      <c r="E7" s="16">
        <f>+VLOOKUP($A7,DATA!$J$2:$Y$54,15)</f>
        <v>2.9448191109514819E-2</v>
      </c>
      <c r="F7" s="17">
        <f>+VLOOKUP($A7,DATA!$J$2:$Y$54,12)</f>
        <v>0.97098118179579262</v>
      </c>
      <c r="G7" s="18">
        <f>+(G6*(1-DATA!$C$7)/F7)</f>
        <v>108601.952118623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+(1-H7)*(1-DATA!$C$9)*Rates_Up!J6</f>
        <v>0.42636600834260208</v>
      </c>
      <c r="K7" s="26">
        <f>+(G7/(1-DATA!$C$7)) *DATA!$C$8</f>
        <v>1554.629171432231</v>
      </c>
      <c r="L7" s="26">
        <f>+L6*(1+DATA!$C$11)</f>
        <v>54.121608000000002</v>
      </c>
      <c r="M7" s="23">
        <f>+DATA!$C$9*(1-Rates_Up!H7) * (G7 - DATA!$C$12)</f>
        <v>16130.076466411134</v>
      </c>
      <c r="N7" s="23">
        <f>Rates_Up!H7 * (MAX($G$2,G7) )</f>
        <v>1048.3020632154323</v>
      </c>
      <c r="O7" s="23">
        <f t="shared" si="0"/>
        <v>7839.5871573648728</v>
      </c>
      <c r="Q7" s="6" t="s">
        <v>44</v>
      </c>
      <c r="R7" s="27">
        <f>+MAX(R5,0)</f>
        <v>0</v>
      </c>
    </row>
    <row r="8" spans="1:18" x14ac:dyDescent="0.35">
      <c r="A8" s="14">
        <f t="shared" si="1"/>
        <v>6</v>
      </c>
      <c r="B8" s="16">
        <f>+VLOOKUP($A8,DATA!$J$2:$Y$54,3)</f>
        <v>3.8030000000000001E-2</v>
      </c>
      <c r="C8" s="16">
        <f>+VLOOKUP($A8,DATA!$J$2:$Y$54,6)</f>
        <v>3.7324686060153878E-2</v>
      </c>
      <c r="D8" s="21">
        <f>+VLOOKUP($A8,DATA!$J$2:$Y$54,9)</f>
        <v>0.79935660682316689</v>
      </c>
      <c r="E8" s="16">
        <f>+VLOOKUP($A8,DATA!$J$2:$Y$54,15)</f>
        <v>3.0200874964530677E-2</v>
      </c>
      <c r="F8" s="17">
        <f>+VLOOKUP($A8,DATA!$J$2:$Y$54,12)</f>
        <v>0.97025061491416997</v>
      </c>
      <c r="G8" s="18">
        <f>+(G7*(1-DATA!$C$7)/F8)</f>
        <v>109469.3551741877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+(1-H8)*(1-DATA!$C$9)*Rates_Up!J7</f>
        <v>0.35849878133916319</v>
      </c>
      <c r="K8" s="26">
        <f>+(G8/(1-DATA!$C$7)) *DATA!$C$8</f>
        <v>1567.0459840885767</v>
      </c>
      <c r="L8" s="26">
        <f>+L7*(1+DATA!$C$11)</f>
        <v>55.204040160000005</v>
      </c>
      <c r="M8" s="23">
        <f>+DATA!$C$9*(1-Rates_Up!H8) * (G8 - DATA!$C$12)</f>
        <v>16240.172975063466</v>
      </c>
      <c r="N8" s="23">
        <f>Rates_Up!H8 * (MAX($G$2,G8) )</f>
        <v>1181.7512458312533</v>
      </c>
      <c r="O8" s="23">
        <f t="shared" si="0"/>
        <v>6490.6066275125186</v>
      </c>
    </row>
    <row r="9" spans="1:18" x14ac:dyDescent="0.35">
      <c r="A9" s="14">
        <f t="shared" si="1"/>
        <v>7</v>
      </c>
      <c r="B9" s="16">
        <f>+VLOOKUP($A9,DATA!$J$2:$Y$54,3)</f>
        <v>3.6909999999999998E-2</v>
      </c>
      <c r="C9" s="16">
        <f>+VLOOKUP($A9,DATA!$J$2:$Y$54,6)</f>
        <v>3.6245136667137037E-2</v>
      </c>
      <c r="D9" s="21">
        <f>+VLOOKUP($A9,DATA!$J$2:$Y$54,9)</f>
        <v>0.77591216342362268</v>
      </c>
      <c r="E9" s="16">
        <f>+VLOOKUP($A9,DATA!$J$2:$Y$54,15)</f>
        <v>2.9767840309035988E-2</v>
      </c>
      <c r="F9" s="17">
        <f>+VLOOKUP($A9,DATA!$J$2:$Y$54,12)</f>
        <v>0.97067085803829412</v>
      </c>
      <c r="G9" s="18">
        <f>+(G8*(1-DATA!$C$7)/F9)</f>
        <v>110295.91387622754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+(1-H9)*(1-DATA!$C$9)*Rates_Up!J8</f>
        <v>0.30115008225864415</v>
      </c>
      <c r="K9" s="26">
        <f>+(G9/(1-DATA!$C$7)) *DATA!$C$8</f>
        <v>1578.8781127476336</v>
      </c>
      <c r="L9" s="26">
        <f>+L8*(1+DATA!$C$11)</f>
        <v>56.308120963200004</v>
      </c>
      <c r="M9" s="23">
        <f>+DATA!$C$9*(1-Rates_Up!H9) * (G9 - DATA!$C$12)</f>
        <v>16347.385392982431</v>
      </c>
      <c r="N9" s="23">
        <f>Rates_Up!H9 * (MAX($G$2,G9) )</f>
        <v>1293.5791548780046</v>
      </c>
      <c r="O9" s="23">
        <f t="shared" si="0"/>
        <v>5361.9228211416012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+VLOOKUP($A10,DATA!$J$2:$Y$54,3)</f>
        <v>3.6249999999999998E-2</v>
      </c>
      <c r="C10" s="16">
        <f>+VLOOKUP($A10,DATA!$J$2:$Y$54,6)</f>
        <v>3.5608427467367573E-2</v>
      </c>
      <c r="D10" s="21">
        <f>+VLOOKUP($A10,DATA!$J$2:$Y$54,9)</f>
        <v>0.7521139631751077</v>
      </c>
      <c r="E10" s="16">
        <f>+VLOOKUP($A10,DATA!$J$2:$Y$54,15)</f>
        <v>3.1151463068981294E-2</v>
      </c>
      <c r="F10" s="17">
        <f>+VLOOKUP($A10,DATA!$J$2:$Y$54,12)</f>
        <v>0.96932874445026329</v>
      </c>
      <c r="G10" s="18">
        <f>+(G9*(1-DATA!$C$7)/F10)</f>
        <v>111282.58022733727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+(1-H10)*(1-DATA!$C$9)*Rates_Up!J9</f>
        <v>0.25270158433866752</v>
      </c>
      <c r="K10" s="26">
        <f>+(G10/(1-DATA!$C$7)) *DATA!$C$8</f>
        <v>1593.0021709434784</v>
      </c>
      <c r="L10" s="26">
        <f>+L9*(1+DATA!$C$11)</f>
        <v>57.434283382464002</v>
      </c>
      <c r="M10" s="23">
        <f>+DATA!$C$9*(1-Rates_Up!H10) * (G10 - DATA!$C$12)</f>
        <v>16475.797260201391</v>
      </c>
      <c r="N10" s="23">
        <f>Rates_Up!H10 * (MAX($G$2,G10) )</f>
        <v>1424.1877847946489</v>
      </c>
      <c r="O10" s="23">
        <f t="shared" si="0"/>
        <v>4428.1544749676359</v>
      </c>
      <c r="Q10" s="28" t="s">
        <v>8</v>
      </c>
      <c r="R10" s="30">
        <f>+SUMPRODUCT(D3:D52,J2:J51,M3:M52)</f>
        <v>81228.124375782674</v>
      </c>
    </row>
    <row r="11" spans="1:18" x14ac:dyDescent="0.35">
      <c r="A11" s="14">
        <f t="shared" si="1"/>
        <v>9</v>
      </c>
      <c r="B11" s="16">
        <f>+VLOOKUP($A11,DATA!$J$2:$Y$54,3)</f>
        <v>3.5479999999999998E-2</v>
      </c>
      <c r="C11" s="16">
        <f>+VLOOKUP($A11,DATA!$J$2:$Y$54,6)</f>
        <v>3.4865087326079354E-2</v>
      </c>
      <c r="D11" s="21">
        <f>+VLOOKUP($A11,DATA!$J$2:$Y$54,9)</f>
        <v>0.73067553237231897</v>
      </c>
      <c r="E11" s="16">
        <f>+VLOOKUP($A11,DATA!$J$2:$Y$54,15)</f>
        <v>2.8918366195773544E-2</v>
      </c>
      <c r="F11" s="17">
        <f>+VLOOKUP($A11,DATA!$J$2:$Y$54,12)</f>
        <v>0.97149576812497307</v>
      </c>
      <c r="G11" s="18">
        <f>+(G10*(1-DATA!$C$7)/F11)</f>
        <v>112027.62485768792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+(1-H11)*(1-DATA!$C$9)*Rates_Up!J10</f>
        <v>0.2117945698908679</v>
      </c>
      <c r="K11" s="26">
        <f>+(G11/(1-DATA!$C$7)) *DATA!$C$8</f>
        <v>1603.6674315006451</v>
      </c>
      <c r="L11" s="26">
        <f>+L10*(1+DATA!$C$11)</f>
        <v>58.582969050113284</v>
      </c>
      <c r="M11" s="23">
        <f>+DATA!$C$9*(1-Rates_Up!H11) * (G11 - DATA!$C$12)</f>
        <v>16566.347913056696</v>
      </c>
      <c r="N11" s="23">
        <f>Rates_Up!H11 * (MAX($G$2,G11) )</f>
        <v>1565.58493710994</v>
      </c>
      <c r="O11" s="23">
        <f t="shared" si="0"/>
        <v>3654.8546991754943</v>
      </c>
      <c r="Q11" s="28" t="s">
        <v>17</v>
      </c>
      <c r="R11" s="30">
        <f>+SUMPRODUCT(D3:D52,J2:J51,N3:N52)</f>
        <v>6428.6259520095418</v>
      </c>
    </row>
    <row r="12" spans="1:18" x14ac:dyDescent="0.35">
      <c r="A12" s="14">
        <f t="shared" si="1"/>
        <v>10</v>
      </c>
      <c r="B12" s="16">
        <f>+VLOOKUP($A12,DATA!$J$2:$Y$54,3)</f>
        <v>3.5069999999999997E-2</v>
      </c>
      <c r="C12" s="16">
        <f>+VLOOKUP($A12,DATA!$J$2:$Y$54,6)</f>
        <v>3.4469057280575782E-2</v>
      </c>
      <c r="D12" s="21">
        <f>+VLOOKUP($A12,DATA!$J$2:$Y$54,9)</f>
        <v>0.70843953001252158</v>
      </c>
      <c r="E12" s="16">
        <f>+VLOOKUP($A12,DATA!$J$2:$Y$54,15)</f>
        <v>3.0904786871043748E-2</v>
      </c>
      <c r="F12" s="17">
        <f>+VLOOKUP($A12,DATA!$J$2:$Y$54,12)</f>
        <v>0.9695678842733344</v>
      </c>
      <c r="G12" s="18">
        <f>+(G11*(1-DATA!$C$7)/F12)</f>
        <v>113001.90413478203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+(1-H12)*(1-DATA!$C$9)*Rates_Up!J11</f>
        <v>0.17720617788615114</v>
      </c>
      <c r="K12" s="26">
        <f>+(G12/(1-DATA!$C$7)) *DATA!$C$8</f>
        <v>1617.6141696185566</v>
      </c>
      <c r="L12" s="26">
        <f>+L11*(1+DATA!$C$11)</f>
        <v>59.754628431115549</v>
      </c>
      <c r="M12" s="23">
        <f>+DATA!$C$9*(1-Rates_Up!H12) * (G12 - DATA!$C$12)</f>
        <v>16681.890280040421</v>
      </c>
      <c r="N12" s="23">
        <f>Rates_Up!H12 * (MAX($G$2,G12) )</f>
        <v>1769.6154688458935</v>
      </c>
      <c r="O12" s="23">
        <f t="shared" si="0"/>
        <v>3020.2097178950389</v>
      </c>
      <c r="Q12" s="28" t="s">
        <v>18</v>
      </c>
      <c r="R12" s="30">
        <f>+SUMPRODUCT(D3:D52,J2:J51,L3:L52)</f>
        <v>275.00240003687668</v>
      </c>
    </row>
    <row r="13" spans="1:18" x14ac:dyDescent="0.35">
      <c r="A13" s="14">
        <f t="shared" si="1"/>
        <v>11</v>
      </c>
      <c r="B13" s="16">
        <f>+VLOOKUP($A13,DATA!$J$2:$Y$54,3)</f>
        <v>3.4869999999999998E-2</v>
      </c>
      <c r="C13" s="16">
        <f>+VLOOKUP($A13,DATA!$J$2:$Y$54,6)</f>
        <v>3.427581496377205E-2</v>
      </c>
      <c r="D13" s="21">
        <f>+VLOOKUP($A13,DATA!$J$2:$Y$54,9)</f>
        <v>0.68589277742554289</v>
      </c>
      <c r="E13" s="16">
        <f>+VLOOKUP($A13,DATA!$J$2:$Y$54,15)</f>
        <v>3.2343391795734637E-2</v>
      </c>
      <c r="F13" s="17">
        <f>+VLOOKUP($A13,DATA!$J$2:$Y$54,12)</f>
        <v>0.96817406196040445</v>
      </c>
      <c r="G13" s="18">
        <f>+(G12*(1-DATA!$C$7)/F13)</f>
        <v>114148.75339671783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+(1-H13)*(1-DATA!$C$9)*Rates_Up!J12</f>
        <v>0.14799328882630877</v>
      </c>
      <c r="K13" s="26">
        <f>+(G13/(1-DATA!$C$7)) *DATA!$C$8</f>
        <v>1634.0312347178422</v>
      </c>
      <c r="L13" s="26">
        <f>+L12*(1+DATA!$C$11)</f>
        <v>60.949720999737863</v>
      </c>
      <c r="M13" s="23">
        <f>+DATA!$C$9*(1-Rates_Up!H13) * (G13 - DATA!$C$12)</f>
        <v>16820.177324091001</v>
      </c>
      <c r="N13" s="23">
        <f>Rates_Up!H13 * (MAX($G$2,G13) )</f>
        <v>1994.5873743778207</v>
      </c>
      <c r="O13" s="23">
        <f t="shared" si="0"/>
        <v>2492.8454993660107</v>
      </c>
      <c r="Q13" s="29" t="s">
        <v>46</v>
      </c>
      <c r="R13" s="31">
        <f>+SUMPRODUCT(D3:D52,J2:J51,K3:K52)</f>
        <v>7845.2836459903629</v>
      </c>
    </row>
    <row r="14" spans="1:18" x14ac:dyDescent="0.35">
      <c r="A14" s="14">
        <f t="shared" si="1"/>
        <v>12</v>
      </c>
      <c r="B14" s="16">
        <f>+VLOOKUP($A14,DATA!$J$2:$Y$54,3)</f>
        <v>3.4869999999999998E-2</v>
      </c>
      <c r="C14" s="16">
        <f>+VLOOKUP($A14,DATA!$J$2:$Y$54,6)</f>
        <v>3.427581496377205E-2</v>
      </c>
      <c r="D14" s="21">
        <f>+VLOOKUP($A14,DATA!$J$2:$Y$54,9)</f>
        <v>0.66278158360522854</v>
      </c>
      <c r="E14" s="16">
        <f>+VLOOKUP($A14,DATA!$J$2:$Y$54,15)</f>
        <v>3.4275814963772112E-2</v>
      </c>
      <c r="F14" s="17">
        <f>+VLOOKUP($A14,DATA!$J$2:$Y$54,12)</f>
        <v>0.96630494651502119</v>
      </c>
      <c r="G14" s="18">
        <f>+(G13*(1-DATA!$C$7)/F14)</f>
        <v>115530.27977825284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+(1-H14)*(1-DATA!$C$9)*Rates_Up!J13</f>
        <v>0.12331143311077049</v>
      </c>
      <c r="K14" s="26">
        <f>+(G14/(1-DATA!$C$7)) *DATA!$C$8</f>
        <v>1653.8076859872594</v>
      </c>
      <c r="L14" s="26">
        <f>+L13*(1+DATA!$C$11)</f>
        <v>62.168715419732621</v>
      </c>
      <c r="M14" s="23">
        <f>+DATA!$C$9*(1-Rates_Up!H14) * (G14 - DATA!$C$12)</f>
        <v>16984.559691200273</v>
      </c>
      <c r="N14" s="23">
        <f>Rates_Up!H14 * (MAX($G$2,G14) )</f>
        <v>2280.2765865176698</v>
      </c>
      <c r="O14" s="23">
        <f t="shared" si="0"/>
        <v>2057.949721870822</v>
      </c>
      <c r="Q14" s="28" t="s">
        <v>47</v>
      </c>
      <c r="R14" s="30">
        <f>+SUM(R10:R13)</f>
        <v>95777.036373819457</v>
      </c>
    </row>
    <row r="15" spans="1:18" x14ac:dyDescent="0.35">
      <c r="A15" s="14">
        <f t="shared" si="1"/>
        <v>13</v>
      </c>
      <c r="B15" s="16">
        <f>+VLOOKUP($A15,DATA!$J$2:$Y$54,3)</f>
        <v>3.492E-2</v>
      </c>
      <c r="C15" s="16">
        <f>+VLOOKUP($A15,DATA!$J$2:$Y$54,6)</f>
        <v>3.432412904395394E-2</v>
      </c>
      <c r="D15" s="21">
        <f>+VLOOKUP($A15,DATA!$J$2:$Y$54,9)</f>
        <v>0.64004699376173035</v>
      </c>
      <c r="E15" s="16">
        <f>+VLOOKUP($A15,DATA!$J$2:$Y$54,15)</f>
        <v>3.4903898006136691E-2</v>
      </c>
      <c r="F15" s="17">
        <f>+VLOOKUP($A15,DATA!$J$2:$Y$54,12)</f>
        <v>0.9656982173224663</v>
      </c>
      <c r="G15" s="18">
        <f>+(G14*(1-DATA!$C$7)/F15)</f>
        <v>117001.9904731812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+(1-H15)*(1-DATA!$C$9)*Rates_Up!J14</f>
        <v>0.10253795694401276</v>
      </c>
      <c r="K15" s="26">
        <f>+(G15/(1-DATA!$C$7)) *DATA!$C$8</f>
        <v>1674.8751192479926</v>
      </c>
      <c r="L15" s="26">
        <f>+L14*(1+DATA!$C$11)</f>
        <v>63.412089728127278</v>
      </c>
      <c r="M15" s="23">
        <f>+DATA!$C$9*(1-Rates_Up!H15) * (G15 - DATA!$C$12)</f>
        <v>17166.140187297086</v>
      </c>
      <c r="N15" s="23">
        <f>Rates_Up!H15 * (MAX($G$2,G15) )</f>
        <v>2541.4903266006331</v>
      </c>
      <c r="O15" s="23">
        <f t="shared" si="0"/>
        <v>1692.6214594858977</v>
      </c>
    </row>
    <row r="16" spans="1:18" x14ac:dyDescent="0.35">
      <c r="A16" s="14">
        <f t="shared" si="1"/>
        <v>14</v>
      </c>
      <c r="B16" s="16">
        <f>+VLOOKUP($A16,DATA!$J$2:$Y$54,3)</f>
        <v>3.499E-2</v>
      </c>
      <c r="C16" s="16">
        <f>+VLOOKUP($A16,DATA!$J$2:$Y$54,6)</f>
        <v>3.4391764834907843E-2</v>
      </c>
      <c r="D16" s="21">
        <f>+VLOOKUP($A16,DATA!$J$2:$Y$54,9)</f>
        <v>0.61786536101900336</v>
      </c>
      <c r="E16" s="16">
        <f>+VLOOKUP($A16,DATA!$J$2:$Y$54,15)</f>
        <v>3.527103011730854E-2</v>
      </c>
      <c r="F16" s="17">
        <f>+VLOOKUP($A16,DATA!$J$2:$Y$54,12)</f>
        <v>0.96534374357051578</v>
      </c>
      <c r="G16" s="18">
        <f>+(G15*(1-DATA!$C$7)/F16)</f>
        <v>118535.95928382641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+(1-H16)*(1-DATA!$C$9)*Rates_Up!J15</f>
        <v>8.5072371889843873E-2</v>
      </c>
      <c r="K16" s="26">
        <f>+(G16/(1-DATA!$C$7)) *DATA!$C$8</f>
        <v>1696.8337729791101</v>
      </c>
      <c r="L16" s="26">
        <f>+L15*(1+DATA!$C$11)</f>
        <v>64.680331522689826</v>
      </c>
      <c r="M16" s="23">
        <f>+DATA!$C$9*(1-Rates_Up!H16) * (G16 - DATA!$C$12)</f>
        <v>17352.140319947881</v>
      </c>
      <c r="N16" s="23">
        <f>Rates_Up!H16 * (MAX($G$2,G16) )</f>
        <v>2835.5022381071899</v>
      </c>
      <c r="O16" s="23">
        <f t="shared" si="0"/>
        <v>1390.5811773386811</v>
      </c>
    </row>
    <row r="17" spans="1:15" x14ac:dyDescent="0.35">
      <c r="A17" s="14">
        <f t="shared" si="1"/>
        <v>15</v>
      </c>
      <c r="B17" s="16">
        <f>+VLOOKUP($A17,DATA!$J$2:$Y$54,3)</f>
        <v>3.4979999999999997E-2</v>
      </c>
      <c r="C17" s="16">
        <f>+VLOOKUP($A17,DATA!$J$2:$Y$54,6)</f>
        <v>3.4382102859130279E-2</v>
      </c>
      <c r="D17" s="21">
        <f>+VLOOKUP($A17,DATA!$J$2:$Y$54,9)</f>
        <v>0.59706365714702891</v>
      </c>
      <c r="E17" s="16">
        <f>+VLOOKUP($A17,DATA!$J$2:$Y$54,15)</f>
        <v>3.4246835198244459E-2</v>
      </c>
      <c r="F17" s="17">
        <f>+VLOOKUP($A17,DATA!$J$2:$Y$54,12)</f>
        <v>0.96633295021156773</v>
      </c>
      <c r="G17" s="18">
        <f>+(G16*(1-DATA!$C$7)/F17)</f>
        <v>119967.10673500376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+(1-H17)*(1-DATA!$C$9)*Rates_Up!J16</f>
        <v>7.0432943183706756E-2</v>
      </c>
      <c r="K17" s="26">
        <f>+(G17/(1-DATA!$C$7)) *DATA!$C$8</f>
        <v>1717.3205463088473</v>
      </c>
      <c r="L17" s="26">
        <f>+L16*(1+DATA!$C$11)</f>
        <v>65.973938153143621</v>
      </c>
      <c r="M17" s="23">
        <f>+DATA!$C$9*(1-Rates_Up!H17) * (G17 - DATA!$C$12)</f>
        <v>17524.652106497524</v>
      </c>
      <c r="N17" s="23">
        <f>Rates_Up!H17 * (MAX($G$2,G17) )</f>
        <v>3116.6122694869218</v>
      </c>
      <c r="O17" s="23">
        <f t="shared" si="0"/>
        <v>1139.0245546745425</v>
      </c>
    </row>
    <row r="18" spans="1:15" x14ac:dyDescent="0.35">
      <c r="A18" s="14">
        <f t="shared" si="1"/>
        <v>16</v>
      </c>
      <c r="B18" s="16">
        <f>+VLOOKUP($A18,DATA!$J$2:$Y$54,3)</f>
        <v>3.4860000000000002E-2</v>
      </c>
      <c r="C18" s="16">
        <f>+VLOOKUP($A18,DATA!$J$2:$Y$54,6)</f>
        <v>3.4266151867619492E-2</v>
      </c>
      <c r="D18" s="21">
        <f>+VLOOKUP($A18,DATA!$J$2:$Y$54,9)</f>
        <v>0.57795548440160416</v>
      </c>
      <c r="E18" s="16">
        <f>+VLOOKUP($A18,DATA!$J$2:$Y$54,15)</f>
        <v>3.2526886994957593E-2</v>
      </c>
      <c r="F18" s="17">
        <f>+VLOOKUP($A18,DATA!$J$2:$Y$54,12)</f>
        <v>0.96799642296647226</v>
      </c>
      <c r="G18" s="18">
        <f>+(G17*(1-DATA!$C$7)/F18)</f>
        <v>121206.88424372151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+(1-H18)*(1-DATA!$C$9)*Rates_Up!J17</f>
        <v>5.8118519802533054E-2</v>
      </c>
      <c r="K18" s="26">
        <f>+(G18/(1-DATA!$C$7)) *DATA!$C$8</f>
        <v>1735.0678726095105</v>
      </c>
      <c r="L18" s="26">
        <f>+L17*(1+DATA!$C$11)</f>
        <v>67.293416916206496</v>
      </c>
      <c r="M18" s="23">
        <f>+DATA!$C$9*(1-Rates_Up!H18) * (G18 - DATA!$C$12)</f>
        <v>17646.828349882275</v>
      </c>
      <c r="N18" s="23">
        <f>Rates_Up!H18 * (MAX($G$2,G18) )</f>
        <v>3541.9463575729878</v>
      </c>
      <c r="O18" s="23">
        <f t="shared" si="0"/>
        <v>935.90260538944017</v>
      </c>
    </row>
    <row r="19" spans="1:15" x14ac:dyDescent="0.35">
      <c r="A19" s="14">
        <f t="shared" si="1"/>
        <v>17</v>
      </c>
      <c r="B19" s="16">
        <f>+VLOOKUP($A19,DATA!$J$2:$Y$54,3)</f>
        <v>3.4660000000000003E-2</v>
      </c>
      <c r="C19" s="16">
        <f>+VLOOKUP($A19,DATA!$J$2:$Y$54,6)</f>
        <v>3.407287033313533E-2</v>
      </c>
      <c r="D19" s="21">
        <f>+VLOOKUP($A19,DATA!$J$2:$Y$54,9)</f>
        <v>0.56032472588283599</v>
      </c>
      <c r="E19" s="16">
        <f>+VLOOKUP($A19,DATA!$J$2:$Y$54,15)</f>
        <v>3.0980365781388877E-2</v>
      </c>
      <c r="F19" s="17">
        <f>+VLOOKUP($A19,DATA!$J$2:$Y$54,12)</f>
        <v>0.96949460815823474</v>
      </c>
      <c r="G19" s="18">
        <f>+(G18*(1-DATA!$C$7)/F19)</f>
        <v>122270.23419506449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+(1-H19)*(1-DATA!$C$9)*Rates_Up!J18</f>
        <v>4.7776967606553068E-2</v>
      </c>
      <c r="K19" s="26">
        <f>+(G19/(1-DATA!$C$7)) *DATA!$C$8</f>
        <v>1750.2896510540929</v>
      </c>
      <c r="L19" s="26">
        <f>+L18*(1+DATA!$C$11)</f>
        <v>68.639285254530634</v>
      </c>
      <c r="M19" s="23">
        <f>+DATA!$C$9*(1-Rates_Up!H19) * (G19 - DATA!$C$12)</f>
        <v>17734.790801955929</v>
      </c>
      <c r="N19" s="23">
        <f>Rates_Up!H19 * (MAX($G$2,G19) )</f>
        <v>4018.9529039582785</v>
      </c>
      <c r="O19" s="23">
        <f t="shared" si="0"/>
        <v>767.64982871380005</v>
      </c>
    </row>
    <row r="20" spans="1:15" x14ac:dyDescent="0.35">
      <c r="A20" s="14">
        <f t="shared" si="1"/>
        <v>18</v>
      </c>
      <c r="B20" s="16">
        <f>+VLOOKUP($A20,DATA!$J$2:$Y$54,3)</f>
        <v>3.4459999999999998E-2</v>
      </c>
      <c r="C20" s="16">
        <f>+VLOOKUP($A20,DATA!$J$2:$Y$54,6)</f>
        <v>3.3879551433677733E-2</v>
      </c>
      <c r="D20" s="21">
        <f>+VLOOKUP($A20,DATA!$J$2:$Y$54,9)</f>
        <v>0.54344220000874199</v>
      </c>
      <c r="E20" s="16">
        <f>+VLOOKUP($A20,DATA!$J$2:$Y$54,15)</f>
        <v>3.0593130142898512E-2</v>
      </c>
      <c r="F20" s="17">
        <f>+VLOOKUP($A20,DATA!$J$2:$Y$54,12)</f>
        <v>0.96987010371977744</v>
      </c>
      <c r="G20" s="18">
        <f>+(G19*(1-DATA!$C$7)/F20)</f>
        <v>123295.15940757687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+(1-H20)*(1-DATA!$C$9)*Rates_Up!J19</f>
        <v>3.9085594099855396E-2</v>
      </c>
      <c r="K20" s="26">
        <f>+(G20/(1-DATA!$C$7)) *DATA!$C$8</f>
        <v>1764.9613821125524</v>
      </c>
      <c r="L20" s="26">
        <f>+L19*(1+DATA!$C$11)</f>
        <v>70.012070959621255</v>
      </c>
      <c r="M20" s="23">
        <f>+DATA!$C$9*(1-Rates_Up!H20) * (G20 - DATA!$C$12)</f>
        <v>17796.968920790609</v>
      </c>
      <c r="N20" s="23">
        <f>Rates_Up!H20 * (MAX($G$2,G20) )</f>
        <v>4629.4508898394688</v>
      </c>
      <c r="O20" s="23">
        <f t="shared" si="0"/>
        <v>629.92330928792785</v>
      </c>
    </row>
    <row r="21" spans="1:15" x14ac:dyDescent="0.35">
      <c r="A21" s="14">
        <f t="shared" si="1"/>
        <v>19</v>
      </c>
      <c r="B21" s="16">
        <f>+VLOOKUP($A21,DATA!$J$2:$Y$54,3)</f>
        <v>3.4270000000000002E-2</v>
      </c>
      <c r="C21" s="16">
        <f>+VLOOKUP($A21,DATA!$J$2:$Y$54,6)</f>
        <v>3.3695863856725551E-2</v>
      </c>
      <c r="D21" s="21">
        <f>+VLOOKUP($A21,DATA!$J$2:$Y$54,9)</f>
        <v>0.52717568742308551</v>
      </c>
      <c r="E21" s="16">
        <f>+VLOOKUP($A21,DATA!$J$2:$Y$54,15)</f>
        <v>3.0389487471586134E-2</v>
      </c>
      <c r="F21" s="17">
        <f>+VLOOKUP($A21,DATA!$J$2:$Y$54,12)</f>
        <v>0.97006763077031044</v>
      </c>
      <c r="G21" s="18">
        <f>+(G20*(1-DATA!$C$7)/F21)</f>
        <v>124303.35996765297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+(1-H21)*(1-DATA!$C$9)*Rates_Up!J20</f>
        <v>3.1844005669591439E-2</v>
      </c>
      <c r="K21" s="26">
        <f>+(G21/(1-DATA!$C$7)) *DATA!$C$8</f>
        <v>1779.3937009684475</v>
      </c>
      <c r="L21" s="26">
        <f>+L20*(1+DATA!$C$11)</f>
        <v>71.412312378813681</v>
      </c>
      <c r="M21" s="23">
        <f>+DATA!$C$9*(1-Rates_Up!H21) * (G21 - DATA!$C$12)</f>
        <v>17868.837282973709</v>
      </c>
      <c r="N21" s="23">
        <f>Rates_Up!H21 * (MAX($G$2,G21) )</f>
        <v>5158.6080841615931</v>
      </c>
      <c r="O21" s="23">
        <f t="shared" si="0"/>
        <v>512.61574619438966</v>
      </c>
    </row>
    <row r="22" spans="1:15" x14ac:dyDescent="0.35">
      <c r="A22" s="14">
        <f t="shared" si="1"/>
        <v>20</v>
      </c>
      <c r="B22" s="16">
        <f>+VLOOKUP($A22,DATA!$J$2:$Y$54,3)</f>
        <v>3.415E-2</v>
      </c>
      <c r="C22" s="16">
        <f>+VLOOKUP($A22,DATA!$J$2:$Y$54,6)</f>
        <v>3.3579833263195462E-2</v>
      </c>
      <c r="D22" s="21">
        <f>+VLOOKUP($A22,DATA!$J$2:$Y$54,9)</f>
        <v>0.51089220238770194</v>
      </c>
      <c r="E22" s="16">
        <f>+VLOOKUP($A22,DATA!$J$2:$Y$54,15)</f>
        <v>3.1375251986123877E-2</v>
      </c>
      <c r="F22" s="17">
        <f>+VLOOKUP($A22,DATA!$J$2:$Y$54,12)</f>
        <v>0.96911184369108583</v>
      </c>
      <c r="G22" s="18">
        <f>+(G21*(1-DATA!$C$7)/F22)</f>
        <v>125443.40143996409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+(1-H22)*(1-DATA!$C$9)*Rates_Up!J21</f>
        <v>2.5794072082223177E-2</v>
      </c>
      <c r="K22" s="26">
        <f>+(G22/(1-DATA!$C$7)) *DATA!$C$8</f>
        <v>1795.7133130465209</v>
      </c>
      <c r="L22" s="26">
        <f>+L21*(1+DATA!$C$11)</f>
        <v>72.840558626389949</v>
      </c>
      <c r="M22" s="23">
        <f>+DATA!$C$9*(1-Rates_Up!H22) * (G22 - DATA!$C$12)</f>
        <v>17928.465690498269</v>
      </c>
      <c r="N22" s="23">
        <f>Rates_Up!H22 * (MAX($G$2,G22) )</f>
        <v>5901.2376972422735</v>
      </c>
      <c r="O22" s="23">
        <f t="shared" si="0"/>
        <v>418.08120027467737</v>
      </c>
    </row>
    <row r="23" spans="1:15" x14ac:dyDescent="0.35">
      <c r="A23" s="14">
        <f t="shared" si="1"/>
        <v>21</v>
      </c>
      <c r="B23" s="16">
        <f>+VLOOKUP($A23,DATA!$J$2:$Y$54,3)</f>
        <v>3.4090000000000002E-2</v>
      </c>
      <c r="C23" s="16">
        <f>+VLOOKUP($A23,DATA!$J$2:$Y$54,6)</f>
        <v>3.3521812917377977E-2</v>
      </c>
      <c r="D23" s="21">
        <f>+VLOOKUP($A23,DATA!$J$2:$Y$54,9)</f>
        <v>0.49462366847703543</v>
      </c>
      <c r="E23" s="16">
        <f>+VLOOKUP($A23,DATA!$J$2:$Y$54,15)</f>
        <v>3.2361406001028103E-2</v>
      </c>
      <c r="F23" s="17">
        <f>+VLOOKUP($A23,DATA!$J$2:$Y$54,12)</f>
        <v>0.9681566212311834</v>
      </c>
      <c r="G23" s="18">
        <f>+(G22*(1-DATA!$C$7)/F23)</f>
        <v>126718.80139834275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+(1-H23)*(1-DATA!$C$9)*Rates_Up!J22</f>
        <v>2.0767967250952021E-2</v>
      </c>
      <c r="K23" s="26">
        <f>+(G23/(1-DATA!$C$7)) *DATA!$C$8</f>
        <v>1813.9705721644157</v>
      </c>
      <c r="L23" s="26">
        <f>+L22*(1+DATA!$C$11)</f>
        <v>74.297369798917757</v>
      </c>
      <c r="M23" s="23">
        <f>+DATA!$C$9*(1-Rates_Up!H23) * (G23 - DATA!$C$12)</f>
        <v>18001.923874246095</v>
      </c>
      <c r="N23" s="23">
        <f>Rates_Up!H23 * (MAX($G$2,G23) )</f>
        <v>6687.0309826354278</v>
      </c>
      <c r="O23" s="23">
        <f t="shared" si="0"/>
        <v>339.08173795069911</v>
      </c>
    </row>
    <row r="24" spans="1:15" x14ac:dyDescent="0.35">
      <c r="A24" s="14">
        <f t="shared" si="1"/>
        <v>22</v>
      </c>
      <c r="B24" s="16">
        <f>+VLOOKUP($A24,DATA!$J$2:$Y$54,3)</f>
        <v>3.4090000000000002E-2</v>
      </c>
      <c r="C24" s="16">
        <f>+VLOOKUP($A24,DATA!$J$2:$Y$54,6)</f>
        <v>3.3521812917377977E-2</v>
      </c>
      <c r="D24" s="21">
        <f>+VLOOKUP($A24,DATA!$J$2:$Y$54,9)</f>
        <v>0.47831781419125552</v>
      </c>
      <c r="E24" s="16">
        <f>+VLOOKUP($A24,DATA!$J$2:$Y$54,15)</f>
        <v>3.3521812917378026E-2</v>
      </c>
      <c r="F24" s="17">
        <f>+VLOOKUP($A24,DATA!$J$2:$Y$54,12)</f>
        <v>0.96703381717258652</v>
      </c>
      <c r="G24" s="18">
        <f>+(G23*(1-DATA!$C$7)/F24)</f>
        <v>128155.79514057598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+(1-H24)*(1-DATA!$C$9)*Rates_Up!J23</f>
        <v>1.6612120414010986E-2</v>
      </c>
      <c r="K24" s="26">
        <f>+(G24/(1-DATA!$C$7)) *DATA!$C$8</f>
        <v>1834.5410347321715</v>
      </c>
      <c r="L24" s="26">
        <f>+L23*(1+DATA!$C$11)</f>
        <v>75.783317194896114</v>
      </c>
      <c r="M24" s="23">
        <f>+DATA!$C$9*(1-Rates_Up!H24) * (G24 - DATA!$C$12)</f>
        <v>18087.305822520113</v>
      </c>
      <c r="N24" s="23">
        <f>Rates_Up!H24 * (MAX($G$2,G24) )</f>
        <v>7554.9353473752199</v>
      </c>
      <c r="O24" s="23">
        <f t="shared" si="0"/>
        <v>273.69860879862313</v>
      </c>
    </row>
    <row r="25" spans="1:15" x14ac:dyDescent="0.35">
      <c r="A25" s="14">
        <f t="shared" si="1"/>
        <v>23</v>
      </c>
      <c r="B25" s="16">
        <f>+VLOOKUP($A25,DATA!$J$2:$Y$54,3)</f>
        <v>3.4130000000000001E-2</v>
      </c>
      <c r="C25" s="16">
        <f>+VLOOKUP($A25,DATA!$J$2:$Y$54,6)</f>
        <v>3.3560493521960687E-2</v>
      </c>
      <c r="D25" s="21">
        <f>+VLOOKUP($A25,DATA!$J$2:$Y$54,9)</f>
        <v>0.4621381757044169</v>
      </c>
      <c r="E25" s="16">
        <f>+VLOOKUP($A25,DATA!$J$2:$Y$54,15)</f>
        <v>3.4411466822780269E-2</v>
      </c>
      <c r="F25" s="17">
        <f>+VLOOKUP($A25,DATA!$J$2:$Y$54,12)</f>
        <v>0.96617387434295054</v>
      </c>
      <c r="G25" s="18">
        <f>+(G24*(1-DATA!$C$7)/F25)</f>
        <v>129724.44295569333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+(1-H25)*(1-DATA!$C$9)*Rates_Up!J24</f>
        <v>1.3192084225977237E-2</v>
      </c>
      <c r="K25" s="26">
        <f>+(G25/(1-DATA!$C$7)) *DATA!$C$8</f>
        <v>1856.9961159301704</v>
      </c>
      <c r="L25" s="26">
        <f>+L24*(1+DATA!$C$11)</f>
        <v>77.298983538794033</v>
      </c>
      <c r="M25" s="23">
        <f>+DATA!$C$9*(1-Rates_Up!H25) * (G25 - DATA!$C$12)</f>
        <v>18176.720582653772</v>
      </c>
      <c r="N25" s="23">
        <f>Rates_Up!H25 * (MAX($G$2,G25) )</f>
        <v>8527.6204664014967</v>
      </c>
      <c r="O25" s="23">
        <f t="shared" si="0"/>
        <v>219.86153103312796</v>
      </c>
    </row>
    <row r="26" spans="1:15" x14ac:dyDescent="0.35">
      <c r="A26" s="14">
        <f t="shared" si="1"/>
        <v>24</v>
      </c>
      <c r="B26" s="16">
        <f>+VLOOKUP($A26,DATA!$J$2:$Y$54,3)</f>
        <v>3.4209999999999997E-2</v>
      </c>
      <c r="C26" s="16">
        <f>+VLOOKUP($A26,DATA!$J$2:$Y$54,6)</f>
        <v>3.363785024284794E-2</v>
      </c>
      <c r="D26" s="21">
        <f>+VLOOKUP($A26,DATA!$J$2:$Y$54,9)</f>
        <v>0.44605705647492683</v>
      </c>
      <c r="E26" s="16">
        <f>+VLOOKUP($A26,DATA!$J$2:$Y$54,15)</f>
        <v>3.5417054823254926E-2</v>
      </c>
      <c r="F26" s="17">
        <f>+VLOOKUP($A26,DATA!$J$2:$Y$54,12)</f>
        <v>0.96520278982583874</v>
      </c>
      <c r="G26" s="18">
        <f>+(G25*(1-DATA!$C$7)/F26)</f>
        <v>131444.40375432462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+(1-H26)*(1-DATA!$C$9)*Rates_Up!J25</f>
        <v>1.0403848534434695E-2</v>
      </c>
      <c r="K26" s="26">
        <f>+(G26/(1-DATA!$C$7)) *DATA!$C$8</f>
        <v>1881.6172316569987</v>
      </c>
      <c r="L26" s="26">
        <f>+L25*(1+DATA!$C$11)</f>
        <v>78.844963209569912</v>
      </c>
      <c r="M26" s="23">
        <f>+DATA!$C$9*(1-Rates_Up!H26) * (G26 - DATA!$C$12)</f>
        <v>18290.64219786735</v>
      </c>
      <c r="N26" s="23">
        <f>Rates_Up!H26 * (MAX($G$2,G26) )</f>
        <v>9488.2327894755963</v>
      </c>
      <c r="O26" s="23">
        <f t="shared" si="0"/>
        <v>174.99881767126359</v>
      </c>
    </row>
    <row r="27" spans="1:15" x14ac:dyDescent="0.35">
      <c r="A27" s="14">
        <f t="shared" si="1"/>
        <v>25</v>
      </c>
      <c r="B27" s="16">
        <f>+VLOOKUP($A27,DATA!$J$2:$Y$54,3)</f>
        <v>3.431E-2</v>
      </c>
      <c r="C27" s="16">
        <f>+VLOOKUP($A27,DATA!$J$2:$Y$54,6)</f>
        <v>3.3734537729628727E-2</v>
      </c>
      <c r="D27" s="21">
        <f>+VLOOKUP($A27,DATA!$J$2:$Y$54,9)</f>
        <v>0.43026092876836186</v>
      </c>
      <c r="E27" s="16">
        <f>+VLOOKUP($A27,DATA!$J$2:$Y$54,15)</f>
        <v>3.6055037412367541E-2</v>
      </c>
      <c r="F27" s="17">
        <f>+VLOOKUP($A27,DATA!$J$2:$Y$54,12)</f>
        <v>0.96458720363848149</v>
      </c>
      <c r="G27" s="18">
        <f>+(G26*(1-DATA!$C$7)/F27)</f>
        <v>133272.16698171111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+(1-H27)*(1-DATA!$C$9)*Rates_Up!J26</f>
        <v>8.124690820547226E-3</v>
      </c>
      <c r="K27" s="26">
        <f>+(G27/(1-DATA!$C$7)) *DATA!$C$8</f>
        <v>1907.7815314355373</v>
      </c>
      <c r="L27" s="26">
        <f>+L26*(1+DATA!$C$11)</f>
        <v>80.421862473761308</v>
      </c>
      <c r="M27" s="23">
        <f>+DATA!$C$9*(1-Rates_Up!H27) * (G27 - DATA!$C$12)</f>
        <v>18363.668151165966</v>
      </c>
      <c r="N27" s="23">
        <f>Rates_Up!H27 * (MAX($G$2,G27) )</f>
        <v>10829.337786804665</v>
      </c>
      <c r="O27" s="23">
        <f t="shared" si="0"/>
        <v>139.57861546128547</v>
      </c>
    </row>
    <row r="28" spans="1:15" x14ac:dyDescent="0.35">
      <c r="A28" s="14">
        <f t="shared" si="1"/>
        <v>26</v>
      </c>
      <c r="B28" s="16">
        <f>+VLOOKUP($A28,DATA!$J$2:$Y$54,3)</f>
        <v>3.4430000000000002E-2</v>
      </c>
      <c r="C28" s="16">
        <f>+VLOOKUP($A28,DATA!$J$2:$Y$54,6)</f>
        <v>3.3850550375137088E-2</v>
      </c>
      <c r="D28" s="21">
        <f>+VLOOKUP($A28,DATA!$J$2:$Y$54,9)</f>
        <v>0.41473550065898712</v>
      </c>
      <c r="E28" s="16">
        <f>+VLOOKUP($A28,DATA!$J$2:$Y$54,15)</f>
        <v>3.675086651284612E-2</v>
      </c>
      <c r="F28" s="17">
        <f>+VLOOKUP($A28,DATA!$J$2:$Y$54,12)</f>
        <v>0.96391624925410524</v>
      </c>
      <c r="G28" s="18">
        <f>+(G27*(1-DATA!$C$7)/F28)</f>
        <v>135219.40252482818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+(1-H28)*(1-DATA!$C$9)*Rates_Up!J27</f>
        <v>6.2662194440065945E-3</v>
      </c>
      <c r="K28" s="26">
        <f>+(G28/(1-DATA!$C$7)) *DATA!$C$8</f>
        <v>1935.6560688625711</v>
      </c>
      <c r="L28" s="26">
        <f>+L27*(1+DATA!$C$11)</f>
        <v>82.030299723236539</v>
      </c>
      <c r="M28" s="23">
        <f>+DATA!$C$9*(1-Rates_Up!H28) * (G28 - DATA!$C$12)</f>
        <v>18401.187998801575</v>
      </c>
      <c r="N28" s="23">
        <f>Rates_Up!H28 * (MAX($G$2,G28) )</f>
        <v>12526.668657751023</v>
      </c>
      <c r="O28" s="23">
        <f t="shared" si="0"/>
        <v>111.01322650218322</v>
      </c>
    </row>
    <row r="29" spans="1:15" x14ac:dyDescent="0.35">
      <c r="A29" s="14">
        <f t="shared" si="1"/>
        <v>27</v>
      </c>
      <c r="B29" s="16">
        <f>+VLOOKUP($A29,DATA!$J$2:$Y$54,3)</f>
        <v>3.4569999999999997E-2</v>
      </c>
      <c r="C29" s="16">
        <f>+VLOOKUP($A29,DATA!$J$2:$Y$54,6)</f>
        <v>3.3985881453159034E-2</v>
      </c>
      <c r="D29" s="21">
        <f>+VLOOKUP($A29,DATA!$J$2:$Y$54,9)</f>
        <v>0.3994691256520197</v>
      </c>
      <c r="E29" s="16">
        <f>+VLOOKUP($A29,DATA!$J$2:$Y$54,15)</f>
        <v>3.7504489481729554E-2</v>
      </c>
      <c r="F29" s="17">
        <f>+VLOOKUP($A29,DATA!$J$2:$Y$54,12)</f>
        <v>0.96319009348678819</v>
      </c>
      <c r="G29" s="18">
        <f>+(G28*(1-DATA!$C$7)/F29)</f>
        <v>137298.52140666347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+(1-H29)*(1-DATA!$C$9)*Rates_Up!J28</f>
        <v>4.7563664121720662E-3</v>
      </c>
      <c r="K29" s="26">
        <f>+(G29/(1-DATA!$C$7)) *DATA!$C$8</f>
        <v>1965.4185068438535</v>
      </c>
      <c r="L29" s="26">
        <f>+L28*(1+DATA!$C$11)</f>
        <v>83.670905717701274</v>
      </c>
      <c r="M29" s="23">
        <f>+DATA!$C$9*(1-Rates_Up!H29) * (G29 - DATA!$C$12)</f>
        <v>18388.429113933074</v>
      </c>
      <c r="N29" s="23">
        <f>Rates_Up!H29 * (MAX($G$2,G29) )</f>
        <v>14691.134008442961</v>
      </c>
      <c r="O29" s="23">
        <f t="shared" si="0"/>
        <v>87.93268011948642</v>
      </c>
    </row>
    <row r="30" spans="1:15" x14ac:dyDescent="0.35">
      <c r="A30" s="14">
        <f t="shared" si="1"/>
        <v>28</v>
      </c>
      <c r="B30" s="16">
        <f>+VLOOKUP($A30,DATA!$J$2:$Y$54,3)</f>
        <v>3.4720000000000001E-2</v>
      </c>
      <c r="C30" s="16">
        <f>+VLOOKUP($A30,DATA!$J$2:$Y$54,6)</f>
        <v>3.4130858716145684E-2</v>
      </c>
      <c r="D30" s="21">
        <f>+VLOOKUP($A30,DATA!$J$2:$Y$54,9)</f>
        <v>0.38455669716076774</v>
      </c>
      <c r="E30" s="16">
        <f>+VLOOKUP($A30,DATA!$J$2:$Y$54,15)</f>
        <v>3.8045244816785243E-2</v>
      </c>
      <c r="F30" s="17">
        <f>+VLOOKUP($A30,DATA!$J$2:$Y$54,12)</f>
        <v>0.96266938410593894</v>
      </c>
      <c r="G30" s="18">
        <f>+(G29*(1-DATA!$C$7)/F30)</f>
        <v>139485.0154712513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+(1-H30)*(1-DATA!$C$9)*Rates_Up!J29</f>
        <v>3.5486062564595642E-3</v>
      </c>
      <c r="K30" s="26">
        <f>+(G30/(1-DATA!$C$7)) *DATA!$C$8</f>
        <v>1996.718012880898</v>
      </c>
      <c r="L30" s="26">
        <f>+L29*(1+DATA!$C$11)</f>
        <v>85.344323832055295</v>
      </c>
      <c r="M30" s="23">
        <f>+DATA!$C$9*(1-Rates_Up!H30) * (G30 - DATA!$C$12)</f>
        <v>18362.0059159146</v>
      </c>
      <c r="N30" s="23">
        <f>Rates_Up!H30 * (MAX($G$2,G30) )</f>
        <v>17054.087991687284</v>
      </c>
      <c r="O30" s="23">
        <f t="shared" si="0"/>
        <v>68.587598523371355</v>
      </c>
    </row>
    <row r="31" spans="1:15" x14ac:dyDescent="0.35">
      <c r="A31" s="14">
        <f t="shared" si="1"/>
        <v>29</v>
      </c>
      <c r="B31" s="16">
        <f>+VLOOKUP($A31,DATA!$J$2:$Y$54,3)</f>
        <v>3.4869999999999998E-2</v>
      </c>
      <c r="C31" s="16">
        <f>+VLOOKUP($A31,DATA!$J$2:$Y$54,6)</f>
        <v>3.427581496377205E-2</v>
      </c>
      <c r="D31" s="21">
        <f>+VLOOKUP($A31,DATA!$J$2:$Y$54,9)</f>
        <v>0.3700938584785573</v>
      </c>
      <c r="E31" s="16">
        <f>+VLOOKUP($A31,DATA!$J$2:$Y$54,15)</f>
        <v>3.8334589897310249E-2</v>
      </c>
      <c r="F31" s="17">
        <f>+VLOOKUP($A31,DATA!$J$2:$Y$54,12)</f>
        <v>0.96239088074920698</v>
      </c>
      <c r="G31" s="18">
        <f>+(G30*(1-DATA!$C$7)/F31)</f>
        <v>141747.33765628128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+(1-H31)*(1-DATA!$C$9)*Rates_Up!J30</f>
        <v>2.5943949712624445E-3</v>
      </c>
      <c r="K31" s="26">
        <f>+(G31/(1-DATA!$C$7)) *DATA!$C$8</f>
        <v>2029.1029930347015</v>
      </c>
      <c r="L31" s="26">
        <f>+L30*(1+DATA!$C$11)</f>
        <v>87.051210308696398</v>
      </c>
      <c r="M31" s="23">
        <f>+DATA!$C$9*(1-Rates_Up!H31) * (G31 - DATA!$C$12)</f>
        <v>18285.390617789497</v>
      </c>
      <c r="N31" s="23">
        <f>Rates_Up!H31 * (MAX($G$2,G31) )</f>
        <v>19827.531125484653</v>
      </c>
      <c r="O31" s="23">
        <f t="shared" si="0"/>
        <v>52.833544689387082</v>
      </c>
    </row>
    <row r="32" spans="1:15" x14ac:dyDescent="0.35">
      <c r="A32" s="14">
        <f t="shared" si="1"/>
        <v>30</v>
      </c>
      <c r="B32" s="16">
        <f>+VLOOKUP($A32,DATA!$J$2:$Y$54,3)</f>
        <v>3.5020000000000003E-2</v>
      </c>
      <c r="C32" s="16">
        <f>+VLOOKUP($A32,DATA!$J$2:$Y$54,6)</f>
        <v>3.4420750202130299E-2</v>
      </c>
      <c r="D32" s="21">
        <f>+VLOOKUP($A32,DATA!$J$2:$Y$54,9)</f>
        <v>0.35607193424219313</v>
      </c>
      <c r="E32" s="16">
        <f>+VLOOKUP($A32,DATA!$J$2:$Y$54,15)</f>
        <v>3.8623872114519384E-2</v>
      </c>
      <c r="F32" s="17">
        <f>+VLOOKUP($A32,DATA!$J$2:$Y$54,12)</f>
        <v>0.96211251844597534</v>
      </c>
      <c r="G32" s="18">
        <f>+(G31*(1-DATA!$C$7)/F32)</f>
        <v>144088.02875962932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+(1-H32)*(1-DATA!$C$9)*Rates_Up!J31</f>
        <v>1.8523249941265114E-3</v>
      </c>
      <c r="K32" s="26">
        <f>+(G32/(1-DATA!$C$7)) *DATA!$C$8</f>
        <v>2062.6098186450008</v>
      </c>
      <c r="L32" s="26">
        <f>+L31*(1+DATA!$C$11)</f>
        <v>88.79223451487033</v>
      </c>
      <c r="M32" s="23">
        <f>+DATA!$C$9*(1-Rates_Up!H32) * (G32 - DATA!$C$12)</f>
        <v>18151.856109848457</v>
      </c>
      <c r="N32" s="23">
        <f>Rates_Up!H32 * (MAX($G$2,G32) )</f>
        <v>23058.855356172924</v>
      </c>
      <c r="O32" s="23">
        <f t="shared" si="0"/>
        <v>40.057540426356368</v>
      </c>
    </row>
    <row r="33" spans="1:15" x14ac:dyDescent="0.35">
      <c r="A33" s="14">
        <f t="shared" si="1"/>
        <v>31</v>
      </c>
      <c r="B33" s="16">
        <f>+VLOOKUP($A33,DATA!$J$2:$Y$54,3)</f>
        <v>3.5180000000000003E-2</v>
      </c>
      <c r="C33" s="16">
        <f>+VLOOKUP($A33,DATA!$J$2:$Y$54,6)</f>
        <v>3.4575324639690451E-2</v>
      </c>
      <c r="D33" s="21">
        <f>+VLOOKUP($A33,DATA!$J$2:$Y$54,9)</f>
        <v>0.34237965207536719</v>
      </c>
      <c r="E33" s="16">
        <f>+VLOOKUP($A33,DATA!$J$2:$Y$54,15)</f>
        <v>3.9212557766495057E-2</v>
      </c>
      <c r="F33" s="17">
        <f>+VLOOKUP($A33,DATA!$J$2:$Y$54,12)</f>
        <v>0.96154630328850144</v>
      </c>
      <c r="G33" s="18">
        <f>+(G32*(1-DATA!$C$7)/F33)</f>
        <v>146553.62060565953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+(1-H33)*(1-DATA!$C$9)*Rates_Up!J32</f>
        <v>1.289875997268616E-3</v>
      </c>
      <c r="K33" s="26">
        <f>+(G33/(1-DATA!$C$7)) *DATA!$C$8</f>
        <v>2097.9045894470687</v>
      </c>
      <c r="L33" s="26">
        <f>+L32*(1+DATA!$C$11)</f>
        <v>90.568079205167734</v>
      </c>
      <c r="M33" s="23">
        <f>+DATA!$C$9*(1-Rates_Up!H33) * (G33 - DATA!$C$12)</f>
        <v>18006.959515403956</v>
      </c>
      <c r="N33" s="23">
        <f>Rates_Up!H33 * (MAX($G$2,G33) )</f>
        <v>26490.839009899817</v>
      </c>
      <c r="O33" s="23">
        <f t="shared" si="0"/>
        <v>29.608357887163788</v>
      </c>
    </row>
    <row r="34" spans="1:15" x14ac:dyDescent="0.35">
      <c r="A34" s="14">
        <f t="shared" si="1"/>
        <v>32</v>
      </c>
      <c r="B34" s="16">
        <f>+VLOOKUP($A34,DATA!$J$2:$Y$54,3)</f>
        <v>3.5340000000000003E-2</v>
      </c>
      <c r="C34" s="16">
        <f>+VLOOKUP($A34,DATA!$J$2:$Y$54,6)</f>
        <v>3.4729875187686526E-2</v>
      </c>
      <c r="D34" s="21">
        <f>+VLOOKUP($A34,DATA!$J$2:$Y$54,9)</f>
        <v>0.32911237999639209</v>
      </c>
      <c r="E34" s="16">
        <f>+VLOOKUP($A34,DATA!$J$2:$Y$54,15)</f>
        <v>3.9520942175564878E-2</v>
      </c>
      <c r="F34" s="17">
        <f>+VLOOKUP($A34,DATA!$J$2:$Y$54,12)</f>
        <v>0.96124982311724938</v>
      </c>
      <c r="G34" s="18">
        <f>+(G33*(1-DATA!$C$7)/F34)</f>
        <v>149107.37823340256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+(1-H34)*(1-DATA!$C$9)*Rates_Up!J33</f>
        <v>8.7690336132881849E-4</v>
      </c>
      <c r="K34" s="26">
        <f>+(G34/(1-DATA!$C$7)) *DATA!$C$8</f>
        <v>2134.4614471039226</v>
      </c>
      <c r="L34" s="26">
        <f>+L33*(1+DATA!$C$11)</f>
        <v>92.379440789271086</v>
      </c>
      <c r="M34" s="23">
        <f>+DATA!$C$9*(1-Rates_Up!H34) * (G34 - DATA!$C$12)</f>
        <v>17886.154772389073</v>
      </c>
      <c r="N34" s="23">
        <f>Rates_Up!H34 * (MAX($G$2,G34) )</f>
        <v>29850.35029047541</v>
      </c>
      <c r="O34" s="23">
        <f t="shared" si="0"/>
        <v>21.210147805163405</v>
      </c>
    </row>
    <row r="35" spans="1:15" x14ac:dyDescent="0.35">
      <c r="A35" s="14">
        <f t="shared" si="1"/>
        <v>33</v>
      </c>
      <c r="B35" s="16">
        <f>+VLOOKUP($A35,DATA!$J$2:$Y$54,3)</f>
        <v>3.5499999999999997E-2</v>
      </c>
      <c r="C35" s="16">
        <f>+VLOOKUP($A35,DATA!$J$2:$Y$54,6)</f>
        <v>3.4884401853501883E-2</v>
      </c>
      <c r="D35" s="21">
        <f>+VLOOKUP($A35,DATA!$J$2:$Y$54,9)</f>
        <v>0.31626169443751051</v>
      </c>
      <c r="E35" s="16">
        <f>+VLOOKUP($A35,DATA!$J$2:$Y$54,15)</f>
        <v>3.982925515959327E-2</v>
      </c>
      <c r="F35" s="17">
        <f>+VLOOKUP($A35,DATA!$J$2:$Y$54,12)</f>
        <v>0.96095350299790472</v>
      </c>
      <c r="G35" s="18">
        <f>+(G34*(1-DATA!$C$7)/F35)</f>
        <v>151752.4161755261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+(1-H35)*(1-DATA!$C$9)*Rates_Up!J34</f>
        <v>5.7788707614889081E-4</v>
      </c>
      <c r="K35" s="26">
        <f>+(G35/(1-DATA!$C$7)) *DATA!$C$8</f>
        <v>2172.3249759277764</v>
      </c>
      <c r="L35" s="26">
        <f>+L34*(1+DATA!$C$11)</f>
        <v>94.227029605056515</v>
      </c>
      <c r="M35" s="23">
        <f>+DATA!$C$9*(1-Rates_Up!H35) * (G35 - DATA!$C$12)</f>
        <v>17645.8244413096</v>
      </c>
      <c r="N35" s="23">
        <f>Rates_Up!H35 * (MAX($G$2,G35) )</f>
        <v>34098.080476195442</v>
      </c>
      <c r="O35" s="23">
        <f t="shared" ref="O35:O52" si="2">+J34*D35*(K35+L35+M35+N35)</f>
        <v>14.978770945563287</v>
      </c>
    </row>
    <row r="36" spans="1:15" x14ac:dyDescent="0.35">
      <c r="A36" s="14">
        <f t="shared" si="1"/>
        <v>34</v>
      </c>
      <c r="B36" s="16">
        <f>+VLOOKUP($A36,DATA!$J$2:$Y$54,3)</f>
        <v>3.5659999999999997E-2</v>
      </c>
      <c r="C36" s="16">
        <f>+VLOOKUP($A36,DATA!$J$2:$Y$54,6)</f>
        <v>3.5038904644515825E-2</v>
      </c>
      <c r="D36" s="21">
        <f>+VLOOKUP($A36,DATA!$J$2:$Y$54,9)</f>
        <v>0.30381911901110631</v>
      </c>
      <c r="E36" s="16">
        <f>+VLOOKUP($A36,DATA!$J$2:$Y$54,15)</f>
        <v>4.0137496747975981E-2</v>
      </c>
      <c r="F36" s="17">
        <f>+VLOOKUP($A36,DATA!$J$2:$Y$54,12)</f>
        <v>0.96065734281056692</v>
      </c>
      <c r="G36" s="18">
        <f>+(G35*(1-DATA!$C$7)/F36)</f>
        <v>154491.98835607132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+(1-H36)*(1-DATA!$C$9)*Rates_Up!J35</f>
        <v>3.7036809726603219E-4</v>
      </c>
      <c r="K36" s="26">
        <f>+(G36/(1-DATA!$C$7)) *DATA!$C$8</f>
        <v>2211.541755608383</v>
      </c>
      <c r="L36" s="26">
        <f>+L35*(1+DATA!$C$11)</f>
        <v>96.111570197157647</v>
      </c>
      <c r="M36" s="23">
        <f>+DATA!$C$9*(1-Rates_Up!H36) * (G36 - DATA!$C$12)</f>
        <v>17470.794627010706</v>
      </c>
      <c r="N36" s="23">
        <f>Rates_Up!H36 * (MAX($G$2,G36) )</f>
        <v>38004.94416499995</v>
      </c>
      <c r="O36" s="23">
        <f t="shared" si="2"/>
        <v>10.145211730544981</v>
      </c>
    </row>
    <row r="37" spans="1:15" x14ac:dyDescent="0.35">
      <c r="A37" s="14">
        <f t="shared" si="1"/>
        <v>35</v>
      </c>
      <c r="B37" s="16">
        <f>+VLOOKUP($A37,DATA!$J$2:$Y$54,3)</f>
        <v>3.5810000000000002E-2</v>
      </c>
      <c r="C37" s="16">
        <f>+VLOOKUP($A37,DATA!$J$2:$Y$54,6)</f>
        <v>3.5183729334481939E-2</v>
      </c>
      <c r="D37" s="21">
        <f>+VLOOKUP($A37,DATA!$J$2:$Y$54,9)</f>
        <v>0.29187474427444587</v>
      </c>
      <c r="E37" s="16">
        <f>+VLOOKUP($A37,DATA!$J$2:$Y$54,15)</f>
        <v>4.0107768793329751E-2</v>
      </c>
      <c r="F37" s="17">
        <f>+VLOOKUP($A37,DATA!$J$2:$Y$54,12)</f>
        <v>0.96068590161297984</v>
      </c>
      <c r="G37" s="18">
        <f>+(G36*(1-DATA!$C$7)/F37)</f>
        <v>157276.34220357993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+(1-H37)*(1-DATA!$C$9)*Rates_Up!J36</f>
        <v>2.280448233562444E-4</v>
      </c>
      <c r="K37" s="26">
        <f>+(G37/(1-DATA!$C$7)) *DATA!$C$8</f>
        <v>2251.3995816463384</v>
      </c>
      <c r="L37" s="26">
        <f>+L36*(1+DATA!$C$11)</f>
        <v>98.033801601100805</v>
      </c>
      <c r="M37" s="23">
        <f>+DATA!$C$9*(1-Rates_Up!H37) * (G37 - DATA!$C$12)</f>
        <v>17087.052382331207</v>
      </c>
      <c r="N37" s="23">
        <f>Rates_Up!H37 * (MAX($G$2,G37) )</f>
        <v>43348.172012305236</v>
      </c>
      <c r="O37" s="23">
        <f t="shared" si="2"/>
        <v>6.7870901719214096</v>
      </c>
    </row>
    <row r="38" spans="1:15" x14ac:dyDescent="0.35">
      <c r="A38" s="14">
        <f t="shared" si="1"/>
        <v>36</v>
      </c>
      <c r="B38" s="16">
        <f>+VLOOKUP($A38,DATA!$J$2:$Y$54,3)</f>
        <v>3.5959999999999999E-2</v>
      </c>
      <c r="C38" s="16">
        <f>+VLOOKUP($A38,DATA!$J$2:$Y$54,6)</f>
        <v>3.5328533053294545E-2</v>
      </c>
      <c r="D38" s="21">
        <f>+VLOOKUP($A38,DATA!$J$2:$Y$54,9)</f>
        <v>0.28031895758030112</v>
      </c>
      <c r="E38" s="16">
        <f>+VLOOKUP($A38,DATA!$J$2:$Y$54,15)</f>
        <v>4.0396663211735656E-2</v>
      </c>
      <c r="F38" s="17">
        <f>+VLOOKUP($A38,DATA!$J$2:$Y$54,12)</f>
        <v>0.96040840490371782</v>
      </c>
      <c r="G38" s="18">
        <f>+(G37*(1-DATA!$C$7)/F38)</f>
        <v>160157.13928547039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+(1-H38)*(1-DATA!$C$9)*Rates_Up!J37</f>
        <v>1.3460884477301988E-4</v>
      </c>
      <c r="K38" s="26">
        <f>+(G38/(1-DATA!$C$7)) *DATA!$C$8</f>
        <v>2292.6379856815802</v>
      </c>
      <c r="L38" s="26">
        <f>+L37*(1+DATA!$C$11)</f>
        <v>99.994477633122827</v>
      </c>
      <c r="M38" s="23">
        <f>+DATA!$C$9*(1-Rates_Up!H38) * (G38 - DATA!$C$12)</f>
        <v>16680.834681759112</v>
      </c>
      <c r="N38" s="23">
        <f>Rates_Up!H38 * (MAX($G$2,G38) )</f>
        <v>48937.685949209626</v>
      </c>
      <c r="O38" s="23">
        <f t="shared" si="2"/>
        <v>4.3476324919616758</v>
      </c>
    </row>
    <row r="39" spans="1:15" x14ac:dyDescent="0.35">
      <c r="A39" s="14">
        <f t="shared" si="1"/>
        <v>37</v>
      </c>
      <c r="B39" s="16">
        <f>+VLOOKUP($A39,DATA!$J$2:$Y$54,3)</f>
        <v>3.6110000000000003E-2</v>
      </c>
      <c r="C39" s="16">
        <f>+VLOOKUP($A39,DATA!$J$2:$Y$54,6)</f>
        <v>3.5473315807025951E-2</v>
      </c>
      <c r="D39" s="21">
        <f>+VLOOKUP($A39,DATA!$J$2:$Y$54,9)</f>
        <v>0.26914293466709494</v>
      </c>
      <c r="E39" s="16">
        <f>+VLOOKUP($A39,DATA!$J$2:$Y$54,15)</f>
        <v>4.0685494941356745E-2</v>
      </c>
      <c r="F39" s="17">
        <f>+VLOOKUP($A39,DATA!$J$2:$Y$54,12)</f>
        <v>0.96013104853957421</v>
      </c>
      <c r="G39" s="18">
        <f>+(G38*(1-DATA!$C$7)/F39)</f>
        <v>163137.81588403034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+(1-H39)*(1-DATA!$C$9)*Rates_Up!J38</f>
        <v>7.6364893451778384E-5</v>
      </c>
      <c r="K39" s="26">
        <f>+(G39/(1-DATA!$C$7)) *DATA!$C$8</f>
        <v>2335.3061578491051</v>
      </c>
      <c r="L39" s="26">
        <f>+L38*(1+DATA!$C$11)</f>
        <v>101.99436718578528</v>
      </c>
      <c r="M39" s="23">
        <f>+DATA!$C$9*(1-Rates_Up!H39) * (G39 - DATA!$C$12)</f>
        <v>16330.289506705591</v>
      </c>
      <c r="N39" s="23">
        <f>Rates_Up!H39 * (MAX($G$2,G39) )</f>
        <v>54255.87071085973</v>
      </c>
      <c r="O39" s="23">
        <f t="shared" si="2"/>
        <v>2.6455683842496192</v>
      </c>
    </row>
    <row r="40" spans="1:15" x14ac:dyDescent="0.35">
      <c r="A40" s="14">
        <f t="shared" si="1"/>
        <v>38</v>
      </c>
      <c r="B40" s="16">
        <f>+VLOOKUP($A40,DATA!$J$2:$Y$54,3)</f>
        <v>3.6260000000000001E-2</v>
      </c>
      <c r="C40" s="16">
        <f>+VLOOKUP($A40,DATA!$J$2:$Y$54,6)</f>
        <v>3.5618077601745832E-2</v>
      </c>
      <c r="D40" s="21">
        <f>+VLOOKUP($A40,DATA!$J$2:$Y$54,9)</f>
        <v>0.25833787730952368</v>
      </c>
      <c r="E40" s="16">
        <f>+VLOOKUP($A40,DATA!$J$2:$Y$54,15)</f>
        <v>4.0974264006381447E-2</v>
      </c>
      <c r="F40" s="17">
        <f>+VLOOKUP($A40,DATA!$J$2:$Y$54,12)</f>
        <v>0.95985383242203215</v>
      </c>
      <c r="G40" s="18">
        <f>+(G39*(1-DATA!$C$7)/F40)</f>
        <v>166221.95853715221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+(1-H40)*(1-DATA!$C$9)*Rates_Up!J39</f>
        <v>4.1764646023703237E-5</v>
      </c>
      <c r="K40" s="26">
        <f>+(G40/(1-DATA!$C$7)) *DATA!$C$8</f>
        <v>2379.455439182138</v>
      </c>
      <c r="L40" s="26">
        <f>+L39*(1+DATA!$C$11)</f>
        <v>104.03425452950098</v>
      </c>
      <c r="M40" s="23">
        <f>+DATA!$C$9*(1-Rates_Up!H40) * (G40 - DATA!$C$12)</f>
        <v>16040.707711880677</v>
      </c>
      <c r="N40" s="23">
        <f>Rates_Up!H40 * (MAX($G$2,G40) )</f>
        <v>59271.038678014345</v>
      </c>
      <c r="O40" s="23">
        <f t="shared" si="2"/>
        <v>1.5347400979002763</v>
      </c>
    </row>
    <row r="41" spans="1:15" x14ac:dyDescent="0.35">
      <c r="A41" s="14">
        <f t="shared" si="1"/>
        <v>39</v>
      </c>
      <c r="B41" s="16">
        <f>+VLOOKUP($A41,DATA!$J$2:$Y$54,3)</f>
        <v>3.6400000000000002E-2</v>
      </c>
      <c r="C41" s="16">
        <f>+VLOOKUP($A41,DATA!$J$2:$Y$54,6)</f>
        <v>3.5753169705817843E-2</v>
      </c>
      <c r="D41" s="21">
        <f>+VLOOKUP($A41,DATA!$J$2:$Y$54,9)</f>
        <v>0.2479883230188959</v>
      </c>
      <c r="E41" s="16">
        <f>+VLOOKUP($A41,DATA!$J$2:$Y$54,15)</f>
        <v>4.0886669660554049E-2</v>
      </c>
      <c r="F41" s="17">
        <f>+VLOOKUP($A41,DATA!$J$2:$Y$54,12)</f>
        <v>0.95993791387304916</v>
      </c>
      <c r="G41" s="18">
        <f>+(G40*(1-DATA!$C$7)/F41)</f>
        <v>169349.5726129158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+(1-H41)*(1-DATA!$C$9)*Rates_Up!J40</f>
        <v>2.2042525102830199E-5</v>
      </c>
      <c r="K41" s="26">
        <f>+(G41/(1-DATA!$C$7)) *DATA!$C$8</f>
        <v>2424.2270108188359</v>
      </c>
      <c r="L41" s="26">
        <f>+L40*(1+DATA!$C$11)</f>
        <v>106.11493962009101</v>
      </c>
      <c r="M41" s="23">
        <f>+DATA!$C$9*(1-Rates_Up!H41) * (G41 - DATA!$C$12)</f>
        <v>15770.943821663304</v>
      </c>
      <c r="N41" s="23">
        <f>Rates_Up!H41 * (MAX($G$2,G41) )</f>
        <v>64197.528793360434</v>
      </c>
      <c r="O41" s="23">
        <f t="shared" si="2"/>
        <v>0.8544521459170844</v>
      </c>
    </row>
    <row r="42" spans="1:15" x14ac:dyDescent="0.35">
      <c r="A42" s="14">
        <f t="shared" si="1"/>
        <v>40</v>
      </c>
      <c r="B42" s="16">
        <f>+VLOOKUP($A42,DATA!$J$2:$Y$54,3)</f>
        <v>3.6540000000000003E-2</v>
      </c>
      <c r="C42" s="16">
        <f>+VLOOKUP($A42,DATA!$J$2:$Y$54,6)</f>
        <v>3.5888243562478321E-2</v>
      </c>
      <c r="D42" s="21">
        <f>+VLOOKUP($A42,DATA!$J$2:$Y$54,9)</f>
        <v>0.2379892575915869</v>
      </c>
      <c r="E42" s="16">
        <f>+VLOOKUP($A42,DATA!$J$2:$Y$54,15)</f>
        <v>4.1156123972237085E-2</v>
      </c>
      <c r="F42" s="17">
        <f>+VLOOKUP($A42,DATA!$J$2:$Y$54,12)</f>
        <v>0.95967928930852486</v>
      </c>
      <c r="G42" s="18">
        <f>+(G41*(1-DATA!$C$7)/F42)</f>
        <v>172582.53237367264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+(1-H42)*(1-DATA!$C$9)*Rates_Up!J41</f>
        <v>1.1194569766911169E-5</v>
      </c>
      <c r="K42" s="26">
        <f>+(G42/(1-DATA!$C$7)) *DATA!$C$8</f>
        <v>2470.5065983961317</v>
      </c>
      <c r="L42" s="26">
        <f>+L41*(1+DATA!$C$11)</f>
        <v>108.23723841249283</v>
      </c>
      <c r="M42" s="23">
        <f>+DATA!$C$9*(1-Rates_Up!H42) * (G42 - DATA!$C$12)</f>
        <v>15465.533357480945</v>
      </c>
      <c r="N42" s="23">
        <f>Rates_Up!H42 * (MAX($G$2,G42) )</f>
        <v>69467.026953533015</v>
      </c>
      <c r="O42" s="23">
        <f t="shared" si="2"/>
        <v>0.45907416640860033</v>
      </c>
    </row>
    <row r="43" spans="1:15" x14ac:dyDescent="0.35">
      <c r="A43" s="14">
        <f t="shared" si="1"/>
        <v>41</v>
      </c>
      <c r="B43" s="16">
        <f>+VLOOKUP($A43,DATA!$J$2:$Y$54,3)</f>
        <v>3.6670000000000001E-2</v>
      </c>
      <c r="C43" s="16">
        <f>+VLOOKUP($A43,DATA!$J$2:$Y$54,6)</f>
        <v>3.601365295194716E-2</v>
      </c>
      <c r="D43" s="21">
        <f>+VLOOKUP($A43,DATA!$J$2:$Y$54,9)</f>
        <v>0.22842216276614152</v>
      </c>
      <c r="E43" s="16">
        <f>+VLOOKUP($A43,DATA!$J$2:$Y$54,15)</f>
        <v>4.1030028530700612E-2</v>
      </c>
      <c r="F43" s="17">
        <f>+VLOOKUP($A43,DATA!$J$2:$Y$54,12)</f>
        <v>0.95980030812204364</v>
      </c>
      <c r="G43" s="18">
        <f>+(G42*(1-DATA!$C$7)/F43)</f>
        <v>175855.03487876549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+(1-H43)*(1-DATA!$C$9)*Rates_Up!J42</f>
        <v>5.3838281313074997E-6</v>
      </c>
      <c r="K43" s="26">
        <f>+(G43/(1-DATA!$C$7)) *DATA!$C$8</f>
        <v>2517.3522375283405</v>
      </c>
      <c r="L43" s="26">
        <f>+L42*(1+DATA!$C$11)</f>
        <v>110.40198318074269</v>
      </c>
      <c r="M43" s="23">
        <f>+DATA!$C$9*(1-Rates_Up!H43) * (G43 - DATA!$C$12)</f>
        <v>14923.185084546354</v>
      </c>
      <c r="N43" s="23">
        <f>Rates_Up!H43 * (MAX($G$2,G43) )</f>
        <v>76355.818265323134</v>
      </c>
      <c r="O43" s="23">
        <f t="shared" si="2"/>
        <v>0.2401278276328625</v>
      </c>
    </row>
    <row r="44" spans="1:15" x14ac:dyDescent="0.35">
      <c r="A44" s="14">
        <f t="shared" si="1"/>
        <v>42</v>
      </c>
      <c r="B44" s="16">
        <f>+VLOOKUP($A44,DATA!$J$2:$Y$54,3)</f>
        <v>3.6799999999999999E-2</v>
      </c>
      <c r="C44" s="16">
        <f>+VLOOKUP($A44,DATA!$J$2:$Y$54,6)</f>
        <v>3.6139046615873138E-2</v>
      </c>
      <c r="D44" s="21">
        <f>+VLOOKUP($A44,DATA!$J$2:$Y$54,9)</f>
        <v>0.21918482444165785</v>
      </c>
      <c r="E44" s="16">
        <f>+VLOOKUP($A44,DATA!$J$2:$Y$54,15)</f>
        <v>4.1280186836838248E-2</v>
      </c>
      <c r="F44" s="17">
        <f>+VLOOKUP($A44,DATA!$J$2:$Y$54,12)</f>
        <v>0.9595602361319866</v>
      </c>
      <c r="G44" s="18">
        <f>+(G43*(1-DATA!$C$7)/F44)</f>
        <v>179234.4218062993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+(1-H44)*(1-DATA!$C$9)*Rates_Up!J43</f>
        <v>2.4030133983938392E-6</v>
      </c>
      <c r="K44" s="26">
        <f>+(G44/(1-DATA!$C$7)) *DATA!$C$8</f>
        <v>2565.727919517577</v>
      </c>
      <c r="L44" s="26">
        <f>+L43*(1+DATA!$C$11)</f>
        <v>112.61002284435754</v>
      </c>
      <c r="M44" s="23">
        <f>+DATA!$C$9*(1-Rates_Up!H44) * (G44 - DATA!$C$12)</f>
        <v>14115.955924994825</v>
      </c>
      <c r="N44" s="23">
        <f>Rates_Up!H44 * (MAX($G$2,G44) )</f>
        <v>85117.546874800464</v>
      </c>
      <c r="O44" s="23">
        <f t="shared" si="2"/>
        <v>0.120261416591983</v>
      </c>
    </row>
    <row r="45" spans="1:15" x14ac:dyDescent="0.35">
      <c r="A45" s="14">
        <f t="shared" si="1"/>
        <v>43</v>
      </c>
      <c r="B45" s="16">
        <f>+VLOOKUP($A45,DATA!$J$2:$Y$54,3)</f>
        <v>3.6929999999999998E-2</v>
      </c>
      <c r="C45" s="16">
        <f>+VLOOKUP($A45,DATA!$J$2:$Y$54,6)</f>
        <v>3.6264424558199539E-2</v>
      </c>
      <c r="D45" s="21">
        <f>+VLOOKUP($A45,DATA!$J$2:$Y$54,9)</f>
        <v>0.21026844480661194</v>
      </c>
      <c r="E45" s="16">
        <f>+VLOOKUP($A45,DATA!$J$2:$Y$54,15)</f>
        <v>4.1530298135908528E-2</v>
      </c>
      <c r="F45" s="17">
        <f>+VLOOKUP($A45,DATA!$J$2:$Y$54,12)</f>
        <v>0.95932026928525227</v>
      </c>
      <c r="G45" s="18">
        <f>+(G44*(1-DATA!$C$7)/F45)</f>
        <v>182724.44577571849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+(1-H45)*(1-DATA!$C$9)*Rates_Up!J44</f>
        <v>1.0017937803684089E-6</v>
      </c>
      <c r="K45" s="26">
        <f>+(G45/(1-DATA!$C$7)) *DATA!$C$8</f>
        <v>2615.687362842596</v>
      </c>
      <c r="L45" s="26">
        <f>+L44*(1+DATA!$C$11)</f>
        <v>114.8622233012447</v>
      </c>
      <c r="M45" s="23">
        <f>+DATA!$C$9*(1-Rates_Up!H45) * (G45 - DATA!$C$12)</f>
        <v>13441.371586837078</v>
      </c>
      <c r="N45" s="23">
        <f>Rates_Up!H45 * (MAX($G$2,G45) )</f>
        <v>93105.492672071283</v>
      </c>
      <c r="O45" s="23">
        <f t="shared" si="2"/>
        <v>5.521546110646066E-2</v>
      </c>
    </row>
    <row r="46" spans="1:15" x14ac:dyDescent="0.35">
      <c r="A46" s="14">
        <f t="shared" si="1"/>
        <v>44</v>
      </c>
      <c r="B46" s="16">
        <f>+VLOOKUP($A46,DATA!$J$2:$Y$54,3)</f>
        <v>3.705E-2</v>
      </c>
      <c r="C46" s="16">
        <f>+VLOOKUP($A46,DATA!$J$2:$Y$54,6)</f>
        <v>3.6380144092750526E-2</v>
      </c>
      <c r="D46" s="21">
        <f>+VLOOKUP($A46,DATA!$J$2:$Y$54,9)</f>
        <v>0.20174992570578915</v>
      </c>
      <c r="E46" s="16">
        <f>+VLOOKUP($A46,DATA!$J$2:$Y$54,15)</f>
        <v>4.1356084078443094E-2</v>
      </c>
      <c r="F46" s="17">
        <f>+VLOOKUP($A46,DATA!$J$2:$Y$54,12)</f>
        <v>0.95948741092056178</v>
      </c>
      <c r="G46" s="18">
        <f>+(G45*(1-DATA!$C$7)/F46)</f>
        <v>186249.9767424755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+(1-H46)*(1-DATA!$C$9)*Rates_Up!J45</f>
        <v>3.879287730341853E-7</v>
      </c>
      <c r="K46" s="26">
        <f>+(G46/(1-DATA!$C$7)) *DATA!$C$8</f>
        <v>2666.1550862931053</v>
      </c>
      <c r="L46" s="26">
        <f>+L45*(1+DATA!$C$11)</f>
        <v>117.15946776726959</v>
      </c>
      <c r="M46" s="23">
        <f>+DATA!$C$9*(1-Rates_Up!H46) * (G46 - DATA!$C$12)</f>
        <v>12726.107401886829</v>
      </c>
      <c r="N46" s="23">
        <f>Rates_Up!H46 * (MAX($G$2,G46) )</f>
        <v>101400.14933789663</v>
      </c>
      <c r="O46" s="23">
        <f t="shared" si="2"/>
        <v>2.3628806318685872E-2</v>
      </c>
    </row>
    <row r="47" spans="1:15" x14ac:dyDescent="0.35">
      <c r="A47" s="14">
        <f t="shared" si="1"/>
        <v>45</v>
      </c>
      <c r="B47" s="16">
        <f>+VLOOKUP($A47,DATA!$J$2:$Y$54,3)</f>
        <v>3.7170000000000002E-2</v>
      </c>
      <c r="C47" s="16">
        <f>+VLOOKUP($A47,DATA!$J$2:$Y$54,6)</f>
        <v>3.6495850237840036E-2</v>
      </c>
      <c r="D47" s="21">
        <f>+VLOOKUP($A47,DATA!$J$2:$Y$54,9)</f>
        <v>0.19353183449254571</v>
      </c>
      <c r="E47" s="16">
        <f>+VLOOKUP($A47,DATA!$J$2:$Y$54,15)</f>
        <v>4.1586920621778448E-2</v>
      </c>
      <c r="F47" s="17">
        <f>+VLOOKUP($A47,DATA!$J$2:$Y$54,12)</f>
        <v>0.95926595172467211</v>
      </c>
      <c r="G47" s="18">
        <f>+(G46*(1-DATA!$C$7)/F47)</f>
        <v>189887.35806441124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+(1-H47)*(1-DATA!$C$9)*Rates_Up!J46</f>
        <v>1.3874044193898951E-7</v>
      </c>
      <c r="K47" s="26">
        <f>+(G47/(1-DATA!$C$7)) *DATA!$C$8</f>
        <v>2718.2239395723491</v>
      </c>
      <c r="L47" s="26">
        <f>+L46*(1+DATA!$C$11)</f>
        <v>119.50265712261498</v>
      </c>
      <c r="M47" s="23">
        <f>+DATA!$C$9*(1-Rates_Up!H47) * (G47 - DATA!$C$12)</f>
        <v>11983.225211047014</v>
      </c>
      <c r="N47" s="23">
        <f>Rates_Up!H47 * (MAX($G$2,G47) )</f>
        <v>109990.77483516447</v>
      </c>
      <c r="O47" s="23">
        <f t="shared" si="2"/>
        <v>9.3704359698919826E-3</v>
      </c>
    </row>
    <row r="48" spans="1:15" x14ac:dyDescent="0.35">
      <c r="A48" s="14">
        <f t="shared" si="1"/>
        <v>46</v>
      </c>
      <c r="B48" s="16">
        <f>+VLOOKUP($A48,DATA!$J$2:$Y$54,3)</f>
        <v>3.7280000000000001E-2</v>
      </c>
      <c r="C48" s="16">
        <f>+VLOOKUP($A48,DATA!$J$2:$Y$54,6)</f>
        <v>3.6601902444548466E-2</v>
      </c>
      <c r="D48" s="21">
        <f>+VLOOKUP($A48,DATA!$J$2:$Y$54,9)</f>
        <v>0.18568798525964977</v>
      </c>
      <c r="E48" s="16">
        <f>+VLOOKUP($A48,DATA!$J$2:$Y$54,15)</f>
        <v>4.1374251746427747E-2</v>
      </c>
      <c r="F48" s="17">
        <f>+VLOOKUP($A48,DATA!$J$2:$Y$54,12)</f>
        <v>0.95946997943018997</v>
      </c>
      <c r="G48" s="18">
        <f>+(G47*(1-DATA!$C$7)/F48)</f>
        <v>193554.60844880581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+(1-H48)*(1-DATA!$C$9)*Rates_Up!J47</f>
        <v>4.5563054418752522E-8</v>
      </c>
      <c r="K48" s="26">
        <f>+(G48/(1-DATA!$C$7)) *DATA!$C$8</f>
        <v>2770.7203663428236</v>
      </c>
      <c r="L48" s="26">
        <f>+L47*(1+DATA!$C$11)</f>
        <v>121.89271026506728</v>
      </c>
      <c r="M48" s="23">
        <f>+DATA!$C$9*(1-Rates_Up!H48) * (G48 - DATA!$C$12)</f>
        <v>11216.070442416396</v>
      </c>
      <c r="N48" s="23">
        <f>Rates_Up!H48 * (MAX($G$2,G48) )</f>
        <v>118773.07832296316</v>
      </c>
      <c r="O48" s="23">
        <f t="shared" si="2"/>
        <v>3.4233575046719016E-3</v>
      </c>
    </row>
    <row r="49" spans="1:15" x14ac:dyDescent="0.35">
      <c r="A49" s="14">
        <f t="shared" si="1"/>
        <v>47</v>
      </c>
      <c r="B49" s="16">
        <f>+VLOOKUP($A49,DATA!$J$2:$Y$54,3)</f>
        <v>3.739E-2</v>
      </c>
      <c r="C49" s="16">
        <f>+VLOOKUP($A49,DATA!$J$2:$Y$54,6)</f>
        <v>3.6707943405378987E-2</v>
      </c>
      <c r="D49" s="21">
        <f>+VLOOKUP($A49,DATA!$J$2:$Y$54,9)</f>
        <v>0.17812435659699125</v>
      </c>
      <c r="E49" s="16">
        <f>+VLOOKUP($A49,DATA!$J$2:$Y$54,15)</f>
        <v>4.1585827603582932E-2</v>
      </c>
      <c r="F49" s="17">
        <f>+VLOOKUP($A49,DATA!$J$2:$Y$54,12)</f>
        <v>0.95926700022038469</v>
      </c>
      <c r="G49" s="18">
        <f>+(G48*(1-DATA!$C$7)/F49)</f>
        <v>197334.43037177616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+(1-H49)*(1-DATA!$C$9)*Rates_Up!J48</f>
        <v>1.3659528263296515E-8</v>
      </c>
      <c r="K49" s="26">
        <f>+(G49/(1-DATA!$C$7)) *DATA!$C$8</f>
        <v>2824.8282466307428</v>
      </c>
      <c r="L49" s="26">
        <f>+L48*(1+DATA!$C$11)</f>
        <v>124.33056447036863</v>
      </c>
      <c r="M49" s="23">
        <f>+DATA!$C$9*(1-Rates_Up!H49) * (G49 - DATA!$C$12)</f>
        <v>10438.883534306411</v>
      </c>
      <c r="N49" s="23">
        <f>Rates_Up!H49 * (MAX($G$2,G49) )</f>
        <v>127734.81950100008</v>
      </c>
      <c r="O49" s="23">
        <f t="shared" si="2"/>
        <v>1.1453375883639788E-3</v>
      </c>
    </row>
    <row r="50" spans="1:15" x14ac:dyDescent="0.35">
      <c r="A50" s="14">
        <f t="shared" si="1"/>
        <v>48</v>
      </c>
      <c r="B50" s="16">
        <f>+VLOOKUP($A50,DATA!$J$2:$Y$54,3)</f>
        <v>3.7499999999999999E-2</v>
      </c>
      <c r="C50" s="16">
        <f>+VLOOKUP($A50,DATA!$J$2:$Y$54,6)</f>
        <v>3.6813973122716399E-2</v>
      </c>
      <c r="D50" s="21">
        <f>+VLOOKUP($A50,DATA!$J$2:$Y$54,9)</f>
        <v>0.17083267507059799</v>
      </c>
      <c r="E50" s="16">
        <f>+VLOOKUP($A50,DATA!$J$2:$Y$54,15)</f>
        <v>4.1797369837574906E-2</v>
      </c>
      <c r="F50" s="17">
        <f>+VLOOKUP($A50,DATA!$J$2:$Y$54,12)</f>
        <v>0.95906409619830502</v>
      </c>
      <c r="G50" s="18">
        <f>+(G49*(1-DATA!$C$7)/F50)</f>
        <v>201230.63064149159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+(1-H50)*(1-DATA!$C$9)*Rates_Up!J49</f>
        <v>3.7164584694549589E-9</v>
      </c>
      <c r="K50" s="26">
        <f>+(G50/(1-DATA!$C$7)) *DATA!$C$8</f>
        <v>2880.602074622579</v>
      </c>
      <c r="L50" s="26">
        <f>+L49*(1+DATA!$C$11)</f>
        <v>126.81717575977601</v>
      </c>
      <c r="M50" s="23">
        <f>+DATA!$C$9*(1-Rates_Up!H50) * (G50 - DATA!$C$12)</f>
        <v>9660.8833557030975</v>
      </c>
      <c r="N50" s="23">
        <f>Rates_Up!H50 * (MAX($G$2,G50) )</f>
        <v>136818.33976587094</v>
      </c>
      <c r="O50" s="23">
        <f t="shared" si="2"/>
        <v>3.4882614619489652E-4</v>
      </c>
    </row>
    <row r="51" spans="1:15" x14ac:dyDescent="0.35">
      <c r="A51" s="14">
        <f t="shared" si="1"/>
        <v>49</v>
      </c>
      <c r="B51" s="16">
        <f>+VLOOKUP($A51,DATA!$J$2:$Y$54,3)</f>
        <v>3.7600000000000001E-2</v>
      </c>
      <c r="C51" s="16">
        <f>+VLOOKUP($A51,DATA!$J$2:$Y$54,6)</f>
        <v>3.6910354020097152E-2</v>
      </c>
      <c r="D51" s="21">
        <f>+VLOOKUP($A51,DATA!$J$2:$Y$54,9)</f>
        <v>0.16388220900563749</v>
      </c>
      <c r="E51" s="16">
        <f>+VLOOKUP($A51,DATA!$J$2:$Y$54,15)</f>
        <v>4.1536637094373191E-2</v>
      </c>
      <c r="F51" s="17">
        <f>+VLOOKUP($A51,DATA!$J$2:$Y$54,12)</f>
        <v>0.95931418821318482</v>
      </c>
      <c r="G51" s="18">
        <f>+(G50*(1-DATA!$C$7)/F51)</f>
        <v>205150.26170304473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+(1-H51)*(1-DATA!$C$9)*Rates_Up!J50</f>
        <v>9.1238224796651336E-10</v>
      </c>
      <c r="K51" s="26">
        <f>+(G51/(1-DATA!$C$7)) *DATA!$C$8</f>
        <v>2936.7113127225221</v>
      </c>
      <c r="L51" s="26">
        <f>+L50*(1+DATA!$C$11)</f>
        <v>129.35351927497152</v>
      </c>
      <c r="M51" s="23">
        <f>+DATA!$C$9*(1-Rates_Up!H51) * (G51 - DATA!$C$12)</f>
        <v>8886.8860203463373</v>
      </c>
      <c r="N51" s="23">
        <f>Rates_Up!H51 * (MAX($G$2,G51) )</f>
        <v>145898.57848273581</v>
      </c>
      <c r="O51" s="23">
        <f t="shared" si="2"/>
        <v>9.614127718246734E-5</v>
      </c>
    </row>
    <row r="52" spans="1:15" x14ac:dyDescent="0.35">
      <c r="A52" s="14">
        <f t="shared" si="1"/>
        <v>50</v>
      </c>
      <c r="B52" s="16">
        <f>+VLOOKUP($A52,DATA!$J$2:$Y$54,3)</f>
        <v>3.771E-2</v>
      </c>
      <c r="C52" s="16">
        <f>+VLOOKUP($A52,DATA!$J$2:$Y$54,6)</f>
        <v>3.7016362279203352E-2</v>
      </c>
      <c r="D52" s="21">
        <f>+VLOOKUP($A52,DATA!$J$2:$Y$54,9)</f>
        <v>0.15710858099870181</v>
      </c>
      <c r="E52" s="16">
        <f>+VLOOKUP($A52,DATA!$J$2:$Y$54,15)</f>
        <v>4.2210766975407071E-2</v>
      </c>
      <c r="F52" s="17">
        <f>+VLOOKUP($A52,DATA!$J$2:$Y$54,12)</f>
        <v>0.95866770378532873</v>
      </c>
      <c r="G52" s="18">
        <f>+(G51*(1-DATA!$C$7)/F52)</f>
        <v>209287.27978772685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+(1-H52)*(1-DATA!$C$9)*Rates_Up!J51</f>
        <v>2.0096874985242516E-10</v>
      </c>
      <c r="K52" s="26">
        <f>+(G52/(1-DATA!$C$7)) *DATA!$C$8</f>
        <v>2995.9324304991574</v>
      </c>
      <c r="L52" s="26">
        <f>+L51*(1+DATA!$C$11)</f>
        <v>131.94058966047095</v>
      </c>
      <c r="M52" s="23">
        <f>(1-Rates_Up!H52) * (G52 )</f>
        <v>54234.496396911745</v>
      </c>
      <c r="N52" s="23">
        <f>Rates_Up!H52 * (MAX($G$2,G52) )</f>
        <v>155052.78339081511</v>
      </c>
      <c r="O52" s="23">
        <f t="shared" si="2"/>
        <v>3.0448242307242326E-5</v>
      </c>
    </row>
  </sheetData>
  <mergeCells count="2">
    <mergeCell ref="Q1:R1"/>
    <mergeCell ref="Q9:R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79F8-F6D3-47A8-AB82-EA96DAF51E5B}">
  <sheetPr>
    <tabColor theme="9" tint="0.79998168889431442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+VLOOKUP($A2,DATA!$J$2:$Y$54,4)</f>
        <v>0</v>
      </c>
      <c r="C2" s="16">
        <f>+VLOOKUP($A2,DATA!$J$2:$Y$54,7)</f>
        <v>0</v>
      </c>
      <c r="D2" s="21">
        <f>+VLOOKUP($A2,DATA!$J$2:$Y$54,10)</f>
        <v>1</v>
      </c>
      <c r="E2" s="16">
        <f>+VLOOKUP($A2,DATA!$J$2:$Y$54,16)</f>
        <v>0</v>
      </c>
      <c r="F2" s="17">
        <f>+VLOOKUP($A2,DATA!$J$2:$Y$54,13)</f>
        <v>1</v>
      </c>
      <c r="G2" s="18">
        <f>+DATA!C4+DATA!C5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+VLOOKUP($A3,DATA!$J$2:$Y$54,4)</f>
        <v>8.7899999999999992E-3</v>
      </c>
      <c r="C3" s="16">
        <f>+VLOOKUP($A3,DATA!$J$2:$Y$54,7)</f>
        <v>8.7515928517962922E-3</v>
      </c>
      <c r="D3" s="21">
        <f>+VLOOKUP($A3,DATA!$J$2:$Y$54,10)</f>
        <v>0.99128659086628523</v>
      </c>
      <c r="E3" s="16">
        <f>+VLOOKUP($A3,DATA!$J$2:$Y$54,16)</f>
        <v>8.7515928517963373E-3</v>
      </c>
      <c r="F3" s="17">
        <f>+VLOOKUP($A3,DATA!$J$2:$Y$54,13)</f>
        <v>0.99128659086628523</v>
      </c>
      <c r="G3" s="18">
        <f>+(G2*(1-DATA!$C$7)/F3)</f>
        <v>98659.662000000011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+(1-H3)*(1-DATA!$C$9)*Rates_Down!J2</f>
        <v>0.84450231049999991</v>
      </c>
      <c r="K3" s="26">
        <f>+(G3/(1-DATA!$C$7)) *DATA!$C$8</f>
        <v>1412.3060000000003</v>
      </c>
      <c r="L3" s="26">
        <f>+DATA!C10</f>
        <v>50</v>
      </c>
      <c r="M3" s="23">
        <f>+DATA!$C$9*(1-Rates_Down!H3) * (G3 - DATA!$C$12)</f>
        <v>14700.25102340101</v>
      </c>
      <c r="N3" s="23">
        <f>Rates_Down!H3 * (MAX($G$2,G3) )</f>
        <v>646.78699999999992</v>
      </c>
      <c r="O3" s="23">
        <f t="shared" ref="O3:O34" si="0">+J2*D3*(K3+L3+M3+N3)</f>
        <v>16662.877331655753</v>
      </c>
      <c r="Q3" s="6" t="s">
        <v>40</v>
      </c>
      <c r="R3" s="27">
        <f>+SUM(O2:O52)</f>
        <v>96158.401943087694</v>
      </c>
    </row>
    <row r="4" spans="1:18" x14ac:dyDescent="0.35">
      <c r="A4" s="14">
        <f t="shared" ref="A4:A52" si="1">+A3+1</f>
        <v>2</v>
      </c>
      <c r="B4" s="16">
        <f>+VLOOKUP($A4,DATA!$J$2:$Y$54,4)</f>
        <v>1.0619999999999999E-2</v>
      </c>
      <c r="C4" s="16">
        <f>+VLOOKUP($A4,DATA!$J$2:$Y$54,7)</f>
        <v>1.0564003903476862E-2</v>
      </c>
      <c r="D4" s="21">
        <f>+VLOOKUP($A4,DATA!$J$2:$Y$54,10)</f>
        <v>0.97909362491967555</v>
      </c>
      <c r="E4" s="16">
        <f>+VLOOKUP($A4,DATA!$J$2:$Y$54,16)</f>
        <v>1.2376414955157372E-2</v>
      </c>
      <c r="F4" s="17">
        <f>+VLOOKUP($A4,DATA!$J$2:$Y$54,13)</f>
        <v>0.98769985788271963</v>
      </c>
      <c r="G4" s="18">
        <f>+(G3*(1-DATA!$C$7)/F4)</f>
        <v>97690.75966340497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+(1-H4)*(1-DATA!$C$9)*Rates_Down!J3</f>
        <v>0.71273020584612179</v>
      </c>
      <c r="K4" s="26">
        <f>+(G4/(1-DATA!$C$7)) *DATA!$C$8</f>
        <v>1398.4362324004801</v>
      </c>
      <c r="L4" s="26">
        <f>+L3*(1+DATA!$C$11)</f>
        <v>51</v>
      </c>
      <c r="M4" s="23">
        <f>+DATA!$C$9*(1-Rates_Down!H4) * (G4 - DATA!$C$12)</f>
        <v>14546.590781309593</v>
      </c>
      <c r="N4" s="23">
        <f>Rates_Down!H4 * (MAX($G$2,G4) )</f>
        <v>710.02599999999995</v>
      </c>
      <c r="O4" s="23">
        <f t="shared" si="0"/>
        <v>13813.346950144802</v>
      </c>
      <c r="Q4" s="6" t="s">
        <v>41</v>
      </c>
      <c r="R4" s="27">
        <f>+R2-R3</f>
        <v>3841.5980569123058</v>
      </c>
    </row>
    <row r="5" spans="1:18" x14ac:dyDescent="0.35">
      <c r="A5" s="14">
        <f t="shared" si="1"/>
        <v>3</v>
      </c>
      <c r="B5" s="16">
        <f>+VLOOKUP($A5,DATA!$J$2:$Y$54,4)</f>
        <v>1.225E-2</v>
      </c>
      <c r="C5" s="16">
        <f>+VLOOKUP($A5,DATA!$J$2:$Y$54,7)</f>
        <v>1.2175575930133544E-2</v>
      </c>
      <c r="D5" s="21">
        <f>+VLOOKUP($A5,DATA!$J$2:$Y$54,10)</f>
        <v>0.96413232442525931</v>
      </c>
      <c r="E5" s="16">
        <f>+VLOOKUP($A5,DATA!$J$2:$Y$54,16)</f>
        <v>1.5398719983446916E-2</v>
      </c>
      <c r="F5" s="17">
        <f>+VLOOKUP($A5,DATA!$J$2:$Y$54,13)</f>
        <v>0.98471923408178286</v>
      </c>
      <c r="G5" s="18">
        <f>+(G4*(1-DATA!$C$7)/F5)</f>
        <v>97024.166527933528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+(1-H5)*(1-DATA!$C$9)*Rates_Down!J4</f>
        <v>0.60108612581225174</v>
      </c>
      <c r="K5" s="26">
        <f>+(G5/(1-DATA!$C$7)) *DATA!$C$8</f>
        <v>1388.8939993773715</v>
      </c>
      <c r="L5" s="26">
        <f>+L4*(1+DATA!$C$11)</f>
        <v>52.02</v>
      </c>
      <c r="M5" s="23">
        <f>+DATA!$C$9*(1-Rates_Down!H5) * (G5 - DATA!$C$12)</f>
        <v>14436.91038991516</v>
      </c>
      <c r="N5" s="23">
        <f>Rates_Down!H5 * (MAX($G$2,G5) )</f>
        <v>781.51</v>
      </c>
      <c r="O5" s="23">
        <f t="shared" si="0"/>
        <v>11447.732007441045</v>
      </c>
      <c r="Q5" s="6" t="s">
        <v>43</v>
      </c>
      <c r="R5" s="27">
        <f>+MAX(Rates_Basic!R4-R4,0)</f>
        <v>362.36418511481315</v>
      </c>
    </row>
    <row r="6" spans="1:18" x14ac:dyDescent="0.35">
      <c r="A6" s="14">
        <f t="shared" si="1"/>
        <v>4</v>
      </c>
      <c r="B6" s="16">
        <f>+VLOOKUP($A6,DATA!$J$2:$Y$54,4)</f>
        <v>1.319E-2</v>
      </c>
      <c r="C6" s="16">
        <f>+VLOOKUP($A6,DATA!$J$2:$Y$54,7)</f>
        <v>1.3103769376977175E-2</v>
      </c>
      <c r="D6" s="21">
        <f>+VLOOKUP($A6,DATA!$J$2:$Y$54,10)</f>
        <v>0.94893490355096166</v>
      </c>
      <c r="E6" s="16">
        <f>+VLOOKUP($A6,DATA!$J$2:$Y$54,16)</f>
        <v>1.5888349717508136E-2</v>
      </c>
      <c r="F6" s="17">
        <f>+VLOOKUP($A6,DATA!$J$2:$Y$54,13)</f>
        <v>0.98423720428276562</v>
      </c>
      <c r="G6" s="18">
        <f>+(G5*(1-DATA!$C$7)/F6)</f>
        <v>96409.315205136008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+(1-H6)*(1-DATA!$C$9)*Rates_Down!J5</f>
        <v>0.50649612377229214</v>
      </c>
      <c r="K6" s="26">
        <f>+(G6/(1-DATA!$C$7)) *DATA!$C$8</f>
        <v>1380.0924466992885</v>
      </c>
      <c r="L6" s="26">
        <f>+L5*(1+DATA!$C$11)</f>
        <v>53.060400000000001</v>
      </c>
      <c r="M6" s="23">
        <f>+DATA!$C$9*(1-Rates_Down!H6) * (G6 - DATA!$C$12)</f>
        <v>14333.117147924171</v>
      </c>
      <c r="N6" s="23">
        <f>Rates_Down!H6 * (MAX($G$2,G6) )</f>
        <v>866.48699999999997</v>
      </c>
      <c r="O6" s="23">
        <f t="shared" si="0"/>
        <v>9487.1849548020764</v>
      </c>
      <c r="Q6" s="6" t="s">
        <v>42</v>
      </c>
      <c r="R6" s="8">
        <f>+SUMPRODUCT(A2:A52,O2:O52)/R3</f>
        <v>5.64023576424675</v>
      </c>
    </row>
    <row r="7" spans="1:18" x14ac:dyDescent="0.35">
      <c r="A7" s="14">
        <f t="shared" si="1"/>
        <v>5</v>
      </c>
      <c r="B7" s="16">
        <f>+VLOOKUP($A7,DATA!$J$2:$Y$54,4)</f>
        <v>1.376E-2</v>
      </c>
      <c r="C7" s="16">
        <f>+VLOOKUP($A7,DATA!$J$2:$Y$54,7)</f>
        <v>1.3666190763814595E-2</v>
      </c>
      <c r="D7" s="21">
        <f>+VLOOKUP($A7,DATA!$J$2:$Y$54,10)</f>
        <v>0.93395132766480615</v>
      </c>
      <c r="E7" s="16">
        <f>+VLOOKUP($A7,DATA!$J$2:$Y$54,16)</f>
        <v>1.591587631116425E-2</v>
      </c>
      <c r="F7" s="17">
        <f>+VLOOKUP($A7,DATA!$J$2:$Y$54,13)</f>
        <v>0.98421011195806352</v>
      </c>
      <c r="G7" s="18">
        <f>+(G6*(1-DATA!$C$7)/F7)</f>
        <v>95800.99729217228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+(1-H7)*(1-DATA!$C$9)*Rates_Down!J6</f>
        <v>0.42636600834260208</v>
      </c>
      <c r="K7" s="26">
        <f>+(G7/(1-DATA!$C$7)) *DATA!$C$8</f>
        <v>1371.3844193153495</v>
      </c>
      <c r="L7" s="26">
        <f>+L6*(1+DATA!$C$11)</f>
        <v>54.121608000000002</v>
      </c>
      <c r="M7" s="23">
        <f>+DATA!$C$9*(1-Rates_Down!H7) * (G7 - DATA!$C$12)</f>
        <v>14228.467808941519</v>
      </c>
      <c r="N7" s="23">
        <f>Rates_Down!H7 * (MAX($G$2,G7) )</f>
        <v>965.27</v>
      </c>
      <c r="O7" s="23">
        <f t="shared" si="0"/>
        <v>7861.612429205672</v>
      </c>
      <c r="Q7" s="6" t="s">
        <v>44</v>
      </c>
      <c r="R7" s="27">
        <f>+MAX(R5,0)</f>
        <v>362.36418511481315</v>
      </c>
    </row>
    <row r="8" spans="1:18" x14ac:dyDescent="0.35">
      <c r="A8" s="14">
        <f t="shared" si="1"/>
        <v>6</v>
      </c>
      <c r="B8" s="16">
        <f>+VLOOKUP($A8,DATA!$J$2:$Y$54,4)</f>
        <v>1.451E-2</v>
      </c>
      <c r="C8" s="16">
        <f>+VLOOKUP($A8,DATA!$J$2:$Y$54,7)</f>
        <v>1.4405737307601267E-2</v>
      </c>
      <c r="D8" s="21">
        <f>+VLOOKUP($A8,DATA!$J$2:$Y$54,10)</f>
        <v>0.91719569297904247</v>
      </c>
      <c r="E8" s="16">
        <f>+VLOOKUP($A8,DATA!$J$2:$Y$54,16)</f>
        <v>1.8103470026534559E-2</v>
      </c>
      <c r="F8" s="17">
        <f>+VLOOKUP($A8,DATA!$J$2:$Y$54,13)</f>
        <v>0.98205941338757086</v>
      </c>
      <c r="G8" s="18">
        <f>+(G7*(1-DATA!$C$7)/F8)</f>
        <v>95404.996963018057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+(1-H8)*(1-DATA!$C$9)*Rates_Down!J7</f>
        <v>0.35849878133916319</v>
      </c>
      <c r="K8" s="26">
        <f>+(G8/(1-DATA!$C$7)) *DATA!$C$8</f>
        <v>1365.7157029470889</v>
      </c>
      <c r="L8" s="26">
        <f>+L7*(1+DATA!$C$11)</f>
        <v>55.204040160000005</v>
      </c>
      <c r="M8" s="23">
        <f>+DATA!$C$9*(1-Rates_Down!H8) * (G8 - DATA!$C$12)</f>
        <v>14153.293525027962</v>
      </c>
      <c r="N8" s="23">
        <f>Rates_Down!H8 * (MAX($G$2,G8) )</f>
        <v>1079.527</v>
      </c>
      <c r="O8" s="23">
        <f t="shared" si="0"/>
        <v>6512.6294302127744</v>
      </c>
    </row>
    <row r="9" spans="1:18" x14ac:dyDescent="0.35">
      <c r="A9" s="14">
        <f t="shared" si="1"/>
        <v>7</v>
      </c>
      <c r="B9" s="16">
        <f>+VLOOKUP($A9,DATA!$J$2:$Y$54,4)</f>
        <v>1.511E-2</v>
      </c>
      <c r="C9" s="16">
        <f>+VLOOKUP($A9,DATA!$J$2:$Y$54,7)</f>
        <v>1.4996981005907737E-2</v>
      </c>
      <c r="D9" s="21">
        <f>+VLOOKUP($A9,DATA!$J$2:$Y$54,10)</f>
        <v>0.90034354930821403</v>
      </c>
      <c r="E9" s="16">
        <f>+VLOOKUP($A9,DATA!$J$2:$Y$54,16)</f>
        <v>1.8544443195746604E-2</v>
      </c>
      <c r="F9" s="17">
        <f>+VLOOKUP($A9,DATA!$J$2:$Y$54,13)</f>
        <v>0.98162644700598967</v>
      </c>
      <c r="G9" s="18">
        <f>+(G8*(1-DATA!$C$7)/F9)</f>
        <v>95052.539909066167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+(1-H9)*(1-DATA!$C$9)*Rates_Down!J8</f>
        <v>0.30115008225864415</v>
      </c>
      <c r="K9" s="26">
        <f>+(G9/(1-DATA!$C$7)) *DATA!$C$8</f>
        <v>1360.670305446755</v>
      </c>
      <c r="L9" s="26">
        <f>+L8*(1+DATA!$C$11)</f>
        <v>56.308120963200004</v>
      </c>
      <c r="M9" s="23">
        <f>+DATA!$C$9*(1-Rates_Down!H9) * (G9 - DATA!$C$12)</f>
        <v>14087.69603588284</v>
      </c>
      <c r="N9" s="23">
        <f>Rates_Down!H9 * (MAX($G$2,G9) )</f>
        <v>1172.826</v>
      </c>
      <c r="O9" s="23">
        <f t="shared" si="0"/>
        <v>5383.0312668145389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+VLOOKUP($A10,DATA!$J$2:$Y$54,4)</f>
        <v>1.5779999999999999E-2</v>
      </c>
      <c r="C10" s="16">
        <f>+VLOOKUP($A10,DATA!$J$2:$Y$54,7)</f>
        <v>1.5656790276037478E-2</v>
      </c>
      <c r="D10" s="21">
        <f>+VLOOKUP($A10,DATA!$J$2:$Y$54,10)</f>
        <v>0.88227249256094831</v>
      </c>
      <c r="E10" s="16">
        <f>+VLOOKUP($A10,DATA!$J$2:$Y$54,16)</f>
        <v>2.0275455166945608E-2</v>
      </c>
      <c r="F10" s="17">
        <f>+VLOOKUP($A10,DATA!$J$2:$Y$54,13)</f>
        <v>0.97992870970070178</v>
      </c>
      <c r="G10" s="18">
        <f>+(G9*(1-DATA!$C$7)/F10)</f>
        <v>94865.456140640861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+(1-H10)*(1-DATA!$C$9)*Rates_Down!J9</f>
        <v>0.25270158433866752</v>
      </c>
      <c r="K10" s="26">
        <f>+(G10/(1-DATA!$C$7)) *DATA!$C$8</f>
        <v>1357.9922146922004</v>
      </c>
      <c r="L10" s="26">
        <f>+L9*(1+DATA!$C$11)</f>
        <v>57.434283382464002</v>
      </c>
      <c r="M10" s="23">
        <f>+DATA!$C$9*(1-Rates_Down!H10) * (G10 - DATA!$C$12)</f>
        <v>14044.744452552046</v>
      </c>
      <c r="N10" s="23">
        <f>Rates_Down!H10 * (MAX($G$2,G10) )</f>
        <v>1279.7940000000001</v>
      </c>
      <c r="O10" s="23">
        <f t="shared" si="0"/>
        <v>4447.7489877996704</v>
      </c>
      <c r="Q10" s="28" t="s">
        <v>8</v>
      </c>
      <c r="R10" s="30">
        <f>+SUMPRODUCT(D3:D52,J2:J51,M3:M52)</f>
        <v>81226.192601499526</v>
      </c>
    </row>
    <row r="11" spans="1:18" x14ac:dyDescent="0.35">
      <c r="A11" s="14">
        <f t="shared" si="1"/>
        <v>9</v>
      </c>
      <c r="B11" s="16">
        <f>+VLOOKUP($A11,DATA!$J$2:$Y$54,4)</f>
        <v>1.651E-2</v>
      </c>
      <c r="C11" s="16">
        <f>+VLOOKUP($A11,DATA!$J$2:$Y$54,7)</f>
        <v>1.6375191716182576E-2</v>
      </c>
      <c r="D11" s="21">
        <f>+VLOOKUP($A11,DATA!$J$2:$Y$54,10)</f>
        <v>0.86296881386049462</v>
      </c>
      <c r="E11" s="16">
        <f>+VLOOKUP($A11,DATA!$J$2:$Y$54,16)</f>
        <v>2.2122403237343304E-2</v>
      </c>
      <c r="F11" s="17">
        <f>+VLOOKUP($A11,DATA!$J$2:$Y$54,13)</f>
        <v>0.97812050260750916</v>
      </c>
      <c r="G11" s="18">
        <f>+(G10*(1-DATA!$C$7)/F11)</f>
        <v>94853.768894747307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+(1-H11)*(1-DATA!$C$9)*Rates_Down!J10</f>
        <v>0.2117945698908679</v>
      </c>
      <c r="K11" s="26">
        <f>+(G11/(1-DATA!$C$7)) *DATA!$C$8</f>
        <v>1357.8249126037447</v>
      </c>
      <c r="L11" s="26">
        <f>+L10*(1+DATA!$C$11)</f>
        <v>58.582969050113284</v>
      </c>
      <c r="M11" s="23">
        <f>+DATA!$C$9*(1-Rates_Down!H11) * (G11 - DATA!$C$12)</f>
        <v>14026.270188417135</v>
      </c>
      <c r="N11" s="23">
        <f>Rates_Down!H11 * (MAX($G$2,G11) )</f>
        <v>1397.499</v>
      </c>
      <c r="O11" s="23">
        <f t="shared" si="0"/>
        <v>3672.3978109217878</v>
      </c>
      <c r="Q11" s="28" t="s">
        <v>17</v>
      </c>
      <c r="R11" s="30">
        <f>+SUMPRODUCT(D3:D52,J2:J51,N3:N52)</f>
        <v>6774.2895950654083</v>
      </c>
    </row>
    <row r="12" spans="1:18" x14ac:dyDescent="0.35">
      <c r="A12" s="14">
        <f t="shared" si="1"/>
        <v>10</v>
      </c>
      <c r="B12" s="16">
        <f>+VLOOKUP($A12,DATA!$J$2:$Y$54,4)</f>
        <v>1.704E-2</v>
      </c>
      <c r="C12" s="16">
        <f>+VLOOKUP($A12,DATA!$J$2:$Y$54,7)</f>
        <v>1.6896447659729915E-2</v>
      </c>
      <c r="D12" s="21">
        <f>+VLOOKUP($A12,DATA!$J$2:$Y$54,10)</f>
        <v>0.84453890374874807</v>
      </c>
      <c r="E12" s="16">
        <f>+VLOOKUP($A12,DATA!$J$2:$Y$54,16)</f>
        <v>2.1587751151656086E-2</v>
      </c>
      <c r="F12" s="17">
        <f>+VLOOKUP($A12,DATA!$J$2:$Y$54,13)</f>
        <v>0.97864359659846767</v>
      </c>
      <c r="G12" s="18">
        <f>+(G11*(1-DATA!$C$7)/F12)</f>
        <v>94791.389124190711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+(1-H12)*(1-DATA!$C$9)*Rates_Down!J11</f>
        <v>0.17720617788615114</v>
      </c>
      <c r="K12" s="26">
        <f>+(G12/(1-DATA!$C$7)) *DATA!$C$8</f>
        <v>1356.9319506530367</v>
      </c>
      <c r="L12" s="26">
        <f>+L11*(1+DATA!$C$11)</f>
        <v>59.754628431115549</v>
      </c>
      <c r="M12" s="23">
        <f>+DATA!$C$9*(1-Rates_Down!H12) * (G12 - DATA!$C$12)</f>
        <v>13993.089664790465</v>
      </c>
      <c r="N12" s="23">
        <f>Rates_Down!H12 * (MAX($G$2,G12) )</f>
        <v>1566.0050000000001</v>
      </c>
      <c r="O12" s="23">
        <f t="shared" si="0"/>
        <v>3036.4368371561468</v>
      </c>
      <c r="Q12" s="28" t="s">
        <v>18</v>
      </c>
      <c r="R12" s="30">
        <f>+SUMPRODUCT(D3:D52,J2:J51,L3:L52)</f>
        <v>312.63610053237272</v>
      </c>
    </row>
    <row r="13" spans="1:18" x14ac:dyDescent="0.35">
      <c r="A13" s="14">
        <f t="shared" si="1"/>
        <v>11</v>
      </c>
      <c r="B13" s="16">
        <f>+VLOOKUP($A13,DATA!$J$2:$Y$54,4)</f>
        <v>1.7409999999999998E-2</v>
      </c>
      <c r="C13" s="16">
        <f>+VLOOKUP($A13,DATA!$J$2:$Y$54,7)</f>
        <v>1.7260182334044173E-2</v>
      </c>
      <c r="D13" s="21">
        <f>+VLOOKUP($A13,DATA!$J$2:$Y$54,10)</f>
        <v>0.82707325748529803</v>
      </c>
      <c r="E13" s="16">
        <f>+VLOOKUP($A13,DATA!$J$2:$Y$54,16)</f>
        <v>2.0897529077186758E-2</v>
      </c>
      <c r="F13" s="17">
        <f>+VLOOKUP($A13,DATA!$J$2:$Y$54,13)</f>
        <v>0.97931931118161242</v>
      </c>
      <c r="G13" s="18">
        <f>+(G12*(1-DATA!$C$7)/F13)</f>
        <v>94663.688855070897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+(1-H13)*(1-DATA!$C$9)*Rates_Down!J12</f>
        <v>0.14799328882630877</v>
      </c>
      <c r="K13" s="26">
        <f>+(G13/(1-DATA!$C$7)) *DATA!$C$8</f>
        <v>1355.1039304406877</v>
      </c>
      <c r="L13" s="26">
        <f>+L12*(1+DATA!$C$11)</f>
        <v>60.949720999737863</v>
      </c>
      <c r="M13" s="23">
        <f>+DATA!$C$9*(1-Rates_Down!H13) * (G13 - DATA!$C$12)</f>
        <v>13948.488717955006</v>
      </c>
      <c r="N13" s="23">
        <f>Rates_Down!H13 * (MAX($G$2,G13) )</f>
        <v>1747.3579999999999</v>
      </c>
      <c r="O13" s="23">
        <f t="shared" si="0"/>
        <v>2507.9627403029162</v>
      </c>
      <c r="Q13" s="29" t="s">
        <v>46</v>
      </c>
      <c r="R13" s="31">
        <f>+SUMPRODUCT(D3:D52,J2:J51,K3:K52)</f>
        <v>7845.2836459903638</v>
      </c>
    </row>
    <row r="14" spans="1:18" x14ac:dyDescent="0.35">
      <c r="A14" s="14">
        <f t="shared" si="1"/>
        <v>12</v>
      </c>
      <c r="B14" s="16">
        <f>+VLOOKUP($A14,DATA!$J$2:$Y$54,4)</f>
        <v>1.7659999999999999E-2</v>
      </c>
      <c r="C14" s="16">
        <f>+VLOOKUP($A14,DATA!$J$2:$Y$54,7)</f>
        <v>1.7505874129665627E-2</v>
      </c>
      <c r="D14" s="21">
        <f>+VLOOKUP($A14,DATA!$J$2:$Y$54,10)</f>
        <v>0.81052711026035729</v>
      </c>
      <c r="E14" s="16">
        <f>+VLOOKUP($A14,DATA!$J$2:$Y$54,16)</f>
        <v>2.0208483881501534E-2</v>
      </c>
      <c r="F14" s="17">
        <f>+VLOOKUP($A14,DATA!$J$2:$Y$54,13)</f>
        <v>0.97999433898364818</v>
      </c>
      <c r="G14" s="18">
        <f>+(G13*(1-DATA!$C$7)/F14)</f>
        <v>94471.043369776147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+(1-H14)*(1-DATA!$C$9)*Rates_Down!J13</f>
        <v>0.12331143311077049</v>
      </c>
      <c r="K14" s="26">
        <f>+(G14/(1-DATA!$C$7)) *DATA!$C$8</f>
        <v>1352.3462241072252</v>
      </c>
      <c r="L14" s="26">
        <f>+L13*(1+DATA!$C$11)</f>
        <v>62.168715419732621</v>
      </c>
      <c r="M14" s="23">
        <f>+DATA!$C$9*(1-Rates_Down!H14) * (G14 - DATA!$C$12)</f>
        <v>13888.022668542908</v>
      </c>
      <c r="N14" s="23">
        <f>Rates_Down!H14 * (MAX($G$2,G14) )</f>
        <v>1973.7480000000003</v>
      </c>
      <c r="O14" s="23">
        <f t="shared" si="0"/>
        <v>2072.3349059116858</v>
      </c>
      <c r="Q14" s="28" t="s">
        <v>47</v>
      </c>
      <c r="R14" s="30">
        <f>+SUM(R10:R13)</f>
        <v>96158.401943087665</v>
      </c>
    </row>
    <row r="15" spans="1:18" x14ac:dyDescent="0.35">
      <c r="A15" s="14">
        <f t="shared" si="1"/>
        <v>13</v>
      </c>
      <c r="B15" s="16">
        <f>+VLOOKUP($A15,DATA!$J$2:$Y$54,4)</f>
        <v>1.7940000000000001E-2</v>
      </c>
      <c r="C15" s="16">
        <f>+VLOOKUP($A15,DATA!$J$2:$Y$54,7)</f>
        <v>1.778097729508709E-2</v>
      </c>
      <c r="D15" s="21">
        <f>+VLOOKUP($A15,DATA!$J$2:$Y$54,10)</f>
        <v>0.79361826743419195</v>
      </c>
      <c r="E15" s="16">
        <f>+VLOOKUP($A15,DATA!$J$2:$Y$54,16)</f>
        <v>2.1082215280144763E-2</v>
      </c>
      <c r="F15" s="17">
        <f>+VLOOKUP($A15,DATA!$J$2:$Y$54,13)</f>
        <v>0.97913846111731673</v>
      </c>
      <c r="G15" s="18">
        <f>+(G14*(1-DATA!$C$7)/F15)</f>
        <v>94361.20026396442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+(1-H15)*(1-DATA!$C$9)*Rates_Down!J14</f>
        <v>0.10253795694401276</v>
      </c>
      <c r="K15" s="26">
        <f>+(G15/(1-DATA!$C$7)) *DATA!$C$8</f>
        <v>1350.7738279095111</v>
      </c>
      <c r="L15" s="26">
        <f>+L14*(1+DATA!$C$11)</f>
        <v>63.412089728127278</v>
      </c>
      <c r="M15" s="23">
        <f>+DATA!$C$9*(1-Rates_Down!H15) * (G15 - DATA!$C$12)</f>
        <v>13843.791361545997</v>
      </c>
      <c r="N15" s="23">
        <f>Rates_Down!H15 * (MAX($G$2,G15) )</f>
        <v>2172.1769999999997</v>
      </c>
      <c r="O15" s="23">
        <f t="shared" si="0"/>
        <v>1705.7533469416671</v>
      </c>
    </row>
    <row r="16" spans="1:18" x14ac:dyDescent="0.35">
      <c r="A16" s="14">
        <f t="shared" si="1"/>
        <v>14</v>
      </c>
      <c r="B16" s="16">
        <f>+VLOOKUP($A16,DATA!$J$2:$Y$54,4)</f>
        <v>1.7989999999999999E-2</v>
      </c>
      <c r="C16" s="16">
        <f>+VLOOKUP($A16,DATA!$J$2:$Y$54,7)</f>
        <v>1.7830094897371977E-2</v>
      </c>
      <c r="D16" s="21">
        <f>+VLOOKUP($A16,DATA!$J$2:$Y$54,10)</f>
        <v>0.77909574852687724</v>
      </c>
      <c r="E16" s="16">
        <f>+VLOOKUP($A16,DATA!$J$2:$Y$54,16)</f>
        <v>1.8468623727075504E-2</v>
      </c>
      <c r="F16" s="17">
        <f>+VLOOKUP($A16,DATA!$J$2:$Y$54,13)</f>
        <v>0.98170087622319135</v>
      </c>
      <c r="G16" s="18">
        <f>+(G15*(1-DATA!$C$7)/F16)</f>
        <v>94005.471619010757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+(1-H16)*(1-DATA!$C$9)*Rates_Down!J15</f>
        <v>8.5072371889843873E-2</v>
      </c>
      <c r="K16" s="26">
        <f>+(G16/(1-DATA!$C$7)) *DATA!$C$8</f>
        <v>1345.6815978181501</v>
      </c>
      <c r="L16" s="26">
        <f>+L15*(1+DATA!$C$11)</f>
        <v>64.680331522689826</v>
      </c>
      <c r="M16" s="23">
        <f>+DATA!$C$9*(1-Rates_Down!H16) * (G16 - DATA!$C$12)</f>
        <v>13760.586349927238</v>
      </c>
      <c r="N16" s="23">
        <f>Rates_Down!H16 * (MAX($G$2,G16) )</f>
        <v>2392.1030000000001</v>
      </c>
      <c r="O16" s="23">
        <f t="shared" si="0"/>
        <v>1403.0574809390412</v>
      </c>
    </row>
    <row r="17" spans="1:15" x14ac:dyDescent="0.35">
      <c r="A17" s="14">
        <f t="shared" si="1"/>
        <v>15</v>
      </c>
      <c r="B17" s="16">
        <f>+VLOOKUP($A17,DATA!$J$2:$Y$54,4)</f>
        <v>1.8239999999999999E-2</v>
      </c>
      <c r="C17" s="16">
        <f>+VLOOKUP($A17,DATA!$J$2:$Y$54,7)</f>
        <v>1.8075646727230339E-2</v>
      </c>
      <c r="D17" s="21">
        <f>+VLOOKUP($A17,DATA!$J$2:$Y$54,10)</f>
        <v>0.76251377818847066</v>
      </c>
      <c r="E17" s="16">
        <f>+VLOOKUP($A17,DATA!$J$2:$Y$54,16)</f>
        <v>2.151337234524733E-2</v>
      </c>
      <c r="F17" s="17">
        <f>+VLOOKUP($A17,DATA!$J$2:$Y$54,13)</f>
        <v>0.97871638964817875</v>
      </c>
      <c r="G17" s="18">
        <f>+(G16*(1-DATA!$C$7)/F17)</f>
        <v>93936.66256722383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+(1-H17)*(1-DATA!$C$9)*Rates_Down!J16</f>
        <v>7.0432943183706756E-2</v>
      </c>
      <c r="K17" s="26">
        <f>+(G17/(1-DATA!$C$7)) *DATA!$C$8</f>
        <v>1344.6966011668032</v>
      </c>
      <c r="L17" s="26">
        <f>+L16*(1+DATA!$C$11)</f>
        <v>65.973938153143621</v>
      </c>
      <c r="M17" s="23">
        <f>+DATA!$C$9*(1-Rates_Down!H17) * (G17 - DATA!$C$12)</f>
        <v>13721.52178818342</v>
      </c>
      <c r="N17" s="23">
        <f>Rates_Down!H17 * (MAX($G$2,G17) )</f>
        <v>2597.8890000000001</v>
      </c>
      <c r="O17" s="23">
        <f t="shared" si="0"/>
        <v>1150.1300873458335</v>
      </c>
    </row>
    <row r="18" spans="1:15" x14ac:dyDescent="0.35">
      <c r="A18" s="14">
        <f t="shared" si="1"/>
        <v>16</v>
      </c>
      <c r="B18" s="16">
        <f>+VLOOKUP($A18,DATA!$J$2:$Y$54,4)</f>
        <v>1.7899999999999999E-2</v>
      </c>
      <c r="C18" s="16">
        <f>+VLOOKUP($A18,DATA!$J$2:$Y$54,7)</f>
        <v>1.7741681476157126E-2</v>
      </c>
      <c r="D18" s="21">
        <f>+VLOOKUP($A18,DATA!$J$2:$Y$54,10)</f>
        <v>0.75286684189050335</v>
      </c>
      <c r="E18" s="16">
        <f>+VLOOKUP($A18,DATA!$J$2:$Y$54,16)</f>
        <v>1.2732202710059037E-2</v>
      </c>
      <c r="F18" s="17">
        <f>+VLOOKUP($A18,DATA!$J$2:$Y$54,13)</f>
        <v>0.98734850887431058</v>
      </c>
      <c r="G18" s="18">
        <f>+(G17*(1-DATA!$C$7)/F18)</f>
        <v>93047.242351626381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+(1-H18)*(1-DATA!$C$9)*Rates_Down!J17</f>
        <v>5.8118519802533054E-2</v>
      </c>
      <c r="K18" s="26">
        <f>+(G18/(1-DATA!$C$7)) *DATA!$C$8</f>
        <v>1331.9646144404596</v>
      </c>
      <c r="L18" s="26">
        <f>+L17*(1+DATA!$C$11)</f>
        <v>67.293416916206496</v>
      </c>
      <c r="M18" s="23">
        <f>+DATA!$C$9*(1-Rates_Down!H18) * (G18 - DATA!$C$12)</f>
        <v>13546.315576036439</v>
      </c>
      <c r="N18" s="23">
        <f>Rates_Down!H18 * (MAX($G$2,G18) )</f>
        <v>2922.232</v>
      </c>
      <c r="O18" s="23">
        <f t="shared" si="0"/>
        <v>947.46947218154594</v>
      </c>
    </row>
    <row r="19" spans="1:15" x14ac:dyDescent="0.35">
      <c r="A19" s="14">
        <f t="shared" si="1"/>
        <v>17</v>
      </c>
      <c r="B19" s="16">
        <f>+VLOOKUP($A19,DATA!$J$2:$Y$54,4)</f>
        <v>1.7760000000000001E-2</v>
      </c>
      <c r="C19" s="16">
        <f>+VLOOKUP($A19,DATA!$J$2:$Y$54,7)</f>
        <v>1.760413394835705E-2</v>
      </c>
      <c r="D19" s="21">
        <f>+VLOOKUP($A19,DATA!$J$2:$Y$54,10)</f>
        <v>0.74135900997489923</v>
      </c>
      <c r="E19" s="16">
        <f>+VLOOKUP($A19,DATA!$J$2:$Y$54,16)</f>
        <v>1.5403373503555702E-2</v>
      </c>
      <c r="F19" s="17">
        <f>+VLOOKUP($A19,DATA!$J$2:$Y$54,13)</f>
        <v>0.9847146516816877</v>
      </c>
      <c r="G19" s="18">
        <f>+(G18*(1-DATA!$C$7)/F19)</f>
        <v>92412.764311449195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+(1-H19)*(1-DATA!$C$9)*Rates_Down!J18</f>
        <v>4.7776967606553068E-2</v>
      </c>
      <c r="K19" s="26">
        <f>+(G19/(1-DATA!$C$7)) *DATA!$C$8</f>
        <v>1322.8821067078616</v>
      </c>
      <c r="L19" s="26">
        <f>+L18*(1+DATA!$C$11)</f>
        <v>68.639285254530634</v>
      </c>
      <c r="M19" s="23">
        <f>+DATA!$C$9*(1-Rates_Down!H19) * (G19 - DATA!$C$12)</f>
        <v>13403.380021861127</v>
      </c>
      <c r="N19" s="23">
        <f>Rates_Down!H19 * (MAX($G$2,G19) )</f>
        <v>3286.9429999999998</v>
      </c>
      <c r="O19" s="23">
        <f t="shared" si="0"/>
        <v>779.08679418389966</v>
      </c>
    </row>
    <row r="20" spans="1:15" x14ac:dyDescent="0.35">
      <c r="A20" s="14">
        <f t="shared" si="1"/>
        <v>18</v>
      </c>
      <c r="B20" s="16">
        <f>+VLOOKUP($A20,DATA!$J$2:$Y$54,4)</f>
        <v>1.7610000000000001E-2</v>
      </c>
      <c r="C20" s="16">
        <f>+VLOOKUP($A20,DATA!$J$2:$Y$54,7)</f>
        <v>1.7456740599460629E-2</v>
      </c>
      <c r="D20" s="21">
        <f>+VLOOKUP($A20,DATA!$J$2:$Y$54,10)</f>
        <v>0.73035735969736371</v>
      </c>
      <c r="E20" s="16">
        <f>+VLOOKUP($A20,DATA!$J$2:$Y$54,16)</f>
        <v>1.4951053668221578E-2</v>
      </c>
      <c r="F20" s="17">
        <f>+VLOOKUP($A20,DATA!$J$2:$Y$54,13)</f>
        <v>0.98516015839895432</v>
      </c>
      <c r="G20" s="18">
        <f>+(G19*(1-DATA!$C$7)/F20)</f>
        <v>91741.106992673158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+(1-H20)*(1-DATA!$C$9)*Rates_Down!J19</f>
        <v>3.9085594099855396E-2</v>
      </c>
      <c r="K20" s="26">
        <f>+(G20/(1-DATA!$C$7)) *DATA!$C$8</f>
        <v>1313.267380263215</v>
      </c>
      <c r="L20" s="26">
        <f>+L19*(1+DATA!$C$11)</f>
        <v>70.012070959621255</v>
      </c>
      <c r="M20" s="23">
        <f>+DATA!$C$9*(1-Rates_Down!H20) * (G20 - DATA!$C$12)</f>
        <v>13241.578419964992</v>
      </c>
      <c r="N20" s="23">
        <f>Rates_Down!H20 * (MAX($G$2,G20) )</f>
        <v>3754.7710000000006</v>
      </c>
      <c r="O20" s="23">
        <f t="shared" si="0"/>
        <v>641.34354698107836</v>
      </c>
    </row>
    <row r="21" spans="1:15" x14ac:dyDescent="0.35">
      <c r="A21" s="14">
        <f t="shared" si="1"/>
        <v>19</v>
      </c>
      <c r="B21" s="16">
        <f>+VLOOKUP($A21,DATA!$J$2:$Y$54,4)</f>
        <v>1.7229999999999999E-2</v>
      </c>
      <c r="C21" s="16">
        <f>+VLOOKUP($A21,DATA!$J$2:$Y$54,7)</f>
        <v>1.708324685605353E-2</v>
      </c>
      <c r="D21" s="21">
        <f>+VLOOKUP($A21,DATA!$J$2:$Y$54,10)</f>
        <v>0.72282965709172198</v>
      </c>
      <c r="E21" s="16">
        <f>+VLOOKUP($A21,DATA!$J$2:$Y$54,16)</f>
        <v>1.0360359474725628E-2</v>
      </c>
      <c r="F21" s="17">
        <f>+VLOOKUP($A21,DATA!$J$2:$Y$54,13)</f>
        <v>0.98969312418682143</v>
      </c>
      <c r="G21" s="18">
        <f>+(G20*(1-DATA!$C$7)/F21)</f>
        <v>90657.195090200141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+(1-H21)*(1-DATA!$C$9)*Rates_Down!J20</f>
        <v>3.1844005669591439E-2</v>
      </c>
      <c r="K21" s="26">
        <f>+(G21/(1-DATA!$C$7)) *DATA!$C$8</f>
        <v>1297.7512589599203</v>
      </c>
      <c r="L21" s="26">
        <f>+L20*(1+DATA!$C$11)</f>
        <v>71.412312378813681</v>
      </c>
      <c r="M21" s="23">
        <f>+DATA!$C$9*(1-Rates_Down!H21) * (G21 - DATA!$C$12)</f>
        <v>13031.360684756637</v>
      </c>
      <c r="N21" s="23">
        <f>Rates_Down!H21 * (MAX($G$2,G21) )</f>
        <v>4150.0150000000003</v>
      </c>
      <c r="O21" s="23">
        <f t="shared" si="0"/>
        <v>524.09403825226957</v>
      </c>
    </row>
    <row r="22" spans="1:15" x14ac:dyDescent="0.35">
      <c r="A22" s="14">
        <f t="shared" si="1"/>
        <v>20</v>
      </c>
      <c r="B22" s="16">
        <f>+VLOOKUP($A22,DATA!$J$2:$Y$54,4)</f>
        <v>1.7149999999999999E-2</v>
      </c>
      <c r="C22" s="16">
        <f>+VLOOKUP($A22,DATA!$J$2:$Y$54,7)</f>
        <v>1.7004598815823765E-2</v>
      </c>
      <c r="D22" s="21">
        <f>+VLOOKUP($A22,DATA!$J$2:$Y$54,10)</f>
        <v>0.71170485976071463</v>
      </c>
      <c r="E22" s="16">
        <f>+VLOOKUP($A22,DATA!$J$2:$Y$54,16)</f>
        <v>1.5510286051458331E-2</v>
      </c>
      <c r="F22" s="17">
        <f>+VLOOKUP($A22,DATA!$J$2:$Y$54,13)</f>
        <v>0.98460937895690726</v>
      </c>
      <c r="G22" s="18">
        <f>+(G21*(1-DATA!$C$7)/F22)</f>
        <v>90048.641312095584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+(1-H22)*(1-DATA!$C$9)*Rates_Down!J21</f>
        <v>2.5794072082223177E-2</v>
      </c>
      <c r="K22" s="26">
        <f>+(G22/(1-DATA!$C$7)) *DATA!$C$8</f>
        <v>1289.0398551833723</v>
      </c>
      <c r="L22" s="26">
        <f>+L21*(1+DATA!$C$11)</f>
        <v>72.840558626389949</v>
      </c>
      <c r="M22" s="23">
        <f>+DATA!$C$9*(1-Rates_Down!H22) * (G22 - DATA!$C$12)</f>
        <v>12869.013185698714</v>
      </c>
      <c r="N22" s="23">
        <f>Rates_Down!H22 * (MAX($G$2,G22) )</f>
        <v>4704.3029999999999</v>
      </c>
      <c r="O22" s="23">
        <f t="shared" si="0"/>
        <v>429.13846415288327</v>
      </c>
    </row>
    <row r="23" spans="1:15" x14ac:dyDescent="0.35">
      <c r="A23" s="14">
        <f t="shared" si="1"/>
        <v>21</v>
      </c>
      <c r="B23" s="16">
        <f>+VLOOKUP($A23,DATA!$J$2:$Y$54,4)</f>
        <v>1.7129999999999999E-2</v>
      </c>
      <c r="C23" s="16">
        <f>+VLOOKUP($A23,DATA!$J$2:$Y$54,7)</f>
        <v>1.6984935839241825E-2</v>
      </c>
      <c r="D23" s="21">
        <f>+VLOOKUP($A23,DATA!$J$2:$Y$54,10)</f>
        <v>0.69999390394680217</v>
      </c>
      <c r="E23" s="16">
        <f>+VLOOKUP($A23,DATA!$J$2:$Y$54,16)</f>
        <v>1.6591676307603102E-2</v>
      </c>
      <c r="F23" s="17">
        <f>+VLOOKUP($A23,DATA!$J$2:$Y$54,13)</f>
        <v>0.98354520746443985</v>
      </c>
      <c r="G23" s="18">
        <f>+(G22*(1-DATA!$C$7)/F23)</f>
        <v>89540.948941499038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+(1-H23)*(1-DATA!$C$9)*Rates_Down!J22</f>
        <v>2.0767967250952021E-2</v>
      </c>
      <c r="K23" s="26">
        <f>+(G23/(1-DATA!$C$7)) *DATA!$C$8</f>
        <v>1281.7722752361826</v>
      </c>
      <c r="L23" s="26">
        <f>+L22*(1+DATA!$C$11)</f>
        <v>74.297369798917757</v>
      </c>
      <c r="M23" s="23">
        <f>+DATA!$C$9*(1-Rates_Down!H23) * (G23 - DATA!$C$12)</f>
        <v>12719.530810148744</v>
      </c>
      <c r="N23" s="23">
        <f>Rates_Down!H23 * (MAX($G$2,G23) )</f>
        <v>5277.0630000000001</v>
      </c>
      <c r="O23" s="23">
        <f t="shared" si="0"/>
        <v>349.42575425001684</v>
      </c>
    </row>
    <row r="24" spans="1:15" x14ac:dyDescent="0.35">
      <c r="A24" s="14">
        <f t="shared" si="1"/>
        <v>22</v>
      </c>
      <c r="B24" s="16">
        <f>+VLOOKUP($A24,DATA!$J$2:$Y$54,4)</f>
        <v>1.7170000000000001E-2</v>
      </c>
      <c r="C24" s="16">
        <f>+VLOOKUP($A24,DATA!$J$2:$Y$54,7)</f>
        <v>1.7024261405780658E-2</v>
      </c>
      <c r="D24" s="21">
        <f>+VLOOKUP($A24,DATA!$J$2:$Y$54,10)</f>
        <v>0.68760980149587192</v>
      </c>
      <c r="E24" s="16">
        <f>+VLOOKUP($A24,DATA!$J$2:$Y$54,16)</f>
        <v>1.7850098303096074E-2</v>
      </c>
      <c r="F24" s="17">
        <f>+VLOOKUP($A24,DATA!$J$2:$Y$54,13)</f>
        <v>0.98230827099906948</v>
      </c>
      <c r="G24" s="18">
        <f>+(G23*(1-DATA!$C$7)/F24)</f>
        <v>89148.234469939634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+(1-H24)*(1-DATA!$C$9)*Rates_Down!J23</f>
        <v>1.6612120414010986E-2</v>
      </c>
      <c r="K24" s="26">
        <f>+(G24/(1-DATA!$C$7)) *DATA!$C$8</f>
        <v>1276.1505956842077</v>
      </c>
      <c r="L24" s="26">
        <f>+L23*(1+DATA!$C$11)</f>
        <v>75.783317194896114</v>
      </c>
      <c r="M24" s="23">
        <f>+DATA!$C$9*(1-Rates_Down!H24) * (G24 - DATA!$C$12)</f>
        <v>12581.102981493003</v>
      </c>
      <c r="N24" s="23">
        <f>Rates_Down!H24 * (MAX($G$2,G24) )</f>
        <v>5895.1179999999995</v>
      </c>
      <c r="O24" s="23">
        <f t="shared" si="0"/>
        <v>283.15116436127846</v>
      </c>
    </row>
    <row r="25" spans="1:15" x14ac:dyDescent="0.35">
      <c r="A25" s="14">
        <f t="shared" si="1"/>
        <v>23</v>
      </c>
      <c r="B25" s="16">
        <f>+VLOOKUP($A25,DATA!$J$2:$Y$54,4)</f>
        <v>1.7229999999999999E-2</v>
      </c>
      <c r="C25" s="16">
        <f>+VLOOKUP($A25,DATA!$J$2:$Y$54,7)</f>
        <v>1.708324685605353E-2</v>
      </c>
      <c r="D25" s="21">
        <f>+VLOOKUP($A25,DATA!$J$2:$Y$54,10)</f>
        <v>0.6750863450558523</v>
      </c>
      <c r="E25" s="16">
        <f>+VLOOKUP($A25,DATA!$J$2:$Y$54,16)</f>
        <v>1.8380926762056722E-2</v>
      </c>
      <c r="F25" s="17">
        <f>+VLOOKUP($A25,DATA!$J$2:$Y$54,13)</f>
        <v>0.98178697218571453</v>
      </c>
      <c r="G25" s="18">
        <f>+(G24*(1-DATA!$C$7)/F25)</f>
        <v>88804.369768219636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+(1-H25)*(1-DATA!$C$9)*Rates_Down!J24</f>
        <v>1.3192084225977237E-2</v>
      </c>
      <c r="K25" s="26">
        <f>+(G25/(1-DATA!$C$7)) *DATA!$C$8</f>
        <v>1271.2281970910788</v>
      </c>
      <c r="L25" s="26">
        <f>+L24*(1+DATA!$C$11)</f>
        <v>77.298983538794033</v>
      </c>
      <c r="M25" s="23">
        <f>+DATA!$C$9*(1-Rates_Down!H25) * (G25 - DATA!$C$12)</f>
        <v>12442.200472155095</v>
      </c>
      <c r="N25" s="23">
        <f>Rates_Down!H25 * (MAX($G$2,G25) )</f>
        <v>6573.6419999999989</v>
      </c>
      <c r="O25" s="23">
        <f t="shared" si="0"/>
        <v>228.37857869038436</v>
      </c>
    </row>
    <row r="26" spans="1:15" x14ac:dyDescent="0.35">
      <c r="A26" s="14">
        <f t="shared" si="1"/>
        <v>24</v>
      </c>
      <c r="B26" s="16">
        <f>+VLOOKUP($A26,DATA!$J$2:$Y$54,4)</f>
        <v>1.7309999999999999E-2</v>
      </c>
      <c r="C26" s="16">
        <f>+VLOOKUP($A26,DATA!$J$2:$Y$54,7)</f>
        <v>1.7161888711255284E-2</v>
      </c>
      <c r="D26" s="21">
        <f>+VLOOKUP($A26,DATA!$J$2:$Y$54,10)</f>
        <v>0.66240022974749191</v>
      </c>
      <c r="E26" s="16">
        <f>+VLOOKUP($A26,DATA!$J$2:$Y$54,16)</f>
        <v>1.8970651380895643E-2</v>
      </c>
      <c r="F26" s="17">
        <f>+VLOOKUP($A26,DATA!$J$2:$Y$54,13)</f>
        <v>0.98120815892475088</v>
      </c>
      <c r="G26" s="18">
        <f>+(G25*(1-DATA!$C$7)/F26)</f>
        <v>88514.014934907813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+(1-H26)*(1-DATA!$C$9)*Rates_Down!J25</f>
        <v>1.0403848534434695E-2</v>
      </c>
      <c r="K26" s="26">
        <f>+(G26/(1-DATA!$C$7)) *DATA!$C$8</f>
        <v>1267.0717884342632</v>
      </c>
      <c r="L26" s="26">
        <f>+L25*(1+DATA!$C$11)</f>
        <v>78.844963209569912</v>
      </c>
      <c r="M26" s="23">
        <f>+DATA!$C$9*(1-Rates_Down!H26) * (G26 - DATA!$C$12)</f>
        <v>12315.91939996811</v>
      </c>
      <c r="N26" s="23">
        <f>Rates_Down!H26 * (MAX($G$2,G26) )</f>
        <v>7218.438000000001</v>
      </c>
      <c r="O26" s="23">
        <f t="shared" si="0"/>
        <v>182.46101496749932</v>
      </c>
    </row>
    <row r="27" spans="1:15" x14ac:dyDescent="0.35">
      <c r="A27" s="14">
        <f t="shared" si="1"/>
        <v>25</v>
      </c>
      <c r="B27" s="16">
        <f>+VLOOKUP($A27,DATA!$J$2:$Y$54,4)</f>
        <v>1.7420000000000001E-2</v>
      </c>
      <c r="C27" s="16">
        <f>+VLOOKUP($A27,DATA!$J$2:$Y$54,7)</f>
        <v>1.7270011164954024E-2</v>
      </c>
      <c r="D27" s="21">
        <f>+VLOOKUP($A27,DATA!$J$2:$Y$54,10)</f>
        <v>0.64937151806369853</v>
      </c>
      <c r="E27" s="16">
        <f>+VLOOKUP($A27,DATA!$J$2:$Y$54,16)</f>
        <v>1.9864950053723782E-2</v>
      </c>
      <c r="F27" s="17">
        <f>+VLOOKUP($A27,DATA!$J$2:$Y$54,13)</f>
        <v>0.98033105802399867</v>
      </c>
      <c r="G27" s="18">
        <f>+(G26*(1-DATA!$C$7)/F27)</f>
        <v>88303.543887335123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+(1-H27)*(1-DATA!$C$9)*Rates_Down!J26</f>
        <v>8.124690820547226E-3</v>
      </c>
      <c r="K27" s="26">
        <f>+(G27/(1-DATA!$C$7)) *DATA!$C$8</f>
        <v>1264.05891045265</v>
      </c>
      <c r="L27" s="26">
        <f>+L26*(1+DATA!$C$11)</f>
        <v>80.421862473761308</v>
      </c>
      <c r="M27" s="23">
        <f>+DATA!$C$9*(1-Rates_Down!H27) * (G27 - DATA!$C$12)</f>
        <v>12166.479089067498</v>
      </c>
      <c r="N27" s="23">
        <f>Rates_Down!H27 * (MAX($G$2,G27) )</f>
        <v>8125.7309999999998</v>
      </c>
      <c r="O27" s="23">
        <f t="shared" si="0"/>
        <v>146.17668109963554</v>
      </c>
    </row>
    <row r="28" spans="1:15" x14ac:dyDescent="0.35">
      <c r="A28" s="14">
        <f t="shared" si="1"/>
        <v>26</v>
      </c>
      <c r="B28" s="16">
        <f>+VLOOKUP($A28,DATA!$J$2:$Y$54,4)</f>
        <v>1.753E-2</v>
      </c>
      <c r="C28" s="16">
        <f>+VLOOKUP($A28,DATA!$J$2:$Y$54,7)</f>
        <v>1.7378121929451623E-2</v>
      </c>
      <c r="D28" s="21">
        <f>+VLOOKUP($A28,DATA!$J$2:$Y$54,10)</f>
        <v>0.63646161436376603</v>
      </c>
      <c r="E28" s="16">
        <f>+VLOOKUP($A28,DATA!$J$2:$Y$54,16)</f>
        <v>2.0080891041891539E-2</v>
      </c>
      <c r="F28" s="17">
        <f>+VLOOKUP($A28,DATA!$J$2:$Y$54,13)</f>
        <v>0.98011938722162106</v>
      </c>
      <c r="G28" s="18">
        <f>+(G27*(1-DATA!$C$7)/F28)</f>
        <v>88112.598370922889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+(1-H28)*(1-DATA!$C$9)*Rates_Down!J27</f>
        <v>6.2662194440065945E-3</v>
      </c>
      <c r="K28" s="26">
        <f>+(G28/(1-DATA!$C$7)) *DATA!$C$8</f>
        <v>1261.325539052066</v>
      </c>
      <c r="L28" s="26">
        <f>+L27*(1+DATA!$C$11)</f>
        <v>82.030299723236539</v>
      </c>
      <c r="M28" s="23">
        <f>+DATA!$C$9*(1-Rates_Down!H28) * (G28 - DATA!$C$12)</f>
        <v>11989.760558509786</v>
      </c>
      <c r="N28" s="23">
        <f>Rates_Down!H28 * (MAX($G$2,G28) )</f>
        <v>9263.9580000000005</v>
      </c>
      <c r="O28" s="23">
        <f t="shared" si="0"/>
        <v>116.85068824111315</v>
      </c>
    </row>
    <row r="29" spans="1:15" x14ac:dyDescent="0.35">
      <c r="A29" s="14">
        <f t="shared" si="1"/>
        <v>27</v>
      </c>
      <c r="B29" s="16">
        <f>+VLOOKUP($A29,DATA!$J$2:$Y$54,4)</f>
        <v>1.7670000000000002E-2</v>
      </c>
      <c r="C29" s="16">
        <f>+VLOOKUP($A29,DATA!$J$2:$Y$54,7)</f>
        <v>1.7515700546020859E-2</v>
      </c>
      <c r="D29" s="21">
        <f>+VLOOKUP($A29,DATA!$J$2:$Y$54,10)</f>
        <v>0.62317748399322537</v>
      </c>
      <c r="E29" s="16">
        <f>+VLOOKUP($A29,DATA!$J$2:$Y$54,16)</f>
        <v>2.1092744576820859E-2</v>
      </c>
      <c r="F29" s="17">
        <f>+VLOOKUP($A29,DATA!$J$2:$Y$54,13)</f>
        <v>0.97912815153224908</v>
      </c>
      <c r="G29" s="18">
        <f>+(G28*(1-DATA!$C$7)/F29)</f>
        <v>88011.075028235777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+(1-H29)*(1-DATA!$C$9)*Rates_Down!J28</f>
        <v>4.7563664121720662E-3</v>
      </c>
      <c r="K29" s="26">
        <f>+(G29/(1-DATA!$C$7)) *DATA!$C$8</f>
        <v>1259.8722396679968</v>
      </c>
      <c r="L29" s="26">
        <f>+L28*(1+DATA!$C$11)</f>
        <v>83.670905717701274</v>
      </c>
      <c r="M29" s="23">
        <f>+DATA!$C$9*(1-Rates_Down!H29) * (G29 - DATA!$C$12)</f>
        <v>11786.386021906425</v>
      </c>
      <c r="N29" s="23">
        <f>Rates_Down!H29 * (MAX($G$2,G29) )</f>
        <v>10700.140000000001</v>
      </c>
      <c r="O29" s="23">
        <f t="shared" si="0"/>
        <v>93.055630542919886</v>
      </c>
    </row>
    <row r="30" spans="1:15" x14ac:dyDescent="0.35">
      <c r="A30" s="14">
        <f t="shared" si="1"/>
        <v>28</v>
      </c>
      <c r="B30" s="16">
        <f>+VLOOKUP($A30,DATA!$J$2:$Y$54,4)</f>
        <v>1.7809999999999999E-2</v>
      </c>
      <c r="C30" s="16">
        <f>+VLOOKUP($A30,DATA!$J$2:$Y$54,7)</f>
        <v>1.7653260237318041E-2</v>
      </c>
      <c r="D30" s="21">
        <f>+VLOOKUP($A30,DATA!$J$2:$Y$54,10)</f>
        <v>0.61000307146135635</v>
      </c>
      <c r="E30" s="16">
        <f>+VLOOKUP($A30,DATA!$J$2:$Y$54,16)</f>
        <v>2.1367371902342166E-2</v>
      </c>
      <c r="F30" s="17">
        <f>+VLOOKUP($A30,DATA!$J$2:$Y$54,13)</f>
        <v>0.97885929310627617</v>
      </c>
      <c r="G30" s="18">
        <f>+(G29*(1-DATA!$C$7)/F30)</f>
        <v>87933.814373328249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+(1-H30)*(1-DATA!$C$9)*Rates_Down!J29</f>
        <v>3.5486062564595642E-3</v>
      </c>
      <c r="K30" s="26">
        <f>+(G30/(1-DATA!$C$7)) *DATA!$C$8</f>
        <v>1258.7662589228994</v>
      </c>
      <c r="L30" s="26">
        <f>+L29*(1+DATA!$C$11)</f>
        <v>85.344323832055295</v>
      </c>
      <c r="M30" s="23">
        <f>+DATA!$C$9*(1-Rates_Down!H30) * (G30 - DATA!$C$12)</f>
        <v>11574.759262450521</v>
      </c>
      <c r="N30" s="23">
        <f>Rates_Down!H30 * (MAX($G$2,G30) )</f>
        <v>12226.466</v>
      </c>
      <c r="O30" s="23">
        <f t="shared" si="0"/>
        <v>72.956630158623696</v>
      </c>
    </row>
    <row r="31" spans="1:15" x14ac:dyDescent="0.35">
      <c r="A31" s="14">
        <f t="shared" si="1"/>
        <v>29</v>
      </c>
      <c r="B31" s="16">
        <f>+VLOOKUP($A31,DATA!$J$2:$Y$54,4)</f>
        <v>1.7950000000000001E-2</v>
      </c>
      <c r="C31" s="16">
        <f>+VLOOKUP($A31,DATA!$J$2:$Y$54,7)</f>
        <v>1.7790801008548941E-2</v>
      </c>
      <c r="D31" s="21">
        <f>+VLOOKUP($A31,DATA!$J$2:$Y$54,10)</f>
        <v>0.59694324969343315</v>
      </c>
      <c r="E31" s="16">
        <f>+VLOOKUP($A31,DATA!$J$2:$Y$54,16)</f>
        <v>2.1641942603014115E-2</v>
      </c>
      <c r="F31" s="17">
        <f>+VLOOKUP($A31,DATA!$J$2:$Y$54,13)</f>
        <v>0.97859056391857768</v>
      </c>
      <c r="G31" s="18">
        <f>+(G30*(1-DATA!$C$7)/F31)</f>
        <v>87880.747707956107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+(1-H31)*(1-DATA!$C$9)*Rates_Down!J30</f>
        <v>2.5943949712624445E-3</v>
      </c>
      <c r="K31" s="26">
        <f>+(G31/(1-DATA!$C$7)) *DATA!$C$8</f>
        <v>1258.0066134063247</v>
      </c>
      <c r="L31" s="26">
        <f>+L30*(1+DATA!$C$11)</f>
        <v>87.051210308696398</v>
      </c>
      <c r="M31" s="23">
        <f>+DATA!$C$9*(1-Rates_Down!H31) * (G31 - DATA!$C$12)</f>
        <v>11335.625987043497</v>
      </c>
      <c r="N31" s="23">
        <f>Rates_Down!H31 * (MAX($G$2,G31) )</f>
        <v>13987.938999999998</v>
      </c>
      <c r="O31" s="23">
        <f t="shared" si="0"/>
        <v>56.492585082096362</v>
      </c>
    </row>
    <row r="32" spans="1:15" x14ac:dyDescent="0.35">
      <c r="A32" s="14">
        <f t="shared" si="1"/>
        <v>30</v>
      </c>
      <c r="B32" s="16">
        <f>+VLOOKUP($A32,DATA!$J$2:$Y$54,4)</f>
        <v>1.8089999999999998E-2</v>
      </c>
      <c r="C32" s="16">
        <f>+VLOOKUP($A32,DATA!$J$2:$Y$54,7)</f>
        <v>1.7928322864917846E-2</v>
      </c>
      <c r="D32" s="21">
        <f>+VLOOKUP($A32,DATA!$J$2:$Y$54,10)</f>
        <v>0.58400269236672897</v>
      </c>
      <c r="E32" s="16">
        <f>+VLOOKUP($A32,DATA!$J$2:$Y$54,16)</f>
        <v>2.1916456699616019E-2</v>
      </c>
      <c r="F32" s="17">
        <f>+VLOOKUP($A32,DATA!$J$2:$Y$54,13)</f>
        <v>0.97832196388291526</v>
      </c>
      <c r="G32" s="18">
        <f>+(G31*(1-DATA!$C$7)/F32)</f>
        <v>87851.826322348803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+(1-H32)*(1-DATA!$C$9)*Rates_Down!J31</f>
        <v>1.8523249941265114E-3</v>
      </c>
      <c r="K32" s="26">
        <f>+(G32/(1-DATA!$C$7)) *DATA!$C$8</f>
        <v>1257.5926058413941</v>
      </c>
      <c r="L32" s="26">
        <f>+L31*(1+DATA!$C$11)</f>
        <v>88.79223451487033</v>
      </c>
      <c r="M32" s="23">
        <f>+DATA!$C$9*(1-Rates_Down!H32) * (G32 - DATA!$C$12)</f>
        <v>11066.373899850518</v>
      </c>
      <c r="N32" s="23">
        <f>Rates_Down!H32 * (MAX($G$2,G32) )</f>
        <v>16003.311000000002</v>
      </c>
      <c r="O32" s="23">
        <f t="shared" si="0"/>
        <v>43.054143415257556</v>
      </c>
    </row>
    <row r="33" spans="1:15" x14ac:dyDescent="0.35">
      <c r="A33" s="14">
        <f t="shared" si="1"/>
        <v>31</v>
      </c>
      <c r="B33" s="16">
        <f>+VLOOKUP($A33,DATA!$J$2:$Y$54,4)</f>
        <v>1.823E-2</v>
      </c>
      <c r="C33" s="16">
        <f>+VLOOKUP($A33,DATA!$J$2:$Y$54,7)</f>
        <v>1.8065825811626232E-2</v>
      </c>
      <c r="D33" s="21">
        <f>+VLOOKUP($A33,DATA!$J$2:$Y$54,10)</f>
        <v>0.5711858731399696</v>
      </c>
      <c r="E33" s="16">
        <f>+VLOOKUP($A33,DATA!$J$2:$Y$54,16)</f>
        <v>2.2190914212877874E-2</v>
      </c>
      <c r="F33" s="17">
        <f>+VLOOKUP($A33,DATA!$J$2:$Y$54,13)</f>
        <v>0.97805349291316113</v>
      </c>
      <c r="G33" s="18">
        <f>+(G32*(1-DATA!$C$7)/F33)</f>
        <v>87847.021421440455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+(1-H33)*(1-DATA!$C$9)*Rates_Down!J32</f>
        <v>1.289875997268616E-3</v>
      </c>
      <c r="K33" s="26">
        <f>+(G33/(1-DATA!$C$7)) *DATA!$C$8</f>
        <v>1257.5238240288002</v>
      </c>
      <c r="L33" s="26">
        <f>+L32*(1+DATA!$C$11)</f>
        <v>90.568079205167734</v>
      </c>
      <c r="M33" s="23">
        <f>+DATA!$C$9*(1-Rates_Down!H33) * (G33 - DATA!$C$12)</f>
        <v>10792.728744145372</v>
      </c>
      <c r="N33" s="23">
        <f>Rates_Down!H33 * (MAX($G$2,G33) )</f>
        <v>18075.868000000002</v>
      </c>
      <c r="O33" s="23">
        <f t="shared" si="0"/>
        <v>31.969917400989239</v>
      </c>
    </row>
    <row r="34" spans="1:15" x14ac:dyDescent="0.35">
      <c r="A34" s="14">
        <f t="shared" si="1"/>
        <v>32</v>
      </c>
      <c r="B34" s="16">
        <f>+VLOOKUP($A34,DATA!$J$2:$Y$54,4)</f>
        <v>1.8380000000000001E-2</v>
      </c>
      <c r="C34" s="16">
        <f>+VLOOKUP($A34,DATA!$J$2:$Y$54,7)</f>
        <v>1.8213129419358026E-2</v>
      </c>
      <c r="D34" s="21">
        <f>+VLOOKUP($A34,DATA!$J$2:$Y$54,10)</f>
        <v>0.55832159839081263</v>
      </c>
      <c r="E34" s="16">
        <f>+VLOOKUP($A34,DATA!$J$2:$Y$54,16)</f>
        <v>2.2779541259043735E-2</v>
      </c>
      <c r="F34" s="17">
        <f>+VLOOKUP($A34,DATA!$J$2:$Y$54,13)</f>
        <v>0.97747795358026202</v>
      </c>
      <c r="G34" s="18">
        <f>+(G33*(1-DATA!$C$7)/F34)</f>
        <v>87893.938308772515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+(1-H34)*(1-DATA!$C$9)*Rates_Down!J33</f>
        <v>8.7690336132881849E-4</v>
      </c>
      <c r="K34" s="26">
        <f>+(G34/(1-DATA!$C$7)) *DATA!$C$8</f>
        <v>1258.195435912899</v>
      </c>
      <c r="L34" s="26">
        <f>+L33*(1+DATA!$C$11)</f>
        <v>92.379440789271086</v>
      </c>
      <c r="M34" s="23">
        <f>+DATA!$C$9*(1-Rates_Down!H34) * (G34 - DATA!$C$12)</f>
        <v>10542.320078829676</v>
      </c>
      <c r="N34" s="23">
        <f>Rates_Down!H34 * (MAX($G$2,G34) )</f>
        <v>20019.365000000002</v>
      </c>
      <c r="O34" s="23">
        <f t="shared" si="0"/>
        <v>22.982112748399764</v>
      </c>
    </row>
    <row r="35" spans="1:15" x14ac:dyDescent="0.35">
      <c r="A35" s="14">
        <f t="shared" si="1"/>
        <v>33</v>
      </c>
      <c r="B35" s="16">
        <f>+VLOOKUP($A35,DATA!$J$2:$Y$54,4)</f>
        <v>1.8530000000000001E-2</v>
      </c>
      <c r="C35" s="16">
        <f>+VLOOKUP($A35,DATA!$J$2:$Y$54,7)</f>
        <v>1.8360411331932485E-2</v>
      </c>
      <c r="D35" s="21">
        <f>+VLOOKUP($A35,DATA!$J$2:$Y$54,10)</f>
        <v>0.54558668670354882</v>
      </c>
      <c r="E35" s="16">
        <f>+VLOOKUP($A35,DATA!$J$2:$Y$54,16)</f>
        <v>2.3073432534315021E-2</v>
      </c>
      <c r="F35" s="17">
        <f>+VLOOKUP($A35,DATA!$J$2:$Y$54,13)</f>
        <v>0.97719072354720249</v>
      </c>
      <c r="G35" s="18">
        <f>+(G34*(1-DATA!$C$7)/F35)</f>
        <v>87966.729108872125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+(1-H35)*(1-DATA!$C$9)*Rates_Down!J34</f>
        <v>5.7788707614889081E-4</v>
      </c>
      <c r="K35" s="26">
        <f>+(G35/(1-DATA!$C$7)) *DATA!$C$8</f>
        <v>1259.2374310063494</v>
      </c>
      <c r="L35" s="26">
        <f>+L34*(1+DATA!$C$11)</f>
        <v>94.227029605056515</v>
      </c>
      <c r="M35" s="23">
        <f>+DATA!$C$9*(1-Rates_Down!H35) * (G35 - DATA!$C$12)</f>
        <v>10227.824621518714</v>
      </c>
      <c r="N35" s="23">
        <f>Rates_Down!H35 * (MAX($G$2,G35) )</f>
        <v>22469.547000000002</v>
      </c>
      <c r="O35" s="23">
        <f t="shared" ref="O35:O52" si="2">+J34*D35*(K35+L35+M35+N35)</f>
        <v>16.290832525935162</v>
      </c>
    </row>
    <row r="36" spans="1:15" x14ac:dyDescent="0.35">
      <c r="A36" s="14">
        <f t="shared" si="1"/>
        <v>34</v>
      </c>
      <c r="B36" s="16">
        <f>+VLOOKUP($A36,DATA!$J$2:$Y$54,4)</f>
        <v>1.8679999999999999E-2</v>
      </c>
      <c r="C36" s="16">
        <f>+VLOOKUP($A36,DATA!$J$2:$Y$54,7)</f>
        <v>1.8507671555739718E-2</v>
      </c>
      <c r="D36" s="21">
        <f>+VLOOKUP($A36,DATA!$J$2:$Y$54,10)</f>
        <v>0.53298562087793011</v>
      </c>
      <c r="E36" s="16">
        <f>+VLOOKUP($A36,DATA!$J$2:$Y$54,16)</f>
        <v>2.3367258941378585E-2</v>
      </c>
      <c r="F36" s="17">
        <f>+VLOOKUP($A36,DATA!$J$2:$Y$54,13)</f>
        <v>0.97690364128612683</v>
      </c>
      <c r="G36" s="18">
        <f>+(G35*(1-DATA!$C$7)/F36)</f>
        <v>88065.452346163438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+(1-H36)*(1-DATA!$C$9)*Rates_Down!J35</f>
        <v>3.7036809726603219E-4</v>
      </c>
      <c r="K36" s="26">
        <f>+(G36/(1-DATA!$C$7)) *DATA!$C$8</f>
        <v>1260.6506470820943</v>
      </c>
      <c r="L36" s="26">
        <f>+L35*(1+DATA!$C$11)</f>
        <v>96.111570197157647</v>
      </c>
      <c r="M36" s="23">
        <f>+DATA!$C$9*(1-Rates_Down!H36) * (G36 - DATA!$C$12)</f>
        <v>9957.947924100903</v>
      </c>
      <c r="N36" s="23">
        <f>Rates_Down!H36 * (MAX($G$2,G36) )</f>
        <v>24599.945</v>
      </c>
      <c r="O36" s="23">
        <f t="shared" si="2"/>
        <v>11.061911388798709</v>
      </c>
    </row>
    <row r="37" spans="1:15" x14ac:dyDescent="0.35">
      <c r="A37" s="14">
        <f t="shared" si="1"/>
        <v>35</v>
      </c>
      <c r="B37" s="16">
        <f>+VLOOKUP($A37,DATA!$J$2:$Y$54,4)</f>
        <v>1.882E-2</v>
      </c>
      <c r="C37" s="16">
        <f>+VLOOKUP($A37,DATA!$J$2:$Y$54,7)</f>
        <v>1.8645094868839453E-2</v>
      </c>
      <c r="D37" s="21">
        <f>+VLOOKUP($A37,DATA!$J$2:$Y$54,10)</f>
        <v>0.52070150920109937</v>
      </c>
      <c r="E37" s="16">
        <f>+VLOOKUP($A37,DATA!$J$2:$Y$54,16)</f>
        <v>2.3317487514230243E-2</v>
      </c>
      <c r="F37" s="17">
        <f>+VLOOKUP($A37,DATA!$J$2:$Y$54,13)</f>
        <v>0.97695226438455052</v>
      </c>
      <c r="G37" s="18">
        <f>+(G36*(1-DATA!$C$7)/F37)</f>
        <v>88159.898425339954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+(1-H37)*(1-DATA!$C$9)*Rates_Down!J36</f>
        <v>2.280448233562444E-4</v>
      </c>
      <c r="K37" s="26">
        <f>+(G37/(1-DATA!$C$7)) *DATA!$C$8</f>
        <v>1262.0026359455617</v>
      </c>
      <c r="L37" s="26">
        <f>+L36*(1+DATA!$C$11)</f>
        <v>98.033801601100805</v>
      </c>
      <c r="M37" s="23">
        <f>+DATA!$C$9*(1-Rates_Down!H37) * (G37 - DATA!$C$12)</f>
        <v>9577.044971689862</v>
      </c>
      <c r="N37" s="23">
        <f>Rates_Down!H37 * (MAX($G$2,G37) )</f>
        <v>27561.788000000004</v>
      </c>
      <c r="O37" s="23">
        <f t="shared" si="2"/>
        <v>7.4245542116287542</v>
      </c>
    </row>
    <row r="38" spans="1:15" x14ac:dyDescent="0.35">
      <c r="A38" s="14">
        <f t="shared" si="1"/>
        <v>36</v>
      </c>
      <c r="B38" s="16">
        <f>+VLOOKUP($A38,DATA!$J$2:$Y$54,4)</f>
        <v>1.8970000000000001E-2</v>
      </c>
      <c r="C38" s="16">
        <f>+VLOOKUP($A38,DATA!$J$2:$Y$54,7)</f>
        <v>1.8792313179137165E-2</v>
      </c>
      <c r="D38" s="21">
        <f>+VLOOKUP($A38,DATA!$J$2:$Y$54,10)</f>
        <v>0.50838142605608005</v>
      </c>
      <c r="E38" s="16">
        <f>+VLOOKUP($A38,DATA!$J$2:$Y$54,16)</f>
        <v>2.3944954039557029E-2</v>
      </c>
      <c r="F38" s="17">
        <f>+VLOOKUP($A38,DATA!$J$2:$Y$54,13)</f>
        <v>0.97633945182159787</v>
      </c>
      <c r="G38" s="18">
        <f>+(G37*(1-DATA!$C$7)/F38)</f>
        <v>88309.839881116612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+(1-H38)*(1-DATA!$C$9)*Rates_Down!J37</f>
        <v>1.3460884477301988E-4</v>
      </c>
      <c r="K38" s="26">
        <f>+(G38/(1-DATA!$C$7)) *DATA!$C$8</f>
        <v>1264.1490371529985</v>
      </c>
      <c r="L38" s="26">
        <f>+L37*(1+DATA!$C$11)</f>
        <v>99.994477633122827</v>
      </c>
      <c r="M38" s="23">
        <f>+DATA!$C$9*(1-Rates_Down!H38) * (G38 - DATA!$C$12)</f>
        <v>9196.79363392696</v>
      </c>
      <c r="N38" s="23">
        <f>Rates_Down!H38 * (MAX($G$2,G38) )</f>
        <v>30556.044000000005</v>
      </c>
      <c r="O38" s="23">
        <f t="shared" si="2"/>
        <v>4.7668459161470977</v>
      </c>
    </row>
    <row r="39" spans="1:15" x14ac:dyDescent="0.35">
      <c r="A39" s="14">
        <f t="shared" si="1"/>
        <v>37</v>
      </c>
      <c r="B39" s="16">
        <f>+VLOOKUP($A39,DATA!$J$2:$Y$54,4)</f>
        <v>1.9109999999999999E-2</v>
      </c>
      <c r="C39" s="16">
        <f>+VLOOKUP($A39,DATA!$J$2:$Y$54,7)</f>
        <v>1.8929697384094998E-2</v>
      </c>
      <c r="D39" s="21">
        <f>+VLOOKUP($A39,DATA!$J$2:$Y$54,10)</f>
        <v>0.49638730346167431</v>
      </c>
      <c r="E39" s="16">
        <f>+VLOOKUP($A39,DATA!$J$2:$Y$54,16)</f>
        <v>2.3875528762577144E-2</v>
      </c>
      <c r="F39" s="17">
        <f>+VLOOKUP($A39,DATA!$J$2:$Y$54,13)</f>
        <v>0.9764072368114356</v>
      </c>
      <c r="G39" s="18">
        <f>+(G38*(1-DATA!$C$7)/F39)</f>
        <v>88453.895206443762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+(1-H39)*(1-DATA!$C$9)*Rates_Down!J38</f>
        <v>7.6364893451778384E-5</v>
      </c>
      <c r="K39" s="26">
        <f>+(G39/(1-DATA!$C$7)) *DATA!$C$8</f>
        <v>1266.2111788243483</v>
      </c>
      <c r="L39" s="26">
        <f>+L38*(1+DATA!$C$11)</f>
        <v>101.99436718578528</v>
      </c>
      <c r="M39" s="23">
        <f>+DATA!$C$9*(1-Rates_Down!H39) * (G39 - DATA!$C$12)</f>
        <v>8853.4235399131321</v>
      </c>
      <c r="N39" s="23">
        <f>Rates_Down!H39 * (MAX($G$2,G39) )</f>
        <v>33257.690999999999</v>
      </c>
      <c r="O39" s="23">
        <f t="shared" si="2"/>
        <v>2.9052064913242597</v>
      </c>
    </row>
    <row r="40" spans="1:15" x14ac:dyDescent="0.35">
      <c r="A40" s="14">
        <f t="shared" si="1"/>
        <v>38</v>
      </c>
      <c r="B40" s="16">
        <f>+VLOOKUP($A40,DATA!$J$2:$Y$54,4)</f>
        <v>1.925E-2</v>
      </c>
      <c r="C40" s="16">
        <f>+VLOOKUP($A40,DATA!$J$2:$Y$54,7)</f>
        <v>1.9067062717225722E-2</v>
      </c>
      <c r="D40" s="21">
        <f>+VLOOKUP($A40,DATA!$J$2:$Y$54,10)</f>
        <v>0.48454334743921723</v>
      </c>
      <c r="E40" s="16">
        <f>+VLOOKUP($A40,DATA!$J$2:$Y$54,16)</f>
        <v>2.4149580043062495E-2</v>
      </c>
      <c r="F40" s="17">
        <f>+VLOOKUP($A40,DATA!$J$2:$Y$54,13)</f>
        <v>0.97613968782065852</v>
      </c>
      <c r="G40" s="18">
        <f>+(G39*(1-DATA!$C$7)/F40)</f>
        <v>88622.469295394199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+(1-H40)*(1-DATA!$C$9)*Rates_Down!J39</f>
        <v>4.1764646023703237E-5</v>
      </c>
      <c r="K40" s="26">
        <f>+(G40/(1-DATA!$C$7)) *DATA!$C$8</f>
        <v>1268.6243048420438</v>
      </c>
      <c r="L40" s="26">
        <f>+L39*(1+DATA!$C$11)</f>
        <v>104.03425452950098</v>
      </c>
      <c r="M40" s="23">
        <f>+DATA!$C$9*(1-Rates_Down!H40) * (G40 - DATA!$C$12)</f>
        <v>8551.3210856693986</v>
      </c>
      <c r="N40" s="23">
        <f>Rates_Down!H40 * (MAX($G$2,G40) )</f>
        <v>35657.767</v>
      </c>
      <c r="O40" s="23">
        <f t="shared" si="2"/>
        <v>1.6866203976727434</v>
      </c>
    </row>
    <row r="41" spans="1:15" x14ac:dyDescent="0.35">
      <c r="A41" s="14">
        <f t="shared" si="1"/>
        <v>39</v>
      </c>
      <c r="B41" s="16">
        <f>+VLOOKUP($A41,DATA!$J$2:$Y$54,4)</f>
        <v>1.9390000000000001E-2</v>
      </c>
      <c r="C41" s="16">
        <f>+VLOOKUP($A41,DATA!$J$2:$Y$54,7)</f>
        <v>1.920440918371329E-2</v>
      </c>
      <c r="D41" s="21">
        <f>+VLOOKUP($A41,DATA!$J$2:$Y$54,10)</f>
        <v>0.47285241501935604</v>
      </c>
      <c r="E41" s="16">
        <f>+VLOOKUP($A41,DATA!$J$2:$Y$54,16)</f>
        <v>2.4423574910240862E-2</v>
      </c>
      <c r="F41" s="17">
        <f>+VLOOKUP($A41,DATA!$J$2:$Y$54,13)</f>
        <v>0.97587226719415909</v>
      </c>
      <c r="G41" s="18">
        <f>+(G40*(1-DATA!$C$7)/F41)</f>
        <v>88815.696361674709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+(1-H41)*(1-DATA!$C$9)*Rates_Down!J40</f>
        <v>2.2042525102830199E-5</v>
      </c>
      <c r="K41" s="26">
        <f>+(G41/(1-DATA!$C$7)) *DATA!$C$8</f>
        <v>1271.3903364656912</v>
      </c>
      <c r="L41" s="26">
        <f>+L40*(1+DATA!$C$11)</f>
        <v>106.11493962009101</v>
      </c>
      <c r="M41" s="23">
        <f>+DATA!$C$9*(1-Rates_Down!H41) * (G41 - DATA!$C$12)</f>
        <v>8270.2148084121964</v>
      </c>
      <c r="N41" s="23">
        <f>Rates_Down!H41 * (MAX($G$2,G41) )</f>
        <v>37908.291000000005</v>
      </c>
      <c r="O41" s="23">
        <f t="shared" si="2"/>
        <v>0.93916053807149535</v>
      </c>
    </row>
    <row r="42" spans="1:15" x14ac:dyDescent="0.35">
      <c r="A42" s="14">
        <f t="shared" si="1"/>
        <v>40</v>
      </c>
      <c r="B42" s="16">
        <f>+VLOOKUP($A42,DATA!$J$2:$Y$54,4)</f>
        <v>1.9529999999999999E-2</v>
      </c>
      <c r="C42" s="16">
        <f>+VLOOKUP($A42,DATA!$J$2:$Y$54,7)</f>
        <v>1.934173678873953E-2</v>
      </c>
      <c r="D42" s="21">
        <f>+VLOOKUP($A42,DATA!$J$2:$Y$54,10)</f>
        <v>0.46131716846104487</v>
      </c>
      <c r="E42" s="16">
        <f>+VLOOKUP($A42,DATA!$J$2:$Y$54,16)</f>
        <v>2.469751338476283E-2</v>
      </c>
      <c r="F42" s="17">
        <f>+VLOOKUP($A42,DATA!$J$2:$Y$54,13)</f>
        <v>0.97560497484645614</v>
      </c>
      <c r="G42" s="18">
        <f>+(G41*(1-DATA!$C$7)/F42)</f>
        <v>89033.731152701876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+(1-H42)*(1-DATA!$C$9)*Rates_Down!J41</f>
        <v>1.1194569766911169E-5</v>
      </c>
      <c r="K42" s="26">
        <f>+(G42/(1-DATA!$C$7)) *DATA!$C$8</f>
        <v>1274.5114888934829</v>
      </c>
      <c r="L42" s="26">
        <f>+L41*(1+DATA!$C$11)</f>
        <v>108.23723841249283</v>
      </c>
      <c r="M42" s="23">
        <f>+DATA!$C$9*(1-Rates_Down!H42) * (G42 - DATA!$C$12)</f>
        <v>7977.6577770365529</v>
      </c>
      <c r="N42" s="23">
        <f>Rates_Down!H42 * (MAX($G$2,G42) )</f>
        <v>40251.481999999996</v>
      </c>
      <c r="O42" s="23">
        <f t="shared" si="2"/>
        <v>0.50448321459096801</v>
      </c>
    </row>
    <row r="43" spans="1:15" x14ac:dyDescent="0.35">
      <c r="A43" s="14">
        <f t="shared" si="1"/>
        <v>41</v>
      </c>
      <c r="B43" s="16">
        <f>+VLOOKUP($A43,DATA!$J$2:$Y$54,4)</f>
        <v>1.966E-2</v>
      </c>
      <c r="C43" s="16">
        <f>+VLOOKUP($A43,DATA!$J$2:$Y$54,7)</f>
        <v>1.9469238394942068E-2</v>
      </c>
      <c r="D43" s="21">
        <f>+VLOOKUP($A43,DATA!$J$2:$Y$54,10)</f>
        <v>0.45012103118456231</v>
      </c>
      <c r="E43" s="16">
        <f>+VLOOKUP($A43,DATA!$J$2:$Y$54,16)</f>
        <v>2.4569302643043502E-2</v>
      </c>
      <c r="F43" s="17">
        <f>+VLOOKUP($A43,DATA!$J$2:$Y$54,13)</f>
        <v>0.97573006590274347</v>
      </c>
      <c r="G43" s="18">
        <f>+(G42*(1-DATA!$C$7)/F43)</f>
        <v>89240.858829927354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+(1-H43)*(1-DATA!$C$9)*Rates_Down!J42</f>
        <v>5.3838281313074997E-6</v>
      </c>
      <c r="K43" s="26">
        <f>+(G43/(1-DATA!$C$7)) *DATA!$C$8</f>
        <v>1277.4765067678763</v>
      </c>
      <c r="L43" s="26">
        <f>+L42*(1+DATA!$C$11)</f>
        <v>110.40198318074269</v>
      </c>
      <c r="M43" s="23">
        <f>+DATA!$C$9*(1-Rates_Down!H43) * (G43 - DATA!$C$12)</f>
        <v>7572.2076128867075</v>
      </c>
      <c r="N43" s="23">
        <f>Rates_Down!H43 * (MAX($G$2,G43) )</f>
        <v>43419.751000000004</v>
      </c>
      <c r="O43" s="23">
        <f t="shared" si="2"/>
        <v>0.26393735239653338</v>
      </c>
    </row>
    <row r="44" spans="1:15" x14ac:dyDescent="0.35">
      <c r="A44" s="14">
        <f t="shared" si="1"/>
        <v>42</v>
      </c>
      <c r="B44" s="16">
        <f>+VLOOKUP($A44,DATA!$J$2:$Y$54,4)</f>
        <v>1.9789999999999999E-2</v>
      </c>
      <c r="C44" s="16">
        <f>+VLOOKUP($A44,DATA!$J$2:$Y$54,7)</f>
        <v>1.9596723746557486E-2</v>
      </c>
      <c r="D44" s="21">
        <f>+VLOOKUP($A44,DATA!$J$2:$Y$54,10)</f>
        <v>0.43908494091056355</v>
      </c>
      <c r="E44" s="16">
        <f>+VLOOKUP($A44,DATA!$J$2:$Y$54,16)</f>
        <v>2.4823623162789677E-2</v>
      </c>
      <c r="F44" s="17">
        <f>+VLOOKUP($A44,DATA!$J$2:$Y$54,13)</f>
        <v>0.97548194927716303</v>
      </c>
      <c r="G44" s="18">
        <f>+(G43*(1-DATA!$C$7)/F44)</f>
        <v>89471.219841988932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+(1-H44)*(1-DATA!$C$9)*Rates_Down!J43</f>
        <v>2.4030133983938392E-6</v>
      </c>
      <c r="K44" s="26">
        <f>+(G44/(1-DATA!$C$7)) *DATA!$C$8</f>
        <v>1280.7741081675308</v>
      </c>
      <c r="L44" s="26">
        <f>+L43*(1+DATA!$C$11)</f>
        <v>112.61002284435754</v>
      </c>
      <c r="M44" s="23">
        <f>+DATA!$C$9*(1-Rates_Down!H44) * (G44 - DATA!$C$12)</f>
        <v>7045.6912116776721</v>
      </c>
      <c r="N44" s="23">
        <f>Rates_Down!H44 * (MAX($G$2,G44) )</f>
        <v>47489.508999999998</v>
      </c>
      <c r="O44" s="23">
        <f t="shared" si="2"/>
        <v>0.1322128163826306</v>
      </c>
    </row>
    <row r="45" spans="1:15" x14ac:dyDescent="0.35">
      <c r="A45" s="14">
        <f t="shared" si="1"/>
        <v>43</v>
      </c>
      <c r="B45" s="16">
        <f>+VLOOKUP($A45,DATA!$J$2:$Y$54,4)</f>
        <v>1.992E-2</v>
      </c>
      <c r="C45" s="16">
        <f>+VLOOKUP($A45,DATA!$J$2:$Y$54,7)</f>
        <v>1.97241928477297E-2</v>
      </c>
      <c r="D45" s="21">
        <f>+VLOOKUP($A45,DATA!$J$2:$Y$54,10)</f>
        <v>0.42821053829189792</v>
      </c>
      <c r="E45" s="16">
        <f>+VLOOKUP($A45,DATA!$J$2:$Y$54,16)</f>
        <v>2.5077895096962722E-2</v>
      </c>
      <c r="F45" s="17">
        <f>+VLOOKUP($A45,DATA!$J$2:$Y$54,13)</f>
        <v>0.9752339431270074</v>
      </c>
      <c r="G45" s="18">
        <f>+(G44*(1-DATA!$C$7)/F45)</f>
        <v>89724.987139900477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+(1-H45)*(1-DATA!$C$9)*Rates_Down!J44</f>
        <v>1.0017937803684089E-6</v>
      </c>
      <c r="K45" s="26">
        <f>+(G45/(1-DATA!$C$7)) *DATA!$C$8</f>
        <v>1284.406768873831</v>
      </c>
      <c r="L45" s="26">
        <f>+L44*(1+DATA!$C$11)</f>
        <v>114.8622233012447</v>
      </c>
      <c r="M45" s="23">
        <f>+DATA!$C$9*(1-Rates_Down!H45) * (G45 - DATA!$C$12)</f>
        <v>6599.5004129236668</v>
      </c>
      <c r="N45" s="23">
        <f>Rates_Down!H45 * (MAX($G$2,G45) )</f>
        <v>50954.043000000005</v>
      </c>
      <c r="O45" s="23">
        <f t="shared" si="2"/>
        <v>6.066218815968398E-2</v>
      </c>
    </row>
    <row r="46" spans="1:15" x14ac:dyDescent="0.35">
      <c r="A46" s="14">
        <f t="shared" si="1"/>
        <v>44</v>
      </c>
      <c r="B46" s="16">
        <f>+VLOOKUP($A46,DATA!$J$2:$Y$54,4)</f>
        <v>2.0039999999999999E-2</v>
      </c>
      <c r="C46" s="16">
        <f>+VLOOKUP($A46,DATA!$J$2:$Y$54,7)</f>
        <v>1.9841842213539358E-2</v>
      </c>
      <c r="D46" s="21">
        <f>+VLOOKUP($A46,DATA!$J$2:$Y$54,10)</f>
        <v>0.41767942881635295</v>
      </c>
      <c r="E46" s="16">
        <f>+VLOOKUP($A46,DATA!$J$2:$Y$54,16)</f>
        <v>2.4900764943354595E-2</v>
      </c>
      <c r="F46" s="17">
        <f>+VLOOKUP($A46,DATA!$J$2:$Y$54,13)</f>
        <v>0.9754067017650877</v>
      </c>
      <c r="G46" s="18">
        <f>+(G45*(1-DATA!$C$7)/F46)</f>
        <v>89963.53753160515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+(1-H46)*(1-DATA!$C$9)*Rates_Down!J45</f>
        <v>3.879287730341853E-7</v>
      </c>
      <c r="K46" s="26">
        <f>+(G46/(1-DATA!$C$7)) *DATA!$C$8</f>
        <v>1287.8216006569244</v>
      </c>
      <c r="L46" s="26">
        <f>+L45*(1+DATA!$C$11)</f>
        <v>117.15946776726959</v>
      </c>
      <c r="M46" s="23">
        <f>+DATA!$C$9*(1-Rates_Down!H46) * (G46 - DATA!$C$12)</f>
        <v>6146.3312123787518</v>
      </c>
      <c r="N46" s="23">
        <f>Rates_Down!H46 * (MAX($G$2,G46) )</f>
        <v>54443.040000000001</v>
      </c>
      <c r="O46" s="23">
        <f t="shared" si="2"/>
        <v>2.5940213378973561E-2</v>
      </c>
    </row>
    <row r="47" spans="1:15" x14ac:dyDescent="0.35">
      <c r="A47" s="14">
        <f t="shared" si="1"/>
        <v>45</v>
      </c>
      <c r="B47" s="16">
        <f>+VLOOKUP($A47,DATA!$J$2:$Y$54,4)</f>
        <v>2.0160000000000001E-2</v>
      </c>
      <c r="C47" s="16">
        <f>+VLOOKUP($A47,DATA!$J$2:$Y$54,7)</f>
        <v>1.9959477739603743E-2</v>
      </c>
      <c r="D47" s="21">
        <f>+VLOOKUP($A47,DATA!$J$2:$Y$54,10)</f>
        <v>0.40731171657889259</v>
      </c>
      <c r="E47" s="16">
        <f>+VLOOKUP($A47,DATA!$J$2:$Y$54,16)</f>
        <v>2.5135440886436707E-2</v>
      </c>
      <c r="F47" s="17">
        <f>+VLOOKUP($A47,DATA!$J$2:$Y$54,13)</f>
        <v>0.97517782413454968</v>
      </c>
      <c r="G47" s="18">
        <f>+(G46*(1-DATA!$C$7)/F47)</f>
        <v>90223.893046372468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+(1-H47)*(1-DATA!$C$9)*Rates_Down!J46</f>
        <v>1.3874044193898951E-7</v>
      </c>
      <c r="K47" s="26">
        <f>+(G47/(1-DATA!$C$7)) *DATA!$C$8</f>
        <v>1291.5485712159659</v>
      </c>
      <c r="L47" s="26">
        <f>+L46*(1+DATA!$C$11)</f>
        <v>119.50265712261498</v>
      </c>
      <c r="M47" s="23">
        <f>+DATA!$C$9*(1-Rates_Down!H47) * (G47 - DATA!$C$12)</f>
        <v>5693.0984678323675</v>
      </c>
      <c r="N47" s="23">
        <f>Rates_Down!H47 * (MAX($G$2,G47) )</f>
        <v>57924.222000000002</v>
      </c>
      <c r="O47" s="23">
        <f t="shared" si="2"/>
        <v>1.02749986926773E-2</v>
      </c>
    </row>
    <row r="48" spans="1:15" x14ac:dyDescent="0.35">
      <c r="A48" s="14">
        <f t="shared" si="1"/>
        <v>46</v>
      </c>
      <c r="B48" s="16">
        <f>+VLOOKUP($A48,DATA!$J$2:$Y$54,4)</f>
        <v>2.0279999999999999E-2</v>
      </c>
      <c r="C48" s="16">
        <f>+VLOOKUP($A48,DATA!$J$2:$Y$54,7)</f>
        <v>2.0077099429178999E-2</v>
      </c>
      <c r="D48" s="21">
        <f>+VLOOKUP($A48,DATA!$J$2:$Y$54,10)</f>
        <v>0.39710816728046949</v>
      </c>
      <c r="E48" s="16">
        <f>+VLOOKUP($A48,DATA!$J$2:$Y$54,16)</f>
        <v>2.5370075460065405E-2</v>
      </c>
      <c r="F48" s="17">
        <f>+VLOOKUP($A48,DATA!$J$2:$Y$54,13)</f>
        <v>0.97494904054289155</v>
      </c>
      <c r="G48" s="18">
        <f>+(G47*(1-DATA!$C$7)/F48)</f>
        <v>90506.235433820417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+(1-H48)*(1-DATA!$C$9)*Rates_Down!J47</f>
        <v>4.5563054418752522E-8</v>
      </c>
      <c r="K48" s="26">
        <f>+(G48/(1-DATA!$C$7)) *DATA!$C$8</f>
        <v>1295.5902822837279</v>
      </c>
      <c r="L48" s="26">
        <f>+L47*(1+DATA!$C$11)</f>
        <v>121.89271026506728</v>
      </c>
      <c r="M48" s="23">
        <f>+DATA!$C$9*(1-Rates_Down!H48) * (G48 - DATA!$C$12)</f>
        <v>5244.0232722679566</v>
      </c>
      <c r="N48" s="23">
        <f>Rates_Down!H48 * (MAX($G$2,G48) )</f>
        <v>61364.118000000002</v>
      </c>
      <c r="O48" s="23">
        <f t="shared" si="2"/>
        <v>3.7478692264854667E-3</v>
      </c>
    </row>
    <row r="49" spans="1:15" x14ac:dyDescent="0.35">
      <c r="A49" s="14">
        <f t="shared" si="1"/>
        <v>47</v>
      </c>
      <c r="B49" s="16">
        <f>+VLOOKUP($A49,DATA!$J$2:$Y$54,4)</f>
        <v>2.0400000000000001E-2</v>
      </c>
      <c r="C49" s="16">
        <f>+VLOOKUP($A49,DATA!$J$2:$Y$54,7)</f>
        <v>2.0194707285519253E-2</v>
      </c>
      <c r="D49" s="21">
        <f>+VLOOKUP($A49,DATA!$J$2:$Y$54,10)</f>
        <v>0.3870694121713778</v>
      </c>
      <c r="E49" s="16">
        <f>+VLOOKUP($A49,DATA!$J$2:$Y$54,16)</f>
        <v>2.5604668677170865E-2</v>
      </c>
      <c r="F49" s="17">
        <f>+VLOOKUP($A49,DATA!$J$2:$Y$54,13)</f>
        <v>0.97472035093652076</v>
      </c>
      <c r="G49" s="18">
        <f>+(G48*(1-DATA!$C$7)/F49)</f>
        <v>90810.76246046387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+(1-H49)*(1-DATA!$C$9)*Rates_Down!J48</f>
        <v>1.3659528263296515E-8</v>
      </c>
      <c r="K49" s="26">
        <f>+(G49/(1-DATA!$C$7)) *DATA!$C$8</f>
        <v>1299.9495648737159</v>
      </c>
      <c r="L49" s="26">
        <f>+L48*(1+DATA!$C$11)</f>
        <v>124.33056447036863</v>
      </c>
      <c r="M49" s="23">
        <f>+DATA!$C$9*(1-Rates_Down!H49) * (G49 - DATA!$C$12)</f>
        <v>4803.268537075166</v>
      </c>
      <c r="N49" s="23">
        <f>Rates_Down!H49 * (MAX($G$2,G49) )</f>
        <v>64730.123000000007</v>
      </c>
      <c r="O49" s="23">
        <f t="shared" si="2"/>
        <v>1.2514140878032562E-3</v>
      </c>
    </row>
    <row r="50" spans="1:15" x14ac:dyDescent="0.35">
      <c r="A50" s="14">
        <f t="shared" si="1"/>
        <v>48</v>
      </c>
      <c r="B50" s="16">
        <f>+VLOOKUP($A50,DATA!$J$2:$Y$54,4)</f>
        <v>2.052E-2</v>
      </c>
      <c r="C50" s="16">
        <f>+VLOOKUP($A50,DATA!$J$2:$Y$54,7)</f>
        <v>2.0312301311878347E-2</v>
      </c>
      <c r="D50" s="21">
        <f>+VLOOKUP($A50,DATA!$J$2:$Y$54,10)</f>
        <v>0.37719595087504182</v>
      </c>
      <c r="E50" s="16">
        <f>+VLOOKUP($A50,DATA!$J$2:$Y$54,16)</f>
        <v>2.5839220550755854E-2</v>
      </c>
      <c r="F50" s="17">
        <f>+VLOOKUP($A50,DATA!$J$2:$Y$54,13)</f>
        <v>0.97449175526180709</v>
      </c>
      <c r="G50" s="18">
        <f>+(G49*(1-DATA!$C$7)/F50)</f>
        <v>91137.688140289261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+(1-H50)*(1-DATA!$C$9)*Rates_Down!J49</f>
        <v>3.7164584694549589E-9</v>
      </c>
      <c r="K50" s="26">
        <f>+(G50/(1-DATA!$C$7)) *DATA!$C$8</f>
        <v>1304.6294825808279</v>
      </c>
      <c r="L50" s="26">
        <f>+L49*(1+DATA!$C$11)</f>
        <v>126.81717575977601</v>
      </c>
      <c r="M50" s="23">
        <f>+DATA!$C$9*(1-Rates_Down!H50) * (G50 - DATA!$C$12)</f>
        <v>4374.9048147118338</v>
      </c>
      <c r="N50" s="23">
        <f>Rates_Down!H50 * (MAX($G$2,G50) )</f>
        <v>67990.812000000005</v>
      </c>
      <c r="O50" s="23">
        <f t="shared" si="2"/>
        <v>3.8022650919028163E-4</v>
      </c>
    </row>
    <row r="51" spans="1:15" x14ac:dyDescent="0.35">
      <c r="A51" s="14">
        <f t="shared" si="1"/>
        <v>49</v>
      </c>
      <c r="B51" s="16">
        <f>+VLOOKUP($A51,DATA!$J$2:$Y$54,4)</f>
        <v>2.0629999999999999E-2</v>
      </c>
      <c r="C51" s="16">
        <f>+VLOOKUP($A51,DATA!$J$2:$Y$54,7)</f>
        <v>2.0420083689563794E-2</v>
      </c>
      <c r="D51" s="21">
        <f>+VLOOKUP($A51,DATA!$J$2:$Y$54,10)</f>
        <v>0.36766462524291893</v>
      </c>
      <c r="E51" s="16">
        <f>+VLOOKUP($A51,DATA!$J$2:$Y$54,16)</f>
        <v>2.5593637818465232E-2</v>
      </c>
      <c r="F51" s="17">
        <f>+VLOOKUP($A51,DATA!$J$2:$Y$54,13)</f>
        <v>0.97473110299829158</v>
      </c>
      <c r="G51" s="18">
        <f>+(G50*(1-DATA!$C$7)/F51)</f>
        <v>91443.33111668349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+(1-H51)*(1-DATA!$C$9)*Rates_Down!J50</f>
        <v>9.1238224796651336E-10</v>
      </c>
      <c r="K51" s="26">
        <f>+(G51/(1-DATA!$C$7)) *DATA!$C$8</f>
        <v>1309.0047399116247</v>
      </c>
      <c r="L51" s="26">
        <f>+L50*(1+DATA!$C$11)</f>
        <v>129.35351927497152</v>
      </c>
      <c r="M51" s="23">
        <f>+DATA!$C$9*(1-Rates_Down!H51) * (G51 - DATA!$C$12)</f>
        <v>3960.74531611778</v>
      </c>
      <c r="N51" s="23">
        <f>Rates_Down!H51 * (MAX($G$2,G51) )</f>
        <v>71117.909999999989</v>
      </c>
      <c r="O51" s="23">
        <f t="shared" si="2"/>
        <v>1.0455363627054444E-4</v>
      </c>
    </row>
    <row r="52" spans="1:15" x14ac:dyDescent="0.35">
      <c r="A52" s="14">
        <f t="shared" si="1"/>
        <v>50</v>
      </c>
      <c r="B52" s="16">
        <f>+VLOOKUP($A52,DATA!$J$2:$Y$54,4)</f>
        <v>2.0740000000000001E-2</v>
      </c>
      <c r="C52" s="16">
        <f>+VLOOKUP($A52,DATA!$J$2:$Y$54,7)</f>
        <v>2.0527854451460482E-2</v>
      </c>
      <c r="D52" s="21">
        <f>+VLOOKUP($A52,DATA!$J$2:$Y$54,10)</f>
        <v>0.35829710928244785</v>
      </c>
      <c r="E52" s="16">
        <f>+VLOOKUP($A52,DATA!$J$2:$Y$54,16)</f>
        <v>2.5808621784398095E-2</v>
      </c>
      <c r="F52" s="17">
        <f>+VLOOKUP($A52,DATA!$J$2:$Y$54,13)</f>
        <v>0.97452157396354933</v>
      </c>
      <c r="G52" s="18">
        <f>+(G51*(1-DATA!$C$7)/F52)</f>
        <v>91769.726008612226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+(1-H52)*(1-DATA!$C$9)*Rates_Down!J51</f>
        <v>2.0096874985242516E-10</v>
      </c>
      <c r="K52" s="26">
        <f>+(G52/(1-DATA!$C$7)) *DATA!$C$8</f>
        <v>1313.6770594279869</v>
      </c>
      <c r="L52" s="26">
        <f>+L51*(1+DATA!$C$11)</f>
        <v>131.94058966047095</v>
      </c>
      <c r="M52" s="23">
        <f>(1-Rates_Down!H52) * (G52 )</f>
        <v>23781.115028145763</v>
      </c>
      <c r="N52" s="23">
        <f>Rates_Down!H52 * (MAX($G$2,G52) )</f>
        <v>74086.100000000006</v>
      </c>
      <c r="O52" s="23">
        <f t="shared" si="2"/>
        <v>3.2465754507815128E-5</v>
      </c>
    </row>
  </sheetData>
  <mergeCells count="2">
    <mergeCell ref="Q1:R1"/>
    <mergeCell ref="Q9:R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DF11-E953-4B82-A35C-E1F36F9E2170}">
  <sheetPr>
    <tabColor theme="8" tint="0.79998168889431442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* (1 - 0.39 - 0.0525) +DATA!C5</f>
        <v>64600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64600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65398.903031999995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+(1-H3)*(1-DATA!$C$9)*Equity_Shock!J2</f>
        <v>0.84450231049999991</v>
      </c>
      <c r="K3" s="26">
        <f>+(G3/(1-DATA!$C$7)) *DATA!$C$8</f>
        <v>936.18061599999999</v>
      </c>
      <c r="L3" s="26">
        <f>+DATA!C10</f>
        <v>50</v>
      </c>
      <c r="M3" s="23">
        <f>+DATA!$C$9*(1-Equity_Shock!H3) * (G3 - DATA!$C$12)</f>
        <v>9743.4061179669607</v>
      </c>
      <c r="N3" s="23">
        <f>Equity_Shock!H3 * (MAX(DATA!$C$3,G3) )</f>
        <v>646.78699999999992</v>
      </c>
      <c r="O3" s="23">
        <f t="shared" ref="O3:O34" si="0">+J2*D3*(K3+L3+M3+N3)</f>
        <v>10990.178849205868</v>
      </c>
      <c r="Q3" s="6" t="s">
        <v>40</v>
      </c>
      <c r="R3" s="27">
        <f>+SUM(O2:O52)</f>
        <v>64115.967680000977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65596.365705570541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+(1-H4)*(1-DATA!$C$9)*Equity_Shock!J3</f>
        <v>0.71273020584612179</v>
      </c>
      <c r="K4" s="26">
        <f>+(G4/(1-DATA!$C$7)) *DATA!$C$8</f>
        <v>939.00728003884217</v>
      </c>
      <c r="L4" s="26">
        <f>+L3*(1+DATA!$C$11)</f>
        <v>51</v>
      </c>
      <c r="M4" s="23">
        <f>+DATA!$C$9*(1-Equity_Shock!H4) * (G4 - DATA!$C$12)</f>
        <v>9766.613468880887</v>
      </c>
      <c r="N4" s="23">
        <f>Equity_Shock!H4 * (MAX(DATA!$C$3,G4) )</f>
        <v>710.02599999999995</v>
      </c>
      <c r="O4" s="23">
        <f t="shared" si="0"/>
        <v>9121.5307117723842</v>
      </c>
      <c r="Q4" s="6" t="s">
        <v>41</v>
      </c>
      <c r="R4" s="27">
        <f>+R2-R3</f>
        <v>484.03231999902346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65616.483356873272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+(1-H5)*(1-DATA!$C$9)*Equity_Shock!J4</f>
        <v>0.60108612581225174</v>
      </c>
      <c r="K5" s="26">
        <f>+(G5/(1-DATA!$C$7)) *DATA!$C$8</f>
        <v>939.29526277732703</v>
      </c>
      <c r="L5" s="26">
        <f>+L4*(1+DATA!$C$11)</f>
        <v>52.02</v>
      </c>
      <c r="M5" s="23">
        <f>+DATA!$C$9*(1-Equity_Shock!H5) * (G5 - DATA!$C$12)</f>
        <v>9762.5760419686449</v>
      </c>
      <c r="N5" s="23">
        <f>Equity_Shock!H5 * (MAX(DATA!$C$3,G5) )</f>
        <v>781.51</v>
      </c>
      <c r="O5" s="23">
        <f t="shared" si="0"/>
        <v>7571.7105554713553</v>
      </c>
      <c r="Q5" s="6" t="s">
        <v>43</v>
      </c>
      <c r="R5" s="27">
        <f>+MAX(Rates_Basic!R4-R4,0)</f>
        <v>3719.9299220280955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65584.881016894622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+(1-H6)*(1-DATA!$C$9)*Equity_Shock!J5</f>
        <v>0.50649612377229214</v>
      </c>
      <c r="K6" s="26">
        <f>+(G6/(1-DATA!$C$7)) *DATA!$C$8</f>
        <v>938.84287754245884</v>
      </c>
      <c r="L6" s="26">
        <f>+L5*(1+DATA!$C$11)</f>
        <v>53.060400000000001</v>
      </c>
      <c r="M6" s="23">
        <f>+DATA!$C$9*(1-Equity_Shock!H6) * (G6 - DATA!$C$12)</f>
        <v>9749.515476947663</v>
      </c>
      <c r="N6" s="23">
        <f>Equity_Shock!H6 * (MAX(DATA!$C$3,G6) )</f>
        <v>866.48699999999997</v>
      </c>
      <c r="O6" s="23">
        <f t="shared" si="0"/>
        <v>6287.4534003104009</v>
      </c>
      <c r="Q6" s="6" t="s">
        <v>42</v>
      </c>
      <c r="R6" s="8">
        <f>+SUMPRODUCT(A2:A52,O2:O52)/R3</f>
        <v>5.716564960999734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65551.697213203268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+(1-H7)*(1-DATA!$C$9)*Equity_Shock!J6</f>
        <v>0.42636600834260208</v>
      </c>
      <c r="K7" s="26">
        <f>+(G7/(1-DATA!$C$7)) *DATA!$C$8</f>
        <v>938.36785376773605</v>
      </c>
      <c r="L7" s="26">
        <f>+L6*(1+DATA!$C$11)</f>
        <v>54.121608000000002</v>
      </c>
      <c r="M7" s="23">
        <f>+DATA!$C$9*(1-Equity_Shock!H7) * (G7 - DATA!$C$12)</f>
        <v>9734.8709099270072</v>
      </c>
      <c r="N7" s="23">
        <f>Equity_Shock!H7 * (MAX(DATA!$C$3,G7) )</f>
        <v>965.27</v>
      </c>
      <c r="O7" s="23">
        <f t="shared" si="0"/>
        <v>5221.9318340595464</v>
      </c>
      <c r="Q7" s="6" t="s">
        <v>44</v>
      </c>
      <c r="R7" s="27">
        <f>+MAX(R5,0)</f>
        <v>3719.9299220280955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65563.1306171795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+(1-H8)*(1-DATA!$C$9)*Equity_Shock!J7</f>
        <v>0.35849878133916319</v>
      </c>
      <c r="K8" s="26">
        <f>+(G8/(1-DATA!$C$7)) *DATA!$C$8</f>
        <v>938.53152212731402</v>
      </c>
      <c r="L8" s="26">
        <f>+L7*(1+DATA!$C$11)</f>
        <v>55.204040160000005</v>
      </c>
      <c r="M8" s="23">
        <f>+DATA!$C$9*(1-Equity_Shock!H8) * (G8 - DATA!$C$12)</f>
        <v>9725.3362238282662</v>
      </c>
      <c r="N8" s="23">
        <f>Equity_Shock!H8 * (MAX(DATA!$C$3,G8) )</f>
        <v>1079.527</v>
      </c>
      <c r="O8" s="23">
        <f t="shared" si="0"/>
        <v>4337.2950907512959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65612.913474834029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+(1-H9)*(1-DATA!$C$9)*Equity_Shock!J8</f>
        <v>0.30115008225864415</v>
      </c>
      <c r="K9" s="26">
        <f>+(G9/(1-DATA!$C$7)) *DATA!$C$8</f>
        <v>939.24416017144836</v>
      </c>
      <c r="L9" s="26">
        <f>+L8*(1+DATA!$C$11)</f>
        <v>56.308120963200004</v>
      </c>
      <c r="M9" s="23">
        <f>+DATA!$C$9*(1-Equity_Shock!H9) * (G9 - DATA!$C$12)</f>
        <v>9723.5434097165507</v>
      </c>
      <c r="N9" s="23">
        <f>Equity_Shock!H9 * (MAX(DATA!$C$3,G9) )</f>
        <v>1172.826</v>
      </c>
      <c r="O9" s="23">
        <f t="shared" si="0"/>
        <v>3592.1536374179341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65702.45825678797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+(1-H10)*(1-DATA!$C$9)*Equity_Shock!J9</f>
        <v>0.25270158433866752</v>
      </c>
      <c r="K10" s="26">
        <f>+(G10/(1-DATA!$C$7)) *DATA!$C$8</f>
        <v>940.52598731598323</v>
      </c>
      <c r="L10" s="26">
        <f>+L9*(1+DATA!$C$11)</f>
        <v>57.434283382464002</v>
      </c>
      <c r="M10" s="23">
        <f>+DATA!$C$9*(1-Equity_Shock!H10) * (G10 - DATA!$C$12)</f>
        <v>9726.2787145447637</v>
      </c>
      <c r="N10" s="23">
        <f>Equity_Shock!H10 * (MAX(DATA!$C$3,G10) )</f>
        <v>1279.7940000000001</v>
      </c>
      <c r="O10" s="23">
        <f t="shared" si="0"/>
        <v>2974.8967934382345</v>
      </c>
      <c r="Q10" s="28" t="s">
        <v>8</v>
      </c>
      <c r="R10" s="30">
        <f>+SUMPRODUCT(D3:D52,J2:J51,M3:M52)</f>
        <v>52467.05325486623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65830.016540337034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+(1-H11)*(1-DATA!$C$9)*Equity_Shock!J10</f>
        <v>0.2117945698908679</v>
      </c>
      <c r="K11" s="26">
        <f>+(G11/(1-DATA!$C$7)) *DATA!$C$8</f>
        <v>942.35197501504956</v>
      </c>
      <c r="L11" s="26">
        <f>+L10*(1+DATA!$C$11)</f>
        <v>58.582969050113284</v>
      </c>
      <c r="M11" s="23">
        <f>+DATA!$C$9*(1-Equity_Shock!H11) * (G11 - DATA!$C$12)</f>
        <v>9733.5483325928981</v>
      </c>
      <c r="N11" s="23">
        <f>Equity_Shock!H11 * (MAX(DATA!$C$3,G11) )</f>
        <v>1397.499</v>
      </c>
      <c r="O11" s="23">
        <f t="shared" si="0"/>
        <v>2462.6232695437998</v>
      </c>
      <c r="Q11" s="28" t="s">
        <v>17</v>
      </c>
      <c r="R11" s="30">
        <f>+SUMPRODUCT(D3:D52,J2:J51,N3:N52)</f>
        <v>6285.8334809230773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66006.761882965948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+(1-H12)*(1-DATA!$C$9)*Equity_Shock!J11</f>
        <v>0.17720617788615114</v>
      </c>
      <c r="K12" s="26">
        <f>+(G12/(1-DATA!$C$7)) *DATA!$C$8</f>
        <v>944.88207194429776</v>
      </c>
      <c r="L12" s="26">
        <f>+L11*(1+DATA!$C$11)</f>
        <v>59.754628431115549</v>
      </c>
      <c r="M12" s="23">
        <f>+DATA!$C$9*(1-Equity_Shock!H12) * (G12 - DATA!$C$12)</f>
        <v>9743.0108838810902</v>
      </c>
      <c r="N12" s="23">
        <f>Equity_Shock!H12 * (MAX(DATA!$C$3,G12) )</f>
        <v>1566.0050000000001</v>
      </c>
      <c r="O12" s="23">
        <f t="shared" si="0"/>
        <v>2043.3104470108428</v>
      </c>
      <c r="Q12" s="28" t="s">
        <v>18</v>
      </c>
      <c r="R12" s="30">
        <f>+SUMPRODUCT(D3:D52,J2:J51,L3:L52)</f>
        <v>295.02770890188486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66269.929378228582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+(1-H13)*(1-DATA!$C$9)*Equity_Shock!J12</f>
        <v>0.14799328882630877</v>
      </c>
      <c r="K13" s="26">
        <f>+(G13/(1-DATA!$C$7)) *DATA!$C$8</f>
        <v>948.64929580286321</v>
      </c>
      <c r="L13" s="26">
        <f>+L12*(1+DATA!$C$11)</f>
        <v>60.949720999737863</v>
      </c>
      <c r="M13" s="23">
        <f>+DATA!$C$9*(1-Equity_Shock!H13) * (G13 - DATA!$C$12)</f>
        <v>9763.8458905865627</v>
      </c>
      <c r="N13" s="23">
        <f>Equity_Shock!H13 * (MAX(DATA!$C$3,G13) )</f>
        <v>1747.3579999999999</v>
      </c>
      <c r="O13" s="23">
        <f t="shared" si="0"/>
        <v>1693.3800955666204</v>
      </c>
      <c r="Q13" s="29" t="s">
        <v>46</v>
      </c>
      <c r="R13" s="31">
        <f>+SUMPRODUCT(D3:D52,J2:J51,K3:K52)</f>
        <v>5068.0532353097733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66423.86514638408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+(1-H14)*(1-DATA!$C$9)*Equity_Shock!J13</f>
        <v>0.12331143311077049</v>
      </c>
      <c r="K14" s="26">
        <f>+(G14/(1-DATA!$C$7)) *DATA!$C$8</f>
        <v>950.85287530611163</v>
      </c>
      <c r="L14" s="26">
        <f>+L13*(1+DATA!$C$11)</f>
        <v>62.168715419732621</v>
      </c>
      <c r="M14" s="23">
        <f>+DATA!$C$9*(1-Equity_Shock!H14) * (G14 - DATA!$C$12)</f>
        <v>9763.9830279201942</v>
      </c>
      <c r="N14" s="23">
        <f>Equity_Shock!H14 * (MAX(DATA!$C$3,G14) )</f>
        <v>1973.7480000000003</v>
      </c>
      <c r="O14" s="23">
        <f t="shared" si="0"/>
        <v>1405.2463751883033</v>
      </c>
      <c r="Q14" s="28" t="s">
        <v>47</v>
      </c>
      <c r="R14" s="30">
        <f>+SUM(R10:R13)</f>
        <v>64115.967680000969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66620.396499357783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+(1-H15)*(1-DATA!$C$9)*Equity_Shock!J14</f>
        <v>0.10253795694401276</v>
      </c>
      <c r="K15" s="26">
        <f>+(G15/(1-DATA!$C$7)) *DATA!$C$8</f>
        <v>953.66620755726888</v>
      </c>
      <c r="L15" s="26">
        <f>+L14*(1+DATA!$C$11)</f>
        <v>63.412089728127278</v>
      </c>
      <c r="M15" s="23">
        <f>+DATA!$C$9*(1-Equity_Shock!H15) * (G15 - DATA!$C$12)</f>
        <v>9773.0577007034899</v>
      </c>
      <c r="N15" s="23">
        <f>Equity_Shock!H15 * (MAX(DATA!$C$3,G15) )</f>
        <v>2172.1769999999997</v>
      </c>
      <c r="O15" s="23">
        <f t="shared" si="0"/>
        <v>1160.6900628164153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66842.284097642143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+(1-H16)*(1-DATA!$C$9)*Equity_Shock!J15</f>
        <v>8.5072371889843873E-2</v>
      </c>
      <c r="K16" s="26">
        <f>+(G16/(1-DATA!$C$7)) *DATA!$C$8</f>
        <v>956.84251264518412</v>
      </c>
      <c r="L16" s="26">
        <f>+L15*(1+DATA!$C$11)</f>
        <v>64.680331522689826</v>
      </c>
      <c r="M16" s="23">
        <f>+DATA!$C$9*(1-Equity_Shock!H16) * (G16 - DATA!$C$12)</f>
        <v>9783.573935261089</v>
      </c>
      <c r="N16" s="23">
        <f>Equity_Shock!H16 * (MAX(DATA!$C$3,G16) )</f>
        <v>2392.1030000000001</v>
      </c>
      <c r="O16" s="23">
        <f t="shared" si="0"/>
        <v>957.8370989015848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66995.588882705793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+(1-H17)*(1-DATA!$C$9)*Equity_Shock!J16</f>
        <v>7.0432943183706756E-2</v>
      </c>
      <c r="K17" s="26">
        <f>+(G17/(1-DATA!$C$7)) *DATA!$C$8</f>
        <v>959.03705967063502</v>
      </c>
      <c r="L17" s="26">
        <f>+L16*(1+DATA!$C$11)</f>
        <v>65.973938153143621</v>
      </c>
      <c r="M17" s="23">
        <f>+DATA!$C$9*(1-Equity_Shock!H17) * (G17 - DATA!$C$12)</f>
        <v>9785.3456139655136</v>
      </c>
      <c r="N17" s="23">
        <f>Equity_Shock!H17 * (MAX(DATA!$C$3,G17) )</f>
        <v>2597.8890000000001</v>
      </c>
      <c r="O17" s="23">
        <f t="shared" si="0"/>
        <v>787.82476605433089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67032.726406570611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+(1-H18)*(1-DATA!$C$9)*Equity_Shock!J17</f>
        <v>5.8118519802533054E-2</v>
      </c>
      <c r="K18" s="26">
        <f>+(G18/(1-DATA!$C$7)) *DATA!$C$8</f>
        <v>959.56868066665504</v>
      </c>
      <c r="L18" s="26">
        <f>+L17*(1+DATA!$C$11)</f>
        <v>67.293416916206496</v>
      </c>
      <c r="M18" s="23">
        <f>+DATA!$C$9*(1-Equity_Shock!H18) * (G18 - DATA!$C$12)</f>
        <v>9758.1688607168016</v>
      </c>
      <c r="N18" s="23">
        <f>Equity_Shock!H18 * (MAX(DATA!$C$3,G18) )</f>
        <v>2922.232</v>
      </c>
      <c r="O18" s="23">
        <f t="shared" si="0"/>
        <v>651.76928740252345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66965.228888864367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+(1-H19)*(1-DATA!$C$9)*Equity_Shock!J18</f>
        <v>4.7776967606553068E-2</v>
      </c>
      <c r="K19" s="26">
        <f>+(G19/(1-DATA!$C$7)) *DATA!$C$8</f>
        <v>958.60245853180083</v>
      </c>
      <c r="L19" s="26">
        <f>+L18*(1+DATA!$C$11)</f>
        <v>68.639285254530634</v>
      </c>
      <c r="M19" s="23">
        <f>+DATA!$C$9*(1-Equity_Shock!H19) * (G19 - DATA!$C$12)</f>
        <v>9711.716606110178</v>
      </c>
      <c r="N19" s="23">
        <f>Equity_Shock!H19 * (MAX(DATA!$C$3,G19) )</f>
        <v>3286.9429999999998</v>
      </c>
      <c r="O19" s="23">
        <f t="shared" si="0"/>
        <v>538.75215044419076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66871.64600183352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+(1-H20)*(1-DATA!$C$9)*Equity_Shock!J19</f>
        <v>3.9085594099855396E-2</v>
      </c>
      <c r="K20" s="26">
        <f>+(G20/(1-DATA!$C$7)) *DATA!$C$8</f>
        <v>957.26282620211589</v>
      </c>
      <c r="L20" s="26">
        <f>+L19*(1+DATA!$C$11)</f>
        <v>70.012070959621255</v>
      </c>
      <c r="M20" s="23">
        <f>+DATA!$C$9*(1-Equity_Shock!H20) * (G20 - DATA!$C$12)</f>
        <v>9651.2279677101014</v>
      </c>
      <c r="N20" s="23">
        <f>Equity_Shock!H20 * (MAX(DATA!$C$3,G20) )</f>
        <v>3754.7710000000006</v>
      </c>
      <c r="O20" s="23">
        <f t="shared" si="0"/>
        <v>446.34772435601582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66764.463255387789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+(1-H21)*(1-DATA!$C$9)*Equity_Shock!J20</f>
        <v>3.1844005669591439E-2</v>
      </c>
      <c r="K21" s="26">
        <f>+(G21/(1-DATA!$C$7)) *DATA!$C$8</f>
        <v>955.728512858312</v>
      </c>
      <c r="L21" s="26">
        <f>+L20*(1+DATA!$C$11)</f>
        <v>71.412312378813681</v>
      </c>
      <c r="M21" s="23">
        <f>+DATA!$C$9*(1-Equity_Shock!H21) * (G21 - DATA!$C$12)</f>
        <v>9596.1837027929578</v>
      </c>
      <c r="N21" s="23">
        <f>Equity_Shock!H21 * (MAX(DATA!$C$3,G21) )</f>
        <v>4150.0150000000003</v>
      </c>
      <c r="O21" s="23">
        <f t="shared" si="0"/>
        <v>366.11775764092545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66723.835114584072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+(1-H22)*(1-DATA!$C$9)*Equity_Shock!J21</f>
        <v>2.5794072082223177E-2</v>
      </c>
      <c r="K22" s="26">
        <f>+(G22/(1-DATA!$C$7)) *DATA!$C$8</f>
        <v>955.14692393065138</v>
      </c>
      <c r="L22" s="26">
        <f>+L21*(1+DATA!$C$11)</f>
        <v>72.840558626389949</v>
      </c>
      <c r="M22" s="23">
        <f>+DATA!$C$9*(1-Equity_Shock!H22) * (G22 - DATA!$C$12)</f>
        <v>9534.882689726046</v>
      </c>
      <c r="N22" s="23">
        <f>Equity_Shock!H22 * (MAX(DATA!$C$3,G22) )</f>
        <v>4704.3029999999999</v>
      </c>
      <c r="O22" s="23">
        <f t="shared" si="0"/>
        <v>301.65806267445225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66749.666691239967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+(1-H23)*(1-DATA!$C$9)*Equity_Shock!J22</f>
        <v>2.0767967250952021E-2</v>
      </c>
      <c r="K23" s="26">
        <f>+(G23/(1-DATA!$C$7)) *DATA!$C$8</f>
        <v>955.51670110159466</v>
      </c>
      <c r="L23" s="26">
        <f>+L22*(1+DATA!$C$11)</f>
        <v>74.297369798917757</v>
      </c>
      <c r="M23" s="23">
        <f>+DATA!$C$9*(1-Equity_Shock!H23) * (G23 - DATA!$C$12)</f>
        <v>9481.2450210379811</v>
      </c>
      <c r="N23" s="23">
        <f>Equity_Shock!H23 * (MAX(DATA!$C$3,G23) )</f>
        <v>5277.0630000000001</v>
      </c>
      <c r="O23" s="23">
        <f t="shared" si="0"/>
        <v>247.03003076235888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66853.797506271629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+(1-H24)*(1-DATA!$C$9)*Equity_Shock!J23</f>
        <v>1.6612120414010986E-2</v>
      </c>
      <c r="K24" s="26">
        <f>+(G24/(1-DATA!$C$7)) *DATA!$C$8</f>
        <v>957.00732626564707</v>
      </c>
      <c r="L24" s="26">
        <f>+L23*(1+DATA!$C$11)</f>
        <v>75.783317194896114</v>
      </c>
      <c r="M24" s="23">
        <f>+DATA!$C$9*(1-Equity_Shock!H24) * (G24 - DATA!$C$12)</f>
        <v>9434.0799419093782</v>
      </c>
      <c r="N24" s="23">
        <f>Equity_Shock!H24 * (MAX(DATA!$C$3,G24) )</f>
        <v>5895.1179999999995</v>
      </c>
      <c r="O24" s="23">
        <f t="shared" si="0"/>
        <v>201.27568685858174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67018.268991820485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+(1-H25)*(1-DATA!$C$9)*Equity_Shock!J24</f>
        <v>1.3192084225977237E-2</v>
      </c>
      <c r="K25" s="26">
        <f>+(G25/(1-DATA!$C$7)) *DATA!$C$8</f>
        <v>959.36172380929133</v>
      </c>
      <c r="L25" s="26">
        <f>+L24*(1+DATA!$C$11)</f>
        <v>77.298983538794033</v>
      </c>
      <c r="M25" s="23">
        <f>+DATA!$C$9*(1-Equity_Shock!H25) * (G25 - DATA!$C$12)</f>
        <v>9389.1063963151792</v>
      </c>
      <c r="N25" s="23">
        <f>Equity_Shock!H25 * (MAX(DATA!$C$3,G25) )</f>
        <v>6573.6419999999989</v>
      </c>
      <c r="O25" s="23">
        <f t="shared" si="0"/>
        <v>163.18937079234348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67251.397924882971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+(1-H26)*(1-DATA!$C$9)*Equity_Shock!J25</f>
        <v>1.0403848534434695E-2</v>
      </c>
      <c r="K26" s="26">
        <f>+(G26/(1-DATA!$C$7)) *DATA!$C$8</f>
        <v>962.69894779996082</v>
      </c>
      <c r="L26" s="26">
        <f>+L25*(1+DATA!$C$11)</f>
        <v>78.844963209569912</v>
      </c>
      <c r="M26" s="23">
        <f>+DATA!$C$9*(1-Equity_Shock!H26) * (G26 - DATA!$C$12)</f>
        <v>9356.7511723712996</v>
      </c>
      <c r="N26" s="23">
        <f>Equity_Shock!H26 * (MAX(DATA!$C$3,G26) )</f>
        <v>7218.438000000001</v>
      </c>
      <c r="O26" s="23">
        <f t="shared" si="0"/>
        <v>130.8888061062205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67528.826538454698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+(1-H27)*(1-DATA!$C$9)*Equity_Shock!J26</f>
        <v>8.124690820547226E-3</v>
      </c>
      <c r="K27" s="26">
        <f>+(G27/(1-DATA!$C$7)) *DATA!$C$8</f>
        <v>966.67031854638628</v>
      </c>
      <c r="L27" s="26">
        <f>+L26*(1+DATA!$C$11)</f>
        <v>80.421862473761308</v>
      </c>
      <c r="M27" s="23">
        <f>+DATA!$C$9*(1-Equity_Shock!H27) * (G27 - DATA!$C$12)</f>
        <v>9303.4861339024883</v>
      </c>
      <c r="N27" s="23">
        <f>Equity_Shock!H27 * (MAX(DATA!$C$3,G27) )</f>
        <v>8125.7309999999998</v>
      </c>
      <c r="O27" s="23">
        <f t="shared" si="0"/>
        <v>105.44449951219323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67855.059150566405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+(1-H28)*(1-DATA!$C$9)*Equity_Shock!J27</f>
        <v>6.2662194440065945E-3</v>
      </c>
      <c r="K28" s="26">
        <f>+(G28/(1-DATA!$C$7)) *DATA!$C$8</f>
        <v>971.34031503878293</v>
      </c>
      <c r="L28" s="26">
        <f>+L27*(1+DATA!$C$11)</f>
        <v>82.030299723236539</v>
      </c>
      <c r="M28" s="23">
        <f>+DATA!$C$9*(1-Equity_Shock!H28) * (G28 - DATA!$C$12)</f>
        <v>9232.6271642374159</v>
      </c>
      <c r="N28" s="23">
        <f>Equity_Shock!H28 * (MAX(DATA!$C$3,G28) )</f>
        <v>9263.9580000000005</v>
      </c>
      <c r="O28" s="23">
        <f t="shared" si="0"/>
        <v>84.803374024093316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68234.77302732176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+(1-H29)*(1-DATA!$C$9)*Equity_Shock!J28</f>
        <v>4.7563664121720662E-3</v>
      </c>
      <c r="K29" s="26">
        <f>+(G29/(1-DATA!$C$7)) *DATA!$C$8</f>
        <v>976.77589200665113</v>
      </c>
      <c r="L29" s="26">
        <f>+L28*(1+DATA!$C$11)</f>
        <v>83.670905717701274</v>
      </c>
      <c r="M29" s="23">
        <f>+DATA!$C$9*(1-Equity_Shock!H29) * (G29 - DATA!$C$12)</f>
        <v>9137.3545219074131</v>
      </c>
      <c r="N29" s="23">
        <f>Equity_Shock!H29 * (MAX(DATA!$C$3,G29) )</f>
        <v>10700.140000000001</v>
      </c>
      <c r="O29" s="23">
        <f t="shared" si="0"/>
        <v>67.996248316211933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68654.088585571124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+(1-H30)*(1-DATA!$C$9)*Equity_Shock!J29</f>
        <v>3.5486062564595642E-3</v>
      </c>
      <c r="K30" s="26">
        <f>+(G30/(1-DATA!$C$7)) *DATA!$C$8</f>
        <v>982.77836421062955</v>
      </c>
      <c r="L30" s="26">
        <f>+L29*(1+DATA!$C$11)</f>
        <v>85.344323832055295</v>
      </c>
      <c r="M30" s="23">
        <f>+DATA!$C$9*(1-Equity_Shock!H30) * (G30 - DATA!$C$12)</f>
        <v>9036.3847620369579</v>
      </c>
      <c r="N30" s="23">
        <f>Equity_Shock!H30 * (MAX(DATA!$C$3,G30) )</f>
        <v>12226.466</v>
      </c>
      <c r="O30" s="23">
        <f t="shared" si="0"/>
        <v>53.608913427149588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69096.165306624956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+(1-H31)*(1-DATA!$C$9)*Equity_Shock!J30</f>
        <v>2.5943949712624445E-3</v>
      </c>
      <c r="K31" s="26">
        <f>+(G31/(1-DATA!$C$7)) *DATA!$C$8</f>
        <v>989.10666083103217</v>
      </c>
      <c r="L31" s="26">
        <f>+L30*(1+DATA!$C$11)</f>
        <v>87.051210308696398</v>
      </c>
      <c r="M31" s="23">
        <f>+DATA!$C$9*(1-Equity_Shock!H31) * (G31 - DATA!$C$12)</f>
        <v>8912.0750159992658</v>
      </c>
      <c r="N31" s="23">
        <f>Equity_Shock!H31 * (MAX(DATA!$C$3,G31) )</f>
        <v>13987.938999999998</v>
      </c>
      <c r="O31" s="23">
        <f t="shared" si="0"/>
        <v>41.729484388310283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69561.404481835663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+(1-H32)*(1-DATA!$C$9)*Equity_Shock!J31</f>
        <v>1.8523249941265114E-3</v>
      </c>
      <c r="K32" s="26">
        <f>+(G32/(1-DATA!$C$7)) *DATA!$C$8</f>
        <v>995.76652632484593</v>
      </c>
      <c r="L32" s="26">
        <f>+L31*(1+DATA!$C$11)</f>
        <v>88.79223451487033</v>
      </c>
      <c r="M32" s="23">
        <f>+DATA!$C$9*(1-Equity_Shock!H32) * (G32 - DATA!$C$12)</f>
        <v>8761.8715873259334</v>
      </c>
      <c r="N32" s="23">
        <f>Equity_Shock!H32 * (MAX(DATA!$C$3,G32) )</f>
        <v>16003.311000000002</v>
      </c>
      <c r="O32" s="23">
        <f t="shared" si="0"/>
        <v>31.953770771638833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70071.415837127846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+(1-H33)*(1-DATA!$C$9)*Equity_Shock!J32</f>
        <v>1.289875997268616E-3</v>
      </c>
      <c r="K33" s="26">
        <f>+(G33/(1-DATA!$C$7)) *DATA!$C$8</f>
        <v>1003.0673023719734</v>
      </c>
      <c r="L33" s="26">
        <f>+L32*(1+DATA!$C$11)</f>
        <v>90.568079205167734</v>
      </c>
      <c r="M33" s="23">
        <f>+DATA!$C$9*(1-Equity_Shock!H33) * (G33 - DATA!$C$12)</f>
        <v>8608.3521567416283</v>
      </c>
      <c r="N33" s="23">
        <f>Equity_Shock!H33 * (MAX(DATA!$C$3,G33) )</f>
        <v>18075.868000000002</v>
      </c>
      <c r="O33" s="23">
        <f t="shared" si="0"/>
        <v>23.801921881117057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70607.14910096403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+(1-H34)*(1-DATA!$C$9)*Equity_Shock!J33</f>
        <v>8.7690336132881849E-4</v>
      </c>
      <c r="K34" s="26">
        <f>+(G34/(1-DATA!$C$7)) *DATA!$C$8</f>
        <v>1010.7362856988717</v>
      </c>
      <c r="L34" s="26">
        <f>+L33*(1+DATA!$C$11)</f>
        <v>92.379440789271086</v>
      </c>
      <c r="M34" s="23">
        <f>+DATA!$C$9*(1-Equity_Shock!H34) * (G34 - DATA!$C$12)</f>
        <v>8468.4075119021727</v>
      </c>
      <c r="N34" s="23">
        <f>Equity_Shock!H34 * (MAX(DATA!$C$3,G34) )</f>
        <v>20019.365000000002</v>
      </c>
      <c r="O34" s="23">
        <f t="shared" si="0"/>
        <v>17.13693532733161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71169.130714693049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+(1-H35)*(1-DATA!$C$9)*Equity_Shock!J34</f>
        <v>5.7788707614889081E-4</v>
      </c>
      <c r="K35" s="26">
        <f>+(G35/(1-DATA!$C$7)) *DATA!$C$8</f>
        <v>1018.7810122757697</v>
      </c>
      <c r="L35" s="26">
        <f>+L34*(1+DATA!$C$11)</f>
        <v>94.227029605056515</v>
      </c>
      <c r="M35" s="23">
        <f>+DATA!$C$9*(1-Equity_Shock!H35) * (G35 - DATA!$C$12)</f>
        <v>8274.3365022995495</v>
      </c>
      <c r="N35" s="23">
        <f>Equity_Shock!H35 * (MAX(DATA!$C$3,G35) )</f>
        <v>22469.547000000002</v>
      </c>
      <c r="O35" s="23">
        <f t="shared" ref="O35:O52" si="2">+J34*D35*(K35+L35+M35+N35)</f>
        <v>12.169653039678012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71757.915723526341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+(1-H36)*(1-DATA!$C$9)*Equity_Shock!J35</f>
        <v>3.7036809726603219E-4</v>
      </c>
      <c r="K36" s="26">
        <f>+(G36/(1-DATA!$C$7)) *DATA!$C$8</f>
        <v>1027.2094275351419</v>
      </c>
      <c r="L36" s="26">
        <f>+L35*(1+DATA!$C$11)</f>
        <v>96.111570197157647</v>
      </c>
      <c r="M36" s="23">
        <f>+DATA!$C$9*(1-Equity_Shock!H36) * (G36 - DATA!$C$12)</f>
        <v>8113.5641867088752</v>
      </c>
      <c r="N36" s="23">
        <f>Equity_Shock!H36 * (MAX(DATA!$C$3,G36) )</f>
        <v>24599.945</v>
      </c>
      <c r="O36" s="23">
        <f t="shared" si="2"/>
        <v>8.2625941060404351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72349.399429652505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+(1-H37)*(1-DATA!$C$9)*Equity_Shock!J36</f>
        <v>2.280448233562444E-4</v>
      </c>
      <c r="K37" s="26">
        <f>+(G37/(1-DATA!$C$7)) *DATA!$C$8</f>
        <v>1035.6764744531033</v>
      </c>
      <c r="L37" s="26">
        <f>+L36*(1+DATA!$C$11)</f>
        <v>98.033801601100805</v>
      </c>
      <c r="M37" s="23">
        <f>+DATA!$C$9*(1-Equity_Shock!H37) * (G37 - DATA!$C$12)</f>
        <v>7859.1185545767712</v>
      </c>
      <c r="N37" s="23">
        <f>Equity_Shock!H37 * (MAX(DATA!$C$3,G37) )</f>
        <v>27561.788000000004</v>
      </c>
      <c r="O37" s="23">
        <f t="shared" si="2"/>
        <v>5.5492374880328645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72967.040230808736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+(1-H38)*(1-DATA!$C$9)*Equity_Shock!J37</f>
        <v>1.3460884477301988E-4</v>
      </c>
      <c r="K38" s="26">
        <f>+(G38/(1-DATA!$C$7)) *DATA!$C$8</f>
        <v>1044.5179583142356</v>
      </c>
      <c r="L38" s="26">
        <f>+L37*(1+DATA!$C$11)</f>
        <v>99.994477633122827</v>
      </c>
      <c r="M38" s="23">
        <f>+DATA!$C$9*(1-Equity_Shock!H38) * (G38 - DATA!$C$12)</f>
        <v>7598.5965781777668</v>
      </c>
      <c r="N38" s="23">
        <f>Equity_Shock!H38 * (MAX(DATA!$C$3,G38) )</f>
        <v>30556.044000000005</v>
      </c>
      <c r="O38" s="23">
        <f t="shared" si="2"/>
        <v>3.5621152663070688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73611.41864985245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+(1-H39)*(1-DATA!$C$9)*Equity_Shock!J38</f>
        <v>7.6364893451778384E-5</v>
      </c>
      <c r="K39" s="26">
        <f>+(G39/(1-DATA!$C$7)) *DATA!$C$8</f>
        <v>1053.7421892616915</v>
      </c>
      <c r="L39" s="26">
        <f>+L38*(1+DATA!$C$11)</f>
        <v>101.99436718578528</v>
      </c>
      <c r="M39" s="23">
        <f>+DATA!$C$9*(1-Equity_Shock!H39) * (G39 - DATA!$C$12)</f>
        <v>7367.4918049152229</v>
      </c>
      <c r="N39" s="23">
        <f>Equity_Shock!H39 * (MAX(DATA!$C$3,G39) )</f>
        <v>33257.690999999999</v>
      </c>
      <c r="O39" s="23">
        <f t="shared" si="2"/>
        <v>2.1670879973654493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74283.14363021875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+(1-H40)*(1-DATA!$C$9)*Equity_Shock!J39</f>
        <v>4.1764646023703237E-5</v>
      </c>
      <c r="K40" s="26">
        <f>+(G40/(1-DATA!$C$7)) *DATA!$C$8</f>
        <v>1063.3578842771601</v>
      </c>
      <c r="L40" s="26">
        <f>+L39*(1+DATA!$C$11)</f>
        <v>104.03425452950098</v>
      </c>
      <c r="M40" s="23">
        <f>+DATA!$C$9*(1-Equity_Shock!H40) * (G40 - DATA!$C$12)</f>
        <v>7167.3847361520002</v>
      </c>
      <c r="N40" s="23">
        <f>Equity_Shock!H40 * (MAX(DATA!$C$3,G40) )</f>
        <v>35657.767</v>
      </c>
      <c r="O40" s="23">
        <f t="shared" si="2"/>
        <v>1.2545603315898834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74954.36789449057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+(1-H41)*(1-DATA!$C$9)*Equity_Shock!J40</f>
        <v>2.2042525102830199E-5</v>
      </c>
      <c r="K41" s="26">
        <f>+(G41/(1-DATA!$C$7)) *DATA!$C$8</f>
        <v>1072.9664115775747</v>
      </c>
      <c r="L41" s="26">
        <f>+L40*(1+DATA!$C$11)</f>
        <v>106.11493962009101</v>
      </c>
      <c r="M41" s="23">
        <f>+DATA!$C$9*(1-Equity_Shock!H41) * (G41 - DATA!$C$12)</f>
        <v>6979.2044481054763</v>
      </c>
      <c r="N41" s="23">
        <f>Equity_Shock!H41 * (MAX(DATA!$C$3,G41) )</f>
        <v>37908.291000000005</v>
      </c>
      <c r="O41" s="23">
        <f t="shared" si="2"/>
        <v>0.69637898174578705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75652.237454491988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+(1-H42)*(1-DATA!$C$9)*Equity_Shock!J41</f>
        <v>1.1194569766911169E-5</v>
      </c>
      <c r="K42" s="26">
        <f>+(G42/(1-DATA!$C$7)) *DATA!$C$8</f>
        <v>1082.956364379231</v>
      </c>
      <c r="L42" s="26">
        <f>+L41*(1+DATA!$C$11)</f>
        <v>108.23723841249283</v>
      </c>
      <c r="M42" s="23">
        <f>+DATA!$C$9*(1-Equity_Shock!H42) * (G42 - DATA!$C$12)</f>
        <v>6778.3711513949829</v>
      </c>
      <c r="N42" s="23">
        <f>Equity_Shock!H42 * (MAX(DATA!$C$3,G42) )</f>
        <v>40251.481999999996</v>
      </c>
      <c r="O42" s="23">
        <f t="shared" si="2"/>
        <v>0.37278884640372695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76346.882690325481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+(1-H43)*(1-DATA!$C$9)*Equity_Shock!J42</f>
        <v>5.3838281313074997E-6</v>
      </c>
      <c r="K43" s="26">
        <f>+(G43/(1-DATA!$C$7)) *DATA!$C$8</f>
        <v>1092.9001612112033</v>
      </c>
      <c r="L43" s="26">
        <f>+L42*(1+DATA!$C$11)</f>
        <v>110.40198318074269</v>
      </c>
      <c r="M43" s="23">
        <f>+DATA!$C$9*(1-Equity_Shock!H43) * (G43 - DATA!$C$12)</f>
        <v>6477.8910420186085</v>
      </c>
      <c r="N43" s="23">
        <f>Equity_Shock!H43 * (MAX(DATA!$C$3,G43) )</f>
        <v>43419.751000000004</v>
      </c>
      <c r="O43" s="23">
        <f t="shared" si="2"/>
        <v>0.1944332730559544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77067.370095463804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+(1-H44)*(1-DATA!$C$9)*Equity_Shock!J43</f>
        <v>2.4030133983938392E-6</v>
      </c>
      <c r="K44" s="26">
        <f>+(G44/(1-DATA!$C$7)) *DATA!$C$8</f>
        <v>1103.2138868471302</v>
      </c>
      <c r="L44" s="26">
        <f>+L43*(1+DATA!$C$11)</f>
        <v>112.61002284435754</v>
      </c>
      <c r="M44" s="23">
        <f>+DATA!$C$9*(1-Equity_Shock!H44) * (G44 - DATA!$C$12)</f>
        <v>6068.6928509572817</v>
      </c>
      <c r="N44" s="23">
        <f>Equity_Shock!H44 * (MAX(DATA!$C$3,G44) )</f>
        <v>47489.508999999998</v>
      </c>
      <c r="O44" s="23">
        <f t="shared" si="2"/>
        <v>9.7109055279881895E-2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77814.305551159545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+(1-H45)*(1-DATA!$C$9)*Equity_Shock!J44</f>
        <v>1.0017937803684089E-6</v>
      </c>
      <c r="K45" s="26">
        <f>+(G45/(1-DATA!$C$7)) *DATA!$C$8</f>
        <v>1113.9062144337768</v>
      </c>
      <c r="L45" s="26">
        <f>+L44*(1+DATA!$C$11)</f>
        <v>114.8622233012447</v>
      </c>
      <c r="M45" s="23">
        <f>+DATA!$C$9*(1-Equity_Shock!H45) * (G45 - DATA!$C$12)</f>
        <v>5723.2442473605479</v>
      </c>
      <c r="N45" s="23">
        <f>Equity_Shock!H45 * (MAX(DATA!$C$3,G45) )</f>
        <v>50954.043000000005</v>
      </c>
      <c r="O45" s="23">
        <f t="shared" si="2"/>
        <v>4.4383751090498497E-2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78554.660002196717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+(1-H46)*(1-DATA!$C$9)*Equity_Shock!J45</f>
        <v>3.879287730341853E-7</v>
      </c>
      <c r="K46" s="26">
        <f>+(G46/(1-DATA!$C$7)) *DATA!$C$8</f>
        <v>1124.5043354097688</v>
      </c>
      <c r="L46" s="26">
        <f>+L45*(1+DATA!$C$11)</f>
        <v>117.15946776726959</v>
      </c>
      <c r="M46" s="23">
        <f>+DATA!$C$9*(1-Equity_Shock!H46) * (G46 - DATA!$C$12)</f>
        <v>5366.7005465005132</v>
      </c>
      <c r="N46" s="23">
        <f>Equity_Shock!H46 * (MAX(DATA!$C$3,G46) )</f>
        <v>54443.040000000001</v>
      </c>
      <c r="O46" s="23">
        <f t="shared" si="2"/>
        <v>1.8899232369958122E-2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79320.544207595245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+(1-H47)*(1-DATA!$C$9)*Equity_Shock!J46</f>
        <v>1.3874044193898951E-7</v>
      </c>
      <c r="K47" s="26">
        <f>+(G47/(1-DATA!$C$7)) *DATA!$C$8</f>
        <v>1135.467912992161</v>
      </c>
      <c r="L47" s="26">
        <f>+L46*(1+DATA!$C$11)</f>
        <v>119.50265712261498</v>
      </c>
      <c r="M47" s="23">
        <f>+DATA!$C$9*(1-Equity_Shock!H47) * (G47 - DATA!$C$12)</f>
        <v>5004.948140036945</v>
      </c>
      <c r="N47" s="23">
        <f>Equity_Shock!H47 * (MAX(DATA!$C$3,G47) )</f>
        <v>57924.222000000002</v>
      </c>
      <c r="O47" s="23">
        <f t="shared" si="2"/>
        <v>7.4520373402501127E-3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80076.697655814118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+(1-H48)*(1-DATA!$C$9)*Equity_Shock!J47</f>
        <v>4.5563054418752522E-8</v>
      </c>
      <c r="K48" s="26">
        <f>+(G48/(1-DATA!$C$7)) *DATA!$C$8</f>
        <v>1146.2921954820017</v>
      </c>
      <c r="L48" s="26">
        <f>+L47*(1+DATA!$C$11)</f>
        <v>121.89271026506728</v>
      </c>
      <c r="M48" s="23">
        <f>+DATA!$C$9*(1-Equity_Shock!H48) * (G48 - DATA!$C$12)</f>
        <v>4639.591685909566</v>
      </c>
      <c r="N48" s="23">
        <f>Equity_Shock!H48 * (MAX(DATA!$C$3,G48) )</f>
        <v>61364.118000000002</v>
      </c>
      <c r="O48" s="23">
        <f t="shared" si="2"/>
        <v>2.7061409682711392E-3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80857.331160871632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+(1-H49)*(1-DATA!$C$9)*Equity_Shock!J48</f>
        <v>1.3659528263296515E-8</v>
      </c>
      <c r="K49" s="26">
        <f>+(G49/(1-DATA!$C$7)) *DATA!$C$8</f>
        <v>1157.4669082333364</v>
      </c>
      <c r="L49" s="26">
        <f>+L48*(1+DATA!$C$11)</f>
        <v>124.33056447036863</v>
      </c>
      <c r="M49" s="23">
        <f>+DATA!$C$9*(1-Equity_Shock!H49) * (G49 - DATA!$C$12)</f>
        <v>4276.6840905783138</v>
      </c>
      <c r="N49" s="23">
        <f>Equity_Shock!H49 * (MAX(DATA!$C$3,G49) )</f>
        <v>64730.123000000007</v>
      </c>
      <c r="O49" s="23">
        <f t="shared" si="2"/>
        <v>8.9936719441897331E-4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81663.015764541226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+(1-H50)*(1-DATA!$C$9)*Equity_Shock!J49</f>
        <v>3.7164584694549589E-9</v>
      </c>
      <c r="K50" s="26">
        <f>+(G50/(1-DATA!$C$7)) *DATA!$C$8</f>
        <v>1169.0002256682794</v>
      </c>
      <c r="L50" s="26">
        <f>+L49*(1+DATA!$C$11)</f>
        <v>126.81717575977601</v>
      </c>
      <c r="M50" s="23">
        <f>+DATA!$C$9*(1-Equity_Shock!H50) * (G50 - DATA!$C$12)</f>
        <v>3919.9899607412453</v>
      </c>
      <c r="N50" s="23">
        <f>Equity_Shock!H50 * (MAX(DATA!$C$3,G50) )</f>
        <v>67990.812000000005</v>
      </c>
      <c r="O50" s="23">
        <f t="shared" si="2"/>
        <v>2.7193066618429022E-4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82455.01721785414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+(1-H51)*(1-DATA!$C$9)*Equity_Shock!J50</f>
        <v>9.1238224796651336E-10</v>
      </c>
      <c r="K51" s="26">
        <f>+(G51/(1-DATA!$C$7)) *DATA!$C$8</f>
        <v>1180.3376697852332</v>
      </c>
      <c r="L51" s="26">
        <f>+L50*(1+DATA!$C$11)</f>
        <v>129.35351927497152</v>
      </c>
      <c r="M51" s="23">
        <f>+DATA!$C$9*(1-Equity_Shock!H51) * (G51 - DATA!$C$12)</f>
        <v>3571.34337965642</v>
      </c>
      <c r="N51" s="23">
        <f>Equity_Shock!H51 * (MAX(DATA!$C$3,G51) )</f>
        <v>71117.909999999989</v>
      </c>
      <c r="O51" s="23">
        <f t="shared" si="2"/>
        <v>7.4397126366890272E-5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83311.389357267224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+(1-H52)*(1-DATA!$C$9)*Equity_Shock!J51</f>
        <v>2.0096874985242516E-10</v>
      </c>
      <c r="K52" s="26">
        <f>+(G52/(1-DATA!$C$7)) *DATA!$C$8</f>
        <v>1192.596575666402</v>
      </c>
      <c r="L52" s="26">
        <f>+L51*(1+DATA!$C$11)</f>
        <v>131.94058966047095</v>
      </c>
      <c r="M52" s="23">
        <f>(1-Equity_Shock!H52) * (G52)</f>
        <v>21589.23012665287</v>
      </c>
      <c r="N52" s="23">
        <f>Equity_Shock!H52 * (MAX(DATA!$C$3,G52) )</f>
        <v>74086.100000000006</v>
      </c>
      <c r="O52" s="23">
        <f t="shared" si="2"/>
        <v>2.2564143190293836E-5</v>
      </c>
    </row>
  </sheetData>
  <mergeCells count="2">
    <mergeCell ref="Q1:R1"/>
    <mergeCell ref="Q9:R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B54A-5548-44D1-8148-C4ED549127B6}">
  <sheetPr>
    <tabColor theme="8" tint="0.79998168889431442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 * (1 - 0.25)</f>
        <v>95000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95000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96174.857399999994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+(1-H3)*(1-DATA!$C$9)*'Property_Shock '!J2</f>
        <v>0.84450231049999991</v>
      </c>
      <c r="K3" s="26">
        <f>+(G3/(1-DATA!$C$7)) *DATA!$C$8</f>
        <v>1376.7361999999998</v>
      </c>
      <c r="L3" s="26">
        <f>+DATA!C10</f>
        <v>50</v>
      </c>
      <c r="M3" s="23">
        <f>+DATA!$C$9*(1-'Property_Shock '!H3) * (G3 - DATA!$C$12)</f>
        <v>14329.941042370237</v>
      </c>
      <c r="N3" s="23">
        <f>'Property_Shock '!H3 * (MAX(DATA!$C$3,G3) )</f>
        <v>646.78699999999992</v>
      </c>
      <c r="O3" s="23">
        <f t="shared" ref="O3:O34" si="0">+J2*D3*(K3+L3+M3+N3)</f>
        <v>15846.614218724266</v>
      </c>
      <c r="Q3" s="6" t="s">
        <v>40</v>
      </c>
      <c r="R3" s="27">
        <f>+SUM(O2:O52)</f>
        <v>91202.566497150328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96465.243684662579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+(1-H4)*(1-DATA!$C$9)*'Property_Shock '!J3</f>
        <v>0.71273020584612179</v>
      </c>
      <c r="K4" s="26">
        <f>+(G4/(1-DATA!$C$7)) *DATA!$C$8</f>
        <v>1380.8930588806504</v>
      </c>
      <c r="L4" s="26">
        <f>+L3*(1+DATA!$C$11)</f>
        <v>51</v>
      </c>
      <c r="M4" s="23">
        <f>+DATA!$C$9*(1-'Property_Shock '!H4) * (G4 - DATA!$C$12)</f>
        <v>14364.068606810717</v>
      </c>
      <c r="N4" s="23">
        <f>'Property_Shock '!H4 * (MAX(DATA!$C$3,G4) )</f>
        <v>710.02599999999995</v>
      </c>
      <c r="O4" s="23">
        <f t="shared" si="0"/>
        <v>13130.24432665323</v>
      </c>
      <c r="Q4" s="6" t="s">
        <v>41</v>
      </c>
      <c r="R4" s="27">
        <f>+R2-R3</f>
        <v>3797.4335028496716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96494.82846599014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+(1-H5)*(1-DATA!$C$9)*'Property_Shock '!J4</f>
        <v>0.60108612581225174</v>
      </c>
      <c r="K5" s="26">
        <f>+(G5/(1-DATA!$C$7)) *DATA!$C$8</f>
        <v>1381.3165629078344</v>
      </c>
      <c r="L5" s="26">
        <f>+L4*(1+DATA!$C$11)</f>
        <v>52.02</v>
      </c>
      <c r="M5" s="23">
        <f>+DATA!$C$9*(1-'Property_Shock '!H5) * (G5 - DATA!$C$12)</f>
        <v>14358.130205106836</v>
      </c>
      <c r="N5" s="23">
        <f>'Property_Shock '!H5 * (MAX(DATA!$C$3,G5) )</f>
        <v>781.51</v>
      </c>
      <c r="O5" s="23">
        <f t="shared" si="0"/>
        <v>10878.319688655305</v>
      </c>
      <c r="Q5" s="6" t="s">
        <v>43</v>
      </c>
      <c r="R5" s="27">
        <f>+MAX(Rates_Basic!R4-R4,0)</f>
        <v>406.52873917744728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96448.354436609778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+(1-H6)*(1-DATA!$C$9)*'Property_Shock '!J5</f>
        <v>0.50649612377229214</v>
      </c>
      <c r="K6" s="26">
        <f>+(G6/(1-DATA!$C$7)) *DATA!$C$8</f>
        <v>1380.6512905036163</v>
      </c>
      <c r="L6" s="26">
        <f>+L5*(1+DATA!$C$11)</f>
        <v>53.060400000000001</v>
      </c>
      <c r="M6" s="23">
        <f>+DATA!$C$9*(1-'Property_Shock '!H6) * (G6 - DATA!$C$12)</f>
        <v>14338.922292165393</v>
      </c>
      <c r="N6" s="23">
        <f>'Property_Shock '!H6 * (MAX(DATA!$C$3,G6) )</f>
        <v>866.48699999999997</v>
      </c>
      <c r="O6" s="23">
        <f t="shared" si="0"/>
        <v>9012.6246726452464</v>
      </c>
      <c r="Q6" s="6" t="s">
        <v>42</v>
      </c>
      <c r="R6" s="8">
        <f>+SUMPRODUCT(A2:A52,O2:O52)/R3</f>
        <v>5.6155706157253391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96399.554725298949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+(1-H7)*(1-DATA!$C$9)*'Property_Shock '!J6</f>
        <v>0.42636600834260208</v>
      </c>
      <c r="K7" s="26">
        <f>+(G7/(1-DATA!$C$7)) *DATA!$C$8</f>
        <v>1379.9527261290239</v>
      </c>
      <c r="L7" s="26">
        <f>+L6*(1+DATA!$C$11)</f>
        <v>54.121608000000002</v>
      </c>
      <c r="M7" s="23">
        <f>+DATA!$C$9*(1-'Property_Shock '!H7) * (G7 - DATA!$C$12)</f>
        <v>14317.384769610308</v>
      </c>
      <c r="N7" s="23">
        <f>'Property_Shock '!H7 * (MAX(DATA!$C$3,G7) )</f>
        <v>965.27</v>
      </c>
      <c r="O7" s="23">
        <f t="shared" si="0"/>
        <v>7465.6956641240058</v>
      </c>
      <c r="Q7" s="6" t="s">
        <v>44</v>
      </c>
      <c r="R7" s="27">
        <f>+MAX(R5,0)</f>
        <v>406.52873917744728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96416.368554675762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+(1-H8)*(1-DATA!$C$9)*'Property_Shock '!J7</f>
        <v>0.35849878133916319</v>
      </c>
      <c r="K8" s="26">
        <f>+(G8/(1-DATA!$C$7)) *DATA!$C$8</f>
        <v>1380.1934148931091</v>
      </c>
      <c r="L8" s="26">
        <f>+L7*(1+DATA!$C$11)</f>
        <v>55.204040160000005</v>
      </c>
      <c r="M8" s="23">
        <f>+DATA!$C$9*(1-'Property_Shock '!H8) * (G8 - DATA!$C$12)</f>
        <v>14303.361559366278</v>
      </c>
      <c r="N8" s="23">
        <f>'Property_Shock '!H8 * (MAX(DATA!$C$3,G8) )</f>
        <v>1079.527</v>
      </c>
      <c r="O8" s="23">
        <f t="shared" si="0"/>
        <v>6182.5874993761136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96489.578639461834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+(1-H9)*(1-DATA!$C$9)*'Property_Shock '!J8</f>
        <v>0.30115008225864415</v>
      </c>
      <c r="K9" s="26">
        <f>+(G9/(1-DATA!$C$7)) *DATA!$C$8</f>
        <v>1381.2414120168362</v>
      </c>
      <c r="L9" s="26">
        <f>+L8*(1+DATA!$C$11)</f>
        <v>56.308120963200004</v>
      </c>
      <c r="M9" s="23">
        <f>+DATA!$C$9*(1-'Property_Shock '!H9) * (G9 - DATA!$C$12)</f>
        <v>14300.723750863166</v>
      </c>
      <c r="N9" s="23">
        <f>'Property_Shock '!H9 * (MAX(DATA!$C$3,G9) )</f>
        <v>1172.826</v>
      </c>
      <c r="O9" s="23">
        <f t="shared" si="0"/>
        <v>5108.280089998223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96621.262142335268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+(1-H10)*(1-DATA!$C$9)*'Property_Shock '!J9</f>
        <v>0.25270158433866752</v>
      </c>
      <c r="K10" s="26">
        <f>+(G10/(1-DATA!$C$7)) *DATA!$C$8</f>
        <v>1383.1264519352699</v>
      </c>
      <c r="L10" s="26">
        <f>+L9*(1+DATA!$C$11)</f>
        <v>57.434283382464002</v>
      </c>
      <c r="M10" s="23">
        <f>+DATA!$C$9*(1-'Property_Shock '!H10) * (G10 - DATA!$C$12)</f>
        <v>14304.744747827008</v>
      </c>
      <c r="N10" s="23">
        <f>'Property_Shock '!H10 * (MAX(DATA!$C$3,G10) )</f>
        <v>1279.7940000000001</v>
      </c>
      <c r="O10" s="23">
        <f t="shared" si="0"/>
        <v>4219.2414768133922</v>
      </c>
      <c r="Q10" s="28" t="s">
        <v>8</v>
      </c>
      <c r="R10" s="30">
        <f>+SUMPRODUCT(D3:D52,J2:J51,M3:M52)</f>
        <v>77164.94689228505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96808.847853436833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+(1-H11)*(1-DATA!$C$9)*'Property_Shock '!J10</f>
        <v>0.2117945698908679</v>
      </c>
      <c r="K11" s="26">
        <f>+(G11/(1-DATA!$C$7)) *DATA!$C$8</f>
        <v>1385.8117279633086</v>
      </c>
      <c r="L11" s="26">
        <f>+L10*(1+DATA!$C$11)</f>
        <v>58.582969050113284</v>
      </c>
      <c r="M11" s="23">
        <f>+DATA!$C$9*(1-'Property_Shock '!H11) * (G11 - DATA!$C$12)</f>
        <v>14315.433700886029</v>
      </c>
      <c r="N11" s="23">
        <f>'Property_Shock '!H11 * (MAX(DATA!$C$3,G11) )</f>
        <v>1397.499</v>
      </c>
      <c r="O11" s="23">
        <f t="shared" si="0"/>
        <v>3482.6982705490341</v>
      </c>
      <c r="Q11" s="28" t="s">
        <v>17</v>
      </c>
      <c r="R11" s="30">
        <f>+SUMPRODUCT(D3:D52,J2:J51,N3:N52)</f>
        <v>6289.5724322725591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97068.767474949927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+(1-H12)*(1-DATA!$C$9)*'Property_Shock '!J11</f>
        <v>0.17720617788615114</v>
      </c>
      <c r="K12" s="26">
        <f>+(G12/(1-DATA!$C$7)) *DATA!$C$8</f>
        <v>1389.5324587416146</v>
      </c>
      <c r="L12" s="26">
        <f>+L11*(1+DATA!$C$11)</f>
        <v>59.754628431115549</v>
      </c>
      <c r="M12" s="23">
        <f>+DATA!$C$9*(1-'Property_Shock '!H12) * (G12 - DATA!$C$12)</f>
        <v>14329.346838578074</v>
      </c>
      <c r="N12" s="23">
        <f>'Property_Shock '!H12 * (MAX(DATA!$C$3,G12) )</f>
        <v>1566.0050000000001</v>
      </c>
      <c r="O12" s="23">
        <f t="shared" si="0"/>
        <v>2878.1453491654961</v>
      </c>
      <c r="Q12" s="28" t="s">
        <v>18</v>
      </c>
      <c r="R12" s="30">
        <f>+SUMPRODUCT(D3:D52,J2:J51,L3:L52)</f>
        <v>295.02770890188486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97455.778497395004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+(1-H13)*(1-DATA!$C$9)*'Property_Shock '!J12</f>
        <v>0.14799328882630877</v>
      </c>
      <c r="K13" s="26">
        <f>+(G13/(1-DATA!$C$7)) *DATA!$C$8</f>
        <v>1395.0724938277403</v>
      </c>
      <c r="L13" s="26">
        <f>+L12*(1+DATA!$C$11)</f>
        <v>60.949720999737863</v>
      </c>
      <c r="M13" s="23">
        <f>+DATA!$C$9*(1-'Property_Shock '!H13) * (G13 - DATA!$C$12)</f>
        <v>14359.983994043774</v>
      </c>
      <c r="N13" s="23">
        <f>'Property_Shock '!H13 * (MAX(DATA!$C$3,G13) )</f>
        <v>1747.3579999999999</v>
      </c>
      <c r="O13" s="23">
        <f t="shared" si="0"/>
        <v>2375.3629525577639</v>
      </c>
      <c r="Q13" s="29" t="s">
        <v>46</v>
      </c>
      <c r="R13" s="31">
        <f>+SUMPRODUCT(D3:D52,J2:J51,K3:K52)</f>
        <v>7453.0194636908445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97682.154627035459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+(1-H14)*(1-DATA!$C$9)*'Property_Shock '!J13</f>
        <v>0.12331143311077049</v>
      </c>
      <c r="K14" s="26">
        <f>+(G14/(1-DATA!$C$7)) *DATA!$C$8</f>
        <v>1398.313051920753</v>
      </c>
      <c r="L14" s="26">
        <f>+L13*(1+DATA!$C$11)</f>
        <v>62.168715419732621</v>
      </c>
      <c r="M14" s="23">
        <f>+DATA!$C$9*(1-'Property_Shock '!H14) * (G14 - DATA!$C$12)</f>
        <v>14360.182470499116</v>
      </c>
      <c r="N14" s="23">
        <f>'Property_Shock '!H14 * (MAX(DATA!$C$3,G14) )</f>
        <v>1973.7480000000003</v>
      </c>
      <c r="O14" s="23">
        <f t="shared" si="0"/>
        <v>1961.1025359604025</v>
      </c>
      <c r="Q14" s="28" t="s">
        <v>47</v>
      </c>
      <c r="R14" s="30">
        <f>+SUM(R10:R13)</f>
        <v>91202.566497150328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97971.171322585025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+(1-H15)*(1-DATA!$C$9)*'Property_Shock '!J14</f>
        <v>0.10253795694401276</v>
      </c>
      <c r="K15" s="26">
        <f>+(G15/(1-DATA!$C$7)) *DATA!$C$8</f>
        <v>1402.4503052312784</v>
      </c>
      <c r="L15" s="26">
        <f>+L14*(1+DATA!$C$11)</f>
        <v>63.412089728127278</v>
      </c>
      <c r="M15" s="23">
        <f>+DATA!$C$9*(1-'Property_Shock '!H15) * (G15 - DATA!$C$12)</f>
        <v>14373.524776182785</v>
      </c>
      <c r="N15" s="23">
        <f>'Property_Shock '!H15 * (MAX(DATA!$C$3,G15) )</f>
        <v>2172.1769999999997</v>
      </c>
      <c r="O15" s="23">
        <f t="shared" si="0"/>
        <v>1612.8173692818934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98297.476614179686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+(1-H16)*(1-DATA!$C$9)*'Property_Shock '!J15</f>
        <v>8.5072371889843873E-2</v>
      </c>
      <c r="K16" s="26">
        <f>+(G16/(1-DATA!$C$7)) *DATA!$C$8</f>
        <v>1407.1213421252717</v>
      </c>
      <c r="L16" s="26">
        <f>+L15*(1+DATA!$C$11)</f>
        <v>64.680331522689826</v>
      </c>
      <c r="M16" s="23">
        <f>+DATA!$C$9*(1-'Property_Shock '!H16) * (G16 - DATA!$C$12)</f>
        <v>14388.986722165138</v>
      </c>
      <c r="N16" s="23">
        <f>'Property_Shock '!H16 * (MAX(DATA!$C$3,G16) )</f>
        <v>2392.1030000000001</v>
      </c>
      <c r="O16" s="23">
        <f t="shared" si="0"/>
        <v>1324.773196840081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98522.924827508585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+(1-H17)*(1-DATA!$C$9)*'Property_Shock '!J16</f>
        <v>7.0432943183706756E-2</v>
      </c>
      <c r="K17" s="26">
        <f>+(G17/(1-DATA!$C$7)) *DATA!$C$8</f>
        <v>1410.3486171626996</v>
      </c>
      <c r="L17" s="26">
        <f>+L16*(1+DATA!$C$11)</f>
        <v>65.973938153143621</v>
      </c>
      <c r="M17" s="23">
        <f>+DATA!$C$9*(1-'Property_Shock '!H17) * (G17 - DATA!$C$12)</f>
        <v>14391.589226810469</v>
      </c>
      <c r="N17" s="23">
        <f>'Property_Shock '!H17 * (MAX(DATA!$C$3,G17) )</f>
        <v>2597.8890000000001</v>
      </c>
      <c r="O17" s="23">
        <f t="shared" si="0"/>
        <v>1084.9902069509585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98577.538833192157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+(1-H18)*(1-DATA!$C$9)*'Property_Shock '!J17</f>
        <v>5.8118519802533054E-2</v>
      </c>
      <c r="K18" s="26">
        <f>+(G18/(1-DATA!$C$7)) *DATA!$C$8</f>
        <v>1411.1304127450819</v>
      </c>
      <c r="L18" s="26">
        <f>+L17*(1+DATA!$C$11)</f>
        <v>67.293416916206496</v>
      </c>
      <c r="M18" s="23">
        <f>+DATA!$C$9*(1-'Property_Shock '!H18) * (G18 - DATA!$C$12)</f>
        <v>14351.618834249426</v>
      </c>
      <c r="N18" s="23">
        <f>'Property_Shock '!H18 * (MAX(DATA!$C$3,G18) )</f>
        <v>2922.232</v>
      </c>
      <c r="O18" s="23">
        <f t="shared" si="0"/>
        <v>891.65552102238178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98478.277777741809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+(1-H19)*(1-DATA!$C$9)*'Property_Shock '!J18</f>
        <v>4.7776967606553068E-2</v>
      </c>
      <c r="K19" s="26">
        <f>+(G19/(1-DATA!$C$7)) *DATA!$C$8</f>
        <v>1409.709497840885</v>
      </c>
      <c r="L19" s="26">
        <f>+L18*(1+DATA!$C$11)</f>
        <v>68.639285254530634</v>
      </c>
      <c r="M19" s="23">
        <f>+DATA!$C$9*(1-'Property_Shock '!H19) * (G19 - DATA!$C$12)</f>
        <v>14283.301546260864</v>
      </c>
      <c r="N19" s="23">
        <f>'Property_Shock '!H19 * (MAX(DATA!$C$3,G19) )</f>
        <v>3286.9429999999998</v>
      </c>
      <c r="O19" s="23">
        <f t="shared" si="0"/>
        <v>731.67993721867185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98340.655885049389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+(1-H20)*(1-DATA!$C$9)*'Property_Shock '!J19</f>
        <v>3.9085594099855396E-2</v>
      </c>
      <c r="K20" s="26">
        <f>+(G20/(1-DATA!$C$7)) *DATA!$C$8</f>
        <v>1407.7394502972306</v>
      </c>
      <c r="L20" s="26">
        <f>+L19*(1+DATA!$C$11)</f>
        <v>70.012070959621255</v>
      </c>
      <c r="M20" s="23">
        <f>+DATA!$C$9*(1-'Property_Shock '!H20) * (G20 - DATA!$C$12)</f>
        <v>14194.341061630163</v>
      </c>
      <c r="N20" s="23">
        <f>'Property_Shock '!H20 * (MAX(DATA!$C$3,G20) )</f>
        <v>3754.7710000000006</v>
      </c>
      <c r="O20" s="23">
        <f t="shared" si="0"/>
        <v>600.77404702341744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98183.034199099769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+(1-H21)*(1-DATA!$C$9)*'Property_Shock '!J20</f>
        <v>3.1844005669591439E-2</v>
      </c>
      <c r="K21" s="26">
        <f>+(G21/(1-DATA!$C$7)) *DATA!$C$8</f>
        <v>1405.4831071445774</v>
      </c>
      <c r="L21" s="26">
        <f>+L20*(1+DATA!$C$11)</f>
        <v>71.412312378813681</v>
      </c>
      <c r="M21" s="23">
        <f>+DATA!$C$9*(1-'Property_Shock '!H21) * (G21 - DATA!$C$12)</f>
        <v>14113.388033307301</v>
      </c>
      <c r="N21" s="23">
        <f>'Property_Shock '!H21 * (MAX(DATA!$C$3,G21) )</f>
        <v>4150.0150000000003</v>
      </c>
      <c r="O21" s="23">
        <f t="shared" si="0"/>
        <v>489.21056684579611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98123.286933211944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+(1-H22)*(1-DATA!$C$9)*'Property_Shock '!J21</f>
        <v>2.5794072082223177E-2</v>
      </c>
      <c r="K22" s="26">
        <f>+(G22/(1-DATA!$C$7)) *DATA!$C$8</f>
        <v>1404.6278293097823</v>
      </c>
      <c r="L22" s="26">
        <f>+L21*(1+DATA!$C$11)</f>
        <v>72.840558626389949</v>
      </c>
      <c r="M22" s="23">
        <f>+DATA!$C$9*(1-'Property_Shock '!H22) * (G22 - DATA!$C$12)</f>
        <v>14023.231659437137</v>
      </c>
      <c r="N22" s="23">
        <f>'Property_Shock '!H22 * (MAX(DATA!$C$3,G22) )</f>
        <v>4704.3029999999999</v>
      </c>
      <c r="O22" s="23">
        <f t="shared" si="0"/>
        <v>399.22269871591266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98161.274545941196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+(1-H23)*(1-DATA!$C$9)*'Property_Shock '!J22</f>
        <v>2.0767967250952021E-2</v>
      </c>
      <c r="K23" s="26">
        <f>+(G23/(1-DATA!$C$7)) *DATA!$C$8</f>
        <v>1405.1716192670519</v>
      </c>
      <c r="L23" s="26">
        <f>+L22*(1+DATA!$C$11)</f>
        <v>74.297369798917757</v>
      </c>
      <c r="M23" s="23">
        <f>+DATA!$C$9*(1-'Property_Shock '!H23) * (G23 - DATA!$C$12)</f>
        <v>13944.344648872335</v>
      </c>
      <c r="N23" s="23">
        <f>'Property_Shock '!H23 * (MAX(DATA!$C$3,G23) )</f>
        <v>5277.0630000000001</v>
      </c>
      <c r="O23" s="23">
        <f t="shared" si="0"/>
        <v>323.89781146225113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98314.408097458363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+(1-H24)*(1-DATA!$C$9)*'Property_Shock '!J23</f>
        <v>1.6612120414010986E-2</v>
      </c>
      <c r="K24" s="26">
        <f>+(G24/(1-DATA!$C$7)) *DATA!$C$8</f>
        <v>1407.363715096541</v>
      </c>
      <c r="L24" s="26">
        <f>+L23*(1+DATA!$C$11)</f>
        <v>75.783317194896114</v>
      </c>
      <c r="M24" s="23">
        <f>+DATA!$C$9*(1-'Property_Shock '!H24) * (G24 - DATA!$C$12)</f>
        <v>13874.975512906745</v>
      </c>
      <c r="N24" s="23">
        <f>'Property_Shock '!H24 * (MAX(DATA!$C$3,G24) )</f>
        <v>5895.1179999999995</v>
      </c>
      <c r="O24" s="23">
        <f t="shared" si="0"/>
        <v>261.44502951984606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98556.277929147851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+(1-H25)*(1-DATA!$C$9)*'Property_Shock '!J24</f>
        <v>1.3192084225977237E-2</v>
      </c>
      <c r="K25" s="26">
        <f>+(G25/(1-DATA!$C$7)) *DATA!$C$8</f>
        <v>1410.8260644254294</v>
      </c>
      <c r="L25" s="26">
        <f>+L24*(1+DATA!$C$11)</f>
        <v>77.298983538794033</v>
      </c>
      <c r="M25" s="23">
        <f>+DATA!$C$9*(1-'Property_Shock '!H25) * (G25 - DATA!$C$12)</f>
        <v>13808.828366694097</v>
      </c>
      <c r="N25" s="23">
        <f>'Property_Shock '!H25 * (MAX(DATA!$C$3,G25) )</f>
        <v>6573.6419999999989</v>
      </c>
      <c r="O25" s="23">
        <f t="shared" si="0"/>
        <v>209.95133906171463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98899.11459541622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+(1-H26)*(1-DATA!$C$9)*'Property_Shock '!J25</f>
        <v>1.0403848534434695E-2</v>
      </c>
      <c r="K26" s="26">
        <f>+(G26/(1-DATA!$C$7)) *DATA!$C$8</f>
        <v>1415.7337467646494</v>
      </c>
      <c r="L26" s="26">
        <f>+L25*(1+DATA!$C$11)</f>
        <v>78.844963209569912</v>
      </c>
      <c r="M26" s="23">
        <f>+DATA!$C$9*(1-'Property_Shock '!H26) * (G26 - DATA!$C$12)</f>
        <v>13761.23805200957</v>
      </c>
      <c r="N26" s="23">
        <f>'Property_Shock '!H26 * (MAX(DATA!$C$3,G26) )</f>
        <v>7218.438000000001</v>
      </c>
      <c r="O26" s="23">
        <f t="shared" si="0"/>
        <v>166.97922140275571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99307.097850668753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+(1-H27)*(1-DATA!$C$9)*'Property_Shock '!J26</f>
        <v>8.124690820547226E-3</v>
      </c>
      <c r="K27" s="26">
        <f>+(G27/(1-DATA!$C$7)) *DATA!$C$8</f>
        <v>1421.573997862334</v>
      </c>
      <c r="L27" s="26">
        <f>+L26*(1+DATA!$C$11)</f>
        <v>80.421862473761308</v>
      </c>
      <c r="M27" s="23">
        <f>+DATA!$C$9*(1-'Property_Shock '!H27) * (G27 - DATA!$C$12)</f>
        <v>13682.894304242493</v>
      </c>
      <c r="N27" s="23">
        <f>'Property_Shock '!H27 * (MAX(DATA!$C$3,G27) )</f>
        <v>8125.7309999999998</v>
      </c>
      <c r="O27" s="23">
        <f t="shared" si="0"/>
        <v>133.03397015723866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99786.851692009499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+(1-H28)*(1-DATA!$C$9)*'Property_Shock '!J27</f>
        <v>6.2662194440065945E-3</v>
      </c>
      <c r="K28" s="26">
        <f>+(G28/(1-DATA!$C$7)) *DATA!$C$8</f>
        <v>1428.4416397629172</v>
      </c>
      <c r="L28" s="26">
        <f>+L27*(1+DATA!$C$11)</f>
        <v>82.030299723236539</v>
      </c>
      <c r="M28" s="23">
        <f>+DATA!$C$9*(1-'Property_Shock '!H28) * (G28 - DATA!$C$12)</f>
        <v>13578.673868000917</v>
      </c>
      <c r="N28" s="23">
        <f>'Property_Shock '!H28 * (MAX(DATA!$C$3,G28) )</f>
        <v>9263.9580000000005</v>
      </c>
      <c r="O28" s="23">
        <f t="shared" si="0"/>
        <v>105.63836533340717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100345.25445194387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+(1-H29)*(1-DATA!$C$9)*'Property_Shock '!J28</f>
        <v>4.7563664121720662E-3</v>
      </c>
      <c r="K29" s="26">
        <f>+(G29/(1-DATA!$C$7)) *DATA!$C$8</f>
        <v>1436.4351353038999</v>
      </c>
      <c r="L29" s="26">
        <f>+L28*(1+DATA!$C$11)</f>
        <v>83.670905717701274</v>
      </c>
      <c r="M29" s="23">
        <f>+DATA!$C$9*(1-'Property_Shock '!H29) * (G29 - DATA!$C$12)</f>
        <v>13438.546765534444</v>
      </c>
      <c r="N29" s="23">
        <f>'Property_Shock '!H29 * (MAX(DATA!$C$3,G29) )</f>
        <v>10737.082709714228</v>
      </c>
      <c r="O29" s="23">
        <f t="shared" si="0"/>
        <v>83.6069728643877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100961.89497878116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+(1-H30)*(1-DATA!$C$9)*'Property_Shock '!J29</f>
        <v>3.5486062564595642E-3</v>
      </c>
      <c r="K30" s="26">
        <f>+(G30/(1-DATA!$C$7)) *DATA!$C$8</f>
        <v>1445.2623003097508</v>
      </c>
      <c r="L30" s="26">
        <f>+L29*(1+DATA!$C$11)</f>
        <v>85.344323832055295</v>
      </c>
      <c r="M30" s="23">
        <f>+DATA!$C$9*(1-'Property_Shock '!H30) * (G30 - DATA!$C$12)</f>
        <v>13290.040276416714</v>
      </c>
      <c r="N30" s="23">
        <f>'Property_Shock '!H30 * (MAX(DATA!$C$3,G30) )</f>
        <v>12344.071762536387</v>
      </c>
      <c r="O30" s="23">
        <f t="shared" si="0"/>
        <v>65.213057296323811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101612.00780386034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+(1-H31)*(1-DATA!$C$9)*'Property_Shock '!J30</f>
        <v>2.5943949712624445E-3</v>
      </c>
      <c r="K31" s="26">
        <f>+(G31/(1-DATA!$C$7)) *DATA!$C$8</f>
        <v>1454.5686188691664</v>
      </c>
      <c r="L31" s="26">
        <f>+L30*(1+DATA!$C$11)</f>
        <v>87.051210308696398</v>
      </c>
      <c r="M31" s="23">
        <f>+DATA!$C$9*(1-'Property_Shock '!H31) * (G31 - DATA!$C$12)</f>
        <v>13107.206958507169</v>
      </c>
      <c r="N31" s="23">
        <f>'Property_Shock '!H31 * (MAX(DATA!$C$3,G31) )</f>
        <v>14213.425668279224</v>
      </c>
      <c r="O31" s="23">
        <f t="shared" si="0"/>
        <v>50.233495110980741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102296.18306152314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+(1-H32)*(1-DATA!$C$9)*'Property_Shock '!J31</f>
        <v>1.8523249941265114E-3</v>
      </c>
      <c r="K32" s="26">
        <f>+(G32/(1-DATA!$C$7)) *DATA!$C$8</f>
        <v>1464.3625387130103</v>
      </c>
      <c r="L32" s="26">
        <f>+L31*(1+DATA!$C$11)</f>
        <v>88.79223451487033</v>
      </c>
      <c r="M32" s="23">
        <f>+DATA!$C$9*(1-'Property_Shock '!H32) * (G32 - DATA!$C$12)</f>
        <v>12886.29111108874</v>
      </c>
      <c r="N32" s="23">
        <f>'Property_Shock '!H32 * (MAX(DATA!$C$3,G32) )</f>
        <v>16370.776316464871</v>
      </c>
      <c r="O32" s="23">
        <f t="shared" si="0"/>
        <v>38.085594914352669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103046.19976048222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+(1-H33)*(1-DATA!$C$9)*'Property_Shock '!J32</f>
        <v>1.289875997268616E-3</v>
      </c>
      <c r="K33" s="26">
        <f>+(G33/(1-DATA!$C$7)) *DATA!$C$8</f>
        <v>1475.0989740764328</v>
      </c>
      <c r="L33" s="26">
        <f>+L32*(1+DATA!$C$11)</f>
        <v>90.568079205167734</v>
      </c>
      <c r="M33" s="23">
        <f>+DATA!$C$9*(1-'Property_Shock '!H33) * (G33 - DATA!$C$12)</f>
        <v>12660.49798295417</v>
      </c>
      <c r="N33" s="23">
        <f>'Property_Shock '!H33 * (MAX(DATA!$C$3,G33) )</f>
        <v>18626.495047721084</v>
      </c>
      <c r="O33" s="23">
        <f t="shared" si="0"/>
        <v>28.15035335706699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103834.04279553542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+(1-H34)*(1-DATA!$C$9)*'Property_Shock '!J33</f>
        <v>8.7690336132881849E-4</v>
      </c>
      <c r="K34" s="26">
        <f>+(G34/(1-DATA!$C$7)) *DATA!$C$8</f>
        <v>1486.3768907336362</v>
      </c>
      <c r="L34" s="26">
        <f>+L33*(1+DATA!$C$11)</f>
        <v>92.379440789271086</v>
      </c>
      <c r="M34" s="23">
        <f>+DATA!$C$9*(1-'Property_Shock '!H34) * (G34 - DATA!$C$12)</f>
        <v>12454.669597056147</v>
      </c>
      <c r="N34" s="23">
        <f>'Property_Shock '!H34 * (MAX(DATA!$C$3,G34) )</f>
        <v>20786.916021494439</v>
      </c>
      <c r="O34" s="23">
        <f t="shared" si="0"/>
        <v>20.165462532477235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104660.48634513693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+(1-H35)*(1-DATA!$C$9)*'Property_Shock '!J34</f>
        <v>5.7788707614889081E-4</v>
      </c>
      <c r="K35" s="26">
        <f>+(G35/(1-DATA!$C$7)) *DATA!$C$8</f>
        <v>1498.2073709937804</v>
      </c>
      <c r="L35" s="26">
        <f>+L34*(1+DATA!$C$11)</f>
        <v>94.227029605056515</v>
      </c>
      <c r="M35" s="23">
        <f>+DATA!$C$9*(1-'Property_Shock '!H35) * (G35 - DATA!$C$12)</f>
        <v>12169.236462718171</v>
      </c>
      <c r="N35" s="23">
        <f>'Property_Shock '!H35 * (MAX(DATA!$C$3,G35) )</f>
        <v>23516.737169749125</v>
      </c>
      <c r="O35" s="23">
        <f t="shared" ref="O35:O52" si="2">+J34*D35*(K35+L35+M35+N35)</f>
        <v>14.240726877096586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105526.34665224471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+(1-H36)*(1-DATA!$C$9)*'Property_Shock '!J35</f>
        <v>3.7036809726603219E-4</v>
      </c>
      <c r="K36" s="26">
        <f>+(G36/(1-DATA!$C$7)) *DATA!$C$8</f>
        <v>1510.6020993163866</v>
      </c>
      <c r="L36" s="26">
        <f>+L35*(1+DATA!$C$11)</f>
        <v>96.111570197157647</v>
      </c>
      <c r="M36" s="23">
        <f>+DATA!$C$9*(1-'Property_Shock '!H36) * (G36 - DATA!$C$12)</f>
        <v>11932.776510642474</v>
      </c>
      <c r="N36" s="23">
        <f>'Property_Shock '!H36 * (MAX(DATA!$C$3,G36) )</f>
        <v>25959.423236961542</v>
      </c>
      <c r="O36" s="23">
        <f t="shared" si="2"/>
        <v>9.6452146201728208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106396.17563184202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+(1-H37)*(1-DATA!$C$9)*'Property_Shock '!J36</f>
        <v>2.280448233562444E-4</v>
      </c>
      <c r="K37" s="26">
        <f>+(G37/(1-DATA!$C$7)) *DATA!$C$8</f>
        <v>1523.053638901624</v>
      </c>
      <c r="L37" s="26">
        <f>+L36*(1+DATA!$C$11)</f>
        <v>98.033801601100805</v>
      </c>
      <c r="M37" s="23">
        <f>+DATA!$C$9*(1-'Property_Shock '!H37) * (G37 - DATA!$C$12)</f>
        <v>11558.54994325291</v>
      </c>
      <c r="N37" s="23">
        <f>'Property_Shock '!H37 * (MAX(DATA!$C$3,G37) )</f>
        <v>29324.688367755964</v>
      </c>
      <c r="O37" s="23">
        <f t="shared" si="2"/>
        <v>6.4524434480244413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107304.47092766002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+(1-H38)*(1-DATA!$C$9)*'Property_Shock '!J37</f>
        <v>1.3460884477301988E-4</v>
      </c>
      <c r="K38" s="26">
        <f>+(G38/(1-DATA!$C$7)) *DATA!$C$8</f>
        <v>1536.055821050348</v>
      </c>
      <c r="L38" s="26">
        <f>+L37*(1+DATA!$C$11)</f>
        <v>99.994477633122827</v>
      </c>
      <c r="M38" s="23">
        <f>+DATA!$C$9*(1-'Property_Shock '!H38) * (G38 - DATA!$C$12)</f>
        <v>11175.387117875551</v>
      </c>
      <c r="N38" s="23">
        <f>'Property_Shock '!H38 * (MAX(DATA!$C$3,G38) )</f>
        <v>32788.00135062301</v>
      </c>
      <c r="O38" s="23">
        <f t="shared" si="2"/>
        <v>4.1331795855557445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108252.08624978314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+(1-H39)*(1-DATA!$C$9)*'Property_Shock '!J38</f>
        <v>7.6364893451778384E-5</v>
      </c>
      <c r="K39" s="26">
        <f>+(G39/(1-DATA!$C$7)) *DATA!$C$8</f>
        <v>1549.6208665613128</v>
      </c>
      <c r="L39" s="26">
        <f>+L38*(1+DATA!$C$11)</f>
        <v>101.99436718578528</v>
      </c>
      <c r="M39" s="23">
        <f>+DATA!$C$9*(1-'Property_Shock '!H39) * (G39 - DATA!$C$12)</f>
        <v>10835.489016296517</v>
      </c>
      <c r="N39" s="23">
        <f>'Property_Shock '!H39 * (MAX(DATA!$C$3,G39) )</f>
        <v>36002.144346006367</v>
      </c>
      <c r="O39" s="23">
        <f t="shared" si="2"/>
        <v>2.515034858973054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109239.91710326298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+(1-H40)*(1-DATA!$C$9)*'Property_Shock '!J39</f>
        <v>4.1764646023703237E-5</v>
      </c>
      <c r="K40" s="26">
        <f>+(G40/(1-DATA!$C$7)) *DATA!$C$8</f>
        <v>1563.7615945252371</v>
      </c>
      <c r="L40" s="26">
        <f>+L39*(1+DATA!$C$11)</f>
        <v>104.03425452950098</v>
      </c>
      <c r="M40" s="23">
        <f>+DATA!$C$9*(1-'Property_Shock '!H40) * (G40 - DATA!$C$12)</f>
        <v>10541.180031748247</v>
      </c>
      <c r="N40" s="23">
        <f>'Property_Shock '!H40 * (MAX(DATA!$C$3,G40) )</f>
        <v>38952.515111674664</v>
      </c>
      <c r="O40" s="23">
        <f t="shared" si="2"/>
        <v>1.4590012636366529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110227.01160954508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+(1-H41)*(1-DATA!$C$9)*'Property_Shock '!J40</f>
        <v>2.2042525102830199E-5</v>
      </c>
      <c r="K41" s="26">
        <f>+(G41/(1-DATA!$C$7)) *DATA!$C$8</f>
        <v>1577.8917817317292</v>
      </c>
      <c r="L41" s="26">
        <f>+L40*(1+DATA!$C$11)</f>
        <v>106.11493962009101</v>
      </c>
      <c r="M41" s="23">
        <f>+DATA!$C$9*(1-'Property_Shock '!H41) * (G41 - DATA!$C$12)</f>
        <v>10264.412541929241</v>
      </c>
      <c r="N41" s="23">
        <f>'Property_Shock '!H41 * (MAX(DATA!$C$3,G41) )</f>
        <v>41785.176321550141</v>
      </c>
      <c r="O41" s="23">
        <f t="shared" si="2"/>
        <v>0.81227973031134171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111253.29037425305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+(1-H42)*(1-DATA!$C$9)*'Property_Shock '!J41</f>
        <v>1.1194569766911169E-5</v>
      </c>
      <c r="K42" s="26">
        <f>+(G42/(1-DATA!$C$7)) *DATA!$C$8</f>
        <v>1592.5828887929883</v>
      </c>
      <c r="L42" s="26">
        <f>+L41*(1+DATA!$C$11)</f>
        <v>108.23723841249283</v>
      </c>
      <c r="M42" s="23">
        <f>+DATA!$C$9*(1-'Property_Shock '!H42) * (G42 - DATA!$C$12)</f>
        <v>9969.0363781879278</v>
      </c>
      <c r="N42" s="23">
        <f>'Property_Shock '!H42 * (MAX(DATA!$C$3,G42) )</f>
        <v>44781.098149400197</v>
      </c>
      <c r="O42" s="23">
        <f t="shared" si="2"/>
        <v>0.43641288774641701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112274.8274857729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+(1-H43)*(1-DATA!$C$9)*'Property_Shock '!J42</f>
        <v>5.3838281313074997E-6</v>
      </c>
      <c r="K43" s="26">
        <f>+(G43/(1-DATA!$C$7)) *DATA!$C$8</f>
        <v>1607.2061194282421</v>
      </c>
      <c r="L43" s="26">
        <f>+L42*(1+DATA!$C$11)</f>
        <v>110.40198318074269</v>
      </c>
      <c r="M43" s="23">
        <f>+DATA!$C$9*(1-'Property_Shock '!H43) * (G43 - DATA!$C$12)</f>
        <v>9527.109135895611</v>
      </c>
      <c r="N43" s="23">
        <f>'Property_Shock '!H43 * (MAX(DATA!$C$3,G43) )</f>
        <v>48749.450530002156</v>
      </c>
      <c r="O43" s="23">
        <f t="shared" si="2"/>
        <v>0.22827097599110285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113334.3677874469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+(1-H44)*(1-DATA!$C$9)*'Property_Shock '!J43</f>
        <v>2.4030133983938392E-6</v>
      </c>
      <c r="K44" s="26">
        <f>+(G44/(1-DATA!$C$7)) *DATA!$C$8</f>
        <v>1622.3733630104873</v>
      </c>
      <c r="L44" s="26">
        <f>+L43*(1+DATA!$C$11)</f>
        <v>112.61002284435754</v>
      </c>
      <c r="M44" s="23">
        <f>+DATA!$C$9*(1-'Property_Shock '!H44) * (G44 - DATA!$C$12)</f>
        <v>8925.2896348101312</v>
      </c>
      <c r="N44" s="23">
        <f>'Property_Shock '!H44 * (MAX(DATA!$C$3,G44) )</f>
        <v>53821.934790512692</v>
      </c>
      <c r="O44" s="23">
        <f t="shared" si="2"/>
        <v>0.11432072402834312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114432.80228111708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+(1-H45)*(1-DATA!$C$9)*'Property_Shock '!J44</f>
        <v>1.0017937803684089E-6</v>
      </c>
      <c r="K45" s="26">
        <f>+(G45/(1-DATA!$C$7)) *DATA!$C$8</f>
        <v>1638.0973741673201</v>
      </c>
      <c r="L45" s="26">
        <f>+L44*(1+DATA!$C$11)</f>
        <v>114.8622233012447</v>
      </c>
      <c r="M45" s="23">
        <f>+DATA!$C$9*(1-'Property_Shock '!H45) * (G45 - DATA!$C$12)</f>
        <v>8417.2280713937544</v>
      </c>
      <c r="N45" s="23">
        <f>'Property_Shock '!H45 * (MAX(DATA!$C$3,G45) )</f>
        <v>58308.139280425385</v>
      </c>
      <c r="O45" s="23">
        <f t="shared" si="2"/>
        <v>5.248717051182699E-2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115521.55882676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+(1-H46)*(1-DATA!$C$9)*'Property_Shock '!J45</f>
        <v>3.879287730341853E-7</v>
      </c>
      <c r="K46" s="26">
        <f>+(G46/(1-DATA!$C$7)) *DATA!$C$8</f>
        <v>1653.6828461908385</v>
      </c>
      <c r="L46" s="26">
        <f>+L45*(1+DATA!$C$11)</f>
        <v>117.15946776726959</v>
      </c>
      <c r="M46" s="23">
        <f>+DATA!$C$9*(1-'Property_Shock '!H46) * (G46 - DATA!$C$12)</f>
        <v>7892.8498431125281</v>
      </c>
      <c r="N46" s="23">
        <f>'Property_Shock '!H46 * (MAX(DATA!$C$3,G46) )</f>
        <v>62893.448480676474</v>
      </c>
      <c r="O46" s="23">
        <f t="shared" si="2"/>
        <v>2.2460978180918072E-2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116647.85912881666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+(1-H47)*(1-DATA!$C$9)*'Property_Shock '!J46</f>
        <v>1.3874044193898951E-7</v>
      </c>
      <c r="K47" s="26">
        <f>+(G47/(1-DATA!$C$7)) *DATA!$C$8</f>
        <v>1669.8057544002386</v>
      </c>
      <c r="L47" s="26">
        <f>+L46*(1+DATA!$C$11)</f>
        <v>119.50265712261498</v>
      </c>
      <c r="M47" s="23">
        <f>+DATA!$C$9*(1-'Property_Shock '!H47) * (G47 - DATA!$C$12)</f>
        <v>7360.8118639790446</v>
      </c>
      <c r="N47" s="23">
        <f>'Property_Shock '!H47 * (MAX(DATA!$C$3,G47) )</f>
        <v>67567.364880023029</v>
      </c>
      <c r="O47" s="23">
        <f t="shared" si="2"/>
        <v>8.9072091283545381E-3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117759.84949384443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+(1-H48)*(1-DATA!$C$9)*'Property_Shock '!J47</f>
        <v>4.5563054418752522E-8</v>
      </c>
      <c r="K48" s="26">
        <f>+(G48/(1-DATA!$C$7)) *DATA!$C$8</f>
        <v>1685.7238168852987</v>
      </c>
      <c r="L48" s="26">
        <f>+L47*(1+DATA!$C$11)</f>
        <v>121.89271026506728</v>
      </c>
      <c r="M48" s="23">
        <f>+DATA!$C$9*(1-'Property_Shock '!H48) * (G48 - DATA!$C$12)</f>
        <v>6823.4743976128993</v>
      </c>
      <c r="N48" s="23">
        <f>'Property_Shock '!H48 * (MAX(DATA!$C$3,G48) )</f>
        <v>72262.293000025107</v>
      </c>
      <c r="O48" s="23">
        <f t="shared" si="2"/>
        <v>3.2540914988308635E-3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118907.83994245843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+(1-H49)*(1-DATA!$C$9)*'Property_Shock '!J48</f>
        <v>1.3659528263296515E-8</v>
      </c>
      <c r="K49" s="26">
        <f>+(G49/(1-DATA!$C$7)) *DATA!$C$8</f>
        <v>1702.1572179902028</v>
      </c>
      <c r="L49" s="26">
        <f>+L48*(1+DATA!$C$11)</f>
        <v>124.33056447036863</v>
      </c>
      <c r="M49" s="23">
        <f>+DATA!$C$9*(1-'Property_Shock '!H49) * (G49 - DATA!$C$12)</f>
        <v>6289.7392373492921</v>
      </c>
      <c r="N49" s="23">
        <f>'Property_Shock '!H49 * (MAX(DATA!$C$3,G49) )</f>
        <v>76969.191051396483</v>
      </c>
      <c r="O49" s="23">
        <f t="shared" si="2"/>
        <v>1.0886975806692998E-3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120092.67024197256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+(1-H50)*(1-DATA!$C$9)*'Property_Shock '!J49</f>
        <v>3.7164584694549589E-9</v>
      </c>
      <c r="K50" s="26">
        <f>+(G50/(1-DATA!$C$7)) *DATA!$C$8</f>
        <v>1719.1179789239427</v>
      </c>
      <c r="L50" s="26">
        <f>+L49*(1+DATA!$C$11)</f>
        <v>126.81717575977601</v>
      </c>
      <c r="M50" s="23">
        <f>+DATA!$C$9*(1-'Property_Shock '!H50) * (G50 - DATA!$C$12)</f>
        <v>5765.1430131559573</v>
      </c>
      <c r="N50" s="23">
        <f>'Property_Shock '!H50 * (MAX(DATA!$C$3,G50) )</f>
        <v>81651.981649999507</v>
      </c>
      <c r="O50" s="23">
        <f t="shared" si="2"/>
        <v>3.3157334040829649E-4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121257.37826155039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+(1-H51)*(1-DATA!$C$9)*'Property_Shock '!J50</f>
        <v>9.1238224796651336E-10</v>
      </c>
      <c r="K51" s="26">
        <f>+(G51/(1-DATA!$C$7)) *DATA!$C$8</f>
        <v>1735.7906908606396</v>
      </c>
      <c r="L51" s="26">
        <f>+L50*(1+DATA!$C$11)</f>
        <v>129.35351927497152</v>
      </c>
      <c r="M51" s="23">
        <f>+DATA!$C$9*(1-'Property_Shock '!H51) * (G51 - DATA!$C$12)</f>
        <v>5252.3833054712131</v>
      </c>
      <c r="N51" s="23">
        <f>'Property_Shock '!H51 * (MAX(DATA!$C$3,G51) )</f>
        <v>86235.71314040896</v>
      </c>
      <c r="O51" s="23">
        <f t="shared" si="2"/>
        <v>9.1385648593640825E-5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122516.74905480494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+(1-H52)*(1-DATA!$C$9)*'Property_Shock '!J51</f>
        <v>2.0096874985242516E-10</v>
      </c>
      <c r="K52" s="26">
        <f>+(G52/(1-DATA!$C$7)) *DATA!$C$8</f>
        <v>1753.8184936270648</v>
      </c>
      <c r="L52" s="26">
        <f>+L51*(1+DATA!$C$11)</f>
        <v>131.94058966047095</v>
      </c>
      <c r="M52" s="23">
        <f>(1-'Property_Shock '!H52) * (G52)</f>
        <v>31748.867833313099</v>
      </c>
      <c r="N52" s="23">
        <f>'Property_Shock '!H52 * (MAX(DATA!$C$3,G52) )</f>
        <v>90767.881221491843</v>
      </c>
      <c r="O52" s="23">
        <f t="shared" si="2"/>
        <v>2.8938555126164664E-5</v>
      </c>
    </row>
  </sheetData>
  <mergeCells count="2">
    <mergeCell ref="Q1:R1"/>
    <mergeCell ref="Q9:R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402-5620-4EA7-9D8B-F375891DCCF7}">
  <sheetPr>
    <tabColor theme="5" tint="0.79998168889431442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+MIN(_xlfn.XLOOKUP(A3+59,DATA!$E$4:$E$63,DATA!$G$4:$G$63)*1.15,1)</f>
        <v>7.4380504999999987E-3</v>
      </c>
      <c r="I3" s="22">
        <f>+_xlfn.XLOOKUP(A3+59,DATA!$E$4:$E$63,DATA!$H$4:$H$63)</f>
        <v>0.99353212999999996</v>
      </c>
      <c r="J3" s="2">
        <f>+(1-H3)*(1-DATA!$C$9)*'Mortality_Shock '!J2</f>
        <v>0.84367765707499998</v>
      </c>
      <c r="K3" s="26">
        <f>+(G3/(1-DATA!$C$7)) *DATA!$C$8</f>
        <v>1449.1960000000001</v>
      </c>
      <c r="L3" s="26">
        <f>+DATA!C10</f>
        <v>50</v>
      </c>
      <c r="M3" s="23">
        <f>+DATA!$C$9*(1-'Mortality_Shock '!H3) * (G3 - DATA!$C$12)</f>
        <v>15069.575570019155</v>
      </c>
      <c r="N3" s="23">
        <f>'Mortality_Shock '!H3 * (MAX($G$2,G3) )</f>
        <v>753.00362754894581</v>
      </c>
      <c r="O3" s="23">
        <f t="shared" ref="O3:O34" si="0">+J2*D3*(K3+L3+M3+N3)</f>
        <v>16733.751181065461</v>
      </c>
      <c r="Q3" s="6" t="s">
        <v>40</v>
      </c>
      <c r="R3" s="27">
        <f>+SUM(O2:O52)</f>
        <v>95826.652931266624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+MIN(_xlfn.XLOOKUP(A4+59,DATA!$E$4:$E$63,DATA!$G$4:$G$63)*1.15,1)</f>
        <v>8.1652989999999991E-3</v>
      </c>
      <c r="I4" s="22">
        <f>+_xlfn.XLOOKUP(A4+59,DATA!$E$4:$E$63,DATA!$H$4:$H$63)</f>
        <v>0.98647779355864618</v>
      </c>
      <c r="J4" s="2">
        <f>+(1-H4)*(1-DATA!$C$9)*'Mortality_Shock '!J3</f>
        <v>0.71127046023355867</v>
      </c>
      <c r="K4" s="26">
        <f>+(G4/(1-DATA!$C$7)) *DATA!$C$8</f>
        <v>1453.5716409270005</v>
      </c>
      <c r="L4" s="26">
        <f>+L3*(1+DATA!$C$11)</f>
        <v>51</v>
      </c>
      <c r="M4" s="23">
        <f>+DATA!$C$9*(1-'Mortality_Shock '!H4) * (G4 - DATA!$C$12)</f>
        <v>15104.010200139544</v>
      </c>
      <c r="N4" s="23">
        <f>'Mortality_Shock '!H4 * (MAX($G$2,G4) )</f>
        <v>829.12374504540162</v>
      </c>
      <c r="O4" s="23">
        <f t="shared" si="0"/>
        <v>13857.865373863231</v>
      </c>
      <c r="Q4" s="6" t="s">
        <v>41</v>
      </c>
      <c r="R4" s="27">
        <f>+R2-R3</f>
        <v>4173.3470687333756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+MIN(_xlfn.XLOOKUP(A5+59,DATA!$E$4:$E$63,DATA!$G$4:$G$63)*1.15,1)</f>
        <v>8.9873649999999989E-3</v>
      </c>
      <c r="I5" s="22">
        <f>+_xlfn.XLOOKUP(A5+59,DATA!$E$4:$E$63,DATA!$H$4:$H$63)</f>
        <v>0.97876837095420599</v>
      </c>
      <c r="J5" s="2">
        <f>+(1-H5)*(1-DATA!$C$9)*'Mortality_Shock '!J4</f>
        <v>0.59914631104466343</v>
      </c>
      <c r="K5" s="26">
        <f>+(G5/(1-DATA!$C$7)) *DATA!$C$8</f>
        <v>1454.0174346398255</v>
      </c>
      <c r="L5" s="26">
        <f>+L4*(1+DATA!$C$11)</f>
        <v>52.02</v>
      </c>
      <c r="M5" s="23">
        <f>+DATA!$C$9*(1-'Mortality_Shock '!H5) * (G5 - DATA!$C$12)</f>
        <v>15096.120786614036</v>
      </c>
      <c r="N5" s="23">
        <f>'Mortality_Shock '!H5 * (MAX($G$2,G5) )</f>
        <v>912.87815161709818</v>
      </c>
      <c r="O5" s="23">
        <f t="shared" si="0"/>
        <v>11473.13086184599</v>
      </c>
      <c r="Q5" s="6" t="s">
        <v>43</v>
      </c>
      <c r="R5" s="27">
        <f>+MAX(Rates_Basic!R4-R4,0)</f>
        <v>30.615173293743283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+MIN(_xlfn.XLOOKUP(A6+59,DATA!$E$4:$E$63,DATA!$G$4:$G$63)*1.15,1)</f>
        <v>9.9646004999999985E-3</v>
      </c>
      <c r="I6" s="22">
        <f>+_xlfn.XLOOKUP(A6+59,DATA!$E$4:$E$63,DATA!$H$4:$H$63)</f>
        <v>0.97028747025977602</v>
      </c>
      <c r="J6" s="2">
        <f>+(1-H6)*(1-DATA!$C$9)*'Mortality_Shock '!J5</f>
        <v>0.50419964880194645</v>
      </c>
      <c r="K6" s="26">
        <f>+(G6/(1-DATA!$C$7)) *DATA!$C$8</f>
        <v>1453.3171478985437</v>
      </c>
      <c r="L6" s="26">
        <f>+L5*(1+DATA!$C$11)</f>
        <v>53.060400000000001</v>
      </c>
      <c r="M6" s="23">
        <f>+DATA!$C$9*(1-'Mortality_Shock '!H6) * (G6 - DATA!$C$12)</f>
        <v>15073.969648922535</v>
      </c>
      <c r="N6" s="23">
        <f>'Mortality_Shock '!H6 * (MAX($G$2,G6) )</f>
        <v>1011.6519166770726</v>
      </c>
      <c r="O6" s="23">
        <f t="shared" si="0"/>
        <v>9498.0026479937769</v>
      </c>
      <c r="Q6" s="6" t="s">
        <v>42</v>
      </c>
      <c r="R6" s="8">
        <f>+SUMPRODUCT(A2:A52,O2:O52)/R3</f>
        <v>5.5728380330922249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+MIN(_xlfn.XLOOKUP(A7+59,DATA!$E$4:$E$63,DATA!$G$4:$G$63)*1.15,1)</f>
        <v>1.1100605E-2</v>
      </c>
      <c r="I7" s="22">
        <f>+_xlfn.XLOOKUP(A7+59,DATA!$E$4:$E$63,DATA!$H$4:$H$63)</f>
        <v>0.9609215763955995</v>
      </c>
      <c r="J7" s="2">
        <f>+(1-H7)*(1-DATA!$C$9)*'Mortality_Shock '!J6</f>
        <v>0.42381231851053869</v>
      </c>
      <c r="K7" s="26">
        <f>+(G7/(1-DATA!$C$7)) *DATA!$C$8</f>
        <v>1452.58181697792</v>
      </c>
      <c r="L7" s="26">
        <f>+L6*(1+DATA!$C$11)</f>
        <v>54.121608000000002</v>
      </c>
      <c r="M7" s="23">
        <f>+DATA!$C$9*(1-'Mortality_Shock '!H7) * (G7 - DATA!$C$12)</f>
        <v>15049.053514359874</v>
      </c>
      <c r="N7" s="23">
        <f>'Mortality_Shock '!H7 * (MAX($G$2,G7) )</f>
        <v>1126.4140833488707</v>
      </c>
      <c r="O7" s="23">
        <f t="shared" si="0"/>
        <v>7861.0575724183591</v>
      </c>
      <c r="Q7" s="6" t="s">
        <v>44</v>
      </c>
      <c r="R7" s="27">
        <f>+MAX(R5,0)</f>
        <v>30.615173293743283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+MIN(_xlfn.XLOOKUP(A8+59,DATA!$E$4:$E$63,DATA!$G$4:$G$63)*1.15,1)</f>
        <v>1.24145605E-2</v>
      </c>
      <c r="I8" s="22">
        <f>+_xlfn.XLOOKUP(A8+59,DATA!$E$4:$E$63,DATA!$H$4:$H$63)</f>
        <v>0.95054816852958335</v>
      </c>
      <c r="J8" s="2">
        <f>+(1-H8)*(1-DATA!$C$9)*'Mortality_Shock '!J7</f>
        <v>0.3557682436154827</v>
      </c>
      <c r="K8" s="26">
        <f>+(G8/(1-DATA!$C$7)) *DATA!$C$8</f>
        <v>1452.835173571694</v>
      </c>
      <c r="L8" s="26">
        <f>+L7*(1+DATA!$C$11)</f>
        <v>55.204040160000005</v>
      </c>
      <c r="M8" s="23">
        <f>+DATA!$C$9*(1-'Mortality_Shock '!H8) * (G8 - DATA!$C$12)</f>
        <v>15031.679619586257</v>
      </c>
      <c r="N8" s="23">
        <f>'Mortality_Shock '!H8 * (MAX($G$2,G8) )</f>
        <v>1259.9650953813893</v>
      </c>
      <c r="O8" s="23">
        <f t="shared" si="0"/>
        <v>6504.16919557029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+MIN(_xlfn.XLOOKUP(A9+59,DATA!$E$4:$E$63,DATA!$G$4:$G$63)*1.15,1)</f>
        <v>1.3487499E-2</v>
      </c>
      <c r="I9" s="22">
        <f>+_xlfn.XLOOKUP(A9+59,DATA!$E$4:$E$63,DATA!$H$4:$H$63)</f>
        <v>0.93939989246654454</v>
      </c>
      <c r="J9" s="2">
        <f>+(1-H9)*(1-DATA!$C$9)*'Mortality_Shock '!J8</f>
        <v>0.29832434681766407</v>
      </c>
      <c r="K9" s="26">
        <f>+(G9/(1-DATA!$C$7)) *DATA!$C$8</f>
        <v>1453.938328438775</v>
      </c>
      <c r="L9" s="26">
        <f>+L8*(1+DATA!$C$11)</f>
        <v>56.308120963200004</v>
      </c>
      <c r="M9" s="23">
        <f>+DATA!$C$9*(1-'Mortality_Shock '!H9) * (G9 - DATA!$C$12)</f>
        <v>15026.75239050516</v>
      </c>
      <c r="N9" s="23">
        <f>'Mortality_Shock '!H9 * (MAX($G$2,G9) )</f>
        <v>1369.8979951685926</v>
      </c>
      <c r="O9" s="23">
        <f t="shared" si="0"/>
        <v>5367.8786611890046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+MIN(_xlfn.XLOOKUP(A10+59,DATA!$E$4:$E$63,DATA!$G$4:$G$63)*1.15,1)</f>
        <v>1.4717631E-2</v>
      </c>
      <c r="I10" s="22">
        <f>+_xlfn.XLOOKUP(A10+59,DATA!$E$4:$E$63,DATA!$H$4:$H$63)</f>
        <v>0.9273775090067512</v>
      </c>
      <c r="J10" s="2">
        <f>+(1-H10)*(1-DATA!$C$9)*'Mortality_Shock '!J9</f>
        <v>0.24984366128845281</v>
      </c>
      <c r="K10" s="26">
        <f>+(G10/(1-DATA!$C$7)) *DATA!$C$8</f>
        <v>1455.9225809844947</v>
      </c>
      <c r="L10" s="26">
        <f>+L9*(1+DATA!$C$11)</f>
        <v>57.434283382464002</v>
      </c>
      <c r="M10" s="23">
        <f>+DATA!$C$9*(1-'Mortality_Shock '!H10) * (G10 - DATA!$C$12)</f>
        <v>15028.500899109335</v>
      </c>
      <c r="N10" s="23">
        <f>'Mortality_Shock '!H10 * (MAX($G$2,G10) )</f>
        <v>1496.8800873317475</v>
      </c>
      <c r="O10" s="23">
        <f t="shared" si="0"/>
        <v>4428.4993259699158</v>
      </c>
      <c r="Q10" s="28" t="s">
        <v>8</v>
      </c>
      <c r="R10" s="30">
        <f>+SUMPRODUCT(D3:D52,J2:J51,M3:M52)</f>
        <v>80499.870262966491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+MIN(_xlfn.XLOOKUP(A11+59,DATA!$E$4:$E$63,DATA!$G$4:$G$63)*1.15,1)</f>
        <v>1.6071238499999998E-2</v>
      </c>
      <c r="I11" s="22">
        <f>+_xlfn.XLOOKUP(A11+59,DATA!$E$4:$E$63,DATA!$H$4:$H$63)</f>
        <v>0.91441741759215689</v>
      </c>
      <c r="J11" s="2">
        <f>+(1-H11)*(1-DATA!$C$9)*'Mortality_Shock '!J10</f>
        <v>0.20895410958714694</v>
      </c>
      <c r="K11" s="26">
        <f>+(G11/(1-DATA!$C$7)) *DATA!$C$8</f>
        <v>1458.749187329799</v>
      </c>
      <c r="L11" s="26">
        <f>+L10*(1+DATA!$C$11)</f>
        <v>58.582969050113284</v>
      </c>
      <c r="M11" s="23">
        <f>+DATA!$C$9*(1-'Mortality_Shock '!H11) * (G11 - DATA!$C$12)</f>
        <v>15036.997124874562</v>
      </c>
      <c r="N11" s="23">
        <f>'Mortality_Shock '!H11 * (MAX($G$2,G11) )</f>
        <v>1637.7242976450491</v>
      </c>
      <c r="O11" s="23">
        <f t="shared" si="0"/>
        <v>3650.9703739460133</v>
      </c>
      <c r="Q11" s="28" t="s">
        <v>17</v>
      </c>
      <c r="R11" s="30">
        <f>+SUMPRODUCT(D3:D52,J2:J51,N3:N52)</f>
        <v>7246.6768298811658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+MIN(_xlfn.XLOOKUP(A12+59,DATA!$E$4:$E$63,DATA!$G$4:$G$63)*1.15,1)</f>
        <v>1.8009057500000002E-2</v>
      </c>
      <c r="I12" s="22">
        <f>+_xlfn.XLOOKUP(A12+59,DATA!$E$4:$E$63,DATA!$H$4:$H$63)</f>
        <v>0.90009759511179277</v>
      </c>
      <c r="J12" s="2">
        <f>+(1-H12)*(1-DATA!$C$9)*'Mortality_Shock '!J11</f>
        <v>0.17441238656082109</v>
      </c>
      <c r="K12" s="26">
        <f>+(G12/(1-DATA!$C$7)) *DATA!$C$8</f>
        <v>1462.6657460438055</v>
      </c>
      <c r="L12" s="26">
        <f>+L11*(1+DATA!$C$11)</f>
        <v>59.754628431115549</v>
      </c>
      <c r="M12" s="23">
        <f>+DATA!$C$9*(1-'Mortality_Shock '!H12) * (G12 - DATA!$C$12)</f>
        <v>15047.683047178729</v>
      </c>
      <c r="N12" s="23">
        <f>'Mortality_Shock '!H12 * (MAX($G$2,G12) )</f>
        <v>1840.1231735900042</v>
      </c>
      <c r="O12" s="23">
        <f t="shared" si="0"/>
        <v>3013.9961195353485</v>
      </c>
      <c r="Q12" s="28" t="s">
        <v>18</v>
      </c>
      <c r="R12" s="30">
        <f>+SUMPRODUCT(D3:D52,J2:J51,L3:L52)</f>
        <v>292.52702560184611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+MIN(_xlfn.XLOOKUP(A13+59,DATA!$E$4:$E$63,DATA!$G$4:$G$63)*1.15,1)</f>
        <v>2.0094616999999999E-2</v>
      </c>
      <c r="I13" s="22">
        <f>+_xlfn.XLOOKUP(A13+59,DATA!$E$4:$E$63,DATA!$H$4:$H$63)</f>
        <v>0.88436966777579928</v>
      </c>
      <c r="J13" s="2">
        <f>+(1-H13)*(1-DATA!$C$9)*'Mortality_Shock '!J12</f>
        <v>0.14527149098490161</v>
      </c>
      <c r="K13" s="26">
        <f>+(G13/(1-DATA!$C$7)) *DATA!$C$8</f>
        <v>1468.4973619239377</v>
      </c>
      <c r="L13" s="26">
        <f>+L12*(1+DATA!$C$11)</f>
        <v>60.949720999737863</v>
      </c>
      <c r="M13" s="23">
        <f>+DATA!$C$9*(1-'Mortality_Shock '!H13) * (G13 - DATA!$C$12)</f>
        <v>15075.603750280425</v>
      </c>
      <c r="N13" s="23">
        <f>'Mortality_Shock '!H13 * (MAX($G$2,G13) )</f>
        <v>2061.4068877284089</v>
      </c>
      <c r="O13" s="23">
        <f t="shared" si="0"/>
        <v>2484.7497102316779</v>
      </c>
      <c r="Q13" s="29" t="s">
        <v>46</v>
      </c>
      <c r="R13" s="31">
        <f>+SUMPRODUCT(D3:D52,J2:J51,K3:K52)</f>
        <v>7787.5788128170598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+MIN(_xlfn.XLOOKUP(A14+59,DATA!$E$4:$E$63,DATA!$G$4:$G$63)*1.15,1)</f>
        <v>2.2698102000000001E-2</v>
      </c>
      <c r="I14" s="22">
        <f>+_xlfn.XLOOKUP(A14+59,DATA!$E$4:$E$63,DATA!$H$4:$H$63)</f>
        <v>0.86691443914546784</v>
      </c>
      <c r="J14" s="2">
        <f>+(1-H14)*(1-DATA!$C$9)*'Mortality_Shock '!J13</f>
        <v>0.12067798828510909</v>
      </c>
      <c r="K14" s="26">
        <f>+(G14/(1-DATA!$C$7)) *DATA!$C$8</f>
        <v>1471.9084757060559</v>
      </c>
      <c r="L14" s="26">
        <f>+L13*(1+DATA!$C$11)</f>
        <v>62.168715419732621</v>
      </c>
      <c r="M14" s="23">
        <f>+DATA!$C$9*(1-'Mortality_Shock '!H14) * (G14 - DATA!$C$12)</f>
        <v>15070.482060263565</v>
      </c>
      <c r="N14" s="23">
        <f>'Mortality_Shock '!H14 * (MAX($G$2,G14) )</f>
        <v>2333.894220320235</v>
      </c>
      <c r="O14" s="23">
        <f t="shared" si="0"/>
        <v>2048.7998678325816</v>
      </c>
      <c r="Q14" s="28" t="s">
        <v>47</v>
      </c>
      <c r="R14" s="30">
        <f>+SUM(R10:R13)</f>
        <v>95826.652931266552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+MIN(_xlfn.XLOOKUP(A15+59,DATA!$E$4:$E$63,DATA!$G$4:$G$63)*1.15,1)</f>
        <v>2.4980035499999994E-2</v>
      </c>
      <c r="I15" s="22">
        <f>+_xlfn.XLOOKUP(A15+59,DATA!$E$4:$E$63,DATA!$H$4:$H$63)</f>
        <v>0.84808352308867097</v>
      </c>
      <c r="J15" s="2">
        <f>+(1-H15)*(1-DATA!$C$9)*'Mortality_Shock '!J14</f>
        <v>0.10001393067562671</v>
      </c>
      <c r="K15" s="26">
        <f>+(G15/(1-DATA!$C$7)) *DATA!$C$8</f>
        <v>1476.2634791908197</v>
      </c>
      <c r="L15" s="26">
        <f>+L14*(1+DATA!$C$11)</f>
        <v>63.412089728127278</v>
      </c>
      <c r="M15" s="23">
        <f>+DATA!$C$9*(1-'Mortality_Shock '!H15) * (G15 - DATA!$C$12)</f>
        <v>15079.787779838649</v>
      </c>
      <c r="N15" s="23">
        <f>'Mortality_Shock '!H15 * (MAX($G$2,G15) )</f>
        <v>2576.1298290681639</v>
      </c>
      <c r="O15" s="23">
        <f t="shared" si="0"/>
        <v>1682.1317807136336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+MIN(_xlfn.XLOOKUP(A16+59,DATA!$E$4:$E$63,DATA!$G$4:$G$63)*1.15,1)</f>
        <v>2.7509184499999999E-2</v>
      </c>
      <c r="I16" s="22">
        <f>+_xlfn.XLOOKUP(A16+59,DATA!$E$4:$E$63,DATA!$H$4:$H$63)</f>
        <v>0.82779649169036118</v>
      </c>
      <c r="J16" s="2">
        <f>+(1-H16)*(1-DATA!$C$9)*'Mortality_Shock '!J15</f>
        <v>8.2673234653485583E-2</v>
      </c>
      <c r="K16" s="26">
        <f>+(G16/(1-DATA!$C$7)) *DATA!$C$8</f>
        <v>1481.180360131865</v>
      </c>
      <c r="L16" s="26">
        <f>+L15*(1+DATA!$C$11)</f>
        <v>64.680331522689826</v>
      </c>
      <c r="M16" s="23">
        <f>+DATA!$C$9*(1-'Mortality_Shock '!H16) * (G16 - DATA!$C$12)</f>
        <v>15090.776189782309</v>
      </c>
      <c r="N16" s="23">
        <f>'Mortality_Shock '!H16 * (MAX($G$2,G16) )</f>
        <v>2846.4036000672677</v>
      </c>
      <c r="O16" s="23">
        <f t="shared" si="0"/>
        <v>1379.248219257026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+MIN(_xlfn.XLOOKUP(A17+59,DATA!$E$4:$E$63,DATA!$G$4:$G$63)*1.15,1)</f>
        <v>2.98757235E-2</v>
      </c>
      <c r="I17" s="22">
        <f>+_xlfn.XLOOKUP(A17+59,DATA!$E$4:$E$63,DATA!$H$4:$H$63)</f>
        <v>0.80629125769035137</v>
      </c>
      <c r="J17" s="2">
        <f>+(1-H17)*(1-DATA!$C$9)*'Mortality_Shock '!J16</f>
        <v>6.8172815161008316E-2</v>
      </c>
      <c r="K17" s="26">
        <f>+(G17/(1-DATA!$C$7)) *DATA!$C$8</f>
        <v>1484.5774917502104</v>
      </c>
      <c r="L17" s="26">
        <f>+L16*(1+DATA!$C$11)</f>
        <v>65.973938153143621</v>
      </c>
      <c r="M17" s="23">
        <f>+DATA!$C$9*(1-'Mortality_Shock '!H17) * (G17 - DATA!$C$12)</f>
        <v>15088.586653531129</v>
      </c>
      <c r="N17" s="23">
        <f>'Mortality_Shock '!H17 * (MAX($G$2,G17) )</f>
        <v>3098.3617479557179</v>
      </c>
      <c r="O17" s="23">
        <f t="shared" si="0"/>
        <v>1127.0059277204089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+MIN(_xlfn.XLOOKUP(A18+59,DATA!$E$4:$E$63,DATA!$G$4:$G$63)*1.15,1)</f>
        <v>3.3605667999999998E-2</v>
      </c>
      <c r="I18" s="22">
        <f>+_xlfn.XLOOKUP(A18+59,DATA!$E$4:$E$63,DATA!$H$4:$H$63)</f>
        <v>0.78272955654492149</v>
      </c>
      <c r="J18" s="2">
        <f>+(1-H18)*(1-DATA!$C$9)*'Mortality_Shock '!J17</f>
        <v>5.5999548842869791E-2</v>
      </c>
      <c r="K18" s="26">
        <f>+(G18/(1-DATA!$C$7)) *DATA!$C$8</f>
        <v>1485.4004344685075</v>
      </c>
      <c r="L18" s="26">
        <f>+L17*(1+DATA!$C$11)</f>
        <v>67.293416916206496</v>
      </c>
      <c r="M18" s="23">
        <f>+DATA!$C$9*(1-'Mortality_Shock '!H18) * (G18 - DATA!$C$12)</f>
        <v>15038.907362936652</v>
      </c>
      <c r="N18" s="23">
        <f>'Mortality_Shock '!H18 * (MAX($G$2,G18) )</f>
        <v>3487.1200445109084</v>
      </c>
      <c r="O18" s="23">
        <f t="shared" si="0"/>
        <v>924.09067952507235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+MIN(_xlfn.XLOOKUP(A19+59,DATA!$E$4:$E$63,DATA!$G$4:$G$63)*1.15,1)</f>
        <v>3.7799844499999992E-2</v>
      </c>
      <c r="I19" s="22">
        <f>+_xlfn.XLOOKUP(A19+59,DATA!$E$4:$E$63,DATA!$H$4:$H$63)</f>
        <v>0.75700168217713715</v>
      </c>
      <c r="J19" s="2">
        <f>+(1-H19)*(1-DATA!$C$9)*'Mortality_Shock '!J18</f>
        <v>4.5800358413858287E-2</v>
      </c>
      <c r="K19" s="26">
        <f>+(G19/(1-DATA!$C$7)) *DATA!$C$8</f>
        <v>1483.9047345693523</v>
      </c>
      <c r="L19" s="26">
        <f>+L18*(1+DATA!$C$11)</f>
        <v>68.639285254530634</v>
      </c>
      <c r="M19" s="23">
        <f>+DATA!$C$9*(1-'Mortality_Shock '!H19) * (G19 - DATA!$C$12)</f>
        <v>14958.557745499083</v>
      </c>
      <c r="N19" s="23">
        <f>'Mortality_Shock '!H19 * (MAX($G$2,G19) )</f>
        <v>3918.3827227646789</v>
      </c>
      <c r="O19" s="23">
        <f t="shared" si="0"/>
        <v>756.11112458237801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+MIN(_xlfn.XLOOKUP(A20+59,DATA!$E$4:$E$63,DATA!$G$4:$G$63)*1.15,1)</f>
        <v>4.3179866500000004E-2</v>
      </c>
      <c r="I20" s="22">
        <f>+_xlfn.XLOOKUP(A20+59,DATA!$E$4:$E$63,DATA!$H$4:$H$63)</f>
        <v>0.72857800254523786</v>
      </c>
      <c r="J20" s="2">
        <f>+(1-H20)*(1-DATA!$C$9)*'Mortality_Shock '!J19</f>
        <v>3.7249299294111367E-2</v>
      </c>
      <c r="K20" s="26">
        <f>+(G20/(1-DATA!$C$7)) *DATA!$C$8</f>
        <v>1481.8310003128743</v>
      </c>
      <c r="L20" s="26">
        <f>+L19*(1+DATA!$C$11)</f>
        <v>70.012070959621255</v>
      </c>
      <c r="M20" s="23">
        <f>+DATA!$C$9*(1-'Mortality_Shock '!H20) * (G20 - DATA!$C$12)</f>
        <v>14854.12735419063</v>
      </c>
      <c r="N20" s="23">
        <f>'Mortality_Shock '!H20 * (MAX($G$2,G20) )</f>
        <v>4469.8277817251283</v>
      </c>
      <c r="O20" s="23">
        <f t="shared" si="0"/>
        <v>618.87345871598905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+MIN(_xlfn.XLOOKUP(A21+59,DATA!$E$4:$E$63,DATA!$G$4:$G$63)*1.15,1)</f>
        <v>4.7725172499999996E-2</v>
      </c>
      <c r="I21" s="22">
        <f>+_xlfn.XLOOKUP(A21+59,DATA!$E$4:$E$63,DATA!$H$4:$H$63)</f>
        <v>0.69834190615291014</v>
      </c>
      <c r="J21" s="2">
        <f>+(1-H21)*(1-DATA!$C$9)*'Mortality_Shock '!J20</f>
        <v>3.015083455082641E-2</v>
      </c>
      <c r="K21" s="26">
        <f>+(G21/(1-DATA!$C$7)) *DATA!$C$8</f>
        <v>1479.4559022574501</v>
      </c>
      <c r="L21" s="26">
        <f>+L20*(1+DATA!$C$11)</f>
        <v>71.412312378813681</v>
      </c>
      <c r="M21" s="23">
        <f>+DATA!$C$9*(1-'Mortality_Shock '!H21) * (G21 - DATA!$C$12)</f>
        <v>14759.864010576606</v>
      </c>
      <c r="N21" s="23">
        <f>'Mortality_Shock '!H21 * (MAX($G$2,G21) )</f>
        <v>4932.4234144478269</v>
      </c>
      <c r="O21" s="23">
        <f t="shared" si="0"/>
        <v>501.72129621366201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+MIN(_xlfn.XLOOKUP(A22+59,DATA!$E$4:$E$63,DATA!$G$4:$G$63)*1.15,1)</f>
        <v>5.4099484499999996E-2</v>
      </c>
      <c r="I22" s="22">
        <f>+_xlfn.XLOOKUP(A22+59,DATA!$E$4:$E$63,DATA!$H$4:$H$63)</f>
        <v>0.66548978691150162</v>
      </c>
      <c r="J22" s="2">
        <f>+(1-H22)*(1-DATA!$C$9)*'Mortality_Shock '!J21</f>
        <v>2.4241736452724625E-2</v>
      </c>
      <c r="K22" s="26">
        <f>+(G22/(1-DATA!$C$7)) *DATA!$C$8</f>
        <v>1478.555609799771</v>
      </c>
      <c r="L22" s="26">
        <f>+L21*(1+DATA!$C$11)</f>
        <v>72.840558626389949</v>
      </c>
      <c r="M22" s="23">
        <f>+DATA!$C$9*(1-'Mortality_Shock '!H22) * (G22 - DATA!$C$12)</f>
        <v>14652.141407823963</v>
      </c>
      <c r="N22" s="23">
        <f>'Mortality_Shock '!H22 * (MAX($G$2,G22) )</f>
        <v>5587.8097268761603</v>
      </c>
      <c r="O22" s="23">
        <f t="shared" si="0"/>
        <v>407.6730788022582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+MIN(_xlfn.XLOOKUP(A23+59,DATA!$E$4:$E$63,DATA!$G$4:$G$63)*1.15,1)</f>
        <v>6.0686224499999997E-2</v>
      </c>
      <c r="I23" s="22">
        <f>+_xlfn.XLOOKUP(A23+59,DATA!$E$4:$E$63,DATA!$H$4:$H$63)</f>
        <v>0.63037147159761586</v>
      </c>
      <c r="J23" s="2">
        <f>+(1-H23)*(1-DATA!$C$9)*'Mortality_Shock '!J22</f>
        <v>1.9355007443272034E-2</v>
      </c>
      <c r="K23" s="26">
        <f>+(G23/(1-DATA!$C$7)) *DATA!$C$8</f>
        <v>1479.1280202811074</v>
      </c>
      <c r="L23" s="26">
        <f>+L22*(1+DATA!$C$11)</f>
        <v>74.297369798917757</v>
      </c>
      <c r="M23" s="23">
        <f>+DATA!$C$9*(1-'Mortality_Shock '!H23) * (G23 - DATA!$C$12)</f>
        <v>14555.745858932461</v>
      </c>
      <c r="N23" s="23">
        <f>'Mortality_Shock '!H23 * (MAX($G$2,G23) )</f>
        <v>6270.5654150538139</v>
      </c>
      <c r="O23" s="23">
        <f t="shared" si="0"/>
        <v>329.09256037754881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+MIN(_xlfn.XLOOKUP(A24+59,DATA!$E$4:$E$63,DATA!$G$4:$G$63)*1.15,1)</f>
        <v>6.7793856999999999E-2</v>
      </c>
      <c r="I24" s="22">
        <f>+_xlfn.XLOOKUP(A24+59,DATA!$E$4:$E$63,DATA!$H$4:$H$63)</f>
        <v>0.59321032950859998</v>
      </c>
      <c r="J24" s="2">
        <f>+(1-H24)*(1-DATA!$C$9)*'Mortality_Shock '!J23</f>
        <v>1.5336428310964578E-2</v>
      </c>
      <c r="K24" s="26">
        <f>+(G24/(1-DATA!$C$7)) *DATA!$C$8</f>
        <v>1481.4354895753065</v>
      </c>
      <c r="L24" s="26">
        <f>+L23*(1+DATA!$C$11)</f>
        <v>75.783317194896114</v>
      </c>
      <c r="M24" s="23">
        <f>+DATA!$C$9*(1-'Mortality_Shock '!H24) * (G24 - DATA!$C$12)</f>
        <v>14468.144724811995</v>
      </c>
      <c r="N24" s="23">
        <f>'Mortality_Shock '!H24 * (MAX($G$2,G24) )</f>
        <v>7015.908340630247</v>
      </c>
      <c r="O24" s="23">
        <f t="shared" si="0"/>
        <v>264.15633643027741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+MIN(_xlfn.XLOOKUP(A25+59,DATA!$E$4:$E$63,DATA!$G$4:$G$63)*1.15,1)</f>
        <v>7.5596882999999976E-2</v>
      </c>
      <c r="I25" s="22">
        <f>+_xlfn.XLOOKUP(A25+59,DATA!$E$4:$E$63,DATA!$H$4:$H$63)</f>
        <v>0.55421480613968421</v>
      </c>
      <c r="J25" s="2">
        <f>+(1-H25)*(1-DATA!$C$9)*'Mortality_Shock '!J24</f>
        <v>1.2050485814157295E-2</v>
      </c>
      <c r="K25" s="26">
        <f>+(G25/(1-DATA!$C$7)) *DATA!$C$8</f>
        <v>1485.0800678162418</v>
      </c>
      <c r="L25" s="26">
        <f>+L24*(1+DATA!$C$11)</f>
        <v>77.298983538794033</v>
      </c>
      <c r="M25" s="23">
        <f>+DATA!$C$9*(1-'Mortality_Shock '!H25) * (G25 - DATA!$C$12)</f>
        <v>14382.342135536777</v>
      </c>
      <c r="N25" s="23">
        <f>'Mortality_Shock '!H25 * (MAX($G$2,G25) )</f>
        <v>7842.6814858160742</v>
      </c>
      <c r="O25" s="23">
        <f t="shared" si="0"/>
        <v>210.8163185528077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+MIN(_xlfn.XLOOKUP(A26+59,DATA!$E$4:$E$63,DATA!$G$4:$G$63)*1.15,1)</f>
        <v>8.3012036999999997E-2</v>
      </c>
      <c r="I26" s="22">
        <f>+_xlfn.XLOOKUP(A26+59,DATA!$E$4:$E$63,DATA!$H$4:$H$63)</f>
        <v>0.51420915397167088</v>
      </c>
      <c r="J26" s="2">
        <f>+(1-H26)*(1-DATA!$C$9)*'Mortality_Shock '!J25</f>
        <v>9.3926278739018196E-3</v>
      </c>
      <c r="K26" s="26">
        <f>+(G26/(1-DATA!$C$7)) *DATA!$C$8</f>
        <v>1490.2460492259468</v>
      </c>
      <c r="L26" s="26">
        <f>+L25*(1+DATA!$C$11)</f>
        <v>78.844963209569912</v>
      </c>
      <c r="M26" s="23">
        <f>+DATA!$C$9*(1-'Mortality_Shock '!H26) * (G26 - DATA!$C$12)</f>
        <v>14316.611820640625</v>
      </c>
      <c r="N26" s="23">
        <f>'Mortality_Shock '!H26 * (MAX($G$2,G26) )</f>
        <v>8641.9125895388752</v>
      </c>
      <c r="O26" s="23">
        <f t="shared" si="0"/>
        <v>166.46525506249731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+MIN(_xlfn.XLOOKUP(A27+59,DATA!$E$4:$E$63,DATA!$G$4:$G$63)*1.15,1)</f>
        <v>9.3445906499999995E-2</v>
      </c>
      <c r="I27" s="22">
        <f>+_xlfn.XLOOKUP(A27+59,DATA!$E$4:$E$63,DATA!$H$4:$H$63)</f>
        <v>0.47242590134255708</v>
      </c>
      <c r="J27" s="2">
        <f>+(1-H27)*(1-DATA!$C$9)*'Mortality_Shock '!J26</f>
        <v>7.2376864606367121E-3</v>
      </c>
      <c r="K27" s="26">
        <f>+(G27/(1-DATA!$C$7)) *DATA!$C$8</f>
        <v>1496.3936819603516</v>
      </c>
      <c r="L27" s="26">
        <f>+L26*(1+DATA!$C$11)</f>
        <v>80.421862473761308</v>
      </c>
      <c r="M27" s="23">
        <f>+DATA!$C$9*(1-'Mortality_Shock '!H27) * (G27 - DATA!$C$12)</f>
        <v>14212.110243529312</v>
      </c>
      <c r="N27" s="23">
        <f>'Mortality_Shock '!H27 * (MAX($G$2,G27) )</f>
        <v>9768.2545058315191</v>
      </c>
      <c r="O27" s="23">
        <f t="shared" si="0"/>
        <v>131.67845971588284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+MIN(_xlfn.XLOOKUP(A28+59,DATA!$E$4:$E$63,DATA!$G$4:$G$63)*1.15,1)</f>
        <v>0.106535517</v>
      </c>
      <c r="I28" s="22">
        <f>+_xlfn.XLOOKUP(A28+59,DATA!$E$4:$E$63,DATA!$H$4:$H$63)</f>
        <v>0.42866056426106119</v>
      </c>
      <c r="J28" s="2">
        <f>+(1-H28)*(1-DATA!$C$9)*'Mortality_Shock '!J27</f>
        <v>5.4966234229185482E-3</v>
      </c>
      <c r="K28" s="26">
        <f>+(G28/(1-DATA!$C$7)) *DATA!$C$8</f>
        <v>1503.6227786978077</v>
      </c>
      <c r="L28" s="26">
        <f>+L27*(1+DATA!$C$11)</f>
        <v>82.030299723236539</v>
      </c>
      <c r="M28" s="23">
        <f>+DATA!$C$9*(1-'Mortality_Shock '!H28) * (G28 - DATA!$C$12)</f>
        <v>14074.584005056095</v>
      </c>
      <c r="N28" s="23">
        <f>'Mortality_Shock '!H28 * (MAX($G$2,G28) )</f>
        <v>11190.361931379533</v>
      </c>
      <c r="O28" s="23">
        <f t="shared" si="0"/>
        <v>103.75624675492021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+MIN(_xlfn.XLOOKUP(A29+59,DATA!$E$4:$E$63,DATA!$G$4:$G$63)*1.15,1)</f>
        <v>0.12305161000000001</v>
      </c>
      <c r="I29" s="22">
        <f>+_xlfn.XLOOKUP(A29+59,DATA!$E$4:$E$63,DATA!$H$4:$H$63)</f>
        <v>0.38279328376033767</v>
      </c>
      <c r="J29" s="2">
        <f>+(1-H29)*(1-DATA!$C$9)*'Mortality_Shock '!J28</f>
        <v>4.0972168019900038E-3</v>
      </c>
      <c r="K29" s="26">
        <f>+(G29/(1-DATA!$C$7)) *DATA!$C$8</f>
        <v>1512.036984530421</v>
      </c>
      <c r="L29" s="26">
        <f>+L28*(1+DATA!$C$11)</f>
        <v>83.670905717701274</v>
      </c>
      <c r="M29" s="23">
        <f>+DATA!$C$9*(1-'Mortality_Shock '!H29) * (G29 - DATA!$C$12)</f>
        <v>13891.728523636186</v>
      </c>
      <c r="N29" s="23">
        <f>'Mortality_Shock '!H29 * (MAX($G$2,G29) )</f>
        <v>12997.521174917221</v>
      </c>
      <c r="O29" s="23">
        <f t="shared" si="0"/>
        <v>81.299412524324993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+MIN(_xlfn.XLOOKUP(A30+59,DATA!$E$4:$E$63,DATA!$G$4:$G$63)*1.15,1)</f>
        <v>0.14060435900000001</v>
      </c>
      <c r="I30" s="22">
        <f>+_xlfn.XLOOKUP(A30+59,DATA!$E$4:$E$63,DATA!$H$4:$H$63)</f>
        <v>0.33599119307109643</v>
      </c>
      <c r="J30" s="2">
        <f>+(1-H30)*(1-DATA!$C$9)*'Mortality_Shock '!J29</f>
        <v>2.9929607208828437E-3</v>
      </c>
      <c r="K30" s="26">
        <f>+(G30/(1-DATA!$C$7)) *DATA!$C$8</f>
        <v>1521.3287371681588</v>
      </c>
      <c r="L30" s="26">
        <f>+L29*(1+DATA!$C$11)</f>
        <v>85.344323832055295</v>
      </c>
      <c r="M30" s="23">
        <f>+DATA!$C$9*(1-'Mortality_Shock '!H30) * (G30 - DATA!$C$12)</f>
        <v>13697.350094950312</v>
      </c>
      <c r="N30" s="23">
        <f>'Mortality_Shock '!H30 * (MAX($G$2,G30) )</f>
        <v>14942.823712544046</v>
      </c>
      <c r="O30" s="23">
        <f t="shared" si="0"/>
        <v>62.549392871172671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+MIN(_xlfn.XLOOKUP(A31+59,DATA!$E$4:$E$63,DATA!$G$4:$G$63)*1.15,1)</f>
        <v>0.16086129849999997</v>
      </c>
      <c r="I31" s="22">
        <f>+_xlfn.XLOOKUP(A31+59,DATA!$E$4:$E$63,DATA!$H$4:$H$63)</f>
        <v>0.28899294993893926</v>
      </c>
      <c r="J31" s="2">
        <f>+(1-H31)*(1-DATA!$C$9)*'Mortality_Shock '!J30</f>
        <v>2.1347827970178133E-3</v>
      </c>
      <c r="K31" s="26">
        <f>+(G31/(1-DATA!$C$7)) *DATA!$C$8</f>
        <v>1531.1248619675434</v>
      </c>
      <c r="L31" s="26">
        <f>+L30*(1+DATA!$C$11)</f>
        <v>87.051210308696398</v>
      </c>
      <c r="M31" s="23">
        <f>+DATA!$C$9*(1-'Mortality_Shock '!H31) * (G31 - DATA!$C$12)</f>
        <v>13460.624944738534</v>
      </c>
      <c r="N31" s="23">
        <f>'Mortality_Shock '!H31 * (MAX($G$2,G31) )</f>
        <v>17205.725808969582</v>
      </c>
      <c r="O31" s="23">
        <f t="shared" si="0"/>
        <v>47.391538109113959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+MIN(_xlfn.XLOOKUP(A32+59,DATA!$E$4:$E$63,DATA!$G$4:$G$63)*1.15,1)</f>
        <v>0.18403807649999998</v>
      </c>
      <c r="I32" s="22">
        <f>+_xlfn.XLOOKUP(A32+59,DATA!$E$4:$E$63,DATA!$H$4:$H$63)</f>
        <v>0.24274450939213651</v>
      </c>
      <c r="J32" s="2">
        <f>+(1-H32)*(1-DATA!$C$9)*'Mortality_Shock '!J31</f>
        <v>1.4806162557129601E-3</v>
      </c>
      <c r="K32" s="26">
        <f>+(G32/(1-DATA!$C$7)) *DATA!$C$8</f>
        <v>1541.4342512768526</v>
      </c>
      <c r="L32" s="26">
        <f>+L31*(1+DATA!$C$11)</f>
        <v>88.79223451487033</v>
      </c>
      <c r="M32" s="23">
        <f>+DATA!$C$9*(1-'Mortality_Shock '!H32) * (G32 - DATA!$C$12)</f>
        <v>13176.992687532951</v>
      </c>
      <c r="N32" s="23">
        <f>'Mortality_Shock '!H32 * (MAX($G$2,G32) )</f>
        <v>19817.255540983784</v>
      </c>
      <c r="O32" s="23">
        <f t="shared" si="0"/>
        <v>35.218163671857035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+MIN(_xlfn.XLOOKUP(A33+59,DATA!$E$4:$E$63,DATA!$G$4:$G$63)*1.15,1)</f>
        <v>0.207872482</v>
      </c>
      <c r="I33" s="22">
        <f>+_xlfn.XLOOKUP(A33+59,DATA!$E$4:$E$63,DATA!$H$4:$H$63)</f>
        <v>0.1988663322971663</v>
      </c>
      <c r="J33" s="2">
        <f>+(1-H33)*(1-DATA!$C$9)*'Mortality_Shock '!J32</f>
        <v>9.969113477861064E-4</v>
      </c>
      <c r="K33" s="26">
        <f>+(G33/(1-DATA!$C$7)) *DATA!$C$8</f>
        <v>1552.7357621857186</v>
      </c>
      <c r="L33" s="26">
        <f>+L32*(1+DATA!$C$11)</f>
        <v>90.568079205167734</v>
      </c>
      <c r="M33" s="23">
        <f>+DATA!$C$9*(1-'Mortality_Shock '!H33) * (G33 - DATA!$C$12)</f>
        <v>12885.896847278049</v>
      </c>
      <c r="N33" s="23">
        <f>'Mortality_Shock '!H33 * (MAX($G$2,G33) )</f>
        <v>22547.86242618868</v>
      </c>
      <c r="O33" s="23">
        <f t="shared" si="0"/>
        <v>25.394751246923203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+MIN(_xlfn.XLOOKUP(A34+59,DATA!$E$4:$E$63,DATA!$G$4:$G$63)*1.15,1)</f>
        <v>0.23022269749999999</v>
      </c>
      <c r="I34" s="22">
        <f>+_xlfn.XLOOKUP(A34+59,DATA!$E$4:$E$63,DATA!$H$4:$H$63)</f>
        <v>0.1590545553724837</v>
      </c>
      <c r="J34" s="2">
        <f>+(1-H34)*(1-DATA!$C$9)*'Mortality_Shock '!J33</f>
        <v>6.5228976891086403E-4</v>
      </c>
      <c r="K34" s="26">
        <f>+(G34/(1-DATA!$C$7)) *DATA!$C$8</f>
        <v>1564.6072534038274</v>
      </c>
      <c r="L34" s="26">
        <f>+L33*(1+DATA!$C$11)</f>
        <v>92.379440789271086</v>
      </c>
      <c r="M34" s="23">
        <f>+DATA!$C$9*(1-'Mortality_Shock '!H34) * (G34 - DATA!$C$12)</f>
        <v>12618.073200326735</v>
      </c>
      <c r="N34" s="23">
        <f>'Mortality_Shock '!H34 * (MAX($G$2,G34) )</f>
        <v>25163.108868124848</v>
      </c>
      <c r="O34" s="23">
        <f t="shared" si="0"/>
        <v>17.652266501062233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+MIN(_xlfn.XLOOKUP(A35+59,DATA!$E$4:$E$63,DATA!$G$4:$G$63)*1.15,1)</f>
        <v>0.2583997905</v>
      </c>
      <c r="I35" s="22">
        <f>+_xlfn.XLOOKUP(A35+59,DATA!$E$4:$E$63,DATA!$H$4:$H$63)</f>
        <v>0.12331571729742245</v>
      </c>
      <c r="J35" s="2">
        <f>+(1-H35)*(1-DATA!$C$9)*'Mortality_Shock '!J34</f>
        <v>4.1117749488715283E-4</v>
      </c>
      <c r="K35" s="26">
        <f>+(G35/(1-DATA!$C$7)) *DATA!$C$8</f>
        <v>1577.0603905197688</v>
      </c>
      <c r="L35" s="26">
        <f>+L34*(1+DATA!$C$11)</f>
        <v>94.227029605056515</v>
      </c>
      <c r="M35" s="23">
        <f>+DATA!$C$9*(1-'Mortality_Shock '!H35) * (G35 - DATA!$C$12)</f>
        <v>12252.97076778078</v>
      </c>
      <c r="N35" s="23">
        <f>'Mortality_Shock '!H35 * (MAX($G$2,G35) )</f>
        <v>28467.62920548578</v>
      </c>
      <c r="O35" s="23">
        <f t="shared" ref="O35:O52" si="2">+J34*D35*(K35+L35+M35+N35)</f>
        <v>12.046097787504715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+MIN(_xlfn.XLOOKUP(A36+59,DATA!$E$4:$E$63,DATA!$G$4:$G$63)*1.15,1)</f>
        <v>0.2828993675</v>
      </c>
      <c r="I36" s="22">
        <f>+_xlfn.XLOOKUP(A36+59,DATA!$E$4:$E$63,DATA!$H$4:$H$63)</f>
        <v>9.2980118665901043E-2</v>
      </c>
      <c r="J36" s="2">
        <f>+(1-H36)*(1-DATA!$C$9)*'Mortality_Shock '!J35</f>
        <v>2.5062729540534142E-4</v>
      </c>
      <c r="K36" s="26">
        <f>+(G36/(1-DATA!$C$7)) *DATA!$C$8</f>
        <v>1590.1074729646173</v>
      </c>
      <c r="L36" s="26">
        <f>+L35*(1+DATA!$C$11)</f>
        <v>96.111570197157647</v>
      </c>
      <c r="M36" s="23">
        <f>+DATA!$C$9*(1-'Mortality_Shock '!H36) * (G36 - DATA!$C$12)</f>
        <v>11946.218687008648</v>
      </c>
      <c r="N36" s="23">
        <f>'Mortality_Shock '!H36 * (MAX($G$2,G36) )</f>
        <v>31424.564971058702</v>
      </c>
      <c r="O36" s="23">
        <f t="shared" si="2"/>
        <v>7.8284431007435007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+MIN(_xlfn.XLOOKUP(A37+59,DATA!$E$4:$E$63,DATA!$G$4:$G$63)*1.15,1)</f>
        <v>0.316960562</v>
      </c>
      <c r="I37" s="22">
        <f>+_xlfn.XLOOKUP(A37+59,DATA!$E$4:$E$63,DATA!$H$4:$H$63)</f>
        <v>6.7353135477056972E-2</v>
      </c>
      <c r="J37" s="2">
        <f>+(1-H37)*(1-DATA!$C$9)*'Mortality_Shock '!J36</f>
        <v>1.4551007795095573E-4</v>
      </c>
      <c r="K37" s="26">
        <f>+(G37/(1-DATA!$C$7)) *DATA!$C$8</f>
        <v>1603.2143567385515</v>
      </c>
      <c r="L37" s="26">
        <f>+L36*(1+DATA!$C$11)</f>
        <v>98.033801601100805</v>
      </c>
      <c r="M37" s="23">
        <f>+DATA!$C$9*(1-'Mortality_Shock '!H37) * (G37 - DATA!$C$12)</f>
        <v>11472.600988357999</v>
      </c>
      <c r="N37" s="23">
        <f>'Mortality_Shock '!H37 * (MAX($G$2,G37) )</f>
        <v>35498.30697149405</v>
      </c>
      <c r="O37" s="23">
        <f t="shared" si="2"/>
        <v>4.9999591724067987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+MIN(_xlfn.XLOOKUP(A38+59,DATA!$E$4:$E$63,DATA!$G$4:$G$63)*1.15,1)</f>
        <v>0.35139450600000005</v>
      </c>
      <c r="I38" s="22">
        <f>+_xlfn.XLOOKUP(A38+59,DATA!$E$4:$E$63,DATA!$H$4:$H$63)</f>
        <v>4.6772681765307828E-2</v>
      </c>
      <c r="J38" s="2">
        <f>+(1-H38)*(1-DATA!$C$9)*'Mortality_Shock '!J37</f>
        <v>8.0221840592654406E-5</v>
      </c>
      <c r="K38" s="26">
        <f>+(G38/(1-DATA!$C$7)) *DATA!$C$8</f>
        <v>1616.9008642635238</v>
      </c>
      <c r="L38" s="26">
        <f>+L37*(1+DATA!$C$11)</f>
        <v>99.994477633122827</v>
      </c>
      <c r="M38" s="23">
        <f>+DATA!$C$9*(1-'Mortality_Shock '!H38) * (G38 - DATA!$C$12)</f>
        <v>10987.254611061715</v>
      </c>
      <c r="N38" s="23">
        <f>'Mortality_Shock '!H38 * (MAX($G$2,G38) )</f>
        <v>39690.738477069943</v>
      </c>
      <c r="O38" s="23">
        <f t="shared" si="2"/>
        <v>3.030306471768867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+MIN(_xlfn.XLOOKUP(A39+59,DATA!$E$4:$E$63,DATA!$G$4:$G$63)*1.15,1)</f>
        <v>0.38246344649999997</v>
      </c>
      <c r="I39" s="22">
        <f>+_xlfn.XLOOKUP(A39+59,DATA!$E$4:$E$63,DATA!$H$4:$H$63)</f>
        <v>3.1217167791388403E-2</v>
      </c>
      <c r="J39" s="2">
        <f>+(1-H39)*(1-DATA!$C$9)*'Mortality_Shock '!J38</f>
        <v>4.2108931111762071E-5</v>
      </c>
      <c r="K39" s="26">
        <f>+(G39/(1-DATA!$C$7)) *DATA!$C$8</f>
        <v>1631.1798595382238</v>
      </c>
      <c r="L39" s="26">
        <f>+L38*(1+DATA!$C$11)</f>
        <v>101.99436718578528</v>
      </c>
      <c r="M39" s="23">
        <f>+DATA!$C$9*(1-'Mortality_Shock '!H39) * (G39 - DATA!$C$12)</f>
        <v>10553.350588004101</v>
      </c>
      <c r="N39" s="23">
        <f>'Mortality_Shock '!H39 * (MAX($G$2,G39) )</f>
        <v>43581.543155691907</v>
      </c>
      <c r="O39" s="23">
        <f t="shared" si="2"/>
        <v>1.7269558405682159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+MIN(_xlfn.XLOOKUP(A40+59,DATA!$E$4:$E$63,DATA!$G$4:$G$63)*1.15,1)</f>
        <v>0.41006432049999997</v>
      </c>
      <c r="I40" s="22">
        <f>+_xlfn.XLOOKUP(A40+59,DATA!$E$4:$E$63,DATA!$H$4:$H$63)</f>
        <v>2.0085822836336076E-2</v>
      </c>
      <c r="J40" s="2">
        <f>+(1-H40)*(1-DATA!$C$9)*'Mortality_Shock '!J39</f>
        <v>2.1115326755170644E-5</v>
      </c>
      <c r="K40" s="26">
        <f>+(G40/(1-DATA!$C$7)) *DATA!$C$8</f>
        <v>1646.0648363423545</v>
      </c>
      <c r="L40" s="26">
        <f>+L39*(1+DATA!$C$11)</f>
        <v>104.03425452950098</v>
      </c>
      <c r="M40" s="23">
        <f>+DATA!$C$9*(1-'Mortality_Shock '!H40) * (G40 - DATA!$C$12)</f>
        <v>10173.681465304202</v>
      </c>
      <c r="N40" s="23">
        <f>'Mortality_Shock '!H40 * (MAX($G$2,G40) )</f>
        <v>47153.044608869321</v>
      </c>
      <c r="O40" s="23">
        <f t="shared" si="2"/>
        <v>0.92898797135511169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+MIN(_xlfn.XLOOKUP(A41+59,DATA!$E$4:$E$63,DATA!$G$4:$G$63)*1.15,1)</f>
        <v>0.4359453465</v>
      </c>
      <c r="I41" s="22">
        <f>+_xlfn.XLOOKUP(A41+59,DATA!$E$4:$E$63,DATA!$H$4:$H$63)</f>
        <v>1.2471630665793342E-2</v>
      </c>
      <c r="J41" s="2">
        <f>+(1-H41)*(1-DATA!$C$9)*'Mortality_Shock '!J40</f>
        <v>1.0123668568962996E-5</v>
      </c>
      <c r="K41" s="26">
        <f>+(G41/(1-DATA!$C$7)) *DATA!$C$8</f>
        <v>1660.9387176123464</v>
      </c>
      <c r="L41" s="26">
        <f>+L40*(1+DATA!$C$11)</f>
        <v>106.11493962009101</v>
      </c>
      <c r="M41" s="23">
        <f>+DATA!$C$9*(1-'Mortality_Shock '!H41) * (G41 - DATA!$C$12)</f>
        <v>9815.2644949493533</v>
      </c>
      <c r="N41" s="23">
        <f>'Mortality_Shock '!H41 * (MAX($G$2,G41) )</f>
        <v>50582.055547139629</v>
      </c>
      <c r="O41" s="23">
        <f t="shared" si="2"/>
        <v>0.47510574028273905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+MIN(_xlfn.XLOOKUP(A42+59,DATA!$E$4:$E$63,DATA!$G$4:$G$63)*1.15,1)</f>
        <v>0.46289204299999998</v>
      </c>
      <c r="I42" s="22">
        <f>+_xlfn.XLOOKUP(A42+59,DATA!$E$4:$E$63,DATA!$H$4:$H$63)</f>
        <v>7.4516144932450555E-3</v>
      </c>
      <c r="J42" s="2">
        <f>+(1-H42)*(1-DATA!$C$9)*'Mortality_Shock '!J41</f>
        <v>4.6218775010577043E-6</v>
      </c>
      <c r="K42" s="26">
        <f>+(G42/(1-DATA!$C$7)) *DATA!$C$8</f>
        <v>1676.4030408347244</v>
      </c>
      <c r="L42" s="26">
        <f>+L41*(1+DATA!$C$11)</f>
        <v>108.23723841249283</v>
      </c>
      <c r="M42" s="23">
        <f>+DATA!$C$9*(1-'Mortality_Shock '!H42) * (G42 - DATA!$C$12)</f>
        <v>9433.3930186199686</v>
      </c>
      <c r="N42" s="23">
        <f>'Mortality_Shock '!H42 * (MAX($G$2,G42) )</f>
        <v>54208.69775980022</v>
      </c>
      <c r="O42" s="23">
        <f t="shared" si="2"/>
        <v>0.23230474097369599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+MIN(_xlfn.XLOOKUP(A43+59,DATA!$E$4:$E$63,DATA!$G$4:$G$63)*1.15,1)</f>
        <v>0.49932713649999999</v>
      </c>
      <c r="I43" s="22">
        <f>+_xlfn.XLOOKUP(A43+59,DATA!$E$4:$E$63,DATA!$H$4:$H$63)</f>
        <v>4.2161420347981409E-3</v>
      </c>
      <c r="J43" s="2">
        <f>+(1-H43)*(1-DATA!$C$9)*'Mortality_Shock '!J42</f>
        <v>1.9669413467206671E-6</v>
      </c>
      <c r="K43" s="26">
        <f>+(G43/(1-DATA!$C$7)) *DATA!$C$8</f>
        <v>1691.7959151876225</v>
      </c>
      <c r="L43" s="26">
        <f>+L42*(1+DATA!$C$11)</f>
        <v>110.40198318074269</v>
      </c>
      <c r="M43" s="23">
        <f>+DATA!$C$9*(1-'Mortality_Shock '!H43) * (G43 - DATA!$C$12)</f>
        <v>8874.2284092416685</v>
      </c>
      <c r="N43" s="23">
        <f>'Mortality_Shock '!H43 * (MAX($G$2,G43) )</f>
        <v>59012.492746844699</v>
      </c>
      <c r="O43" s="23">
        <f t="shared" si="2"/>
        <v>0.10947536808242533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+MIN(_xlfn.XLOOKUP(A44+59,DATA!$E$4:$E$63,DATA!$G$4:$G$63)*1.15,1)</f>
        <v>0.54612935349999991</v>
      </c>
      <c r="I44" s="22">
        <f>+_xlfn.XLOOKUP(A44+59,DATA!$E$4:$E$63,DATA!$H$4:$H$63)</f>
        <v>2.2139168837298946E-3</v>
      </c>
      <c r="J44" s="2">
        <f>+(1-H44)*(1-DATA!$C$9)*'Mortality_Shock '!J43</f>
        <v>7.5882639956413653E-7</v>
      </c>
      <c r="K44" s="26">
        <f>+(G44/(1-DATA!$C$7)) *DATA!$C$8</f>
        <v>1707.7614347478809</v>
      </c>
      <c r="L44" s="26">
        <f>+L43*(1+DATA!$C$11)</f>
        <v>112.61002284435754</v>
      </c>
      <c r="M44" s="23">
        <f>+DATA!$C$9*(1-'Mortality_Shock '!H44) * (G44 - DATA!$C$12)</f>
        <v>8120.6083004327029</v>
      </c>
      <c r="N44" s="23">
        <f>'Mortality_Shock '!H44 * (MAX($G$2,G44) )</f>
        <v>65152.868430620598</v>
      </c>
      <c r="O44" s="23">
        <f t="shared" si="2"/>
        <v>4.8639561391596968E-2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+MIN(_xlfn.XLOOKUP(A45+59,DATA!$E$4:$E$63,DATA!$G$4:$G$63)*1.15,1)</f>
        <v>0.58597149449999997</v>
      </c>
      <c r="I45" s="22">
        <f>+_xlfn.XLOOKUP(A45+59,DATA!$E$4:$E$63,DATA!$H$4:$H$63)</f>
        <v>1.0858367228099039E-3</v>
      </c>
      <c r="J45" s="2">
        <f>+(1-H45)*(1-DATA!$C$9)*'Mortality_Shock '!J44</f>
        <v>2.6704939612366255E-7</v>
      </c>
      <c r="K45" s="26">
        <f>+(G45/(1-DATA!$C$7)) *DATA!$C$8</f>
        <v>1724.313025439284</v>
      </c>
      <c r="L45" s="26">
        <f>+L44*(1+DATA!$C$11)</f>
        <v>114.8622233012447</v>
      </c>
      <c r="M45" s="23">
        <f>+DATA!$C$9*(1-'Mortality_Shock '!H45) * (G45 - DATA!$C$12)</f>
        <v>7479.5645632142187</v>
      </c>
      <c r="N45" s="23">
        <f>'Mortality_Shock '!H45 * (MAX($G$2,G45) )</f>
        <v>70583.537023672805</v>
      </c>
      <c r="O45" s="23">
        <f t="shared" si="2"/>
        <v>1.933950768482352E-2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+MIN(_xlfn.XLOOKUP(A46+59,DATA!$E$4:$E$63,DATA!$G$4:$G$63)*1.15,1)</f>
        <v>0.62609495999999998</v>
      </c>
      <c r="I46" s="22">
        <f>+_xlfn.XLOOKUP(A46+59,DATA!$E$4:$E$63,DATA!$H$4:$H$63)</f>
        <v>4.9467420147581884E-4</v>
      </c>
      <c r="J46" s="2">
        <f>+(1-H46)*(1-DATA!$C$9)*'Mortality_Shock '!J45</f>
        <v>8.4873447868654815E-8</v>
      </c>
      <c r="K46" s="26">
        <f>+(G46/(1-DATA!$C$7)) *DATA!$C$8</f>
        <v>1740.7187854640399</v>
      </c>
      <c r="L46" s="26">
        <f>+L45*(1+DATA!$C$11)</f>
        <v>117.15946776726959</v>
      </c>
      <c r="M46" s="23">
        <f>+DATA!$C$9*(1-'Mortality_Shock '!H46) * (G46 - DATA!$C$12)</f>
        <v>6818.9982439297946</v>
      </c>
      <c r="N46" s="23">
        <f>'Mortality_Shock '!H46 * (MAX($G$2,G46) )</f>
        <v>76134.174476608328</v>
      </c>
      <c r="O46" s="23">
        <f t="shared" si="2"/>
        <v>6.9986491214065255E-3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+MIN(_xlfn.XLOOKUP(A47+59,DATA!$E$4:$E$63,DATA!$G$4:$G$63)*1.15,1)</f>
        <v>0.66612855299999996</v>
      </c>
      <c r="I47" s="22">
        <f>+_xlfn.XLOOKUP(A47+59,DATA!$E$4:$E$63,DATA!$H$4:$H$63)</f>
        <v>2.0813801883623825E-4</v>
      </c>
      <c r="J47" s="2">
        <f>+(1-H47)*(1-DATA!$C$9)*'Mortality_Shock '!J46</f>
        <v>2.4086297724018826E-8</v>
      </c>
      <c r="K47" s="26">
        <f>+(G47/(1-DATA!$C$7)) *DATA!$C$8</f>
        <v>1757.6902677897244</v>
      </c>
      <c r="L47" s="26">
        <f>+L46*(1+DATA!$C$11)</f>
        <v>119.50265712261498</v>
      </c>
      <c r="M47" s="23">
        <f>+DATA!$C$9*(1-'Mortality_Shock '!H47) * (G47 - DATA!$C$12)</f>
        <v>6148.2704146258693</v>
      </c>
      <c r="N47" s="23">
        <f>'Mortality_Shock '!H47 * (MAX($G$2,G47) )</f>
        <v>81792.073275817325</v>
      </c>
      <c r="O47" s="23">
        <f t="shared" si="2"/>
        <v>2.2815410290219639E-3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+MIN(_xlfn.XLOOKUP(A48+59,DATA!$E$4:$E$63,DATA!$G$4:$G$63)*1.15,1)</f>
        <v>0.70568735699999996</v>
      </c>
      <c r="I48" s="22">
        <f>+_xlfn.XLOOKUP(A48+59,DATA!$E$4:$E$63,DATA!$H$4:$H$63)</f>
        <v>8.0415959354706781E-5</v>
      </c>
      <c r="J48" s="2">
        <f>+(1-H48)*(1-DATA!$C$9)*'Mortality_Shock '!J47</f>
        <v>6.0255666517547359E-9</v>
      </c>
      <c r="K48" s="26">
        <f>+(G48/(1-DATA!$C$7)) *DATA!$C$8</f>
        <v>1774.446123037156</v>
      </c>
      <c r="L48" s="26">
        <f>+L47*(1+DATA!$C$11)</f>
        <v>121.89271026506728</v>
      </c>
      <c r="M48" s="23">
        <f>+DATA!$C$9*(1-'Mortality_Shock '!H48) * (G48 - DATA!$C$12)</f>
        <v>5471.4664110945105</v>
      </c>
      <c r="N48" s="23">
        <f>'Mortality_Shock '!H48 * (MAX($G$2,G48) )</f>
        <v>87475.40731581983</v>
      </c>
      <c r="O48" s="23">
        <f t="shared" si="2"/>
        <v>6.6235373548059826E-4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+MIN(_xlfn.XLOOKUP(A49+59,DATA!$E$4:$E$63,DATA!$G$4:$G$63)*1.15,1)</f>
        <v>0.74439641450000005</v>
      </c>
      <c r="I49" s="22">
        <f>+_xlfn.XLOOKUP(A49+59,DATA!$E$4:$E$63,DATA!$H$4:$H$63)</f>
        <v>2.836260995277507E-5</v>
      </c>
      <c r="J49" s="2">
        <f>+(1-H49)*(1-DATA!$C$9)*'Mortality_Shock '!J48</f>
        <v>1.309132974729079E-9</v>
      </c>
      <c r="K49" s="26">
        <f>+(G49/(1-DATA!$C$7)) *DATA!$C$8</f>
        <v>1791.7444399896863</v>
      </c>
      <c r="L49" s="26">
        <f>+L48*(1+DATA!$C$11)</f>
        <v>124.33056447036863</v>
      </c>
      <c r="M49" s="23">
        <f>+DATA!$C$9*(1-'Mortality_Shock '!H49) * (G49 - DATA!$C$12)</f>
        <v>4798.1705945096792</v>
      </c>
      <c r="N49" s="23">
        <f>'Mortality_Shock '!H49 * (MAX($G$2,G49) )</f>
        <v>93173.231272743069</v>
      </c>
      <c r="O49" s="23">
        <f t="shared" si="2"/>
        <v>1.6902394283529123E-4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+MIN(_xlfn.XLOOKUP(A50+59,DATA!$E$4:$E$63,DATA!$G$4:$G$63)*1.15,1)</f>
        <v>0.78189433799999997</v>
      </c>
      <c r="I50" s="22">
        <f>+_xlfn.XLOOKUP(A50+59,DATA!$E$4:$E$63,DATA!$H$4:$H$63)</f>
        <v>9.0786411414904827E-6</v>
      </c>
      <c r="J50" s="2">
        <f>+(1-H50)*(1-DATA!$C$9)*'Mortality_Shock '!J49</f>
        <v>2.426999169844178E-10</v>
      </c>
      <c r="K50" s="26">
        <f>+(G50/(1-DATA!$C$7)) *DATA!$C$8</f>
        <v>1809.5978725515176</v>
      </c>
      <c r="L50" s="26">
        <f>+L49*(1+DATA!$C$11)</f>
        <v>126.81717575977601</v>
      </c>
      <c r="M50" s="23">
        <f>+DATA!$C$9*(1-'Mortality_Shock '!H50) * (G50 - DATA!$C$12)</f>
        <v>4135.0653689834389</v>
      </c>
      <c r="N50" s="23">
        <f>'Mortality_Shock '!H50 * (MAX($G$2,G50) )</f>
        <v>98841.87252368356</v>
      </c>
      <c r="O50" s="23">
        <f t="shared" si="2"/>
        <v>3.734966086071195E-5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+MIN(_xlfn.XLOOKUP(A51+59,DATA!$E$4:$E$63,DATA!$G$4:$G$63)*1.15,1)</f>
        <v>0.81785596499999991</v>
      </c>
      <c r="I51" s="22">
        <f>+_xlfn.XLOOKUP(A51+59,DATA!$E$4:$E$63,DATA!$H$4:$H$63)</f>
        <v>2.622101305262309E-6</v>
      </c>
      <c r="J51" s="2">
        <f>+(1-H51)*(1-DATA!$C$9)*'Mortality_Shock '!J50</f>
        <v>3.7575390847650873E-11</v>
      </c>
      <c r="K51" s="26">
        <f>+(G51/(1-DATA!$C$7)) *DATA!$C$8</f>
        <v>1827.1480956427774</v>
      </c>
      <c r="L51" s="26">
        <f>+L50*(1+DATA!$C$11)</f>
        <v>129.35351927497152</v>
      </c>
      <c r="M51" s="23">
        <f>+DATA!$C$9*(1-'Mortality_Shock '!H51) * (G51 - DATA!$C$12)</f>
        <v>3486.765381065537</v>
      </c>
      <c r="N51" s="23">
        <f>'Mortality_Shock '!H51 * (MAX($G$2,G51) )</f>
        <v>104390.60011733709</v>
      </c>
      <c r="O51" s="23">
        <f t="shared" si="2"/>
        <v>7.021424308775323E-6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+MIN(_xlfn.XLOOKUP(A52+59,DATA!$E$4:$E$63,DATA!$G$4:$G$63)*1.15,1)</f>
        <v>0.85199014999999989</v>
      </c>
      <c r="I52" s="22">
        <f>+_xlfn.XLOOKUP(A52+59,DATA!$E$4:$E$63,DATA!$H$4:$H$63)</f>
        <v>6.794887101443695E-7</v>
      </c>
      <c r="J52" s="2">
        <f>+(1-H52)*(1-DATA!$C$9)*'Mortality_Shock '!J51</f>
        <v>4.7272987685943553E-12</v>
      </c>
      <c r="K52" s="26">
        <f>+(G52/(1-DATA!$C$7)) *DATA!$C$8</f>
        <v>1846.1247301337507</v>
      </c>
      <c r="L52" s="26">
        <f>+L51*(1+DATA!$C$11)</f>
        <v>131.94058966047095</v>
      </c>
      <c r="M52" s="23">
        <f>(1-'Mortality_Shock '!H52) * (G52)</f>
        <v>19088.090157988758</v>
      </c>
      <c r="N52" s="23">
        <f>'Mortality_Shock '!H52 * (MAX($G$2,G52) )</f>
        <v>109876.90884706897</v>
      </c>
      <c r="O52" s="23">
        <f t="shared" si="2"/>
        <v>1.2544601996712829E-6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436B-A96F-4EF8-AD46-B8A494479E91}">
  <sheetPr>
    <tabColor theme="8" tint="0.59999389629810485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 + 0.0015</f>
        <v>7.9678700000000002E-3</v>
      </c>
      <c r="I3" s="22">
        <f>+_xlfn.XLOOKUP(A3+59,DATA!$E$4:$E$63,DATA!$H$4:$H$63)</f>
        <v>0.99353212999999996</v>
      </c>
      <c r="J3" s="2">
        <f>+(1-H3)*(1-DATA!$C$9)*CAT!J2</f>
        <v>0.84322731049999999</v>
      </c>
      <c r="K3" s="26">
        <f>+(G3/(1-DATA!$C$7)) * DATA!$C$8</f>
        <v>1449.1960000000001</v>
      </c>
      <c r="L3" s="26">
        <f>+DATA!C10</f>
        <v>50</v>
      </c>
      <c r="M3" s="23">
        <f>+DATA!$C$9*(1-CAT!H3) * (G3 - DATA!$C$12)</f>
        <v>15061.531583447093</v>
      </c>
      <c r="N3" s="23">
        <f>CAT!H3 * (MAX($G$2,G3))</f>
        <v>806.64080108604003</v>
      </c>
      <c r="O3" s="23">
        <f t="shared" ref="O3:O34" si="0">+J2*D3*(K3+L3+M3+N3)</f>
        <v>16777.796611601458</v>
      </c>
      <c r="Q3" s="6" t="s">
        <v>40</v>
      </c>
      <c r="R3" s="27">
        <f>+SUM(O2:O52)</f>
        <v>95801.249866544167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+(1-H4)*(1-DATA!$C$9)*CAT!J3</f>
        <v>0.71165415075289684</v>
      </c>
      <c r="K4" s="26">
        <f>+(G4/(1-DATA!$C$7)) * DATA!$C$8</f>
        <v>1453.5716409270005</v>
      </c>
      <c r="L4" s="26">
        <f>+L3*(1+DATA!$C$11)</f>
        <v>51</v>
      </c>
      <c r="M4" s="23">
        <f>+DATA!$C$9*(1-CAT!H4) * (G4 - DATA!$C$12)</f>
        <v>15120.22899133865</v>
      </c>
      <c r="N4" s="23">
        <f>CAT!H4 * (MAX($G$2,G4))</f>
        <v>720.97716960469711</v>
      </c>
      <c r="O4" s="23">
        <f t="shared" si="0"/>
        <v>13777.451535589365</v>
      </c>
      <c r="Q4" s="6" t="s">
        <v>41</v>
      </c>
      <c r="R4" s="27">
        <f>+R2-R3</f>
        <v>4198.7501334558328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+(1-H5)*(1-DATA!$C$9)*CAT!J4</f>
        <v>0.60017862703944569</v>
      </c>
      <c r="K5" s="26">
        <f>+(G5/(1-DATA!$C$7)) * DATA!$C$8</f>
        <v>1454.0174346398255</v>
      </c>
      <c r="L5" s="26">
        <f>+L4*(1+DATA!$C$11)</f>
        <v>52.02</v>
      </c>
      <c r="M5" s="23">
        <f>+DATA!$C$9*(1-CAT!H5) * (G5 - DATA!$C$12)</f>
        <v>15113.977929307195</v>
      </c>
      <c r="N5" s="23">
        <f>CAT!H5 * (MAX($G$2,G5))</f>
        <v>793.80708836269423</v>
      </c>
      <c r="O5" s="23">
        <f t="shared" si="0"/>
        <v>11412.984570383293</v>
      </c>
      <c r="Q5" s="6" t="s">
        <v>43</v>
      </c>
      <c r="R5" s="27">
        <f>+MAX(Rates_Basic!R4-R4,0)</f>
        <v>5.2121085712860804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+(1-H6)*(1-DATA!$C$9)*CAT!J5</f>
        <v>0.5057314336704648</v>
      </c>
      <c r="K6" s="26">
        <f>+(G6/(1-DATA!$C$7)) * DATA!$C$8</f>
        <v>1453.3171478985437</v>
      </c>
      <c r="L6" s="26">
        <f>+L5*(1+DATA!$C$11)</f>
        <v>53.060400000000001</v>
      </c>
      <c r="M6" s="23">
        <f>+DATA!$C$9*(1-CAT!H6) * (G6 - DATA!$C$12)</f>
        <v>15093.75893940515</v>
      </c>
      <c r="N6" s="23">
        <f>CAT!H6 * (MAX($G$2,G6))</f>
        <v>879.69731884962835</v>
      </c>
      <c r="O6" s="23">
        <f t="shared" si="0"/>
        <v>9453.7045834576547</v>
      </c>
      <c r="Q6" s="6" t="s">
        <v>42</v>
      </c>
      <c r="R6" s="8">
        <f>+SUMPRODUCT(A2:A52,O2:O52)/R3</f>
        <v>5.6063352803375102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+(1-H7)*(1-DATA!$C$9)*CAT!J6</f>
        <v>0.42572229588157284</v>
      </c>
      <c r="K7" s="26">
        <f>+(G7/(1-DATA!$C$7)) * DATA!$C$8</f>
        <v>1452.58181697792</v>
      </c>
      <c r="L7" s="26">
        <f>+L6*(1+DATA!$C$11)</f>
        <v>54.121608000000002</v>
      </c>
      <c r="M7" s="23">
        <f>+DATA!$C$9*(1-CAT!H7) * (G7 - DATA!$C$12)</f>
        <v>15071.087707058219</v>
      </c>
      <c r="N7" s="23">
        <f>CAT!H7 * (MAX($G$2,G7))</f>
        <v>979.49050725988764</v>
      </c>
      <c r="O7" s="23">
        <f t="shared" si="0"/>
        <v>7829.2484521775641</v>
      </c>
      <c r="Q7" s="6" t="s">
        <v>44</v>
      </c>
      <c r="R7" s="27">
        <f>+MAX(R5,0)</f>
        <v>5.2121085712860804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+(1-H8)*(1-DATA!$C$9)*CAT!J7</f>
        <v>0.35795753243963463</v>
      </c>
      <c r="K8" s="26">
        <f>+(G8/(1-DATA!$C$7)) * DATA!$C$8</f>
        <v>1452.835173571694</v>
      </c>
      <c r="L8" s="26">
        <f>+L7*(1+DATA!$C$11)</f>
        <v>55.204040160000005</v>
      </c>
      <c r="M8" s="23">
        <f>+DATA!$C$9*(1-CAT!H8) * (G8 - DATA!$C$12)</f>
        <v>15056.326252711347</v>
      </c>
      <c r="N8" s="23">
        <f>CAT!H8 * (MAX($G$2,G8))</f>
        <v>1095.6218220707735</v>
      </c>
      <c r="O8" s="23">
        <f t="shared" si="0"/>
        <v>6482.204770974794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+(1-H9)*(1-DATA!$C$9)*CAT!J8</f>
        <v>0.30069541641569048</v>
      </c>
      <c r="K9" s="26">
        <f>+(G9/(1-DATA!$C$7)) * DATA!$C$8</f>
        <v>1453.938328438775</v>
      </c>
      <c r="L9" s="26">
        <f>+L8*(1+DATA!$C$11)</f>
        <v>56.308120963200004</v>
      </c>
      <c r="M9" s="23">
        <f>+DATA!$C$9*(1-CAT!H9) * (G9 - DATA!$C$12)</f>
        <v>15053.549464867547</v>
      </c>
      <c r="N9" s="23">
        <f>CAT!H9 * (MAX($G$2,G9))</f>
        <v>1191.2156479726893</v>
      </c>
      <c r="O9" s="23">
        <f t="shared" si="0"/>
        <v>5355.1007255357863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+(1-H10)*(1-DATA!$C$9)*CAT!J9</f>
        <v>0.25232006434040832</v>
      </c>
      <c r="K10" s="26">
        <f>+(G10/(1-DATA!$C$7)) * DATA!$C$8</f>
        <v>1455.9225809844947</v>
      </c>
      <c r="L10" s="26">
        <f>+L9*(1+DATA!$C$11)</f>
        <v>57.434283382464002</v>
      </c>
      <c r="M10" s="23">
        <f>+DATA!$C$9*(1-CAT!H10) * (G10 - DATA!$C$12)</f>
        <v>15057.781924353696</v>
      </c>
      <c r="N10" s="23">
        <f>CAT!H10 * (MAX($G$2,G10))</f>
        <v>1301.6348585493458</v>
      </c>
      <c r="O10" s="23">
        <f t="shared" si="0"/>
        <v>4422.6289108913834</v>
      </c>
      <c r="Q10" s="28" t="s">
        <v>8</v>
      </c>
      <c r="R10" s="30">
        <f>+SUMPRODUCT(D3:D52,J2:J51,M3:M52)</f>
        <v>81104.466620722174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+(1-H11)*(1-DATA!$C$9)*CAT!J10</f>
        <v>0.21147480986978398</v>
      </c>
      <c r="K11" s="26">
        <f>+(G11/(1-DATA!$C$7)) * DATA!$C$8</f>
        <v>1458.749187329799</v>
      </c>
      <c r="L11" s="26">
        <f>+L10*(1+DATA!$C$11)</f>
        <v>58.582969050113284</v>
      </c>
      <c r="M11" s="23">
        <f>+DATA!$C$9*(1-CAT!H11) * (G11 - DATA!$C$12)</f>
        <v>15069.033268039509</v>
      </c>
      <c r="N11" s="23">
        <f>CAT!H11 * (MAX($G$2,G11))</f>
        <v>1424.1080849087386</v>
      </c>
      <c r="O11" s="23">
        <f t="shared" si="0"/>
        <v>3650.3555253707368</v>
      </c>
      <c r="Q11" s="28" t="s">
        <v>17</v>
      </c>
      <c r="R11" s="30">
        <f>+SUMPRODUCT(D3:D52,J2:J51,N3:N52)</f>
        <v>6566.5752512153804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+(1-H12)*(1-DATA!$C$9)*CAT!J11</f>
        <v>0.17693863820746025</v>
      </c>
      <c r="K12" s="26">
        <f>+(G12/(1-DATA!$C$7)) * DATA!$C$8</f>
        <v>1462.6657460438055</v>
      </c>
      <c r="L12" s="26">
        <f>+L11*(1+DATA!$C$11)</f>
        <v>59.754628431115549</v>
      </c>
      <c r="M12" s="23">
        <f>+DATA!$C$9*(1-CAT!H12) * (G12 - DATA!$C$12)</f>
        <v>15083.678410074295</v>
      </c>
      <c r="N12" s="23">
        <f>CAT!H12 * (MAX($G$2,G12))</f>
        <v>1600.107107469569</v>
      </c>
      <c r="O12" s="23">
        <f t="shared" si="0"/>
        <v>3016.5514077685634</v>
      </c>
      <c r="Q12" s="28" t="s">
        <v>18</v>
      </c>
      <c r="R12" s="30">
        <f>+SUMPRODUCT(D3:D52,J2:J51,L3:L52)</f>
        <v>294.65521204486453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+(1-H13)*(1-DATA!$C$9)*CAT!J12</f>
        <v>0.14776985374400348</v>
      </c>
      <c r="K13" s="26">
        <f>+(G13/(1-DATA!$C$7)) * DATA!$C$8</f>
        <v>1468.4973619239377</v>
      </c>
      <c r="L13" s="26">
        <f>+L12*(1+DATA!$C$11)</f>
        <v>60.949720999737863</v>
      </c>
      <c r="M13" s="23">
        <f>+DATA!$C$9*(1-CAT!H13) * (G13 - DATA!$C$12)</f>
        <v>15115.927761059766</v>
      </c>
      <c r="N13" s="23">
        <f>CAT!H13 * (MAX($G$2,G13))</f>
        <v>1792.5277284594861</v>
      </c>
      <c r="O13" s="23">
        <f t="shared" si="0"/>
        <v>2489.8753697790962</v>
      </c>
      <c r="Q13" s="29" t="s">
        <v>46</v>
      </c>
      <c r="R13" s="31">
        <f>+SUMPRODUCT(D3:D52,J2:J51,K3:K52)</f>
        <v>7835.552782561731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+(1-H14)*(1-DATA!$C$9)*CAT!J13</f>
        <v>0.12312526182945904</v>
      </c>
      <c r="K14" s="26">
        <f>+(G14/(1-DATA!$C$7)) * DATA!$C$8</f>
        <v>1471.9084757060559</v>
      </c>
      <c r="L14" s="26">
        <f>+L13*(1+DATA!$C$11)</f>
        <v>62.168715419732621</v>
      </c>
      <c r="M14" s="23">
        <f>+DATA!$C$9*(1-CAT!H14) * (G14 - DATA!$C$12)</f>
        <v>15116.136326186439</v>
      </c>
      <c r="N14" s="23">
        <f>CAT!H14 * (MAX($G$2,G14))</f>
        <v>2029.4732350610739</v>
      </c>
      <c r="O14" s="23">
        <f t="shared" si="0"/>
        <v>2055.5595589654608</v>
      </c>
      <c r="Q14" s="28" t="s">
        <v>47</v>
      </c>
      <c r="R14" s="30">
        <f>+SUM(R10:R13)</f>
        <v>95801.249866544153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+(1-H15)*(1-DATA!$C$9)*CAT!J14</f>
        <v>0.10238314872918829</v>
      </c>
      <c r="K15" s="26">
        <f>+(G15/(1-DATA!$C$7)) * DATA!$C$8</f>
        <v>1476.2634791908197</v>
      </c>
      <c r="L15" s="26">
        <f>+L14*(1+DATA!$C$11)</f>
        <v>63.412089728127278</v>
      </c>
      <c r="M15" s="23">
        <f>+DATA!$C$9*(1-CAT!H15) * (G15 - DATA!$C$12)</f>
        <v>15130.180545176092</v>
      </c>
      <c r="N15" s="23">
        <f>CAT!H15 * (MAX($G$2,G15))</f>
        <v>2240.1128948418818</v>
      </c>
      <c r="O15" s="23">
        <f t="shared" si="0"/>
        <v>1690.7071965596049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+(1-H16)*(1-DATA!$C$9)*CAT!J15</f>
        <v>8.4943932603401481E-2</v>
      </c>
      <c r="K16" s="26">
        <f>+(G16/(1-DATA!$C$7)) * DATA!$C$8</f>
        <v>1481.180360131865</v>
      </c>
      <c r="L16" s="26">
        <f>+L15*(1+DATA!$C$11)</f>
        <v>64.680331522689826</v>
      </c>
      <c r="M16" s="23">
        <f>+DATA!$C$9*(1-CAT!H16) * (G16 - DATA!$C$12)</f>
        <v>15146.455930537515</v>
      </c>
      <c r="N16" s="23">
        <f>CAT!H16 * (MAX($G$2,G16))</f>
        <v>2475.1335652758848</v>
      </c>
      <c r="O16" s="23">
        <f t="shared" si="0"/>
        <v>1389.0504779137407</v>
      </c>
    </row>
    <row r="17" spans="1:18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+(1-H17)*(1-DATA!$C$9)*CAT!J16</f>
        <v>7.0326605993810756E-2</v>
      </c>
      <c r="K17" s="26">
        <f>+(G17/(1-DATA!$C$7)) * DATA!$C$8</f>
        <v>1484.5774917502104</v>
      </c>
      <c r="L17" s="26">
        <f>+L16*(1+DATA!$C$11)</f>
        <v>65.973938153143621</v>
      </c>
      <c r="M17" s="23">
        <f>+DATA!$C$9*(1-CAT!H17) * (G17 - DATA!$C$12)</f>
        <v>15149.195084186285</v>
      </c>
      <c r="N17" s="23">
        <f>CAT!H17 * (MAX($G$2,G17))</f>
        <v>2694.2276069180157</v>
      </c>
      <c r="O17" s="23">
        <f t="shared" si="0"/>
        <v>1137.8062266587099</v>
      </c>
    </row>
    <row r="18" spans="1:18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+(1-H18)*(1-DATA!$C$9)*CAT!J17</f>
        <v>5.803077449760384E-2</v>
      </c>
      <c r="K18" s="26">
        <f>+(G18/(1-DATA!$C$7)) * DATA!$C$8</f>
        <v>1485.4004344685075</v>
      </c>
      <c r="L18" s="26">
        <f>+L17*(1+DATA!$C$11)</f>
        <v>67.293416916206496</v>
      </c>
      <c r="M18" s="23">
        <f>+DATA!$C$9*(1-CAT!H18) * (G18 - DATA!$C$12)</f>
        <v>15107.120474633082</v>
      </c>
      <c r="N18" s="23">
        <f>CAT!H18 * (MAX($G$2,G18))</f>
        <v>3032.2782995747029</v>
      </c>
      <c r="O18" s="23">
        <f t="shared" si="0"/>
        <v>934.92944834267678</v>
      </c>
    </row>
    <row r="19" spans="1:18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+(1-H19)*(1-DATA!$C$9)*CAT!J18</f>
        <v>4.7704835614797707E-2</v>
      </c>
      <c r="K19" s="26">
        <f>+(G19/(1-DATA!$C$7)) * DATA!$C$8</f>
        <v>1483.9047345693523</v>
      </c>
      <c r="L19" s="26">
        <f>+L18*(1+DATA!$C$11)</f>
        <v>68.639285254530634</v>
      </c>
      <c r="M19" s="23">
        <f>+DATA!$C$9*(1-CAT!H19) * (G19 - DATA!$C$12)</f>
        <v>15035.206964048803</v>
      </c>
      <c r="N19" s="23">
        <f>CAT!H19 * (MAX($G$2,G19))</f>
        <v>3407.2893241431993</v>
      </c>
      <c r="O19" s="23">
        <f t="shared" si="0"/>
        <v>766.87458064757584</v>
      </c>
    </row>
    <row r="20" spans="1:18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+(1-H20)*(1-DATA!$C$9)*CAT!J19</f>
        <v>3.902658403930527E-2</v>
      </c>
      <c r="K20" s="26">
        <f>+(G20/(1-DATA!$C$7)) * DATA!$C$8</f>
        <v>1481.8310003128743</v>
      </c>
      <c r="L20" s="26">
        <f>+L19*(1+DATA!$C$11)</f>
        <v>70.012070959621255</v>
      </c>
      <c r="M20" s="23">
        <f>+DATA!$C$9*(1-CAT!H20) * (G20 - DATA!$C$12)</f>
        <v>14941.563609972276</v>
      </c>
      <c r="N20" s="23">
        <f>CAT!H20 * (MAX($G$2,G20))</f>
        <v>3886.8067667175033</v>
      </c>
      <c r="O20" s="23">
        <f t="shared" si="0"/>
        <v>629.30476882871756</v>
      </c>
      <c r="R20" s="54"/>
    </row>
    <row r="21" spans="1:18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+(1-H21)*(1-DATA!$C$9)*CAT!J20</f>
        <v>3.1795928705533522E-2</v>
      </c>
      <c r="K21" s="26">
        <f>+(G21/(1-DATA!$C$7)) * DATA!$C$8</f>
        <v>1479.4559022574501</v>
      </c>
      <c r="L21" s="26">
        <f>+L20*(1+DATA!$C$11)</f>
        <v>71.412312378813681</v>
      </c>
      <c r="M21" s="23">
        <f>+DATA!$C$9*(1-CAT!H21) * (G21 - DATA!$C$12)</f>
        <v>14856.349271878738</v>
      </c>
      <c r="N21" s="23">
        <f>CAT!H21 * (MAX($G$2,G21))</f>
        <v>4289.0638386502851</v>
      </c>
      <c r="O21" s="23">
        <f t="shared" si="0"/>
        <v>512.12768717121287</v>
      </c>
    </row>
    <row r="22" spans="1:18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+(1-H22)*(1-DATA!$C$9)*CAT!J21</f>
        <v>2.575512909592706E-2</v>
      </c>
      <c r="K22" s="26">
        <f>+(G22/(1-DATA!$C$7)) * DATA!$C$8</f>
        <v>1478.555609799771</v>
      </c>
      <c r="L22" s="26">
        <f>+L21*(1+DATA!$C$11)</f>
        <v>72.840558626389949</v>
      </c>
      <c r="M22" s="23">
        <f>+DATA!$C$9*(1-CAT!H22) * (G22 - DATA!$C$12)</f>
        <v>14761.44695050804</v>
      </c>
      <c r="N22" s="23">
        <f>CAT!H22 * (MAX($G$2,G22))</f>
        <v>4858.9649798923137</v>
      </c>
      <c r="O22" s="23">
        <f t="shared" si="0"/>
        <v>417.69384594992897</v>
      </c>
    </row>
    <row r="23" spans="1:18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+(1-H23)*(1-DATA!$C$9)*CAT!J22</f>
        <v>2.0736612501633108E-2</v>
      </c>
      <c r="K23" s="26">
        <f>+(G23/(1-DATA!$C$7)) * DATA!$C$8</f>
        <v>1479.1280202811074</v>
      </c>
      <c r="L23" s="26">
        <f>+L22*(1+DATA!$C$11)</f>
        <v>74.297369798917757</v>
      </c>
      <c r="M23" s="23">
        <f>+DATA!$C$9*(1-CAT!H23) * (G23 - DATA!$C$12)</f>
        <v>14678.40708766088</v>
      </c>
      <c r="N23" s="23">
        <f>CAT!H23 * (MAX($G$2,G23))</f>
        <v>5452.6655783076649</v>
      </c>
      <c r="O23" s="23">
        <f t="shared" si="0"/>
        <v>338.77587208761202</v>
      </c>
    </row>
    <row r="24" spans="1:18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+(1-H24)*(1-DATA!$C$9)*CAT!J23</f>
        <v>1.6587040016640221E-2</v>
      </c>
      <c r="K24" s="26">
        <f>+(G24/(1-DATA!$C$7)) * DATA!$C$8</f>
        <v>1481.4354895753065</v>
      </c>
      <c r="L24" s="26">
        <f>+L23*(1+DATA!$C$11)</f>
        <v>75.783317194896114</v>
      </c>
      <c r="M24" s="23">
        <f>+DATA!$C$9*(1-CAT!H24) * (G24 - DATA!$C$12)</f>
        <v>14605.385968662891</v>
      </c>
      <c r="N24" s="23">
        <f>CAT!H24 * (MAX($G$2,G24))</f>
        <v>6100.7898614176056</v>
      </c>
      <c r="O24" s="23">
        <f t="shared" si="0"/>
        <v>273.45787746621005</v>
      </c>
    </row>
    <row r="25" spans="1:18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+(1-H25)*(1-DATA!$C$9)*CAT!J24</f>
        <v>1.3172167279417118E-2</v>
      </c>
      <c r="K25" s="26">
        <f>+(G25/(1-DATA!$C$7)) * DATA!$C$8</f>
        <v>1485.0800678162418</v>
      </c>
      <c r="L25" s="26">
        <f>+L24*(1+DATA!$C$11)</f>
        <v>77.298983538794033</v>
      </c>
      <c r="M25" s="23">
        <f>+DATA!$C$9*(1-CAT!H25) * (G25 - DATA!$C$12)</f>
        <v>14535.756322348525</v>
      </c>
      <c r="N25" s="23">
        <f>CAT!H25 * (MAX($G$2,G25))</f>
        <v>6819.7230311444137</v>
      </c>
      <c r="O25" s="23">
        <f t="shared" si="0"/>
        <v>219.67260293576516</v>
      </c>
    </row>
    <row r="26" spans="1:18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+(1-H26)*(1-DATA!$C$9)*CAT!J25</f>
        <v>1.0388141168431691E-2</v>
      </c>
      <c r="K26" s="26">
        <f>+(G26/(1-DATA!$C$7)) * DATA!$C$8</f>
        <v>1490.2460492259468</v>
      </c>
      <c r="L26" s="26">
        <f>+L25*(1+DATA!$C$11)</f>
        <v>78.844963209569912</v>
      </c>
      <c r="M26" s="23">
        <f>+DATA!$C$9*(1-CAT!H26) * (G26 - DATA!$C$12)</f>
        <v>14485.6602361606</v>
      </c>
      <c r="N26" s="23">
        <f>CAT!H26 * (MAX($G$2,G26))</f>
        <v>7514.7065995990224</v>
      </c>
      <c r="O26" s="23">
        <f t="shared" si="0"/>
        <v>174.85197690995341</v>
      </c>
    </row>
    <row r="27" spans="1:18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+(1-H27)*(1-DATA!$C$9)*CAT!J26</f>
        <v>8.1124244470069731E-3</v>
      </c>
      <c r="K27" s="26">
        <f>+(G27/(1-DATA!$C$7)) * DATA!$C$8</f>
        <v>1496.3936819603516</v>
      </c>
      <c r="L27" s="26">
        <f>+L26*(1+DATA!$C$11)</f>
        <v>80.421862473761308</v>
      </c>
      <c r="M27" s="23">
        <f>+DATA!$C$9*(1-CAT!H27) * (G27 - DATA!$C$12)</f>
        <v>14403.191700679994</v>
      </c>
      <c r="N27" s="23">
        <f>CAT!H27 * (MAX($G$2,G27))</f>
        <v>8494.1343528969737</v>
      </c>
      <c r="O27" s="23">
        <f t="shared" si="0"/>
        <v>139.46331880295841</v>
      </c>
    </row>
    <row r="28" spans="1:18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+(1-H28)*(1-DATA!$C$9)*CAT!J27</f>
        <v>6.2567589254363381E-3</v>
      </c>
      <c r="K28" s="26">
        <f>+(G28/(1-DATA!$C$7)) * DATA!$C$8</f>
        <v>1503.6227786978077</v>
      </c>
      <c r="L28" s="26">
        <f>+L27*(1+DATA!$C$11)</f>
        <v>82.030299723236539</v>
      </c>
      <c r="M28" s="23">
        <f>+DATA!$C$9*(1-CAT!H28) * (G28 - DATA!$C$12)</f>
        <v>14293.484181119913</v>
      </c>
      <c r="N28" s="23">
        <f>CAT!H28 * (MAX($G$2,G28))</f>
        <v>9730.749505547421</v>
      </c>
      <c r="O28" s="23">
        <f t="shared" si="0"/>
        <v>110.92229137316633</v>
      </c>
    </row>
    <row r="29" spans="1:18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+(1-H29)*(1-DATA!$C$9)*CAT!J28</f>
        <v>4.7491854168093305E-3</v>
      </c>
      <c r="K29" s="26">
        <f>+(G29/(1-DATA!$C$7)) * DATA!$C$8</f>
        <v>1512.036984530421</v>
      </c>
      <c r="L29" s="26">
        <f>+L28*(1+DATA!$C$11)</f>
        <v>83.670905717701274</v>
      </c>
      <c r="M29" s="23">
        <f>+DATA!$C$9*(1-CAT!H29) * (G29 - DATA!$C$12)</f>
        <v>14145.979700341521</v>
      </c>
      <c r="N29" s="23">
        <f>CAT!H29 * (MAX($G$2,G29))</f>
        <v>11302.192326014976</v>
      </c>
      <c r="O29" s="23">
        <f t="shared" si="0"/>
        <v>87.860620621886227</v>
      </c>
    </row>
    <row r="30" spans="1:18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+(1-H30)*(1-DATA!$C$9)*CAT!J29</f>
        <v>3.5432486950642524E-3</v>
      </c>
      <c r="K30" s="26">
        <f>+(G30/(1-DATA!$C$7)) * DATA!$C$8</f>
        <v>1521.3287371681588</v>
      </c>
      <c r="L30" s="26">
        <f>+L29*(1+DATA!$C$11)</f>
        <v>85.344323832055295</v>
      </c>
      <c r="M30" s="23">
        <f>+DATA!$C$9*(1-CAT!H30) * (G30 - DATA!$C$12)</f>
        <v>13989.654670229173</v>
      </c>
      <c r="N30" s="23">
        <f>CAT!H30 * (MAX($G$2,G30))</f>
        <v>12993.759750038302</v>
      </c>
      <c r="O30" s="23">
        <f t="shared" si="0"/>
        <v>68.531250381598113</v>
      </c>
    </row>
    <row r="31" spans="1:18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+(1-H31)*(1-DATA!$C$9)*CAT!J30</f>
        <v>2.5904780446333138E-3</v>
      </c>
      <c r="K31" s="26">
        <f>+(G31/(1-DATA!$C$7)) * DATA!$C$8</f>
        <v>1531.1248619675434</v>
      </c>
      <c r="L31" s="26">
        <f>+L30*(1+DATA!$C$11)</f>
        <v>87.051210308696398</v>
      </c>
      <c r="M31" s="23">
        <f>+DATA!$C$9*(1-CAT!H31) * (G31 - DATA!$C$12)</f>
        <v>13797.195764840702</v>
      </c>
      <c r="N31" s="23">
        <f>CAT!H31 * (MAX($G$2,G31))</f>
        <v>14961.500703451813</v>
      </c>
      <c r="O31" s="23">
        <f t="shared" si="0"/>
        <v>52.789804785567853</v>
      </c>
    </row>
    <row r="32" spans="1:18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+(1-H32)*(1-DATA!$C$9)*CAT!J31</f>
        <v>1.8495284187493367E-3</v>
      </c>
      <c r="K32" s="26">
        <f>+(G32/(1-DATA!$C$7)) * DATA!$C$8</f>
        <v>1541.4342512768526</v>
      </c>
      <c r="L32" s="26">
        <f>+L31*(1+DATA!$C$11)</f>
        <v>88.79223451487033</v>
      </c>
      <c r="M32" s="23">
        <f>+DATA!$C$9*(1-CAT!H32) * (G32 - DATA!$C$12)</f>
        <v>13564.64958539183</v>
      </c>
      <c r="N32" s="23">
        <f>CAT!H32 * (MAX($G$2,G32))</f>
        <v>17232.396122594597</v>
      </c>
      <c r="O32" s="23">
        <f t="shared" si="0"/>
        <v>40.023968900241272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+(1-H33)*(1-DATA!$C$9)*CAT!J32</f>
        <v>1.2879285876806613E-3</v>
      </c>
      <c r="K33" s="26">
        <f>+(G33/(1-DATA!$C$7)) * DATA!$C$8</f>
        <v>1552.7357621857186</v>
      </c>
      <c r="L33" s="26">
        <f>+L32*(1+DATA!$C$11)</f>
        <v>90.568079205167734</v>
      </c>
      <c r="M33" s="23">
        <f>+DATA!$C$9*(1-CAT!H33) * (G33 - DATA!$C$12)</f>
        <v>13326.969335949652</v>
      </c>
      <c r="N33" s="23">
        <f>CAT!H33 * (MAX($G$2,G33))</f>
        <v>19606.836892337982</v>
      </c>
      <c r="O33" s="23">
        <f t="shared" si="0"/>
        <v>29.583245997130476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+(1-H34)*(1-DATA!$C$9)*CAT!J33</f>
        <v>8.7557944335749603E-4</v>
      </c>
      <c r="K34" s="26">
        <f>+(G34/(1-DATA!$C$7)) * DATA!$C$8</f>
        <v>1564.6072534038274</v>
      </c>
      <c r="L34" s="26">
        <f>+L33*(1+DATA!$C$11)</f>
        <v>92.379440789271086</v>
      </c>
      <c r="M34" s="23">
        <f>+DATA!$C$9*(1-CAT!H34) * (G34 - DATA!$C$12)</f>
        <v>13110.304808430155</v>
      </c>
      <c r="N34" s="23">
        <f>CAT!H34 * (MAX($G$2,G34))</f>
        <v>21880.964233152044</v>
      </c>
      <c r="O34" s="23">
        <f t="shared" si="0"/>
        <v>21.192016690849549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+(1-H35)*(1-DATA!$C$9)*CAT!J34</f>
        <v>5.7701460248845338E-4</v>
      </c>
      <c r="K35" s="26">
        <f>+(G35/(1-DATA!$C$7)) * DATA!$C$8</f>
        <v>1577.0603905197688</v>
      </c>
      <c r="L35" s="26">
        <f>+L34*(1+DATA!$C$11)</f>
        <v>94.227029605056515</v>
      </c>
      <c r="M35" s="23">
        <f>+DATA!$C$9*(1-CAT!H35) * (G35 - DATA!$C$12)</f>
        <v>12809.845008839653</v>
      </c>
      <c r="N35" s="23">
        <f>CAT!H35 * (MAX($G$2,G35))</f>
        <v>24754.46017868329</v>
      </c>
      <c r="O35" s="23">
        <f t="shared" ref="O35:O52" si="2">+J34*D35*(K35+L35+M35+N35)</f>
        <v>14.965762125514999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+(1-H36)*(1-DATA!$C$9)*CAT!J35</f>
        <v>3.6980892848917639E-4</v>
      </c>
      <c r="K36" s="26">
        <f>+(G36/(1-DATA!$C$7)) * DATA!$C$8</f>
        <v>1590.1074729646173</v>
      </c>
      <c r="L36" s="26">
        <f>+L35*(1+DATA!$C$11)</f>
        <v>96.111570197157647</v>
      </c>
      <c r="M36" s="23">
        <f>+DATA!$C$9*(1-CAT!H36) * (G36 - DATA!$C$12)</f>
        <v>12560.936432342078</v>
      </c>
      <c r="N36" s="23">
        <f>CAT!H36 * (MAX($G$2,G36))</f>
        <v>27325.70867048583</v>
      </c>
      <c r="O36" s="23">
        <f t="shared" si="2"/>
        <v>10.136324726011946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+(1-H37)*(1-DATA!$C$9)*CAT!J36</f>
        <v>2.2770052927183031E-4</v>
      </c>
      <c r="K37" s="26">
        <f>+(G37/(1-DATA!$C$7)) * DATA!$C$8</f>
        <v>1603.2143567385515</v>
      </c>
      <c r="L37" s="26">
        <f>+L36*(1+DATA!$C$11)</f>
        <v>98.033801601100805</v>
      </c>
      <c r="M37" s="23">
        <f>+DATA!$C$9*(1-CAT!H37) * (G37 - DATA!$C$12)</f>
        <v>12167.009053232536</v>
      </c>
      <c r="N37" s="23">
        <f>CAT!H37 * (MAX($G$2,G37))</f>
        <v>30868.093018690484</v>
      </c>
      <c r="O37" s="23">
        <f t="shared" si="2"/>
        <v>6.7810265882003948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+(1-H38)*(1-DATA!$C$9)*CAT!J37</f>
        <v>1.3440561705540242E-4</v>
      </c>
      <c r="K38" s="26">
        <f>+(G38/(1-DATA!$C$7)) * DATA!$C$8</f>
        <v>1616.9008642635238</v>
      </c>
      <c r="L38" s="26">
        <f>+L37*(1+DATA!$C$11)</f>
        <v>99.994477633122827</v>
      </c>
      <c r="M38" s="23">
        <f>+DATA!$C$9*(1-CAT!H38) * (G38 - DATA!$C$12)</f>
        <v>11763.675035588998</v>
      </c>
      <c r="N38" s="23">
        <f>CAT!H38 * (MAX($G$2,G38))</f>
        <v>34513.685632234738</v>
      </c>
      <c r="O38" s="23">
        <f t="shared" si="2"/>
        <v>4.3436804078003428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+(1-H39)*(1-DATA!$C$9)*CAT!J38</f>
        <v>7.6249600411202372E-5</v>
      </c>
      <c r="K39" s="26">
        <f>+(G39/(1-DATA!$C$7)) * DATA!$C$8</f>
        <v>1631.1798595382238</v>
      </c>
      <c r="L39" s="26">
        <f>+L38*(1+DATA!$C$11)</f>
        <v>101.99436718578528</v>
      </c>
      <c r="M39" s="23">
        <f>+DATA!$C$9*(1-CAT!H39) * (G39 - DATA!$C$12)</f>
        <v>11405.883294484225</v>
      </c>
      <c r="N39" s="23">
        <f>CAT!H39 * (MAX($G$2,G39))</f>
        <v>37896.994048427747</v>
      </c>
      <c r="O39" s="23">
        <f t="shared" si="2"/>
        <v>2.6431356000322599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+(1-H40)*(1-DATA!$C$9)*CAT!J39</f>
        <v>4.1701591224423063E-5</v>
      </c>
      <c r="K40" s="26">
        <f>+(G40/(1-DATA!$C$7)) * DATA!$C$8</f>
        <v>1646.0648363423545</v>
      </c>
      <c r="L40" s="26">
        <f>+L39*(1+DATA!$C$11)</f>
        <v>104.03425452950098</v>
      </c>
      <c r="M40" s="23">
        <f>+DATA!$C$9*(1-CAT!H40) * (G40 - DATA!$C$12)</f>
        <v>11096.0805737871</v>
      </c>
      <c r="N40" s="23">
        <f>CAT!H40 * (MAX($G$2,G40))</f>
        <v>41002.647485973328</v>
      </c>
      <c r="O40" s="23">
        <f t="shared" si="2"/>
        <v>1.5333191016669792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+(1-H41)*(1-DATA!$C$9)*CAT!J40</f>
        <v>2.2009246070722557E-5</v>
      </c>
      <c r="K41" s="26">
        <f>+(G41/(1-DATA!$C$7)) * DATA!$C$8</f>
        <v>1660.9387176123464</v>
      </c>
      <c r="L41" s="26">
        <f>+L40*(1+DATA!$C$11)</f>
        <v>106.11493962009101</v>
      </c>
      <c r="M41" s="23">
        <f>+DATA!$C$9*(1-CAT!H41) * (G41 - DATA!$C$12)</f>
        <v>10804.742820518673</v>
      </c>
      <c r="N41" s="23">
        <f>CAT!H41 * (MAX($G$2,G41))</f>
        <v>43984.396127947504</v>
      </c>
      <c r="O41" s="23">
        <f t="shared" si="2"/>
        <v>0.85365757879385562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+(1-H42)*(1-DATA!$C$9)*CAT!J41</f>
        <v>1.1177668597695467E-5</v>
      </c>
      <c r="K42" s="26">
        <f>+(G42/(1-DATA!$C$7)) * DATA!$C$8</f>
        <v>1676.4030408347244</v>
      </c>
      <c r="L42" s="26">
        <f>+L41*(1+DATA!$C$11)</f>
        <v>108.23723841249283</v>
      </c>
      <c r="M42" s="23">
        <f>+DATA!$C$9*(1-CAT!H42) * (G42 - DATA!$C$12)</f>
        <v>10493.816843120974</v>
      </c>
      <c r="N42" s="23">
        <f>CAT!H42 * (MAX($G$2,G42))</f>
        <v>47137.998052000192</v>
      </c>
      <c r="O42" s="23">
        <f t="shared" si="2"/>
        <v>0.45864518277695732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+(1-H43)*(1-DATA!$C$9)*CAT!J42</f>
        <v>5.3756998162252686E-6</v>
      </c>
      <c r="K43" s="26">
        <f>+(G43/(1-DATA!$C$7)) * DATA!$C$8</f>
        <v>1691.7959151876225</v>
      </c>
      <c r="L43" s="26">
        <f>+L42*(1+DATA!$C$11)</f>
        <v>110.40198318074269</v>
      </c>
      <c r="M43" s="23">
        <f>+DATA!$C$9*(1-CAT!H43) * (G43 - DATA!$C$12)</f>
        <v>10028.625269756958</v>
      </c>
      <c r="N43" s="23">
        <f>CAT!H43 * (MAX($G$2,G43))</f>
        <v>51315.21108421278</v>
      </c>
      <c r="O43" s="23">
        <f t="shared" si="2"/>
        <v>0.23990072764779319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+(1-H44)*(1-DATA!$C$9)*CAT!J43</f>
        <v>2.3993854129580886E-6</v>
      </c>
      <c r="K44" s="26">
        <f>+(G44/(1-DATA!$C$7)) * DATA!$C$8</f>
        <v>1707.7614347478809</v>
      </c>
      <c r="L44" s="26">
        <f>+L43*(1+DATA!$C$11)</f>
        <v>112.61002284435754</v>
      </c>
      <c r="M44" s="23">
        <f>+DATA!$C$9*(1-CAT!H44) * (G44 - DATA!$C$12)</f>
        <v>9395.1246321543458</v>
      </c>
      <c r="N44" s="23">
        <f>CAT!H44 * (MAX($G$2,G44))</f>
        <v>56654.668200539658</v>
      </c>
      <c r="O44" s="23">
        <f t="shared" si="2"/>
        <v>0.12014557765715571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+(1-H45)*(1-DATA!$C$9)*CAT!J44</f>
        <v>1.0002813072181419E-6</v>
      </c>
      <c r="K45" s="26">
        <f>+(G45/(1-DATA!$C$7)) * DATA!$C$8</f>
        <v>1724.313025439284</v>
      </c>
      <c r="L45" s="26">
        <f>+L44*(1+DATA!$C$11)</f>
        <v>114.8622233012447</v>
      </c>
      <c r="M45" s="23">
        <f>+DATA!$C$9*(1-CAT!H45) * (G45 - DATA!$C$12)</f>
        <v>8860.3175161360541</v>
      </c>
      <c r="N45" s="23">
        <f>CAT!H45 * (MAX($G$2,G45))</f>
        <v>61376.988716237232</v>
      </c>
      <c r="O45" s="23">
        <f t="shared" si="2"/>
        <v>5.5161671788325498E-2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+(1-H46)*(1-DATA!$C$9)*CAT!J45</f>
        <v>3.8734309176431914E-7</v>
      </c>
      <c r="K46" s="26">
        <f>+(G46/(1-DATA!$C$7)) * DATA!$C$8</f>
        <v>1740.7187854640399</v>
      </c>
      <c r="L46" s="26">
        <f>+L45*(1+DATA!$C$11)</f>
        <v>117.15946776726959</v>
      </c>
      <c r="M46" s="23">
        <f>+DATA!$C$9*(1-CAT!H46) * (G46 - DATA!$C$12)</f>
        <v>8308.3349247921324</v>
      </c>
      <c r="N46" s="23">
        <f>CAT!H46 * (MAX($G$2,G46))</f>
        <v>66203.629979659425</v>
      </c>
      <c r="O46" s="23">
        <f t="shared" si="2"/>
        <v>2.3605555614143677E-2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+(1-H47)*(1-DATA!$C$9)*CAT!J46</f>
        <v>1.3853097648072752E-7</v>
      </c>
      <c r="K47" s="26">
        <f>+(G47/(1-DATA!$C$7)) * DATA!$C$8</f>
        <v>1757.6902677897244</v>
      </c>
      <c r="L47" s="26">
        <f>+L46*(1+DATA!$C$11)</f>
        <v>119.50265712261498</v>
      </c>
      <c r="M47" s="23">
        <f>+DATA!$C$9*(1-CAT!H47) * (G47 - DATA!$C$12)</f>
        <v>7748.2894501537294</v>
      </c>
      <c r="N47" s="23">
        <f>CAT!H47 * (MAX($G$2,G47))</f>
        <v>71123.541978971596</v>
      </c>
      <c r="O47" s="23">
        <f t="shared" si="2"/>
        <v>9.3611325927984799E-3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+(1-H48)*(1-DATA!$C$9)*CAT!J47</f>
        <v>4.5494264915560389E-8</v>
      </c>
      <c r="K48" s="26">
        <f>+(G48/(1-DATA!$C$7)) * DATA!$C$8</f>
        <v>1774.446123037156</v>
      </c>
      <c r="L48" s="26">
        <f>+L47*(1+DATA!$C$11)</f>
        <v>121.89271026506728</v>
      </c>
      <c r="M48" s="23">
        <f>+DATA!$C$9*(1-CAT!H48) * (G48 - DATA!$C$12)</f>
        <v>7182.6656330904179</v>
      </c>
      <c r="N48" s="23">
        <f>CAT!H48 * (MAX($G$2,G48))</f>
        <v>76065.571578973773</v>
      </c>
      <c r="O48" s="23">
        <f t="shared" si="2"/>
        <v>3.419932752660183E-3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+(1-H49)*(1-DATA!$C$9)*CAT!J48</f>
        <v>1.3638905586106456E-8</v>
      </c>
      <c r="K49" s="26">
        <f>+(G49/(1-DATA!$C$7)) * DATA!$C$8</f>
        <v>1791.7444399896863</v>
      </c>
      <c r="L49" s="26">
        <f>+L48*(1+DATA!$C$11)</f>
        <v>124.33056447036863</v>
      </c>
      <c r="M49" s="23">
        <f>+DATA!$C$9*(1-CAT!H49) * (G49 - DATA!$C$12)</f>
        <v>6620.8338338576732</v>
      </c>
      <c r="N49" s="23">
        <f>CAT!H49 * (MAX($G$2,G49))</f>
        <v>81020.201106733104</v>
      </c>
      <c r="O49" s="23">
        <f t="shared" si="2"/>
        <v>1.1441843753315752E-3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+(1-H50)*(1-DATA!$C$9)*CAT!J49</f>
        <v>3.7108474906694195E-9</v>
      </c>
      <c r="K50" s="26">
        <f>+(G50/(1-DATA!$C$7)) * DATA!$C$8</f>
        <v>1809.5978725515176</v>
      </c>
      <c r="L50" s="26">
        <f>+L49*(1+DATA!$C$11)</f>
        <v>126.81717575977601</v>
      </c>
      <c r="M50" s="23">
        <f>+DATA!$C$9*(1-CAT!H50) * (G50 - DATA!$C$12)</f>
        <v>6068.6221336188992</v>
      </c>
      <c r="N50" s="23">
        <f>CAT!H50 * (MAX($G$2,G50))</f>
        <v>85949.454368420484</v>
      </c>
      <c r="O50" s="23">
        <f t="shared" si="2"/>
        <v>3.4847305548651401E-4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+(1-H51)*(1-DATA!$C$9)*CAT!J50</f>
        <v>9.1100476521520095E-10</v>
      </c>
      <c r="K51" s="26">
        <f>+(G51/(1-DATA!$C$7)) * DATA!$C$8</f>
        <v>1827.1480956427774</v>
      </c>
      <c r="L51" s="26">
        <f>+L50*(1+DATA!$C$11)</f>
        <v>129.35351927497152</v>
      </c>
      <c r="M51" s="23">
        <f>+DATA!$C$9*(1-CAT!H51) * (G51 - DATA!$C$12)</f>
        <v>5528.8701353749575</v>
      </c>
      <c r="N51" s="23">
        <f>CAT!H51 * (MAX($G$2,G51))</f>
        <v>90774.434884640956</v>
      </c>
      <c r="O51" s="23">
        <f t="shared" si="2"/>
        <v>9.6043577147724416E-5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+(1-H52)*(1-DATA!$C$9)*CAT!J51</f>
        <v>2.0066533427513666E-10</v>
      </c>
      <c r="K52" s="26">
        <f>+(G52/(1-DATA!$C$7)) * DATA!$C$8</f>
        <v>1846.1247301337507</v>
      </c>
      <c r="L52" s="26">
        <f>+L51*(1+DATA!$C$11)</f>
        <v>131.94058966047095</v>
      </c>
      <c r="M52" s="23">
        <f>(1-CAT!H52) * (G52)</f>
        <v>33419.860877171654</v>
      </c>
      <c r="N52" s="23">
        <f>CAT!H52 * (MAX($G$2,G52))</f>
        <v>95545.138127886079</v>
      </c>
      <c r="O52" s="23">
        <f t="shared" si="2"/>
        <v>3.0414034129595689E-5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B2A0-00AD-4184-B4C3-6CD3664F373B}">
  <sheetPr>
    <tabColor rgb="FFFFC000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+(1-H3)*(1-DATA!$C$15)*Lapse_Up!J2</f>
        <v>0.76998740074999994</v>
      </c>
      <c r="K3" s="26">
        <f>+(G3/(1-DATA!$C$7)) * DATA!$C$8</f>
        <v>1449.1960000000001</v>
      </c>
      <c r="L3" s="26">
        <f>+DATA!C10</f>
        <v>50</v>
      </c>
      <c r="M3" s="23">
        <f>+DATA!$C$15*(1-Lapse_Up!H3) * (G3 - DATA!$C$12)</f>
        <v>22626.458008720638</v>
      </c>
      <c r="N3" s="23">
        <f>Lapse_Up!H3 * (MAX($G$2,G3))</f>
        <v>654.78576308603999</v>
      </c>
      <c r="O3" s="23">
        <f t="shared" ref="O3:O34" si="0">+J2*D3*(K3+L3+M3+N3)</f>
        <v>23939.215731018685</v>
      </c>
      <c r="Q3" s="6" t="s">
        <v>40</v>
      </c>
      <c r="R3" s="27">
        <f>+SUM(O2:O52)</f>
        <v>96976.910912852341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+(1-H4)*(1-DATA!$C$15)*Lapse_Up!J3</f>
        <v>0.59250322475616191</v>
      </c>
      <c r="K4" s="26">
        <f>+(G4/(1-DATA!$C$7)) * DATA!$C$8</f>
        <v>1453.5716409270005</v>
      </c>
      <c r="L4" s="26">
        <f>+L3*(1+DATA!$C$11)</f>
        <v>51</v>
      </c>
      <c r="M4" s="23">
        <f>+DATA!$C$15*(1-Lapse_Up!H4) * (G4 - DATA!$C$12)</f>
        <v>22680.343487007976</v>
      </c>
      <c r="N4" s="23">
        <f>Lapse_Up!H4 * (MAX($G$2,G4))</f>
        <v>720.97716960469711</v>
      </c>
      <c r="O4" s="23">
        <f t="shared" si="0"/>
        <v>18064.093551927243</v>
      </c>
      <c r="Q4" s="6" t="s">
        <v>41</v>
      </c>
      <c r="R4" s="27">
        <f>+R2-R3</f>
        <v>3023.0890871476586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+(1-H5)*(1-DATA!$C$15)*Lapse_Up!J4</f>
        <v>0.4556013834233868</v>
      </c>
      <c r="K5" s="26">
        <f>+(G5/(1-DATA!$C$7)) * DATA!$C$8</f>
        <v>1454.0174346398255</v>
      </c>
      <c r="L5" s="26">
        <f>+L4*(1+DATA!$C$11)</f>
        <v>52.02</v>
      </c>
      <c r="M5" s="23">
        <f>+DATA!$C$15*(1-Lapse_Up!H5) * (G5 - DATA!$C$12)</f>
        <v>22670.966893960798</v>
      </c>
      <c r="N5" s="23">
        <f>Lapse_Up!H5 * (MAX($G$2,G5))</f>
        <v>793.80708836269423</v>
      </c>
      <c r="O5" s="23">
        <f t="shared" si="0"/>
        <v>13625.721386576692</v>
      </c>
      <c r="Q5" s="6" t="s">
        <v>43</v>
      </c>
      <c r="R5" s="27">
        <f>+MAX(Rates_Basic!R4-R4,0)</f>
        <v>1180.8731548794603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+(1-H6)*(1-DATA!$C$15)*Lapse_Up!J5</f>
        <v>0.3500315839147573</v>
      </c>
      <c r="K6" s="26">
        <f>+(G6/(1-DATA!$C$7)) * DATA!$C$8</f>
        <v>1453.3171478985437</v>
      </c>
      <c r="L6" s="26">
        <f>+L5*(1+DATA!$C$11)</f>
        <v>53.060400000000001</v>
      </c>
      <c r="M6" s="23">
        <f>+DATA!$C$15*(1-Lapse_Up!H6) * (G6 - DATA!$C$12)</f>
        <v>22640.638409107731</v>
      </c>
      <c r="N6" s="23">
        <f>Lapse_Up!H6 * (MAX($G$2,G6))</f>
        <v>879.69731884962835</v>
      </c>
      <c r="O6" s="23">
        <f t="shared" si="0"/>
        <v>10274.79236526547</v>
      </c>
      <c r="Q6" s="6" t="s">
        <v>42</v>
      </c>
      <c r="R6" s="8">
        <f>+SUMPRODUCT(A2:A52,O2:O52)/R3</f>
        <v>4.0159881541028293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+(1-H7)*(1-DATA!$C$15)*Lapse_Up!J6</f>
        <v>0.26865594638464513</v>
      </c>
      <c r="K7" s="26">
        <f>+(G7/(1-DATA!$C$7)) * DATA!$C$8</f>
        <v>1452.58181697792</v>
      </c>
      <c r="L7" s="26">
        <f>+L6*(1+DATA!$C$11)</f>
        <v>54.121608000000002</v>
      </c>
      <c r="M7" s="23">
        <f>+DATA!$C$15*(1-Lapse_Up!H7) * (G7 - DATA!$C$12)</f>
        <v>22606.631560587331</v>
      </c>
      <c r="N7" s="23">
        <f>Lapse_Up!H7 * (MAX($G$2,G7))</f>
        <v>979.49050725988764</v>
      </c>
      <c r="O7" s="23">
        <f t="shared" si="0"/>
        <v>7744.6117524725269</v>
      </c>
      <c r="Q7" s="6" t="s">
        <v>44</v>
      </c>
      <c r="R7" s="27">
        <f>+MAX(R5,0)</f>
        <v>1180.8731548794603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+(1-H8)*(1-DATA!$C$15)*Lapse_Up!J7</f>
        <v>0.20596069300239597</v>
      </c>
      <c r="K8" s="26">
        <f>+(G8/(1-DATA!$C$7)) * DATA!$C$8</f>
        <v>1452.835173571694</v>
      </c>
      <c r="L8" s="26">
        <f>+L7*(1+DATA!$C$11)</f>
        <v>55.204040160000005</v>
      </c>
      <c r="M8" s="23">
        <f>+DATA!$C$15*(1-Lapse_Up!H8) * (G8 - DATA!$C$12)</f>
        <v>22584.489379067025</v>
      </c>
      <c r="N8" s="23">
        <f>Lapse_Up!H8 * (MAX($G$2,G8))</f>
        <v>1095.6218220707735</v>
      </c>
      <c r="O8" s="23">
        <f t="shared" si="0"/>
        <v>5834.4335730068506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+(1-H9)*(1-DATA!$C$15)*Lapse_Up!J8</f>
        <v>0.15774747764493985</v>
      </c>
      <c r="K9" s="26">
        <f>+(G9/(1-DATA!$C$7)) * DATA!$C$8</f>
        <v>1453.938328438775</v>
      </c>
      <c r="L9" s="26">
        <f>+L8*(1+DATA!$C$11)</f>
        <v>56.308120963200004</v>
      </c>
      <c r="M9" s="23">
        <f>+DATA!$C$15*(1-Lapse_Up!H9) * (G9 - DATA!$C$12)</f>
        <v>22580.324197301321</v>
      </c>
      <c r="N9" s="23">
        <f>Lapse_Up!H9 * (MAX($G$2,G9))</f>
        <v>1191.2156479726893</v>
      </c>
      <c r="O9" s="23">
        <f t="shared" si="0"/>
        <v>4387.4004888698182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+(1-H10)*(1-DATA!$C$15)*Lapse_Up!J9</f>
        <v>0.12068969204043864</v>
      </c>
      <c r="K10" s="26">
        <f>+(G10/(1-DATA!$C$7)) * DATA!$C$8</f>
        <v>1455.9225809844947</v>
      </c>
      <c r="L10" s="26">
        <f>+L9*(1+DATA!$C$11)</f>
        <v>57.434283382464002</v>
      </c>
      <c r="M10" s="23">
        <f>+DATA!$C$15*(1-Lapse_Up!H10) * (G10 - DATA!$C$12)</f>
        <v>22586.672886530545</v>
      </c>
      <c r="N10" s="23">
        <f>Lapse_Up!H10 * (MAX($G$2,G10))</f>
        <v>1301.6348585493458</v>
      </c>
      <c r="O10" s="23">
        <f t="shared" si="0"/>
        <v>3297.5116495656862</v>
      </c>
      <c r="Q10" s="28" t="s">
        <v>8</v>
      </c>
      <c r="R10" s="30">
        <f>+SUMPRODUCT(D3:D52,J2:J51,M3:M52)</f>
        <v>87486.706767610958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+(1-H11)*(1-DATA!$C$15)*Lapse_Up!J10</f>
        <v>9.2227367470829588E-2</v>
      </c>
      <c r="K11" s="26">
        <f>+(G11/(1-DATA!$C$7)) * DATA!$C$8</f>
        <v>1458.749187329799</v>
      </c>
      <c r="L11" s="26">
        <f>+L10*(1+DATA!$C$11)</f>
        <v>58.582969050113284</v>
      </c>
      <c r="M11" s="23">
        <f>+DATA!$C$15*(1-Lapse_Up!H11) * (G11 - DATA!$C$12)</f>
        <v>22603.549902059265</v>
      </c>
      <c r="N11" s="23">
        <f>Lapse_Up!H11 * (MAX($G$2,G11))</f>
        <v>1424.1080849087386</v>
      </c>
      <c r="O11" s="23">
        <f t="shared" si="0"/>
        <v>2476.476239070792</v>
      </c>
      <c r="Q11" s="28" t="s">
        <v>17</v>
      </c>
      <c r="R11" s="30">
        <f>+SUMPRODUCT(D3:D52,J2:J51,N3:N52)</f>
        <v>3665.2089407307176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+(1-H12)*(1-DATA!$C$15)*Lapse_Up!J11</f>
        <v>7.0356888770772716E-2</v>
      </c>
      <c r="K12" s="26">
        <f>+(G12/(1-DATA!$C$7)) * DATA!$C$8</f>
        <v>1462.6657460438055</v>
      </c>
      <c r="L12" s="26">
        <f>+L11*(1+DATA!$C$11)</f>
        <v>59.754628431115549</v>
      </c>
      <c r="M12" s="23">
        <f>+DATA!$C$15*(1-Lapse_Up!H12) * (G12 - DATA!$C$12)</f>
        <v>22625.517615111447</v>
      </c>
      <c r="N12" s="23">
        <f>Lapse_Up!H12 * (MAX($G$2,G12))</f>
        <v>1600.107107469569</v>
      </c>
      <c r="O12" s="23">
        <f>+J11*D12*(K12+L12+M12+N12)</f>
        <v>1860.5301466612091</v>
      </c>
      <c r="Q12" s="28" t="s">
        <v>18</v>
      </c>
      <c r="R12" s="30">
        <f>+SUMPRODUCT(D3:D52,J2:J51,L3:L52)</f>
        <v>205.36090171300387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+(1-H13)*(1-DATA!$C$15)*Lapse_Up!J12</f>
        <v>5.357381408587128E-2</v>
      </c>
      <c r="K13" s="26">
        <f>+(G13/(1-DATA!$C$7)) * DATA!$C$8</f>
        <v>1468.4973619239377</v>
      </c>
      <c r="L13" s="26">
        <f>+L12*(1+DATA!$C$11)</f>
        <v>60.949720999737863</v>
      </c>
      <c r="M13" s="23">
        <f>+DATA!$C$15*(1-Lapse_Up!H13) * (G13 - DATA!$C$12)</f>
        <v>22673.891641589649</v>
      </c>
      <c r="N13" s="23">
        <f>Lapse_Up!H13 * (MAX($G$2,G13))</f>
        <v>1792.5277284594861</v>
      </c>
      <c r="O13" s="23">
        <f t="shared" si="0"/>
        <v>1395.9000940723884</v>
      </c>
      <c r="Q13" s="29" t="s">
        <v>46</v>
      </c>
      <c r="R13" s="31">
        <f>+SUMPRODUCT(D3:D52,J2:J51,K3:K52)</f>
        <v>5619.6343027976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+(1-H14)*(1-DATA!$C$15)*Lapse_Up!J13</f>
        <v>4.0700211551416454E-2</v>
      </c>
      <c r="K14" s="26">
        <f>+(G14/(1-DATA!$C$7)) * DATA!$C$8</f>
        <v>1471.9084757060559</v>
      </c>
      <c r="L14" s="26">
        <f>+L13*(1+DATA!$C$11)</f>
        <v>62.168715419732621</v>
      </c>
      <c r="M14" s="23">
        <f>+DATA!$C$15*(1-Lapse_Up!H14) * (G14 - DATA!$C$12)</f>
        <v>22674.204489279658</v>
      </c>
      <c r="N14" s="23">
        <f>Lapse_Up!H14 * (MAX($G$2,G14))</f>
        <v>2029.4732350610739</v>
      </c>
      <c r="O14" s="23">
        <f t="shared" si="0"/>
        <v>1046.7762717407613</v>
      </c>
      <c r="Q14" s="28" t="s">
        <v>47</v>
      </c>
      <c r="R14" s="30">
        <f>+SUM(R10:R13)</f>
        <v>96976.910912852283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+(1-H15)*(1-DATA!$C$15)*Lapse_Up!J14</f>
        <v>3.0857501460787563E-2</v>
      </c>
      <c r="K15" s="26">
        <f>+(G15/(1-DATA!$C$7)) * DATA!$C$8</f>
        <v>1476.2634791908197</v>
      </c>
      <c r="L15" s="26">
        <f>+L14*(1+DATA!$C$11)</f>
        <v>63.412089728127278</v>
      </c>
      <c r="M15" s="23">
        <f>+DATA!$C$15*(1-Lapse_Up!H15) * (G15 - DATA!$C$12)</f>
        <v>22695.270817764136</v>
      </c>
      <c r="N15" s="23">
        <f>Lapse_Up!H15 * (MAX($G$2,G15))</f>
        <v>2240.1128948418818</v>
      </c>
      <c r="O15" s="23">
        <f t="shared" si="0"/>
        <v>782.46338654645649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+(1-H16)*(1-DATA!$C$15)*Lapse_Up!J15</f>
        <v>2.3342502638029741E-2</v>
      </c>
      <c r="K16" s="26">
        <f>+(G16/(1-DATA!$C$7)) * DATA!$C$8</f>
        <v>1481.180360131865</v>
      </c>
      <c r="L16" s="26">
        <f>+L15*(1+DATA!$C$11)</f>
        <v>64.680331522689826</v>
      </c>
      <c r="M16" s="23">
        <f>+DATA!$C$15*(1-Lapse_Up!H16) * (G16 - DATA!$C$12)</f>
        <v>22719.683895806276</v>
      </c>
      <c r="N16" s="23">
        <f>Lapse_Up!H16 * (MAX($G$2,G16))</f>
        <v>2475.1335652758848</v>
      </c>
      <c r="O16" s="23">
        <f t="shared" si="0"/>
        <v>584.06122933247684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+(1-H17)*(1-DATA!$C$15)*Lapse_Up!J16</f>
        <v>1.7620470005495537E-2</v>
      </c>
      <c r="K17" s="26">
        <f>+(G17/(1-DATA!$C$7)) * DATA!$C$8</f>
        <v>1484.5774917502104</v>
      </c>
      <c r="L17" s="26">
        <f>+L16*(1+DATA!$C$11)</f>
        <v>65.973938153143621</v>
      </c>
      <c r="M17" s="23">
        <f>+DATA!$C$15*(1-Lapse_Up!H17) * (G17 - DATA!$C$12)</f>
        <v>22723.792626279432</v>
      </c>
      <c r="N17" s="23">
        <f>Lapse_Up!H17 * (MAX($G$2,G17))</f>
        <v>2694.2276069180157</v>
      </c>
      <c r="O17" s="23">
        <f t="shared" si="0"/>
        <v>434.78494035735707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+(1-H18)*(1-DATA!$C$15)*Lapse_Up!J17</f>
        <v>1.3256808219144524E-2</v>
      </c>
      <c r="K18" s="26">
        <f>+(G18/(1-DATA!$C$7)) * DATA!$C$8</f>
        <v>1485.4004344685075</v>
      </c>
      <c r="L18" s="26">
        <f>+L17*(1+DATA!$C$11)</f>
        <v>67.293416916206496</v>
      </c>
      <c r="M18" s="23">
        <f>+DATA!$C$15*(1-Lapse_Up!H18) * (G18 - DATA!$C$12)</f>
        <v>22660.680711949622</v>
      </c>
      <c r="N18" s="23">
        <f>Lapse_Up!H18 * (MAX($G$2,G18))</f>
        <v>3032.2782995747029</v>
      </c>
      <c r="O18" s="23">
        <f t="shared" si="0"/>
        <v>324.10222937261108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+(1-H19)*(1-DATA!$C$15)*Lapse_Up!J18</f>
        <v>9.9363249792554943E-3</v>
      </c>
      <c r="K19" s="26">
        <f>+(G19/(1-DATA!$C$7)) * DATA!$C$8</f>
        <v>1483.9047345693523</v>
      </c>
      <c r="L19" s="26">
        <f>+L18*(1+DATA!$C$11)</f>
        <v>68.639285254530634</v>
      </c>
      <c r="M19" s="23">
        <f>+DATA!$C$15*(1-Lapse_Up!H19) * (G19 - DATA!$C$12)</f>
        <v>22552.810446073207</v>
      </c>
      <c r="N19" s="23">
        <f>Lapse_Up!H19 * (MAX($G$2,G19))</f>
        <v>3407.2893241431993</v>
      </c>
      <c r="O19" s="23">
        <f t="shared" si="0"/>
        <v>241.05435978588957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+(1-H20)*(1-DATA!$C$15)*Lapse_Up!J19</f>
        <v>7.4115100161132059E-3</v>
      </c>
      <c r="K20" s="26">
        <f>+(G20/(1-DATA!$C$7)) * DATA!$C$8</f>
        <v>1481.8310003128743</v>
      </c>
      <c r="L20" s="26">
        <f>+L19*(1+DATA!$C$11)</f>
        <v>70.012070959621255</v>
      </c>
      <c r="M20" s="23">
        <f>+DATA!$C$15*(1-Lapse_Up!H20) * (G20 - DATA!$C$12)</f>
        <v>22412.345414958418</v>
      </c>
      <c r="N20" s="23">
        <f>Lapse_Up!H20 * (MAX($G$2,G20))</f>
        <v>3886.8067667175033</v>
      </c>
      <c r="O20" s="23">
        <f t="shared" si="0"/>
        <v>179.12508001670466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+(1-H21)*(1-DATA!$C$15)*Lapse_Up!J20</f>
        <v>5.5055467100064547E-3</v>
      </c>
      <c r="K21" s="26">
        <f>+(G21/(1-DATA!$C$7)) * DATA!$C$8</f>
        <v>1479.4559022574501</v>
      </c>
      <c r="L21" s="26">
        <f>+L20*(1+DATA!$C$11)</f>
        <v>71.412312378813681</v>
      </c>
      <c r="M21" s="23">
        <f>+DATA!$C$15*(1-Lapse_Up!H21) * (G21 - DATA!$C$12)</f>
        <v>22284.523907818108</v>
      </c>
      <c r="N21" s="23">
        <f>Lapse_Up!H21 * (MAX($G$2,G21))</f>
        <v>4289.0638386502851</v>
      </c>
      <c r="O21" s="23">
        <f t="shared" si="0"/>
        <v>132.16492904619133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+(1-H22)*(1-DATA!$C$15)*Lapse_Up!J21</f>
        <v>4.0660755609949455E-3</v>
      </c>
      <c r="K22" s="26">
        <f>+(G22/(1-DATA!$C$7)) * DATA!$C$8</f>
        <v>1478.555609799771</v>
      </c>
      <c r="L22" s="26">
        <f>+L21*(1+DATA!$C$11)</f>
        <v>72.840558626389949</v>
      </c>
      <c r="M22" s="23">
        <f>+DATA!$C$15*(1-Lapse_Up!H22) * (G22 - DATA!$C$12)</f>
        <v>22142.170425762062</v>
      </c>
      <c r="N22" s="23">
        <f>Lapse_Up!H22 * (MAX($G$2,G22))</f>
        <v>4858.9649798923137</v>
      </c>
      <c r="O22" s="23">
        <f t="shared" si="0"/>
        <v>97.53796387128493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+(1-H23)*(1-DATA!$C$15)*Lapse_Up!J22</f>
        <v>2.9849172988105702E-3</v>
      </c>
      <c r="K23" s="26">
        <f>+(G23/(1-DATA!$C$7)) * DATA!$C$8</f>
        <v>1479.1280202811074</v>
      </c>
      <c r="L23" s="26">
        <f>+L22*(1+DATA!$C$11)</f>
        <v>74.297369798917757</v>
      </c>
      <c r="M23" s="23">
        <f>+DATA!$C$15*(1-Lapse_Up!H23) * (G23 - DATA!$C$12)</f>
        <v>22017.610631491323</v>
      </c>
      <c r="N23" s="23">
        <f>Lapse_Up!H23 * (MAX($G$2,G23))</f>
        <v>5452.6655783076649</v>
      </c>
      <c r="O23" s="23">
        <f t="shared" si="0"/>
        <v>71.58592027303159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+(1-H24)*(1-DATA!$C$15)*Lapse_Up!J23</f>
        <v>2.1769384989285376E-3</v>
      </c>
      <c r="K24" s="26">
        <f>+(G24/(1-DATA!$C$7)) * DATA!$C$8</f>
        <v>1481.4354895753065</v>
      </c>
      <c r="L24" s="26">
        <f>+L23*(1+DATA!$C$11)</f>
        <v>75.783317194896114</v>
      </c>
      <c r="M24" s="23">
        <f>+DATA!$C$15*(1-Lapse_Up!H24) * (G24 - DATA!$C$12)</f>
        <v>21908.078952994336</v>
      </c>
      <c r="N24" s="23">
        <f>Lapse_Up!H24 * (MAX($G$2,G24))</f>
        <v>6100.7898614176056</v>
      </c>
      <c r="O24" s="23">
        <f t="shared" si="0"/>
        <v>52.274201100092526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+(1-H25)*(1-DATA!$C$15)*Lapse_Up!J24</f>
        <v>1.5762216254728214E-3</v>
      </c>
      <c r="K25" s="26">
        <f>+(G25/(1-DATA!$C$7)) * DATA!$C$8</f>
        <v>1485.0800678162418</v>
      </c>
      <c r="L25" s="26">
        <f>+L24*(1+DATA!$C$11)</f>
        <v>77.298983538794033</v>
      </c>
      <c r="M25" s="23">
        <f>+DATA!$C$15*(1-Lapse_Up!H25) * (G25 - DATA!$C$12)</f>
        <v>21803.63448352279</v>
      </c>
      <c r="N25" s="23">
        <f>Lapse_Up!H25 * (MAX($G$2,G25))</f>
        <v>6819.7230311444137</v>
      </c>
      <c r="O25" s="23">
        <f t="shared" si="0"/>
        <v>37.973524621149124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+(1-H26)*(1-DATA!$C$15)*Lapse_Up!J25</f>
        <v>1.1333933596389921E-3</v>
      </c>
      <c r="K26" s="26">
        <f>+(G26/(1-DATA!$C$7)) * DATA!$C$8</f>
        <v>1490.2460492259468</v>
      </c>
      <c r="L26" s="26">
        <f>+L25*(1+DATA!$C$11)</f>
        <v>78.844963209569912</v>
      </c>
      <c r="M26" s="23">
        <f>+DATA!$C$15*(1-Lapse_Up!H26) * (G26 - DATA!$C$12)</f>
        <v>21728.490354240905</v>
      </c>
      <c r="N26" s="23">
        <f>Lapse_Up!H26 * (MAX($G$2,G26))</f>
        <v>7514.7065995990224</v>
      </c>
      <c r="O26" s="23">
        <f t="shared" si="0"/>
        <v>27.352998794894678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+(1-H27)*(1-DATA!$C$15)*Lapse_Up!J26</f>
        <v>8.0700506964872035E-4</v>
      </c>
      <c r="K27" s="26">
        <f>+(G27/(1-DATA!$C$7)) * DATA!$C$8</f>
        <v>1496.3936819603516</v>
      </c>
      <c r="L27" s="26">
        <f>+L26*(1+DATA!$C$11)</f>
        <v>80.421862473761308</v>
      </c>
      <c r="M27" s="23">
        <f>+DATA!$C$15*(1-Lapse_Up!H27) * (G27 - DATA!$C$12)</f>
        <v>21604.787551019992</v>
      </c>
      <c r="N27" s="23">
        <f>Lapse_Up!H27 * (MAX($G$2,G27))</f>
        <v>8494.1343528969737</v>
      </c>
      <c r="O27" s="23">
        <f t="shared" si="0"/>
        <v>19.693462623603001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+(1-H28)*(1-DATA!$C$15)*Lapse_Up!J27</f>
        <v>5.6748945567740901E-4</v>
      </c>
      <c r="K28" s="26">
        <f>+(G28/(1-DATA!$C$7)) * DATA!$C$8</f>
        <v>1503.6227786978077</v>
      </c>
      <c r="L28" s="26">
        <f>+L27*(1+DATA!$C$11)</f>
        <v>82.030299723236539</v>
      </c>
      <c r="M28" s="23">
        <f>+DATA!$C$15*(1-Lapse_Up!H28) * (G28 - DATA!$C$12)</f>
        <v>21440.226271679872</v>
      </c>
      <c r="N28" s="23">
        <f>Lapse_Up!H28 * (MAX($G$2,G28))</f>
        <v>9730.749505547421</v>
      </c>
      <c r="O28" s="23">
        <f t="shared" si="0"/>
        <v>14.113540442838392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+(1-H29)*(1-DATA!$C$15)*Lapse_Up!J28</f>
        <v>3.9274464931188344E-4</v>
      </c>
      <c r="K29" s="26">
        <f>+(G29/(1-DATA!$C$7)) * DATA!$C$8</f>
        <v>1512.036984530421</v>
      </c>
      <c r="L29" s="26">
        <f>+L28*(1+DATA!$C$11)</f>
        <v>83.670905717701274</v>
      </c>
      <c r="M29" s="23">
        <f>+DATA!$C$15*(1-Lapse_Up!H29) * (G29 - DATA!$C$12)</f>
        <v>21218.969550512284</v>
      </c>
      <c r="N29" s="23">
        <f>Lapse_Up!H29 * (MAX($G$2,G29))</f>
        <v>11302.192326014976</v>
      </c>
      <c r="O29" s="23">
        <f t="shared" si="0"/>
        <v>10.053165221051524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+(1-H30)*(1-DATA!$C$15)*Lapse_Up!J29</f>
        <v>2.6716254018013374E-4</v>
      </c>
      <c r="K30" s="26">
        <f>+(G30/(1-DATA!$C$7)) * DATA!$C$8</f>
        <v>1521.3287371681588</v>
      </c>
      <c r="L30" s="26">
        <f>+L29*(1+DATA!$C$11)</f>
        <v>85.344323832055295</v>
      </c>
      <c r="M30" s="23">
        <f>+DATA!$C$15*(1-Lapse_Up!H30) * (G30 - DATA!$C$12)</f>
        <v>20984.482005343762</v>
      </c>
      <c r="N30" s="23">
        <f>Lapse_Up!H30 * (MAX($G$2,G30))</f>
        <v>12993.759750038302</v>
      </c>
      <c r="O30" s="23">
        <f t="shared" si="0"/>
        <v>7.053915510506223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+(1-H31)*(1-DATA!$C$15)*Lapse_Up!J30</f>
        <v>1.7808880544738676E-4</v>
      </c>
      <c r="K31" s="26">
        <f>+(G31/(1-DATA!$C$7)) * DATA!$C$8</f>
        <v>1531.1248619675434</v>
      </c>
      <c r="L31" s="26">
        <f>+L30*(1+DATA!$C$11)</f>
        <v>87.051210308696398</v>
      </c>
      <c r="M31" s="23">
        <f>+DATA!$C$15*(1-Lapse_Up!H31) * (G31 - DATA!$C$12)</f>
        <v>20695.793647261053</v>
      </c>
      <c r="N31" s="23">
        <f>Lapse_Up!H31 * (MAX($G$2,G31))</f>
        <v>14961.500703451813</v>
      </c>
      <c r="O31" s="23">
        <f t="shared" si="0"/>
        <v>4.884319426462584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+(1-H32)*(1-DATA!$C$15)*Lapse_Up!J31</f>
        <v>1.1593124254297881E-4</v>
      </c>
      <c r="K32" s="26">
        <f>+(G32/(1-DATA!$C$7)) * DATA!$C$8</f>
        <v>1541.4342512768526</v>
      </c>
      <c r="L32" s="26">
        <f>+L31*(1+DATA!$C$11)</f>
        <v>88.79223451487033</v>
      </c>
      <c r="M32" s="23">
        <f>+DATA!$C$15*(1-Lapse_Up!H32) * (G32 - DATA!$C$12)</f>
        <v>20346.974378087747</v>
      </c>
      <c r="N32" s="23">
        <f>Lapse_Up!H32 * (MAX($G$2,G32))</f>
        <v>17232.396122594597</v>
      </c>
      <c r="O32" s="23">
        <f t="shared" si="0"/>
        <v>3.3270461023282945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+(1-H33)*(1-DATA!$C$15)*Lapse_Up!J32</f>
        <v>7.3606139731866336E-5</v>
      </c>
      <c r="K33" s="26">
        <f>+(G33/(1-DATA!$C$7)) * DATA!$C$8</f>
        <v>1552.7357621857186</v>
      </c>
      <c r="L33" s="26">
        <f>+L32*(1+DATA!$C$11)</f>
        <v>90.568079205167734</v>
      </c>
      <c r="M33" s="23">
        <f>+DATA!$C$15*(1-Lapse_Up!H33) * (G33 - DATA!$C$12)</f>
        <v>19990.454003924482</v>
      </c>
      <c r="N33" s="23">
        <f>Lapse_Up!H33 * (MAX($G$2,G33))</f>
        <v>19606.836892337982</v>
      </c>
      <c r="O33" s="23">
        <f t="shared" si="0"/>
        <v>2.2116761463324912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+(1-H34)*(1-DATA!$C$15)*Lapse_Up!J33</f>
        <v>4.5624759916313851E-5</v>
      </c>
      <c r="K34" s="26">
        <f>+(G34/(1-DATA!$C$7)) * DATA!$C$8</f>
        <v>1564.6072534038274</v>
      </c>
      <c r="L34" s="26">
        <f>+L33*(1+DATA!$C$11)</f>
        <v>92.379440789271086</v>
      </c>
      <c r="M34" s="23">
        <f>+DATA!$C$15*(1-Lapse_Up!H34) * (G34 - DATA!$C$12)</f>
        <v>19665.457212645233</v>
      </c>
      <c r="N34" s="23">
        <f>Lapse_Up!H34 * (MAX($G$2,G34))</f>
        <v>21880.964233152044</v>
      </c>
      <c r="O34" s="23">
        <f t="shared" si="0"/>
        <v>1.4277732615159959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+(1-H35)*(1-DATA!$C$15)*Lapse_Up!J34</f>
        <v>2.7414139358542425E-5</v>
      </c>
      <c r="K35" s="26">
        <f>+(G35/(1-DATA!$C$7)) * DATA!$C$8</f>
        <v>1577.0603905197688</v>
      </c>
      <c r="L35" s="26">
        <f>+L34*(1+DATA!$C$11)</f>
        <v>94.227029605056515</v>
      </c>
      <c r="M35" s="23">
        <f>+DATA!$C$15*(1-Lapse_Up!H35) * (G35 - DATA!$C$12)</f>
        <v>19214.767513259481</v>
      </c>
      <c r="N35" s="23">
        <f>Lapse_Up!H35 * (MAX($G$2,G35))</f>
        <v>24754.46017868329</v>
      </c>
      <c r="O35" s="23">
        <f t="shared" ref="O35:O52" si="2">+J34*D35*(K35+L35+M35+N35)</f>
        <v>0.90713974274211884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+(1-H36)*(1-DATA!$C$15)*Lapse_Up!J35</f>
        <v>1.6019464019441168E-5</v>
      </c>
      <c r="K36" s="26">
        <f>+(G36/(1-DATA!$C$7)) * DATA!$C$8</f>
        <v>1590.1074729646173</v>
      </c>
      <c r="L36" s="26">
        <f>+L35*(1+DATA!$C$11)</f>
        <v>96.111570197157647</v>
      </c>
      <c r="M36" s="23">
        <f>+DATA!$C$15*(1-Lapse_Up!H36) * (G36 - DATA!$C$12)</f>
        <v>18841.404648513118</v>
      </c>
      <c r="N36" s="23">
        <f>Lapse_Up!H36 * (MAX($G$2,G36))</f>
        <v>27325.70867048583</v>
      </c>
      <c r="O36" s="23">
        <f t="shared" si="2"/>
        <v>0.55433278810302378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+(1-H37)*(1-DATA!$C$15)*Lapse_Up!J36</f>
        <v>8.9932653134415487E-6</v>
      </c>
      <c r="K37" s="26">
        <f>+(G37/(1-DATA!$C$7)) * DATA!$C$8</f>
        <v>1603.2143567385515</v>
      </c>
      <c r="L37" s="26">
        <f>+L36*(1+DATA!$C$11)</f>
        <v>98.033801601100805</v>
      </c>
      <c r="M37" s="23">
        <f>+DATA!$C$15*(1-Lapse_Up!H37) * (G37 - DATA!$C$12)</f>
        <v>18250.513579848801</v>
      </c>
      <c r="N37" s="23">
        <f>Lapse_Up!H37 * (MAX($G$2,G37))</f>
        <v>30868.093018690484</v>
      </c>
      <c r="O37" s="23">
        <f t="shared" si="2"/>
        <v>0.33368670690767471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+(1-H38)*(1-DATA!$C$15)*Lapse_Up!J37</f>
        <v>4.8400913856029486E-6</v>
      </c>
      <c r="K38" s="26">
        <f>+(G38/(1-DATA!$C$7)) * DATA!$C$8</f>
        <v>1616.9008642635238</v>
      </c>
      <c r="L38" s="26">
        <f>+L37*(1+DATA!$C$11)</f>
        <v>99.994477633122827</v>
      </c>
      <c r="M38" s="23">
        <f>+DATA!$C$15*(1-Lapse_Up!H38) * (G38 - DATA!$C$12)</f>
        <v>17645.512553383498</v>
      </c>
      <c r="N38" s="23">
        <f>Lapse_Up!H38 * (MAX($G$2,G38))</f>
        <v>34513.685632234738</v>
      </c>
      <c r="O38" s="23">
        <f t="shared" si="2"/>
        <v>0.19258305160787809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+(1-H39)*(1-DATA!$C$15)*Lapse_Up!J38</f>
        <v>2.5035512800576638E-6</v>
      </c>
      <c r="K39" s="26">
        <f>+(G39/(1-DATA!$C$7)) * DATA!$C$8</f>
        <v>1631.1798595382238</v>
      </c>
      <c r="L39" s="26">
        <f>+L38*(1+DATA!$C$11)</f>
        <v>101.99436718578528</v>
      </c>
      <c r="M39" s="23">
        <f>+DATA!$C$15*(1-Lapse_Up!H39) * (G39 - DATA!$C$12)</f>
        <v>17108.82494172634</v>
      </c>
      <c r="N39" s="23">
        <f>Lapse_Up!H39 * (MAX($G$2,G39))</f>
        <v>37896.994048427747</v>
      </c>
      <c r="O39" s="23">
        <f t="shared" si="2"/>
        <v>0.10581814511436642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+(1-H40)*(1-DATA!$C$15)*Lapse_Up!J39</f>
        <v>1.248401618364118E-6</v>
      </c>
      <c r="K40" s="26">
        <f>+(G40/(1-DATA!$C$7)) * DATA!$C$8</f>
        <v>1646.0648363423545</v>
      </c>
      <c r="L40" s="26">
        <f>+L39*(1+DATA!$C$11)</f>
        <v>104.03425452950098</v>
      </c>
      <c r="M40" s="23">
        <f>+DATA!$C$15*(1-Lapse_Up!H40) * (G40 - DATA!$C$12)</f>
        <v>16644.12086068065</v>
      </c>
      <c r="N40" s="23">
        <f>Lapse_Up!H40 * (MAX($G$2,G40))</f>
        <v>41002.647485973328</v>
      </c>
      <c r="O40" s="23">
        <f t="shared" si="2"/>
        <v>5.5531417296602964E-2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+(1-H41)*(1-DATA!$C$15)*Lapse_Up!J40</f>
        <v>6.0074427252010248E-7</v>
      </c>
      <c r="K41" s="26">
        <f>+(G41/(1-DATA!$C$7)) * DATA!$C$8</f>
        <v>1660.9387176123464</v>
      </c>
      <c r="L41" s="26">
        <f>+L40*(1+DATA!$C$11)</f>
        <v>106.11493962009101</v>
      </c>
      <c r="M41" s="23">
        <f>+DATA!$C$15*(1-Lapse_Up!H41) * (G41 - DATA!$C$12)</f>
        <v>16207.114230778012</v>
      </c>
      <c r="N41" s="23">
        <f>Lapse_Up!H41 * (MAX($G$2,G41))</f>
        <v>43984.396127947504</v>
      </c>
      <c r="O41" s="23">
        <f t="shared" si="2"/>
        <v>2.7996682712609848E-2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+(1-H42)*(1-DATA!$C$15)*Lapse_Up!J41</f>
        <v>2.7817524484549799E-7</v>
      </c>
      <c r="K42" s="26">
        <f>+(G42/(1-DATA!$C$7)) * DATA!$C$8</f>
        <v>1676.4030408347244</v>
      </c>
      <c r="L42" s="26">
        <f>+L41*(1+DATA!$C$11)</f>
        <v>108.23723841249283</v>
      </c>
      <c r="M42" s="23">
        <f>+DATA!$C$15*(1-Lapse_Up!H42) * (G42 - DATA!$C$12)</f>
        <v>15740.725264681461</v>
      </c>
      <c r="N42" s="23">
        <f>Lapse_Up!H42 * (MAX($G$2,G42))</f>
        <v>47137.998052000192</v>
      </c>
      <c r="O42" s="23">
        <f t="shared" si="2"/>
        <v>1.3624258118993333E-2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+(1-H43)*(1-DATA!$C$15)*Lapse_Up!J42</f>
        <v>1.2197899079720539E-7</v>
      </c>
      <c r="K43" s="26">
        <f>+(G43/(1-DATA!$C$7)) * DATA!$C$8</f>
        <v>1691.7959151876225</v>
      </c>
      <c r="L43" s="26">
        <f>+L42*(1+DATA!$C$11)</f>
        <v>110.40198318074269</v>
      </c>
      <c r="M43" s="23">
        <f>+DATA!$C$15*(1-Lapse_Up!H43) * (G43 - DATA!$C$12)</f>
        <v>15042.937904635437</v>
      </c>
      <c r="N43" s="23">
        <f>Lapse_Up!H43 * (MAX($G$2,G43))</f>
        <v>51315.21108421278</v>
      </c>
      <c r="O43" s="23">
        <f t="shared" si="2"/>
        <v>6.4444302291286702E-3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+(1-H44)*(1-DATA!$C$15)*Lapse_Up!J43</f>
        <v>4.9640119412954464E-8</v>
      </c>
      <c r="K44" s="26">
        <f>+(G44/(1-DATA!$C$7)) * DATA!$C$8</f>
        <v>1707.7614347478809</v>
      </c>
      <c r="L44" s="26">
        <f>+L43*(1+DATA!$C$11)</f>
        <v>112.61002284435754</v>
      </c>
      <c r="M44" s="23">
        <f>+DATA!$C$15*(1-Lapse_Up!H44) * (G44 - DATA!$C$12)</f>
        <v>14092.686948231518</v>
      </c>
      <c r="N44" s="23">
        <f>Lapse_Up!H44 * (MAX($G$2,G44))</f>
        <v>56654.668200539658</v>
      </c>
      <c r="O44" s="23">
        <f t="shared" si="2"/>
        <v>2.9148917674994088E-3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+(1-H45)*(1-DATA!$C$15)*Lapse_Up!J44</f>
        <v>1.886851550707038E-8</v>
      </c>
      <c r="K45" s="26">
        <f>+(G45/(1-DATA!$C$7)) * DATA!$C$8</f>
        <v>1724.313025439284</v>
      </c>
      <c r="L45" s="26">
        <f>+L44*(1+DATA!$C$11)</f>
        <v>114.8622233012447</v>
      </c>
      <c r="M45" s="23">
        <f>+DATA!$C$15*(1-Lapse_Up!H45) * (G45 - DATA!$C$12)</f>
        <v>13290.476274204084</v>
      </c>
      <c r="N45" s="23">
        <f>Lapse_Up!H45 * (MAX($G$2,G45))</f>
        <v>61376.988716237232</v>
      </c>
      <c r="O45" s="23">
        <f t="shared" si="2"/>
        <v>1.2113671045614251E-3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+(1-H46)*(1-DATA!$C$15)*Lapse_Up!J45</f>
        <v>6.6618395981661345E-9</v>
      </c>
      <c r="K46" s="26">
        <f>+(G46/(1-DATA!$C$7)) * DATA!$C$8</f>
        <v>1740.7187854640399</v>
      </c>
      <c r="L46" s="26">
        <f>+L45*(1+DATA!$C$11)</f>
        <v>117.15946776726959</v>
      </c>
      <c r="M46" s="23">
        <f>+DATA!$C$15*(1-Lapse_Up!H46) * (G46 - DATA!$C$12)</f>
        <v>12462.502387188199</v>
      </c>
      <c r="N46" s="23">
        <f>Lapse_Up!H46 * (MAX($G$2,G46))</f>
        <v>66203.629979659425</v>
      </c>
      <c r="O46" s="23">
        <f t="shared" si="2"/>
        <v>4.6949752365490647E-4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+(1-H47)*(1-DATA!$C$15)*Lapse_Up!J46</f>
        <v>2.172341151031368E-9</v>
      </c>
      <c r="K47" s="26">
        <f>+(G47/(1-DATA!$C$7)) * DATA!$C$8</f>
        <v>1757.6902677897244</v>
      </c>
      <c r="L47" s="26">
        <f>+L46*(1+DATA!$C$11)</f>
        <v>119.50265712261498</v>
      </c>
      <c r="M47" s="23">
        <f>+DATA!$C$15*(1-Lapse_Up!H47) * (G47 - DATA!$C$12)</f>
        <v>11622.434175230592</v>
      </c>
      <c r="N47" s="23">
        <f>Lapse_Up!H47 * (MAX($G$2,G47))</f>
        <v>71123.541978971596</v>
      </c>
      <c r="O47" s="23">
        <f t="shared" si="2"/>
        <v>1.6872473521037455E-4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+(1-H48)*(1-DATA!$C$15)*Lapse_Up!J47</f>
        <v>6.5045995190618885E-10</v>
      </c>
      <c r="K48" s="26">
        <f>+(G48/(1-DATA!$C$7)) * DATA!$C$8</f>
        <v>1774.446123037156</v>
      </c>
      <c r="L48" s="26">
        <f>+L47*(1+DATA!$C$11)</f>
        <v>121.89271026506728</v>
      </c>
      <c r="M48" s="23">
        <f>+DATA!$C$15*(1-Lapse_Up!H48) * (G48 - DATA!$C$12)</f>
        <v>10773.998449635628</v>
      </c>
      <c r="N48" s="23">
        <f>Lapse_Up!H48 * (MAX($G$2,G48))</f>
        <v>76065.571578973773</v>
      </c>
      <c r="O48" s="23">
        <f t="shared" si="2"/>
        <v>5.589090149242982E-5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+(1-H49)*(1-DATA!$C$15)*Lapse_Up!J48</f>
        <v>1.7779772935296823E-10</v>
      </c>
      <c r="K49" s="26">
        <f>+(G49/(1-DATA!$C$7)) * DATA!$C$8</f>
        <v>1791.7444399896863</v>
      </c>
      <c r="L49" s="26">
        <f>+L48*(1+DATA!$C$11)</f>
        <v>124.33056447036863</v>
      </c>
      <c r="M49" s="23">
        <f>+DATA!$C$15*(1-Lapse_Up!H49) * (G49 - DATA!$C$12)</f>
        <v>9931.2507507865103</v>
      </c>
      <c r="N49" s="23">
        <f>Lapse_Up!H49 * (MAX($G$2,G49))</f>
        <v>81020.201106733104</v>
      </c>
      <c r="O49" s="23">
        <f t="shared" si="2"/>
        <v>1.6963823031962685E-5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+(1-H50)*(1-DATA!$C$15)*Lapse_Up!J49</f>
        <v>4.4106497322450161E-11</v>
      </c>
      <c r="K50" s="26">
        <f>+(G50/(1-DATA!$C$7)) * DATA!$C$8</f>
        <v>1809.5978725515176</v>
      </c>
      <c r="L50" s="26">
        <f>+L49*(1+DATA!$C$11)</f>
        <v>126.81717575977601</v>
      </c>
      <c r="M50" s="23">
        <f>+DATA!$C$15*(1-Lapse_Up!H50) * (G50 - DATA!$C$12)</f>
        <v>9102.9332004283497</v>
      </c>
      <c r="N50" s="23">
        <f>Lapse_Up!H50 * (MAX($G$2,G50))</f>
        <v>85949.454368420484</v>
      </c>
      <c r="O50" s="23">
        <f t="shared" si="2"/>
        <v>4.6894287507330433E-6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+(1-H51)*(1-DATA!$C$15)*Lapse_Up!J50</f>
        <v>9.8726306457011784E-12</v>
      </c>
      <c r="K51" s="26">
        <f>+(G51/(1-DATA!$C$7)) * DATA!$C$8</f>
        <v>1827.1480956427774</v>
      </c>
      <c r="L51" s="26">
        <f>+L50*(1+DATA!$C$11)</f>
        <v>129.35351927497152</v>
      </c>
      <c r="M51" s="23">
        <f>+DATA!$C$15*(1-Lapse_Up!H51) * (G51 - DATA!$C$12)</f>
        <v>8293.3052030624385</v>
      </c>
      <c r="N51" s="23">
        <f>Lapse_Up!H51 * (MAX($G$2,G51))</f>
        <v>90774.434884640956</v>
      </c>
      <c r="O51" s="23">
        <f t="shared" si="2"/>
        <v>1.1736740034699865E-6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+(1-H52)*(1-DATA!$C$15)*Lapse_Up!J51</f>
        <v>1.9827473154946772E-12</v>
      </c>
      <c r="K52" s="26">
        <f>+(G52/(1-DATA!$C$7)) * DATA!$C$8</f>
        <v>1846.1247301337507</v>
      </c>
      <c r="L52" s="26">
        <f>+L51*(1+DATA!$C$11)</f>
        <v>131.94058966047095</v>
      </c>
      <c r="M52" s="23">
        <f>+(1-Lapse_Up!H52) * (G52)</f>
        <v>33419.860877171654</v>
      </c>
      <c r="N52" s="23">
        <f>Lapse_Up!H52 * (MAX($G$2,G52))</f>
        <v>95545.138127886079</v>
      </c>
      <c r="O52" s="23">
        <f t="shared" si="2"/>
        <v>3.2959929176256048E-7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C221-486B-49F7-AD8D-E36479CB8F0B}">
  <sheetPr>
    <tabColor rgb="FFFFC000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+(1-H3)*(1-DATA!$C$16)*Lapse_Down!J2</f>
        <v>0.91901722024999999</v>
      </c>
      <c r="K3" s="26">
        <f>+(G3/(1-DATA!$C$7)) * DATA!$C$8</f>
        <v>1449.1960000000001</v>
      </c>
      <c r="L3" s="26">
        <f>+DATA!C10</f>
        <v>50</v>
      </c>
      <c r="M3" s="23">
        <f>+DATA!$C$16*(1-Lapse_Down!H3) * (G3 - DATA!$C$12)</f>
        <v>7542.1526695735465</v>
      </c>
      <c r="N3" s="23">
        <f>Lapse_Down!H3 * (MAX($G$2,G3))</f>
        <v>654.78576308603999</v>
      </c>
      <c r="O3" s="23">
        <f t="shared" ref="O3:O34" si="0">+J2*D3*(K3+L3+M3+N3)</f>
        <v>9366.9787977081232</v>
      </c>
      <c r="Q3" s="6" t="s">
        <v>40</v>
      </c>
      <c r="R3" s="27">
        <f>+SUM(O2:O52)</f>
        <v>93315.722672733231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+(1-H4)*(1-DATA!$C$16)*Lapse_Down!J3</f>
        <v>0.84405506211361669</v>
      </c>
      <c r="K4" s="26">
        <f>+(G4/(1-DATA!$C$7)) * DATA!$C$8</f>
        <v>1453.5716409270005</v>
      </c>
      <c r="L4" s="26">
        <f>+L3*(1+DATA!$C$11)</f>
        <v>51</v>
      </c>
      <c r="M4" s="23">
        <f>+DATA!$C$16*(1-Lapse_Down!H4) * (G4 - DATA!$C$12)</f>
        <v>7560.1144956693252</v>
      </c>
      <c r="N4" s="23">
        <f>Lapse_Down!H4 * (MAX($G$2,G4))</f>
        <v>720.97716960469711</v>
      </c>
      <c r="O4" s="23">
        <f t="shared" si="0"/>
        <v>8471.1889198185072</v>
      </c>
      <c r="Q4" s="6" t="s">
        <v>41</v>
      </c>
      <c r="R4" s="27">
        <f>+R2-R3</f>
        <v>6684.2773272667691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+(1-H5)*(1-DATA!$C$16)*Lapse_Down!J4</f>
        <v>0.77464928584286563</v>
      </c>
      <c r="K5" s="26">
        <f>+(G5/(1-DATA!$C$7)) * DATA!$C$8</f>
        <v>1454.0174346398255</v>
      </c>
      <c r="L5" s="26">
        <f>+L4*(1+DATA!$C$11)</f>
        <v>52.02</v>
      </c>
      <c r="M5" s="23">
        <f>+DATA!$C$16*(1-Lapse_Down!H5) * (G5 - DATA!$C$12)</f>
        <v>7556.9889646535976</v>
      </c>
      <c r="N5" s="23">
        <f>Lapse_Down!H5 * (MAX($G$2,G5))</f>
        <v>793.80708836269423</v>
      </c>
      <c r="O5" s="23">
        <f t="shared" si="0"/>
        <v>7662.038503894315</v>
      </c>
      <c r="Q5" s="6" t="s">
        <v>43</v>
      </c>
      <c r="R5" s="27">
        <f>+MAX(Rates_Basic!R4-R4,0)</f>
        <v>0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+(1-H6)*(1-DATA!$C$16)*Lapse_Down!J5</f>
        <v>0.71034177169903601</v>
      </c>
      <c r="K6" s="26">
        <f>+(G6/(1-DATA!$C$7)) * DATA!$C$8</f>
        <v>1453.3171478985437</v>
      </c>
      <c r="L6" s="26">
        <f>+L5*(1+DATA!$C$11)</f>
        <v>53.060400000000001</v>
      </c>
      <c r="M6" s="23">
        <f>+DATA!$C$16*(1-Lapse_Down!H6) * (G6 - DATA!$C$12)</f>
        <v>7546.8794697025751</v>
      </c>
      <c r="N6" s="23">
        <f>Lapse_Down!H6 * (MAX($G$2,G6))</f>
        <v>879.69731884962835</v>
      </c>
      <c r="O6" s="23">
        <f t="shared" si="0"/>
        <v>6933.7434070142417</v>
      </c>
      <c r="Q6" s="6" t="s">
        <v>42</v>
      </c>
      <c r="R6" s="8">
        <f>+SUMPRODUCT(A2:A52,O2:O52)/R3</f>
        <v>9.0348499053145943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+(1-H7)*(1-DATA!$C$16)*Lapse_Down!J6</f>
        <v>0.65072367650340501</v>
      </c>
      <c r="K7" s="26">
        <f>+(G7/(1-DATA!$C$7)) * DATA!$C$8</f>
        <v>1452.58181697792</v>
      </c>
      <c r="L7" s="26">
        <f>+L6*(1+DATA!$C$11)</f>
        <v>54.121608000000002</v>
      </c>
      <c r="M7" s="23">
        <f>+DATA!$C$16*(1-Lapse_Down!H7) * (G7 - DATA!$C$12)</f>
        <v>7535.5438535291096</v>
      </c>
      <c r="N7" s="23">
        <f>Lapse_Down!H7 * (MAX($G$2,G7))</f>
        <v>979.49050725988764</v>
      </c>
      <c r="O7" s="23">
        <f t="shared" si="0"/>
        <v>6277.0160761083671</v>
      </c>
      <c r="Q7" s="6" t="s">
        <v>44</v>
      </c>
      <c r="R7" s="27">
        <f>+MAX(R5,0)</f>
        <v>0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+(1-H8)*(1-DATA!$C$16)*Lapse_Down!J7</f>
        <v>0.59542151831614631</v>
      </c>
      <c r="K8" s="26">
        <f>+(G8/(1-DATA!$C$7)) * DATA!$C$8</f>
        <v>1452.835173571694</v>
      </c>
      <c r="L8" s="26">
        <f>+L7*(1+DATA!$C$11)</f>
        <v>55.204040160000005</v>
      </c>
      <c r="M8" s="23">
        <f>+DATA!$C$16*(1-Lapse_Down!H8) * (G8 - DATA!$C$12)</f>
        <v>7528.1631263556737</v>
      </c>
      <c r="N8" s="23">
        <f>Lapse_Down!H8 * (MAX($G$2,G8))</f>
        <v>1095.6218220707735</v>
      </c>
      <c r="O8" s="23">
        <f t="shared" si="0"/>
        <v>5684.4731134611593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+(1-H9)*(1-DATA!$C$16)*Lapse_Down!J8</f>
        <v>0.5443053904442593</v>
      </c>
      <c r="K9" s="26">
        <f>+(G9/(1-DATA!$C$7)) * DATA!$C$8</f>
        <v>1453.938328438775</v>
      </c>
      <c r="L9" s="26">
        <f>+L8*(1+DATA!$C$11)</f>
        <v>56.308120963200004</v>
      </c>
      <c r="M9" s="23">
        <f>+DATA!$C$16*(1-Lapse_Down!H9) * (G9 - DATA!$C$12)</f>
        <v>7526.7747324337734</v>
      </c>
      <c r="N9" s="23">
        <f>Lapse_Down!H9 * (MAX($G$2,G9))</f>
        <v>1191.2156479726893</v>
      </c>
      <c r="O9" s="23">
        <f t="shared" si="0"/>
        <v>5131.4544726093391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+(1-H10)*(1-DATA!$C$16)*Lapse_Down!J9</f>
        <v>0.49703894751200128</v>
      </c>
      <c r="K10" s="26">
        <f>+(G10/(1-DATA!$C$7)) * DATA!$C$8</f>
        <v>1455.9225809844947</v>
      </c>
      <c r="L10" s="26">
        <f>+L9*(1+DATA!$C$11)</f>
        <v>57.434283382464002</v>
      </c>
      <c r="M10" s="23">
        <f>+DATA!$C$16*(1-Lapse_Down!H10) * (G10 - DATA!$C$12)</f>
        <v>7528.890962176848</v>
      </c>
      <c r="N10" s="23">
        <f>Lapse_Down!H10 * (MAX($G$2,G10))</f>
        <v>1301.6348585493458</v>
      </c>
      <c r="O10" s="23">
        <f t="shared" si="0"/>
        <v>4633.2737326978349</v>
      </c>
      <c r="Q10" s="28" t="s">
        <v>8</v>
      </c>
      <c r="R10" s="30">
        <f>+SUMPRODUCT(D3:D52,J2:J51,M3:M52)</f>
        <v>64525.803690137189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+(1-H11)*(1-DATA!$C$16)*Lapse_Down!J10</f>
        <v>0.45333587070159226</v>
      </c>
      <c r="K11" s="26">
        <f>+(G11/(1-DATA!$C$7)) * DATA!$C$8</f>
        <v>1458.749187329799</v>
      </c>
      <c r="L11" s="26">
        <f>+L10*(1+DATA!$C$11)</f>
        <v>58.582969050113284</v>
      </c>
      <c r="M11" s="23">
        <f>+DATA!$C$16*(1-Lapse_Down!H11) * (G11 - DATA!$C$12)</f>
        <v>7534.5166340197547</v>
      </c>
      <c r="N11" s="23">
        <f>Lapse_Down!H11 * (MAX($G$2,G11))</f>
        <v>1424.1080849087386</v>
      </c>
      <c r="O11" s="23">
        <f t="shared" si="0"/>
        <v>4182.5618304358295</v>
      </c>
      <c r="Q11" s="28" t="s">
        <v>17</v>
      </c>
      <c r="R11" s="30">
        <f>+SUMPRODUCT(D3:D52,J2:J51,N3:N52)</f>
        <v>15750.1208109377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+(1-H12)*(1-DATA!$C$16)*Lapse_Down!J11</f>
        <v>0.41276886267714091</v>
      </c>
      <c r="K12" s="26">
        <f>+(G12/(1-DATA!$C$7)) * DATA!$C$8</f>
        <v>1462.6657460438055</v>
      </c>
      <c r="L12" s="26">
        <f>+L11*(1+DATA!$C$11)</f>
        <v>59.754628431115549</v>
      </c>
      <c r="M12" s="23">
        <f>+DATA!$C$16*(1-Lapse_Down!H12) * (G12 - DATA!$C$12)</f>
        <v>7541.8392050371476</v>
      </c>
      <c r="N12" s="23">
        <f>Lapse_Down!H12 * (MAX($G$2,G12))</f>
        <v>1600.107107469569</v>
      </c>
      <c r="O12" s="23">
        <f t="shared" si="0"/>
        <v>3787.8065609727969</v>
      </c>
      <c r="Q12" s="28" t="s">
        <v>18</v>
      </c>
      <c r="R12" s="30">
        <f>+SUMPRODUCT(D3:D52,J2:J51,L3:L52)</f>
        <v>496.15969074908526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+(1-H13)*(1-DATA!$C$16)*Lapse_Down!J12</f>
        <v>0.37513958946361969</v>
      </c>
      <c r="K13" s="26">
        <f>+(G13/(1-DATA!$C$7)) * DATA!$C$8</f>
        <v>1468.4973619239377</v>
      </c>
      <c r="L13" s="26">
        <f>+L12*(1+DATA!$C$11)</f>
        <v>60.949720999737863</v>
      </c>
      <c r="M13" s="23">
        <f>+DATA!$C$16*(1-Lapse_Down!H13) * (G13 - DATA!$C$12)</f>
        <v>7557.9638805298828</v>
      </c>
      <c r="N13" s="23">
        <f>Lapse_Down!H13 * (MAX($G$2,G13))</f>
        <v>1792.5277284594861</v>
      </c>
      <c r="O13" s="23">
        <f t="shared" si="0"/>
        <v>3427.4946830534882</v>
      </c>
      <c r="Q13" s="29" t="s">
        <v>46</v>
      </c>
      <c r="R13" s="31">
        <f>+SUMPRODUCT(D3:D52,J2:J51,K3:K52)</f>
        <v>12543.638480909294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+(1-H14)*(1-DATA!$C$16)*Lapse_Down!J13</f>
        <v>0.3401551333704203</v>
      </c>
      <c r="K14" s="26">
        <f>+(G14/(1-DATA!$C$7)) * DATA!$C$8</f>
        <v>1471.9084757060559</v>
      </c>
      <c r="L14" s="26">
        <f>+L13*(1+DATA!$C$11)</f>
        <v>62.168715419732621</v>
      </c>
      <c r="M14" s="23">
        <f>+DATA!$C$16*(1-Lapse_Down!H14) * (G14 - DATA!$C$12)</f>
        <v>7558.0681630932195</v>
      </c>
      <c r="N14" s="23">
        <f>Lapse_Down!H14 * (MAX($G$2,G14))</f>
        <v>2029.4732350610739</v>
      </c>
      <c r="O14" s="23">
        <f t="shared" si="0"/>
        <v>3106.9590418095477</v>
      </c>
      <c r="Q14" s="28" t="s">
        <v>47</v>
      </c>
      <c r="R14" s="30">
        <f>+SUM(R10:R13)</f>
        <v>93315.722672733275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+(1-H15)*(1-DATA!$C$16)*Lapse_Down!J14</f>
        <v>0.30780888466410156</v>
      </c>
      <c r="K15" s="26">
        <f>+(G15/(1-DATA!$C$7)) * DATA!$C$8</f>
        <v>1476.2634791908197</v>
      </c>
      <c r="L15" s="26">
        <f>+L14*(1+DATA!$C$11)</f>
        <v>63.412089728127278</v>
      </c>
      <c r="M15" s="23">
        <f>+DATA!$C$16*(1-Lapse_Down!H15) * (G15 - DATA!$C$12)</f>
        <v>7565.090272588046</v>
      </c>
      <c r="N15" s="23">
        <f>Lapse_Down!H15 * (MAX($G$2,G15))</f>
        <v>2240.1128948418818</v>
      </c>
      <c r="O15" s="23">
        <f t="shared" si="0"/>
        <v>2802.2527539943308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+(1-H16)*(1-DATA!$C$16)*Lapse_Down!J15</f>
        <v>0.27791234566730116</v>
      </c>
      <c r="K16" s="26">
        <f>+(G16/(1-DATA!$C$7)) * DATA!$C$8</f>
        <v>1481.180360131865</v>
      </c>
      <c r="L16" s="26">
        <f>+L15*(1+DATA!$C$11)</f>
        <v>64.680331522689826</v>
      </c>
      <c r="M16" s="23">
        <f>+DATA!$C$16*(1-Lapse_Down!H16) * (G16 - DATA!$C$12)</f>
        <v>7573.2279652687575</v>
      </c>
      <c r="N16" s="23">
        <f>Lapse_Down!H16 * (MAX($G$2,G16))</f>
        <v>2475.1335652758848</v>
      </c>
      <c r="O16" s="23">
        <f t="shared" si="0"/>
        <v>2526.0850837669068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+(1-H17)*(1-DATA!$C$16)*Lapse_Down!J16</f>
        <v>0.25039055455385079</v>
      </c>
      <c r="K17" s="26">
        <f>+(G17/(1-DATA!$C$7)) * DATA!$C$8</f>
        <v>1484.5774917502104</v>
      </c>
      <c r="L17" s="26">
        <f>+L16*(1+DATA!$C$11)</f>
        <v>65.973938153143621</v>
      </c>
      <c r="M17" s="23">
        <f>+DATA!$C$16*(1-Lapse_Down!H17) * (G17 - DATA!$C$12)</f>
        <v>7574.5975420931427</v>
      </c>
      <c r="N17" s="23">
        <f>Lapse_Down!H17 * (MAX($G$2,G17))</f>
        <v>2694.2276069180157</v>
      </c>
      <c r="O17" s="23">
        <f t="shared" si="0"/>
        <v>2268.671110620156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+(1-H18)*(1-DATA!$C$16)*Lapse_Down!J17</f>
        <v>0.22484304452042314</v>
      </c>
      <c r="K18" s="26">
        <f>+(G18/(1-DATA!$C$7)) * DATA!$C$8</f>
        <v>1485.4004344685075</v>
      </c>
      <c r="L18" s="26">
        <f>+L17*(1+DATA!$C$11)</f>
        <v>67.293416916206496</v>
      </c>
      <c r="M18" s="23">
        <f>+DATA!$C$16*(1-Lapse_Down!H18) * (G18 - DATA!$C$12)</f>
        <v>7553.5602373165411</v>
      </c>
      <c r="N18" s="23">
        <f>Lapse_Down!H18 * (MAX($G$2,G18))</f>
        <v>3032.2782995747029</v>
      </c>
      <c r="O18" s="23">
        <f t="shared" si="0"/>
        <v>2051.8775242813363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+(1-H19)*(1-DATA!$C$16)*Lapse_Down!J18</f>
        <v>0.20114363817200431</v>
      </c>
      <c r="K19" s="26">
        <f>+(G19/(1-DATA!$C$7)) * DATA!$C$8</f>
        <v>1483.9047345693523</v>
      </c>
      <c r="L19" s="26">
        <f>+L18*(1+DATA!$C$11)</f>
        <v>68.639285254530634</v>
      </c>
      <c r="M19" s="23">
        <f>+DATA!$C$16*(1-Lapse_Down!H19) * (G19 - DATA!$C$12)</f>
        <v>7517.6034820244013</v>
      </c>
      <c r="N19" s="23">
        <f>Lapse_Down!H19 * (MAX($G$2,G19))</f>
        <v>3407.2893241431993</v>
      </c>
      <c r="O19" s="23">
        <f t="shared" si="0"/>
        <v>1854.1656398202222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+(1-H20)*(1-DATA!$C$16)*Lapse_Down!J19</f>
        <v>0.17907181853925869</v>
      </c>
      <c r="K20" s="26">
        <f>+(G20/(1-DATA!$C$7)) * DATA!$C$8</f>
        <v>1481.8310003128743</v>
      </c>
      <c r="L20" s="26">
        <f>+L19*(1+DATA!$C$11)</f>
        <v>70.012070959621255</v>
      </c>
      <c r="M20" s="23">
        <f>+DATA!$C$16*(1-Lapse_Down!H20) * (G20 - DATA!$C$12)</f>
        <v>7470.781804986138</v>
      </c>
      <c r="N20" s="23">
        <f>Lapse_Down!H20 * (MAX($G$2,G20))</f>
        <v>3886.8067667175033</v>
      </c>
      <c r="O20" s="23">
        <f t="shared" si="0"/>
        <v>1680.7507523346912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+(1-H21)*(1-DATA!$C$16)*Lapse_Down!J20</f>
        <v>0.15876728786842367</v>
      </c>
      <c r="K21" s="26">
        <f>+(G21/(1-DATA!$C$7)) * DATA!$C$8</f>
        <v>1479.4559022574501</v>
      </c>
      <c r="L21" s="26">
        <f>+L20*(1+DATA!$C$11)</f>
        <v>71.412312378813681</v>
      </c>
      <c r="M21" s="23">
        <f>+DATA!$C$16*(1-Lapse_Down!H21) * (G21 - DATA!$C$12)</f>
        <v>7428.1746359393692</v>
      </c>
      <c r="N21" s="23">
        <f>Lapse_Down!H21 * (MAX($G$2,G21))</f>
        <v>4289.0638386502851</v>
      </c>
      <c r="O21" s="23">
        <f t="shared" si="0"/>
        <v>1506.4738456325354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+(1-H22)*(1-DATA!$C$16)*Lapse_Down!J21</f>
        <v>0.13995101406354499</v>
      </c>
      <c r="K22" s="26">
        <f>+(G22/(1-DATA!$C$7)) * DATA!$C$8</f>
        <v>1478.555609799771</v>
      </c>
      <c r="L22" s="26">
        <f>+L21*(1+DATA!$C$11)</f>
        <v>72.840558626389949</v>
      </c>
      <c r="M22" s="23">
        <f>+DATA!$C$16*(1-Lapse_Down!H22) * (G22 - DATA!$C$12)</f>
        <v>7380.7234752540198</v>
      </c>
      <c r="N22" s="23">
        <f>Lapse_Down!H22 * (MAX($G$2,G22))</f>
        <v>4858.9649798923137</v>
      </c>
      <c r="O22" s="23">
        <f t="shared" si="0"/>
        <v>1358.5889021481364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+(1-H23)*(1-DATA!$C$16)*Lapse_Down!J22</f>
        <v>0.1226232825661024</v>
      </c>
      <c r="K23" s="26">
        <f>+(G23/(1-DATA!$C$7)) * DATA!$C$8</f>
        <v>1479.1280202811074</v>
      </c>
      <c r="L23" s="26">
        <f>+L22*(1+DATA!$C$11)</f>
        <v>74.297369798917757</v>
      </c>
      <c r="M23" s="23">
        <f>+DATA!$C$16*(1-Lapse_Down!H23) * (G23 - DATA!$C$12)</f>
        <v>7339.2035438304401</v>
      </c>
      <c r="N23" s="23">
        <f>Lapse_Down!H23 * (MAX($G$2,G23))</f>
        <v>5452.6655783076649</v>
      </c>
      <c r="O23" s="23">
        <f t="shared" si="0"/>
        <v>1217.8250011448645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+(1-H24)*(1-DATA!$C$16)*Lapse_Down!J23</f>
        <v>0.10673990821110546</v>
      </c>
      <c r="K24" s="26">
        <f>+(G24/(1-DATA!$C$7)) * DATA!$C$8</f>
        <v>1481.4354895753065</v>
      </c>
      <c r="L24" s="26">
        <f>+L23*(1+DATA!$C$11)</f>
        <v>75.783317194896114</v>
      </c>
      <c r="M24" s="23">
        <f>+DATA!$C$16*(1-Lapse_Down!H24) * (G24 - DATA!$C$12)</f>
        <v>7302.6929843314456</v>
      </c>
      <c r="N24" s="23">
        <f>Lapse_Down!H24 * (MAX($G$2,G24))</f>
        <v>6100.7898614176056</v>
      </c>
      <c r="O24" s="23">
        <f t="shared" si="0"/>
        <v>1086.6411362841293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+(1-H25)*(1-DATA!$C$16)*Lapse_Down!J24</f>
        <v>9.2243968116115377E-2</v>
      </c>
      <c r="K25" s="26">
        <f>+(G25/(1-DATA!$C$7)) * DATA!$C$8</f>
        <v>1485.0800678162418</v>
      </c>
      <c r="L25" s="26">
        <f>+L24*(1+DATA!$C$11)</f>
        <v>77.298983538794033</v>
      </c>
      <c r="M25" s="23">
        <f>+DATA!$C$16*(1-Lapse_Down!H25) * (G25 - DATA!$C$12)</f>
        <v>7267.8781611742625</v>
      </c>
      <c r="N25" s="23">
        <f>Lapse_Down!H25 * (MAX($G$2,G25))</f>
        <v>6819.7230311444137</v>
      </c>
      <c r="O25" s="23">
        <f t="shared" si="0"/>
        <v>965.32508169559503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+(1-H26)*(1-DATA!$C$16)*Lapse_Down!J25</f>
        <v>7.9166489883745292E-2</v>
      </c>
      <c r="K26" s="26">
        <f>+(G26/(1-DATA!$C$7)) * DATA!$C$8</f>
        <v>1490.2460492259468</v>
      </c>
      <c r="L26" s="26">
        <f>+L25*(1+DATA!$C$11)</f>
        <v>78.844963209569912</v>
      </c>
      <c r="M26" s="23">
        <f>+DATA!$C$16*(1-Lapse_Down!H26) * (G26 - DATA!$C$12)</f>
        <v>7242.8301180803001</v>
      </c>
      <c r="N26" s="23">
        <f>Lapse_Down!H26 * (MAX($G$2,G26))</f>
        <v>7514.7065995990224</v>
      </c>
      <c r="O26" s="23">
        <f t="shared" si="0"/>
        <v>848.19983568350028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+(1-H27)*(1-DATA!$C$16)*Lapse_Down!J26</f>
        <v>6.7278611333126195E-2</v>
      </c>
      <c r="K27" s="26">
        <f>+(G27/(1-DATA!$C$7)) * DATA!$C$8</f>
        <v>1496.3936819603516</v>
      </c>
      <c r="L27" s="26">
        <f>+L26*(1+DATA!$C$11)</f>
        <v>80.421862473761308</v>
      </c>
      <c r="M27" s="23">
        <f>+DATA!$C$16*(1-Lapse_Down!H27) * (G27 - DATA!$C$12)</f>
        <v>7201.595850339997</v>
      </c>
      <c r="N27" s="23">
        <f>Lapse_Down!H27 * (MAX($G$2,G27))</f>
        <v>8494.1343528969737</v>
      </c>
      <c r="O27" s="23">
        <f t="shared" si="0"/>
        <v>750.08835951706999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+(1-H28)*(1-DATA!$C$16)*Lapse_Down!J27</f>
        <v>5.6467502858523991E-2</v>
      </c>
      <c r="K28" s="26">
        <f>+(G28/(1-DATA!$C$7)) * DATA!$C$8</f>
        <v>1503.6227786978077</v>
      </c>
      <c r="L28" s="26">
        <f>+L27*(1+DATA!$C$11)</f>
        <v>82.030299723236539</v>
      </c>
      <c r="M28" s="23">
        <f>+DATA!$C$16*(1-Lapse_Down!H28) * (G28 - DATA!$C$12)</f>
        <v>7146.7420905599565</v>
      </c>
      <c r="N28" s="23">
        <f>Lapse_Down!H28 * (MAX($G$2,G28))</f>
        <v>9730.749505547421</v>
      </c>
      <c r="O28" s="23">
        <f t="shared" si="0"/>
        <v>663.19798899578893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+(1-H29)*(1-DATA!$C$16)*Lapse_Down!J28</f>
        <v>4.6643495923296079E-2</v>
      </c>
      <c r="K29" s="26">
        <f>+(G29/(1-DATA!$C$7)) * DATA!$C$8</f>
        <v>1512.036984530421</v>
      </c>
      <c r="L29" s="26">
        <f>+L28*(1+DATA!$C$11)</f>
        <v>83.670905717701274</v>
      </c>
      <c r="M29" s="23">
        <f>+DATA!$C$16*(1-Lapse_Down!H29) * (G29 - DATA!$C$12)</f>
        <v>7072.9898501707603</v>
      </c>
      <c r="N29" s="23">
        <f>Lapse_Down!H29 * (MAX($G$2,G29))</f>
        <v>11302.192326014976</v>
      </c>
      <c r="O29" s="23">
        <f t="shared" si="0"/>
        <v>585.56060324739144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+(1-H30)*(1-DATA!$C$16)*Lapse_Down!J29</f>
        <v>3.7870096396546184E-2</v>
      </c>
      <c r="K30" s="26">
        <f>+(G30/(1-DATA!$C$7)) * DATA!$C$8</f>
        <v>1521.3287371681588</v>
      </c>
      <c r="L30" s="26">
        <f>+L29*(1+DATA!$C$11)</f>
        <v>85.344323832055295</v>
      </c>
      <c r="M30" s="23">
        <f>+DATA!$C$16*(1-Lapse_Down!H30) * (G30 - DATA!$C$12)</f>
        <v>6994.8273351145863</v>
      </c>
      <c r="N30" s="23">
        <f>Lapse_Down!H30 * (MAX($G$2,G30))</f>
        <v>12993.759750038302</v>
      </c>
      <c r="O30" s="23">
        <f t="shared" si="0"/>
        <v>508.39770263857923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+(1-H31)*(1-DATA!$C$16)*Lapse_Down!J30</f>
        <v>3.0129886632354403E-2</v>
      </c>
      <c r="K31" s="26">
        <f>+(G31/(1-DATA!$C$7)) * DATA!$C$8</f>
        <v>1531.1248619675434</v>
      </c>
      <c r="L31" s="26">
        <f>+L30*(1+DATA!$C$11)</f>
        <v>87.051210308696398</v>
      </c>
      <c r="M31" s="23">
        <f>+DATA!$C$16*(1-Lapse_Down!H31) * (G31 - DATA!$C$12)</f>
        <v>6898.5978824203512</v>
      </c>
      <c r="N31" s="23">
        <f>Lapse_Down!H31 * (MAX($G$2,G31))</f>
        <v>14961.500703451813</v>
      </c>
      <c r="O31" s="23">
        <f t="shared" si="0"/>
        <v>436.08178900262311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+(1-H32)*(1-DATA!$C$16)*Lapse_Down!J31</f>
        <v>2.3409999132833956E-2</v>
      </c>
      <c r="K32" s="26">
        <f>+(G32/(1-DATA!$C$7)) * DATA!$C$8</f>
        <v>1541.4342512768526</v>
      </c>
      <c r="L32" s="26">
        <f>+L31*(1+DATA!$C$11)</f>
        <v>88.79223451487033</v>
      </c>
      <c r="M32" s="23">
        <f>+DATA!$C$16*(1-Lapse_Down!H32) * (G32 - DATA!$C$12)</f>
        <v>6782.3247926959148</v>
      </c>
      <c r="N32" s="23">
        <f>Lapse_Down!H32 * (MAX($G$2,G32))</f>
        <v>17232.396122594597</v>
      </c>
      <c r="O32" s="23">
        <f t="shared" si="0"/>
        <v>368.15366629481599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+(1-H33)*(1-DATA!$C$16)*Lapse_Down!J32</f>
        <v>1.7740055696473113E-2</v>
      </c>
      <c r="K33" s="26">
        <f>+(G33/(1-DATA!$C$7)) * DATA!$C$8</f>
        <v>1552.7357621857186</v>
      </c>
      <c r="L33" s="26">
        <f>+L32*(1+DATA!$C$11)</f>
        <v>90.568079205167734</v>
      </c>
      <c r="M33" s="23">
        <f>+DATA!$C$16*(1-Lapse_Down!H33) * (G33 - DATA!$C$12)</f>
        <v>6663.4846679748262</v>
      </c>
      <c r="N33" s="23">
        <f>Lapse_Down!H33 * (MAX($G$2,G33))</f>
        <v>19606.836892337982</v>
      </c>
      <c r="O33" s="23">
        <f t="shared" si="0"/>
        <v>302.28303030584931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+(1-H34)*(1-DATA!$C$16)*Lapse_Down!J33</f>
        <v>1.3124463505738404E-2</v>
      </c>
      <c r="K34" s="26">
        <f>+(G34/(1-DATA!$C$7)) * DATA!$C$8</f>
        <v>1564.6072534038274</v>
      </c>
      <c r="L34" s="26">
        <f>+L33*(1+DATA!$C$11)</f>
        <v>92.379440789271086</v>
      </c>
      <c r="M34" s="23">
        <f>+DATA!$C$16*(1-Lapse_Down!H34) * (G34 - DATA!$C$12)</f>
        <v>6555.1524042150777</v>
      </c>
      <c r="N34" s="23">
        <f>Lapse_Down!H34 * (MAX($G$2,G34))</f>
        <v>21880.964233152044</v>
      </c>
      <c r="O34" s="23">
        <f t="shared" si="0"/>
        <v>239.68957768400315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+(1-H35)*(1-DATA!$C$16)*Lapse_Down!J34</f>
        <v>9.412296809082267E-3</v>
      </c>
      <c r="K35" s="26">
        <f>+(G35/(1-DATA!$C$7)) * DATA!$C$8</f>
        <v>1577.0603905197688</v>
      </c>
      <c r="L35" s="26">
        <f>+L34*(1+DATA!$C$11)</f>
        <v>94.227029605056515</v>
      </c>
      <c r="M35" s="23">
        <f>+DATA!$C$16*(1-Lapse_Down!H35) * (G35 - DATA!$C$12)</f>
        <v>6404.9225044198265</v>
      </c>
      <c r="N35" s="23">
        <f>Lapse_Down!H35 * (MAX($G$2,G35))</f>
        <v>24754.46017868329</v>
      </c>
      <c r="O35" s="23">
        <f t="shared" ref="O35:O52" si="2">+J34*D35*(K35+L35+M35+N35)</f>
        <v>187.70868684616414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+(1-H36)*(1-DATA!$C$16)*Lapse_Down!J35</f>
        <v>6.5646111980004291E-3</v>
      </c>
      <c r="K36" s="26">
        <f>+(G36/(1-DATA!$C$7)) * DATA!$C$8</f>
        <v>1590.1074729646173</v>
      </c>
      <c r="L36" s="26">
        <f>+L35*(1+DATA!$C$11)</f>
        <v>96.111570197157647</v>
      </c>
      <c r="M36" s="23">
        <f>+DATA!$C$16*(1-Lapse_Down!H36) * (G36 - DATA!$C$12)</f>
        <v>6280.4682161710389</v>
      </c>
      <c r="N36" s="23">
        <f>Lapse_Down!H36 * (MAX($G$2,G36))</f>
        <v>27325.70867048583</v>
      </c>
      <c r="O36" s="23">
        <f t="shared" si="2"/>
        <v>140.36554673864845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+(1-H37)*(1-DATA!$C$16)*Lapse_Down!J36</f>
        <v>4.3986404533395444E-3</v>
      </c>
      <c r="K37" s="26">
        <f>+(G37/(1-DATA!$C$7)) * DATA!$C$8</f>
        <v>1603.2143567385515</v>
      </c>
      <c r="L37" s="26">
        <f>+L36*(1+DATA!$C$11)</f>
        <v>98.033801601100805</v>
      </c>
      <c r="M37" s="23">
        <f>+DATA!$C$16*(1-Lapse_Down!H37) * (G37 - DATA!$C$12)</f>
        <v>6083.5045266162679</v>
      </c>
      <c r="N37" s="23">
        <f>Lapse_Down!H37 * (MAX($G$2,G37))</f>
        <v>30868.093018690484</v>
      </c>
      <c r="O37" s="23">
        <f t="shared" si="2"/>
        <v>104.00350784785715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+(1-H38)*(1-DATA!$C$16)*Lapse_Down!J37</f>
        <v>2.8254956954391654E-3</v>
      </c>
      <c r="K38" s="26">
        <f>+(G38/(1-DATA!$C$7)) * DATA!$C$8</f>
        <v>1616.9008642635238</v>
      </c>
      <c r="L38" s="26">
        <f>+L37*(1+DATA!$C$11)</f>
        <v>99.994477633122827</v>
      </c>
      <c r="M38" s="23">
        <f>+DATA!$C$16*(1-Lapse_Down!H38) * (G38 - DATA!$C$12)</f>
        <v>5881.837517794499</v>
      </c>
      <c r="N38" s="23">
        <f>Lapse_Down!H38 * (MAX($G$2,G38))</f>
        <v>34513.685632234738</v>
      </c>
      <c r="O38" s="23">
        <f t="shared" si="2"/>
        <v>73.626339233104346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+(1-H39)*(1-DATA!$C$16)*Lapse_Down!J38</f>
        <v>1.7443659877443289E-3</v>
      </c>
      <c r="K39" s="26">
        <f>+(G39/(1-DATA!$C$7)) * DATA!$C$8</f>
        <v>1631.1798595382238</v>
      </c>
      <c r="L39" s="26">
        <f>+L38*(1+DATA!$C$11)</f>
        <v>101.99436718578528</v>
      </c>
      <c r="M39" s="23">
        <f>+DATA!$C$16*(1-Lapse_Down!H39) * (G39 - DATA!$C$12)</f>
        <v>5702.9416472421126</v>
      </c>
      <c r="N39" s="23">
        <f>Lapse_Down!H39 * (MAX($G$2,G39))</f>
        <v>37896.994048427747</v>
      </c>
      <c r="O39" s="23">
        <f t="shared" si="2"/>
        <v>49.35545056182103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+(1-H40)*(1-DATA!$C$16)*Lapse_Down!J39</f>
        <v>1.038186726091667E-3</v>
      </c>
      <c r="K40" s="26">
        <f>+(G40/(1-DATA!$C$7)) * DATA!$C$8</f>
        <v>1646.0648363423545</v>
      </c>
      <c r="L40" s="26">
        <f>+L39*(1+DATA!$C$11)</f>
        <v>104.03425452950098</v>
      </c>
      <c r="M40" s="23">
        <f>+DATA!$C$16*(1-Lapse_Down!H40) * (G40 - DATA!$C$12)</f>
        <v>5548.0402868935498</v>
      </c>
      <c r="N40" s="23">
        <f>Lapse_Down!H40 * (MAX($G$2,G40))</f>
        <v>41002.647485973328</v>
      </c>
      <c r="O40" s="23">
        <f t="shared" si="2"/>
        <v>31.463754243398721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+(1-H41)*(1-DATA!$C$16)*Lapse_Down!J40</f>
        <v>5.9628078977835505E-4</v>
      </c>
      <c r="K41" s="26">
        <f>+(G41/(1-DATA!$C$7)) * DATA!$C$8</f>
        <v>1660.9387176123464</v>
      </c>
      <c r="L41" s="26">
        <f>+L40*(1+DATA!$C$11)</f>
        <v>106.11493962009101</v>
      </c>
      <c r="M41" s="23">
        <f>+DATA!$C$16*(1-Lapse_Down!H41) * (G41 - DATA!$C$12)</f>
        <v>5402.3714102593367</v>
      </c>
      <c r="N41" s="23">
        <f>Lapse_Down!H41 * (MAX($G$2,G41))</f>
        <v>43984.396127947504</v>
      </c>
      <c r="O41" s="23">
        <f t="shared" si="2"/>
        <v>19.222260637847583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+(1-H42)*(1-DATA!$C$16)*Lapse_Down!J41</f>
        <v>3.2954876488541795E-4</v>
      </c>
      <c r="K42" s="26">
        <f>+(G42/(1-DATA!$C$7)) * DATA!$C$8</f>
        <v>1676.4030408347244</v>
      </c>
      <c r="L42" s="26">
        <f>+L41*(1+DATA!$C$11)</f>
        <v>108.23723841249283</v>
      </c>
      <c r="M42" s="23">
        <f>+DATA!$C$16*(1-Lapse_Down!H42) * (G42 - DATA!$C$12)</f>
        <v>5246.9084215604871</v>
      </c>
      <c r="N42" s="23">
        <f>Lapse_Down!H42 * (MAX($G$2,G42))</f>
        <v>47137.998052000192</v>
      </c>
      <c r="O42" s="23">
        <f t="shared" si="2"/>
        <v>11.32846200136656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+(1-H43)*(1-DATA!$C$16)*Lapse_Down!J42</f>
        <v>1.7247504836744951E-4</v>
      </c>
      <c r="K43" s="26">
        <f>+(G43/(1-DATA!$C$7)) * DATA!$C$8</f>
        <v>1691.7959151876225</v>
      </c>
      <c r="L43" s="26">
        <f>+L42*(1+DATA!$C$11)</f>
        <v>110.40198318074269</v>
      </c>
      <c r="M43" s="23">
        <f>+DATA!$C$16*(1-Lapse_Down!H43) * (G43 - DATA!$C$12)</f>
        <v>5014.312634878479</v>
      </c>
      <c r="N43" s="23">
        <f>Lapse_Down!H43 * (MAX($G$2,G43))</f>
        <v>51315.21108421278</v>
      </c>
      <c r="O43" s="23">
        <f t="shared" si="2"/>
        <v>6.5112913519269346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+(1-H44)*(1-DATA!$C$16)*Lapse_Down!J43</f>
        <v>8.377493264396759E-5</v>
      </c>
      <c r="K44" s="26">
        <f>+(G44/(1-DATA!$C$7)) * DATA!$C$8</f>
        <v>1707.7614347478809</v>
      </c>
      <c r="L44" s="26">
        <f>+L43*(1+DATA!$C$11)</f>
        <v>112.61002284435754</v>
      </c>
      <c r="M44" s="23">
        <f>+DATA!$C$16*(1-Lapse_Down!H44) * (G44 - DATA!$C$12)</f>
        <v>4697.5623160771729</v>
      </c>
      <c r="N44" s="23">
        <f>Lapse_Down!H44 * (MAX($G$2,G44))</f>
        <v>56654.668200539658</v>
      </c>
      <c r="O44" s="23">
        <f t="shared" si="2"/>
        <v>3.5879709701620577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+(1-H45)*(1-DATA!$C$16)*Lapse_Down!J44</f>
        <v>3.8006601133238858E-5</v>
      </c>
      <c r="K45" s="26">
        <f>+(G45/(1-DATA!$C$7)) * DATA!$C$8</f>
        <v>1724.313025439284</v>
      </c>
      <c r="L45" s="26">
        <f>+L44*(1+DATA!$C$11)</f>
        <v>114.8622233012447</v>
      </c>
      <c r="M45" s="23">
        <f>+DATA!$C$16*(1-Lapse_Down!H45) * (G45 - DATA!$C$12)</f>
        <v>4430.1587580680271</v>
      </c>
      <c r="N45" s="23">
        <f>Lapse_Down!H45 * (MAX($G$2,G45))</f>
        <v>61376.988716237232</v>
      </c>
      <c r="O45" s="23">
        <f t="shared" si="2"/>
        <v>1.8075990666006543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+(1-H46)*(1-DATA!$C$16)*Lapse_Down!J45</f>
        <v>1.6016053169956987E-5</v>
      </c>
      <c r="K46" s="26">
        <f>+(G46/(1-DATA!$C$7)) * DATA!$C$8</f>
        <v>1740.7187854640399</v>
      </c>
      <c r="L46" s="26">
        <f>+L45*(1+DATA!$C$11)</f>
        <v>117.15946776726959</v>
      </c>
      <c r="M46" s="23">
        <f>+DATA!$C$16*(1-Lapse_Down!H46) * (G46 - DATA!$C$12)</f>
        <v>4154.1674623960662</v>
      </c>
      <c r="N46" s="23">
        <f>Lapse_Down!H46 * (MAX($G$2,G46))</f>
        <v>66203.629979659425</v>
      </c>
      <c r="O46" s="23">
        <f t="shared" si="2"/>
        <v>0.84812660649893001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+(1-H47)*(1-DATA!$C$16)*Lapse_Down!J46</f>
        <v>6.2334630529415846E-6</v>
      </c>
      <c r="K47" s="26">
        <f>+(G47/(1-DATA!$C$7)) * DATA!$C$8</f>
        <v>1757.6902677897244</v>
      </c>
      <c r="L47" s="26">
        <f>+L46*(1+DATA!$C$11)</f>
        <v>119.50265712261498</v>
      </c>
      <c r="M47" s="23">
        <f>+DATA!$C$16*(1-Lapse_Down!H47) * (G47 - DATA!$C$12)</f>
        <v>3874.1447250768647</v>
      </c>
      <c r="N47" s="23">
        <f>Lapse_Down!H47 * (MAX($G$2,G47))</f>
        <v>71123.541978971596</v>
      </c>
      <c r="O47" s="23">
        <f t="shared" si="2"/>
        <v>0.36849809658530724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+(1-H48)*(1-DATA!$C$16)*Lapse_Down!J47</f>
        <v>2.2277269224245002E-6</v>
      </c>
      <c r="K48" s="26">
        <f>+(G48/(1-DATA!$C$7)) * DATA!$C$8</f>
        <v>1774.446123037156</v>
      </c>
      <c r="L48" s="26">
        <f>+L47*(1+DATA!$C$11)</f>
        <v>121.89271026506728</v>
      </c>
      <c r="M48" s="23">
        <f>+DATA!$C$16*(1-Lapse_Down!H48) * (G48 - DATA!$C$12)</f>
        <v>3591.332816545209</v>
      </c>
      <c r="N48" s="23">
        <f>Lapse_Down!H48 * (MAX($G$2,G48))</f>
        <v>76065.571578973773</v>
      </c>
      <c r="O48" s="23">
        <f t="shared" si="2"/>
        <v>0.14739552899373279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+(1-H49)*(1-DATA!$C$16)*Lapse_Down!J48</f>
        <v>7.2678780452738112E-7</v>
      </c>
      <c r="K49" s="26">
        <f>+(G49/(1-DATA!$C$7)) * DATA!$C$8</f>
        <v>1791.7444399896863</v>
      </c>
      <c r="L49" s="26">
        <f>+L48*(1+DATA!$C$11)</f>
        <v>124.33056447036863</v>
      </c>
      <c r="M49" s="23">
        <f>+DATA!$C$16*(1-Lapse_Down!H49) * (G49 - DATA!$C$12)</f>
        <v>3310.4169169288366</v>
      </c>
      <c r="N49" s="23">
        <f>Lapse_Down!H49 * (MAX($G$2,G49))</f>
        <v>81020.201106733104</v>
      </c>
      <c r="O49" s="23">
        <f t="shared" si="2"/>
        <v>5.3956490702760332E-2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+(1-H50)*(1-DATA!$C$16)*Lapse_Down!J49</f>
        <v>2.151909591088238E-7</v>
      </c>
      <c r="K50" s="26">
        <f>+(G50/(1-DATA!$C$7)) * DATA!$C$8</f>
        <v>1809.5978725515176</v>
      </c>
      <c r="L50" s="26">
        <f>+L49*(1+DATA!$C$11)</f>
        <v>126.81717575977601</v>
      </c>
      <c r="M50" s="23">
        <f>+DATA!$C$16*(1-Lapse_Down!H50) * (G50 - DATA!$C$12)</f>
        <v>3034.3110668094496</v>
      </c>
      <c r="N50" s="23">
        <f>Lapse_Down!H50 * (MAX($G$2,G50))</f>
        <v>85949.454368420484</v>
      </c>
      <c r="O50" s="23">
        <f t="shared" si="2"/>
        <v>1.79696680315574E-2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+(1-H51)*(1-DATA!$C$16)*Lapse_Down!J50</f>
        <v>5.7490272995548172E-8</v>
      </c>
      <c r="K51" s="26">
        <f>+(G51/(1-DATA!$C$7)) * DATA!$C$8</f>
        <v>1827.1480956427774</v>
      </c>
      <c r="L51" s="26">
        <f>+L50*(1+DATA!$C$11)</f>
        <v>129.35351927497152</v>
      </c>
      <c r="M51" s="23">
        <f>+DATA!$C$16*(1-Lapse_Down!H51) * (G51 - DATA!$C$12)</f>
        <v>2764.4350676874787</v>
      </c>
      <c r="N51" s="23">
        <f>Lapse_Down!H51 * (MAX($G$2,G51))</f>
        <v>90774.434884640956</v>
      </c>
      <c r="O51" s="23">
        <f t="shared" si="2"/>
        <v>5.412845859732846E-3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+(1-H52)*(1-DATA!$C$16)*Lapse_Down!J51</f>
        <v>1.3780623964758857E-8</v>
      </c>
      <c r="K52" s="26">
        <f>+(G52/(1-DATA!$C$7)) * DATA!$C$8</f>
        <v>1846.1247301337507</v>
      </c>
      <c r="L52" s="26">
        <f>+L51*(1+DATA!$C$11)</f>
        <v>131.94058966047095</v>
      </c>
      <c r="M52" s="23">
        <f>(1-Lapse_Down!H52) * (G52)</f>
        <v>33419.860877171654</v>
      </c>
      <c r="N52" s="23">
        <f>Lapse_Down!H52 * (MAX($G$2,G52))</f>
        <v>95545.138127886079</v>
      </c>
      <c r="O52" s="23">
        <f t="shared" si="2"/>
        <v>1.9193216015652077E-3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3AA-DE96-43AA-93C6-DEB6A815AF19}">
  <sheetPr>
    <tabColor rgb="FFFFC000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+DATA!C4+DATA!C5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+(1-H3)*(1-DATA!$C$17)*Lapse_Mass!J2</f>
        <v>0.44708945849999993</v>
      </c>
      <c r="K3" s="26">
        <f>+(G3/(1-DATA!$C$7)) * DATA!$C$8</f>
        <v>1449.1960000000001</v>
      </c>
      <c r="L3" s="26">
        <f>+DATA!C10</f>
        <v>50</v>
      </c>
      <c r="M3" s="23">
        <f>+DATA!$C$17*(1-Lapse_Mass!H3) * (G3 - DATA!$C$12)</f>
        <v>55309.119576872676</v>
      </c>
      <c r="N3" s="23">
        <f>Lapse_Mass!H3 * (MAX($G$2,G3))</f>
        <v>654.78576308603999</v>
      </c>
      <c r="O3" s="23">
        <f t="shared" ref="O3:O34" si="0">+J2*D3*(K3+L3+M3+N3)</f>
        <v>55512.395753191566</v>
      </c>
      <c r="Q3" s="6" t="s">
        <v>40</v>
      </c>
      <c r="R3" s="27">
        <f>+SUM(O2:O52)</f>
        <v>97411.599543925986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+(1-H4)*(1-DATA!$C$9)*Lapse_Mass!J3</f>
        <v>0.37732775603618213</v>
      </c>
      <c r="K4" s="26">
        <f>+(G4/(1-DATA!$C$7)) * DATA!$C$8</f>
        <v>1453.5716409270005</v>
      </c>
      <c r="L4" s="26">
        <f>+L3*(1+DATA!$C$11)</f>
        <v>51</v>
      </c>
      <c r="M4" s="23">
        <f>+DATA!$C$9*(1-Lapse_Mass!H4) * (G4 - DATA!$C$12)</f>
        <v>15120.22899133865</v>
      </c>
      <c r="N4" s="23">
        <f>Lapse_Mass!H4 * (MAX($G$2,G4))</f>
        <v>720.97716960469711</v>
      </c>
      <c r="O4" s="23">
        <f t="shared" si="0"/>
        <v>7304.9737239940141</v>
      </c>
      <c r="Q4" s="6" t="s">
        <v>41</v>
      </c>
      <c r="R4" s="27">
        <f>+R2-R3</f>
        <v>2588.4004560740141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+(1-H5)*(1-DATA!$C$9)*Lapse_Mass!J4</f>
        <v>0.31822206660648622</v>
      </c>
      <c r="K5" s="26">
        <f>+(G5/(1-DATA!$C$7)) * DATA!$C$8</f>
        <v>1454.0174346398255</v>
      </c>
      <c r="L5" s="26">
        <f>+L4*(1+DATA!$C$11)</f>
        <v>52.02</v>
      </c>
      <c r="M5" s="23">
        <f>+DATA!$C$9*(1-Lapse_Mass!H5) * (G5 - DATA!$C$12)</f>
        <v>15113.977929307195</v>
      </c>
      <c r="N5" s="23">
        <f>Lapse_Mass!H5 * (MAX($G$2,G5))</f>
        <v>793.80708836269423</v>
      </c>
      <c r="O5" s="23">
        <f t="shared" si="0"/>
        <v>6051.304349257698</v>
      </c>
      <c r="Q5" s="6" t="s">
        <v>43</v>
      </c>
      <c r="R5" s="27">
        <f>+MAX(Rates_Basic!R4-R4,0)</f>
        <v>1615.5617859531048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+(1-H6)*(1-DATA!$C$9)*Lapse_Mass!J5</f>
        <v>0.26814500670297819</v>
      </c>
      <c r="K6" s="26">
        <f>+(G6/(1-DATA!$C$7)) * DATA!$C$8</f>
        <v>1453.3171478985437</v>
      </c>
      <c r="L6" s="26">
        <f>+L5*(1+DATA!$C$11)</f>
        <v>53.060400000000001</v>
      </c>
      <c r="M6" s="23">
        <f>+DATA!$C$9*(1-Lapse_Mass!H6) * (G6 - DATA!$C$12)</f>
        <v>15093.75893940515</v>
      </c>
      <c r="N6" s="23">
        <f>Lapse_Mass!H6 * (MAX($G$2,G6))</f>
        <v>879.69731884962835</v>
      </c>
      <c r="O6" s="23">
        <f t="shared" si="0"/>
        <v>5012.4700782411992</v>
      </c>
      <c r="Q6" s="6" t="s">
        <v>42</v>
      </c>
      <c r="R6" s="8">
        <f>+SUMPRODUCT(A2:A52,O2:O52)/R3</f>
        <v>3.4019602289577402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+(1-H7)*(1-DATA!$C$9)*Lapse_Mass!J6</f>
        <v>0.22572318088725993</v>
      </c>
      <c r="K7" s="26">
        <f>+(G7/(1-DATA!$C$7)) * DATA!$C$8</f>
        <v>1452.58181697792</v>
      </c>
      <c r="L7" s="26">
        <f>+L6*(1+DATA!$C$11)</f>
        <v>54.121608000000002</v>
      </c>
      <c r="M7" s="23">
        <f>+DATA!$C$9*(1-Lapse_Mass!H7) * (G7 - DATA!$C$12)</f>
        <v>15071.087707058219</v>
      </c>
      <c r="N7" s="23">
        <f>Lapse_Mass!H7 * (MAX($G$2,G7))</f>
        <v>979.49050725988764</v>
      </c>
      <c r="O7" s="23">
        <f t="shared" si="0"/>
        <v>4151.1635206293886</v>
      </c>
      <c r="Q7" s="6" t="s">
        <v>44</v>
      </c>
      <c r="R7" s="27">
        <f>+MAX(R5,0)</f>
        <v>1615.5617859531048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+(1-H8)*(1-DATA!$C$9)*Lapse_Mass!J7</f>
        <v>0.18979347247367465</v>
      </c>
      <c r="K8" s="26">
        <f>+(G8/(1-DATA!$C$7)) * DATA!$C$8</f>
        <v>1452.835173571694</v>
      </c>
      <c r="L8" s="26">
        <f>+L7*(1+DATA!$C$11)</f>
        <v>55.204040160000005</v>
      </c>
      <c r="M8" s="23">
        <f>+DATA!$C$9*(1-Lapse_Mass!H8) * (G8 - DATA!$C$12)</f>
        <v>15056.326252711347</v>
      </c>
      <c r="N8" s="23">
        <f>Lapse_Mass!H8 * (MAX($G$2,G8))</f>
        <v>1095.6218220707735</v>
      </c>
      <c r="O8" s="23">
        <f t="shared" si="0"/>
        <v>3436.9444452917032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+(1-H9)*(1-DATA!$C$9)*Lapse_Mass!J8</f>
        <v>0.15943239648987045</v>
      </c>
      <c r="K9" s="26">
        <f>+(G9/(1-DATA!$C$7)) * DATA!$C$8</f>
        <v>1453.938328438775</v>
      </c>
      <c r="L9" s="26">
        <f>+L8*(1+DATA!$C$11)</f>
        <v>56.308120963200004</v>
      </c>
      <c r="M9" s="23">
        <f>+DATA!$C$9*(1-Lapse_Mass!H9) * (G9 - DATA!$C$12)</f>
        <v>15053.549464867547</v>
      </c>
      <c r="N9" s="23">
        <f>Lapse_Mass!H9 * (MAX($G$2,G9))</f>
        <v>1191.2156479726893</v>
      </c>
      <c r="O9" s="23">
        <f t="shared" si="0"/>
        <v>2839.3400614278994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+(1-H10)*(1-DATA!$C$9)*Lapse_Mass!J9</f>
        <v>0.13378319170870634</v>
      </c>
      <c r="K10" s="26">
        <f>+(G10/(1-DATA!$C$7)) * DATA!$C$8</f>
        <v>1455.9225809844947</v>
      </c>
      <c r="L10" s="26">
        <f>+L9*(1+DATA!$C$11)</f>
        <v>57.434283382464002</v>
      </c>
      <c r="M10" s="23">
        <f>+DATA!$C$9*(1-Lapse_Mass!H10) * (G10 - DATA!$C$12)</f>
        <v>15057.781924353696</v>
      </c>
      <c r="N10" s="23">
        <f>Lapse_Mass!H10 * (MAX($G$2,G10))</f>
        <v>1301.6348585493458</v>
      </c>
      <c r="O10" s="23">
        <f t="shared" si="0"/>
        <v>2344.9320726393544</v>
      </c>
      <c r="Q10" s="28" t="s">
        <v>8</v>
      </c>
      <c r="R10" s="30">
        <f>+SUMPRODUCT(D3:D52,J2:J51,M3:M52)</f>
        <v>88719.404343306102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+(1-H11)*(1-DATA!$C$9)*Lapse_Mass!J10</f>
        <v>0.11212653700104772</v>
      </c>
      <c r="K11" s="26">
        <f>+(G11/(1-DATA!$C$7)) * DATA!$C$8</f>
        <v>1458.749187329799</v>
      </c>
      <c r="L11" s="26">
        <f>+L10*(1+DATA!$C$11)</f>
        <v>58.582969050113284</v>
      </c>
      <c r="M11" s="23">
        <f>+DATA!$C$9*(1-Lapse_Mass!H11) * (G11 - DATA!$C$12)</f>
        <v>15069.033268039509</v>
      </c>
      <c r="N11" s="23">
        <f>Lapse_Mass!H11 * (MAX($G$2,G11))</f>
        <v>1424.1080849087386</v>
      </c>
      <c r="O11" s="23">
        <f t="shared" si="0"/>
        <v>1935.4632551011121</v>
      </c>
      <c r="Q11" s="28" t="s">
        <v>17</v>
      </c>
      <c r="R11" s="30">
        <f>+SUMPRODUCT(D3:D52,J2:J51,N3:N52)</f>
        <v>3701.064415063875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+(1-H12)*(1-DATA!$C$9)*Lapse_Mass!J11</f>
        <v>9.3815035351491785E-2</v>
      </c>
      <c r="K12" s="26">
        <f>+(G12/(1-DATA!$C$7)) * DATA!$C$8</f>
        <v>1462.6657460438055</v>
      </c>
      <c r="L12" s="26">
        <f>+L11*(1+DATA!$C$11)</f>
        <v>59.754628431115549</v>
      </c>
      <c r="M12" s="23">
        <f>+DATA!$C$9*(1-Lapse_Mass!H12) * (G12 - DATA!$C$12)</f>
        <v>15083.678410074295</v>
      </c>
      <c r="N12" s="23">
        <f>Lapse_Mass!H12 * (MAX($G$2,G12))</f>
        <v>1600.107107469569</v>
      </c>
      <c r="O12" s="23">
        <f t="shared" si="0"/>
        <v>1599.4125411295724</v>
      </c>
      <c r="Q12" s="28" t="s">
        <v>18</v>
      </c>
      <c r="R12" s="30">
        <f>+SUMPRODUCT(D3:D52,J2:J51,L3:L52)</f>
        <v>178.92179650233578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+(1-H13)*(1-DATA!$C$9)*Lapse_Mass!J12</f>
        <v>7.8349388202163472E-2</v>
      </c>
      <c r="K13" s="26">
        <f>+(G13/(1-DATA!$C$7)) * DATA!$C$8</f>
        <v>1468.4973619239377</v>
      </c>
      <c r="L13" s="26">
        <f>+L12*(1+DATA!$C$11)</f>
        <v>60.949720999737863</v>
      </c>
      <c r="M13" s="23">
        <f>+DATA!$C$9*(1-Lapse_Mass!H13) * (G13 - DATA!$C$12)</f>
        <v>15115.927761059766</v>
      </c>
      <c r="N13" s="23">
        <f>Lapse_Mass!H13 * (MAX($G$2,G13))</f>
        <v>1792.5277284594861</v>
      </c>
      <c r="O13" s="23">
        <f t="shared" si="0"/>
        <v>1320.1624484232402</v>
      </c>
      <c r="Q13" s="29" t="s">
        <v>46</v>
      </c>
      <c r="R13" s="31">
        <f>+SUMPRODUCT(D3:D52,J2:J51,K3:K52)</f>
        <v>4812.2089890537236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+(1-H14)*(1-DATA!$C$9)*Lapse_Mass!J13</f>
        <v>6.5282523411584387E-2</v>
      </c>
      <c r="K14" s="26">
        <f>+(G14/(1-DATA!$C$7)) * DATA!$C$8</f>
        <v>1471.9084757060559</v>
      </c>
      <c r="L14" s="26">
        <f>+L13*(1+DATA!$C$11)</f>
        <v>62.168715419732621</v>
      </c>
      <c r="M14" s="23">
        <f>+DATA!$C$9*(1-Lapse_Mass!H14) * (G14 - DATA!$C$12)</f>
        <v>15116.136326186439</v>
      </c>
      <c r="N14" s="23">
        <f>Lapse_Mass!H14 * (MAX($G$2,G14))</f>
        <v>2029.4732350610739</v>
      </c>
      <c r="O14" s="23">
        <f t="shared" si="0"/>
        <v>1089.8828805573501</v>
      </c>
      <c r="Q14" s="28" t="s">
        <v>47</v>
      </c>
      <c r="R14" s="30">
        <f>+SUM(R10:R13)</f>
        <v>97411.59954392603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+(1-H15)*(1-DATA!$C$9)*Lapse_Mass!J14</f>
        <v>5.4284800735065586E-2</v>
      </c>
      <c r="K15" s="26">
        <f>+(G15/(1-DATA!$C$7)) * DATA!$C$8</f>
        <v>1476.2634791908197</v>
      </c>
      <c r="L15" s="26">
        <f>+L14*(1+DATA!$C$11)</f>
        <v>63.412089728127278</v>
      </c>
      <c r="M15" s="23">
        <f>+DATA!$C$9*(1-Lapse_Mass!H15) * (G15 - DATA!$C$12)</f>
        <v>15130.180545176092</v>
      </c>
      <c r="N15" s="23">
        <f>Lapse_Mass!H15 * (MAX($G$2,G15))</f>
        <v>2240.1128948418818</v>
      </c>
      <c r="O15" s="23">
        <f t="shared" si="0"/>
        <v>896.43368470083146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+(1-H16)*(1-DATA!$C$9)*Lapse_Mass!J15</f>
        <v>4.5038314529917349E-2</v>
      </c>
      <c r="K16" s="26">
        <f>+(G16/(1-DATA!$C$7)) * DATA!$C$8</f>
        <v>1481.180360131865</v>
      </c>
      <c r="L16" s="26">
        <f>+L15*(1+DATA!$C$11)</f>
        <v>64.680331522689826</v>
      </c>
      <c r="M16" s="23">
        <f>+DATA!$C$9*(1-Lapse_Mass!H16) * (G16 - DATA!$C$12)</f>
        <v>15146.455930537515</v>
      </c>
      <c r="N16" s="23">
        <f>Lapse_Mass!H16 * (MAX($G$2,G16))</f>
        <v>2475.1335652758848</v>
      </c>
      <c r="O16" s="23">
        <f t="shared" si="0"/>
        <v>736.49159398238066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+(1-H17)*(1-DATA!$C$9)*Lapse_Mass!J16</f>
        <v>3.7288028744315339E-2</v>
      </c>
      <c r="K17" s="26">
        <f>+(G17/(1-DATA!$C$7)) * DATA!$C$8</f>
        <v>1484.5774917502104</v>
      </c>
      <c r="L17" s="26">
        <f>+L16*(1+DATA!$C$11)</f>
        <v>65.973938153143621</v>
      </c>
      <c r="M17" s="23">
        <f>+DATA!$C$9*(1-Lapse_Mass!H17) * (G17 - DATA!$C$12)</f>
        <v>15149.195084186285</v>
      </c>
      <c r="N17" s="23">
        <f>Lapse_Mass!H17 * (MAX($G$2,G17))</f>
        <v>2694.2276069180157</v>
      </c>
      <c r="O17" s="23">
        <f t="shared" si="0"/>
        <v>603.27881156165552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+(1-H18)*(1-DATA!$C$9)*Lapse_Mass!J17</f>
        <v>3.076862813075279E-2</v>
      </c>
      <c r="K18" s="26">
        <f>+(G18/(1-DATA!$C$7)) * DATA!$C$8</f>
        <v>1485.4004344685075</v>
      </c>
      <c r="L18" s="26">
        <f>+L17*(1+DATA!$C$11)</f>
        <v>67.293416916206496</v>
      </c>
      <c r="M18" s="23">
        <f>+DATA!$C$9*(1-Lapse_Mass!H18) * (G18 - DATA!$C$12)</f>
        <v>15107.120474633082</v>
      </c>
      <c r="N18" s="23">
        <f>Lapse_Mass!H18 * (MAX($G$2,G18))</f>
        <v>3032.2782995747029</v>
      </c>
      <c r="O18" s="23">
        <f t="shared" si="0"/>
        <v>495.71105630743352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+(1-H19)*(1-DATA!$C$9)*Lapse_Mass!J18</f>
        <v>2.5293688732881032E-2</v>
      </c>
      <c r="K19" s="26">
        <f>+(G19/(1-DATA!$C$7)) * DATA!$C$8</f>
        <v>1483.9047345693523</v>
      </c>
      <c r="L19" s="26">
        <f>+L18*(1+DATA!$C$11)</f>
        <v>68.639285254530634</v>
      </c>
      <c r="M19" s="23">
        <f>+DATA!$C$9*(1-Lapse_Mass!H19) * (G19 - DATA!$C$12)</f>
        <v>15035.206964048803</v>
      </c>
      <c r="N19" s="23">
        <f>Lapse_Mass!H19 * (MAX($G$2,G19))</f>
        <v>3407.2893241431993</v>
      </c>
      <c r="O19" s="23">
        <f t="shared" si="0"/>
        <v>406.60630500195276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+(1-H20)*(1-DATA!$C$9)*Lapse_Mass!J19</f>
        <v>2.0692373346982266E-2</v>
      </c>
      <c r="K20" s="26">
        <f>+(G20/(1-DATA!$C$7)) * DATA!$C$8</f>
        <v>1481.8310003128743</v>
      </c>
      <c r="L20" s="26">
        <f>+L19*(1+DATA!$C$11)</f>
        <v>70.012070959621255</v>
      </c>
      <c r="M20" s="23">
        <f>+DATA!$C$9*(1-Lapse_Mass!H20) * (G20 - DATA!$C$12)</f>
        <v>14941.563609972276</v>
      </c>
      <c r="N20" s="23">
        <f>Lapse_Mass!H20 * (MAX($G$2,G20))</f>
        <v>3886.8067667175033</v>
      </c>
      <c r="O20" s="23">
        <f t="shared" si="0"/>
        <v>333.66510408713702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+(1-H21)*(1-DATA!$C$9)*Lapse_Mass!J20</f>
        <v>1.6858591236842524E-2</v>
      </c>
      <c r="K21" s="26">
        <f>+(G21/(1-DATA!$C$7)) * DATA!$C$8</f>
        <v>1479.4559022574501</v>
      </c>
      <c r="L21" s="26">
        <f>+L20*(1+DATA!$C$11)</f>
        <v>71.412312378813681</v>
      </c>
      <c r="M21" s="23">
        <f>+DATA!$C$9*(1-Lapse_Mass!H21) * (G21 - DATA!$C$12)</f>
        <v>14856.349271878738</v>
      </c>
      <c r="N21" s="23">
        <f>Lapse_Mass!H21 * (MAX($G$2,G21))</f>
        <v>4289.0638386502851</v>
      </c>
      <c r="O21" s="23">
        <f t="shared" si="0"/>
        <v>271.5363787309816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+(1-H22)*(1-DATA!$C$9)*Lapse_Mass!J21</f>
        <v>1.3655685220000503E-2</v>
      </c>
      <c r="K22" s="26">
        <f>+(G22/(1-DATA!$C$7)) * DATA!$C$8</f>
        <v>1478.555609799771</v>
      </c>
      <c r="L22" s="26">
        <f>+L21*(1+DATA!$C$11)</f>
        <v>72.840558626389949</v>
      </c>
      <c r="M22" s="23">
        <f>+DATA!$C$9*(1-Lapse_Mass!H22) * (G22 - DATA!$C$12)</f>
        <v>14761.44695050804</v>
      </c>
      <c r="N22" s="23">
        <f>Lapse_Mass!H22 * (MAX($G$2,G22))</f>
        <v>4858.9649798923137</v>
      </c>
      <c r="O22" s="23">
        <f t="shared" si="0"/>
        <v>221.46639829988783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+(1-H23)*(1-DATA!$C$9)*Lapse_Mass!J22</f>
        <v>1.0994806191680478E-2</v>
      </c>
      <c r="K23" s="26">
        <f>+(G23/(1-DATA!$C$7)) * DATA!$C$8</f>
        <v>1479.1280202811074</v>
      </c>
      <c r="L23" s="26">
        <f>+L22*(1+DATA!$C$11)</f>
        <v>74.297369798917757</v>
      </c>
      <c r="M23" s="23">
        <f>+DATA!$C$9*(1-Lapse_Mass!H23) * (G23 - DATA!$C$12)</f>
        <v>14678.40708766088</v>
      </c>
      <c r="N23" s="23">
        <f>Lapse_Mass!H23 * (MAX($G$2,G23))</f>
        <v>5452.6655783076649</v>
      </c>
      <c r="O23" s="23">
        <f t="shared" si="0"/>
        <v>179.62312097636419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+(1-H24)*(1-DATA!$C$9)*Lapse_Mass!J23</f>
        <v>8.7946519838881659E-3</v>
      </c>
      <c r="K24" s="26">
        <f>+(G24/(1-DATA!$C$7)) * DATA!$C$8</f>
        <v>1481.4354895753065</v>
      </c>
      <c r="L24" s="26">
        <f>+L23*(1+DATA!$C$11)</f>
        <v>75.783317194896114</v>
      </c>
      <c r="M24" s="23">
        <f>+DATA!$C$9*(1-Lapse_Mass!H24) * (G24 - DATA!$C$12)</f>
        <v>14605.385968662891</v>
      </c>
      <c r="N24" s="23">
        <f>Lapse_Mass!H24 * (MAX($G$2,G24))</f>
        <v>6100.7898614176056</v>
      </c>
      <c r="O24" s="23">
        <f t="shared" si="0"/>
        <v>144.99071939028144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+(1-H25)*(1-DATA!$C$9)*Lapse_Mass!J24</f>
        <v>6.984044590223241E-3</v>
      </c>
      <c r="K25" s="26">
        <f>+(G25/(1-DATA!$C$7)) * DATA!$C$8</f>
        <v>1485.0800678162418</v>
      </c>
      <c r="L25" s="26">
        <f>+L24*(1+DATA!$C$11)</f>
        <v>77.298983538794033</v>
      </c>
      <c r="M25" s="23">
        <f>+DATA!$C$9*(1-Lapse_Mass!H25) * (G25 - DATA!$C$12)</f>
        <v>14535.756322348525</v>
      </c>
      <c r="N25" s="23">
        <f>Lapse_Mass!H25 * (MAX($G$2,G25))</f>
        <v>6819.7230311444137</v>
      </c>
      <c r="O25" s="23">
        <f t="shared" si="0"/>
        <v>116.47310739449389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+(1-H26)*(1-DATA!$C$9)*Lapse_Mass!J25</f>
        <v>5.5079198123477785E-3</v>
      </c>
      <c r="K26" s="26">
        <f>+(G26/(1-DATA!$C$7)) * DATA!$C$8</f>
        <v>1490.2460492259468</v>
      </c>
      <c r="L26" s="26">
        <f>+L25*(1+DATA!$C$11)</f>
        <v>78.844963209569912</v>
      </c>
      <c r="M26" s="23">
        <f>+DATA!$C$9*(1-Lapse_Mass!H26) * (G26 - DATA!$C$12)</f>
        <v>14485.6602361606</v>
      </c>
      <c r="N26" s="23">
        <f>Lapse_Mass!H26 * (MAX($G$2,G26))</f>
        <v>7514.7065995990224</v>
      </c>
      <c r="O26" s="23">
        <f t="shared" si="0"/>
        <v>92.708661947833804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+(1-H27)*(1-DATA!$C$9)*Lapse_Mass!J26</f>
        <v>4.3013069049955893E-3</v>
      </c>
      <c r="K27" s="26">
        <f>+(G27/(1-DATA!$C$7)) * DATA!$C$8</f>
        <v>1496.3936819603516</v>
      </c>
      <c r="L27" s="26">
        <f>+L26*(1+DATA!$C$11)</f>
        <v>80.421862473761308</v>
      </c>
      <c r="M27" s="23">
        <f>+DATA!$C$9*(1-Lapse_Mass!H27) * (G27 - DATA!$C$12)</f>
        <v>14403.191700679994</v>
      </c>
      <c r="N27" s="23">
        <f>Lapse_Mass!H27 * (MAX($G$2,G27))</f>
        <v>8494.1343528969737</v>
      </c>
      <c r="O27" s="23">
        <f t="shared" si="0"/>
        <v>73.945161533317702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+(1-H28)*(1-DATA!$C$9)*Lapse_Mass!J27</f>
        <v>3.3174102938858434E-3</v>
      </c>
      <c r="K28" s="26">
        <f>+(G28/(1-DATA!$C$7)) * DATA!$C$8</f>
        <v>1503.6227786978077</v>
      </c>
      <c r="L28" s="26">
        <f>+L27*(1+DATA!$C$11)</f>
        <v>82.030299723236539</v>
      </c>
      <c r="M28" s="23">
        <f>+DATA!$C$9*(1-Lapse_Mass!H28) * (G28 - DATA!$C$12)</f>
        <v>14293.484181119913</v>
      </c>
      <c r="N28" s="23">
        <f>Lapse_Mass!H28 * (MAX($G$2,G28))</f>
        <v>9730.749505547421</v>
      </c>
      <c r="O28" s="23">
        <f t="shared" si="0"/>
        <v>58.812358859916408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+(1-H29)*(1-DATA!$C$9)*Lapse_Mass!J28</f>
        <v>2.5180763358557995E-3</v>
      </c>
      <c r="K29" s="26">
        <f>+(G29/(1-DATA!$C$7)) * DATA!$C$8</f>
        <v>1512.036984530421</v>
      </c>
      <c r="L29" s="26">
        <f>+L28*(1+DATA!$C$11)</f>
        <v>83.670905717701274</v>
      </c>
      <c r="M29" s="23">
        <f>+DATA!$C$9*(1-Lapse_Mass!H29) * (G29 - DATA!$C$12)</f>
        <v>14145.979700341521</v>
      </c>
      <c r="N29" s="23">
        <f>Lapse_Mass!H29 * (MAX($G$2,G29))</f>
        <v>11302.192326014976</v>
      </c>
      <c r="O29" s="23">
        <f t="shared" si="0"/>
        <v>46.584778277663538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+(1-H30)*(1-DATA!$C$9)*Lapse_Mass!J29</f>
        <v>1.8786739004785925E-3</v>
      </c>
      <c r="K30" s="26">
        <f>+(G30/(1-DATA!$C$7)) * DATA!$C$8</f>
        <v>1521.3287371681588</v>
      </c>
      <c r="L30" s="26">
        <f>+L29*(1+DATA!$C$11)</f>
        <v>85.344323832055295</v>
      </c>
      <c r="M30" s="23">
        <f>+DATA!$C$9*(1-Lapse_Mass!H30) * (G30 - DATA!$C$12)</f>
        <v>13989.654670229173</v>
      </c>
      <c r="N30" s="23">
        <f>Lapse_Mass!H30 * (MAX($G$2,G30))</f>
        <v>12993.759750038302</v>
      </c>
      <c r="O30" s="23">
        <f t="shared" si="0"/>
        <v>36.336109186582874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+(1-H31)*(1-DATA!$C$9)*Lapse_Mass!J30</f>
        <v>1.3735032200801174E-3</v>
      </c>
      <c r="K31" s="26">
        <f>+(G31/(1-DATA!$C$7)) * DATA!$C$8</f>
        <v>1531.1248619675434</v>
      </c>
      <c r="L31" s="26">
        <f>+L30*(1+DATA!$C$11)</f>
        <v>87.051210308696398</v>
      </c>
      <c r="M31" s="23">
        <f>+DATA!$C$9*(1-Lapse_Mass!H31) * (G31 - DATA!$C$12)</f>
        <v>13797.195764840702</v>
      </c>
      <c r="N31" s="23">
        <f>Lapse_Mass!H31 * (MAX($G$2,G31))</f>
        <v>14961.500703451813</v>
      </c>
      <c r="O31" s="23">
        <f t="shared" si="0"/>
        <v>27.989801731997201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+(1-H32)*(1-DATA!$C$9)*Lapse_Mass!J31</f>
        <v>9.8064264394932951E-4</v>
      </c>
      <c r="K32" s="26">
        <f>+(G32/(1-DATA!$C$7)) * DATA!$C$8</f>
        <v>1541.4342512768526</v>
      </c>
      <c r="L32" s="26">
        <f>+L31*(1+DATA!$C$11)</f>
        <v>88.79223451487033</v>
      </c>
      <c r="M32" s="23">
        <f>+DATA!$C$9*(1-Lapse_Mass!H32) * (G32 - DATA!$C$12)</f>
        <v>13564.64958539183</v>
      </c>
      <c r="N32" s="23">
        <f>Lapse_Mass!H32 * (MAX($G$2,G32))</f>
        <v>17232.396122594597</v>
      </c>
      <c r="O32" s="23">
        <f t="shared" si="0"/>
        <v>21.221199028787513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+(1-H33)*(1-DATA!$C$9)*Lapse_Mass!J32</f>
        <v>6.8287552796573786E-4</v>
      </c>
      <c r="K33" s="26">
        <f>+(G33/(1-DATA!$C$7)) * DATA!$C$8</f>
        <v>1552.7357621857186</v>
      </c>
      <c r="L33" s="26">
        <f>+L32*(1+DATA!$C$11)</f>
        <v>90.568079205167734</v>
      </c>
      <c r="M33" s="23">
        <f>+DATA!$C$9*(1-Lapse_Mass!H33) * (G33 - DATA!$C$12)</f>
        <v>13326.969335949652</v>
      </c>
      <c r="N33" s="23">
        <f>Lapse_Mass!H33 * (MAX($G$2,G33))</f>
        <v>19606.836892337982</v>
      </c>
      <c r="O33" s="23">
        <f t="shared" si="0"/>
        <v>15.685399736029254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+(1-H34)*(1-DATA!$C$9)*Lapse_Mass!J33</f>
        <v>4.6424295599760976E-4</v>
      </c>
      <c r="K34" s="26">
        <f>+(G34/(1-DATA!$C$7)) * DATA!$C$8</f>
        <v>1564.6072534038274</v>
      </c>
      <c r="L34" s="26">
        <f>+L33*(1+DATA!$C$11)</f>
        <v>92.379440789271086</v>
      </c>
      <c r="M34" s="23">
        <f>+DATA!$C$9*(1-Lapse_Mass!H34) * (G34 - DATA!$C$12)</f>
        <v>13110.304808430155</v>
      </c>
      <c r="N34" s="23">
        <f>Lapse_Mass!H34 * (MAX($G$2,G34))</f>
        <v>21880.964233152044</v>
      </c>
      <c r="O34" s="23">
        <f t="shared" si="0"/>
        <v>11.236267076331711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+(1-H35)*(1-DATA!$C$9)*Lapse_Mass!J34</f>
        <v>3.0594021678470687E-4</v>
      </c>
      <c r="K35" s="26">
        <f>+(G35/(1-DATA!$C$7)) * DATA!$C$8</f>
        <v>1577.0603905197688</v>
      </c>
      <c r="L35" s="26">
        <f>+L34*(1+DATA!$C$11)</f>
        <v>94.227029605056515</v>
      </c>
      <c r="M35" s="23">
        <f>+DATA!$C$9*(1-Lapse_Mass!H35) * (G35 - DATA!$C$12)</f>
        <v>12809.845008839653</v>
      </c>
      <c r="N35" s="23">
        <f>Lapse_Mass!H35 * (MAX($G$2,G35))</f>
        <v>24754.46017868329</v>
      </c>
      <c r="O35" s="23">
        <f t="shared" ref="O35:O52" si="2">+J34*D35*(K35+L35+M35+N35)</f>
        <v>7.9350305681735982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+(1-H36)*(1-DATA!$C$9)*Lapse_Mass!J35</f>
        <v>1.9607722796436997E-4</v>
      </c>
      <c r="K36" s="26">
        <f>+(G36/(1-DATA!$C$7)) * DATA!$C$8</f>
        <v>1590.1074729646173</v>
      </c>
      <c r="L36" s="26">
        <f>+L35*(1+DATA!$C$11)</f>
        <v>96.111570197157647</v>
      </c>
      <c r="M36" s="23">
        <f>+DATA!$C$9*(1-Lapse_Mass!H36) * (G36 - DATA!$C$12)</f>
        <v>12560.936432342078</v>
      </c>
      <c r="N36" s="23">
        <f>Lapse_Mass!H36 * (MAX($G$2,G36))</f>
        <v>27325.70867048583</v>
      </c>
      <c r="O36" s="23">
        <f t="shared" si="2"/>
        <v>5.3744036471561145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+(1-H37)*(1-DATA!$C$9)*Lapse_Mass!J36</f>
        <v>1.2072961236507056E-4</v>
      </c>
      <c r="K37" s="26">
        <f>+(G37/(1-DATA!$C$7)) * DATA!$C$8</f>
        <v>1603.2143567385515</v>
      </c>
      <c r="L37" s="26">
        <f>+L36*(1+DATA!$C$11)</f>
        <v>98.033801601100805</v>
      </c>
      <c r="M37" s="23">
        <f>+DATA!$C$9*(1-Lapse_Mass!H37) * (G37 - DATA!$C$12)</f>
        <v>12167.009053232536</v>
      </c>
      <c r="N37" s="23">
        <f>Lapse_Mass!H37 * (MAX($G$2,G37))</f>
        <v>30868.093018690484</v>
      </c>
      <c r="O37" s="23">
        <f t="shared" si="2"/>
        <v>3.595383436519537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+(1-H38)*(1-DATA!$C$9)*Lapse_Mass!J37</f>
        <v>7.1263506056304634E-5</v>
      </c>
      <c r="K38" s="26">
        <f>+(G38/(1-DATA!$C$7)) * DATA!$C$8</f>
        <v>1616.9008642635238</v>
      </c>
      <c r="L38" s="26">
        <f>+L37*(1+DATA!$C$11)</f>
        <v>99.994477633122827</v>
      </c>
      <c r="M38" s="23">
        <f>+DATA!$C$9*(1-Lapse_Mass!H38) * (G38 - DATA!$C$12)</f>
        <v>11763.675035588998</v>
      </c>
      <c r="N38" s="23">
        <f>Lapse_Mass!H38 * (MAX($G$2,G38))</f>
        <v>34513.685632234738</v>
      </c>
      <c r="O38" s="23">
        <f t="shared" si="2"/>
        <v>2.3030726083444542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+(1-H39)*(1-DATA!$C$9)*Lapse_Mass!J38</f>
        <v>4.0428473003882664E-5</v>
      </c>
      <c r="K39" s="26">
        <f>+(G39/(1-DATA!$C$7)) * DATA!$C$8</f>
        <v>1631.1798595382238</v>
      </c>
      <c r="L39" s="26">
        <f>+L38*(1+DATA!$C$11)</f>
        <v>101.99436718578528</v>
      </c>
      <c r="M39" s="23">
        <f>+DATA!$C$9*(1-Lapse_Mass!H39) * (G39 - DATA!$C$12)</f>
        <v>11405.883294484225</v>
      </c>
      <c r="N39" s="23">
        <f>Lapse_Mass!H39 * (MAX($G$2,G39))</f>
        <v>37896.994048427747</v>
      </c>
      <c r="O39" s="23">
        <f t="shared" si="2"/>
        <v>1.4014229015658706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+(1-H40)*(1-DATA!$C$9)*Lapse_Mass!J39</f>
        <v>2.2110694953725236E-5</v>
      </c>
      <c r="K40" s="26">
        <f>+(G40/(1-DATA!$C$7)) * DATA!$C$8</f>
        <v>1646.0648363423545</v>
      </c>
      <c r="L40" s="26">
        <f>+L39*(1+DATA!$C$11)</f>
        <v>104.03425452950098</v>
      </c>
      <c r="M40" s="23">
        <f>+DATA!$C$9*(1-Lapse_Mass!H40) * (G40 - DATA!$C$12)</f>
        <v>11096.0805737871</v>
      </c>
      <c r="N40" s="23">
        <f>Lapse_Mass!H40 * (MAX($G$2,G40))</f>
        <v>41002.647485973328</v>
      </c>
      <c r="O40" s="23">
        <f t="shared" si="2"/>
        <v>0.81298458711625887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+(1-H41)*(1-DATA!$C$9)*Lapse_Mass!J40</f>
        <v>1.1669572113263043E-5</v>
      </c>
      <c r="K41" s="26">
        <f>+(G41/(1-DATA!$C$7)) * DATA!$C$8</f>
        <v>1660.9387176123464</v>
      </c>
      <c r="L41" s="26">
        <f>+L40*(1+DATA!$C$11)</f>
        <v>106.11493962009101</v>
      </c>
      <c r="M41" s="23">
        <f>+DATA!$C$9*(1-Lapse_Mass!H41) * (G41 - DATA!$C$12)</f>
        <v>10804.742820518673</v>
      </c>
      <c r="N41" s="23">
        <f>Lapse_Mass!H41 * (MAX($G$2,G41))</f>
        <v>43984.396127947504</v>
      </c>
      <c r="O41" s="23">
        <f t="shared" si="2"/>
        <v>0.45261971463075118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+(1-H42)*(1-DATA!$C$9)*Lapse_Mass!J41</f>
        <v>5.9265369354235577E-6</v>
      </c>
      <c r="K42" s="26">
        <f>+(G42/(1-DATA!$C$7)) * DATA!$C$8</f>
        <v>1676.4030408347244</v>
      </c>
      <c r="L42" s="26">
        <f>+L41*(1+DATA!$C$11)</f>
        <v>108.23723841249283</v>
      </c>
      <c r="M42" s="23">
        <f>+DATA!$C$9*(1-Lapse_Mass!H42) * (G42 - DATA!$C$12)</f>
        <v>10493.816843120974</v>
      </c>
      <c r="N42" s="23">
        <f>Lapse_Mass!H42 * (MAX($G$2,G42))</f>
        <v>47137.998052000192</v>
      </c>
      <c r="O42" s="23">
        <f t="shared" si="2"/>
        <v>0.24317929917354505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+(1-H43)*(1-DATA!$C$9)*Lapse_Mass!J42</f>
        <v>2.8502619518686757E-6</v>
      </c>
      <c r="K43" s="26">
        <f>+(G43/(1-DATA!$C$7)) * DATA!$C$8</f>
        <v>1691.7959151876225</v>
      </c>
      <c r="L43" s="26">
        <f>+L42*(1+DATA!$C$11)</f>
        <v>110.40198318074269</v>
      </c>
      <c r="M43" s="23">
        <f>+DATA!$C$9*(1-Lapse_Mass!H43) * (G43 - DATA!$C$12)</f>
        <v>10028.625269756958</v>
      </c>
      <c r="N43" s="23">
        <f>Lapse_Mass!H43 * (MAX($G$2,G43))</f>
        <v>51315.21108421278</v>
      </c>
      <c r="O43" s="23">
        <f t="shared" si="2"/>
        <v>0.12719830712576022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+(1-H44)*(1-DATA!$C$9)*Lapse_Mass!J43</f>
        <v>1.2721835638555616E-6</v>
      </c>
      <c r="K44" s="26">
        <f>+(G44/(1-DATA!$C$7)) * DATA!$C$8</f>
        <v>1707.7614347478809</v>
      </c>
      <c r="L44" s="26">
        <f>+L43*(1+DATA!$C$11)</f>
        <v>112.61002284435754</v>
      </c>
      <c r="M44" s="23">
        <f>+DATA!$C$9*(1-Lapse_Mass!H44) * (G44 - DATA!$C$12)</f>
        <v>9395.1246321543458</v>
      </c>
      <c r="N44" s="23">
        <f>Lapse_Mass!H44 * (MAX($G$2,G44))</f>
        <v>56654.668200539658</v>
      </c>
      <c r="O44" s="23">
        <f t="shared" si="2"/>
        <v>6.3702658330712855E-2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+(1-H45)*(1-DATA!$C$9)*Lapse_Mass!J44</f>
        <v>5.3036141313621627E-7</v>
      </c>
      <c r="K45" s="26">
        <f>+(G45/(1-DATA!$C$7)) * DATA!$C$8</f>
        <v>1724.313025439284</v>
      </c>
      <c r="L45" s="26">
        <f>+L44*(1+DATA!$C$11)</f>
        <v>114.8622233012447</v>
      </c>
      <c r="M45" s="23">
        <f>+DATA!$C$9*(1-Lapse_Mass!H45) * (G45 - DATA!$C$12)</f>
        <v>8860.3175161360541</v>
      </c>
      <c r="N45" s="23">
        <f>Lapse_Mass!H45 * (MAX($G$2,G45))</f>
        <v>61376.988716237232</v>
      </c>
      <c r="O45" s="23">
        <f t="shared" si="2"/>
        <v>2.924739469737225E-2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+(1-H46)*(1-DATA!$C$9)*Lapse_Mass!J45</f>
        <v>2.0537405631221567E-7</v>
      </c>
      <c r="K46" s="26">
        <f>+(G46/(1-DATA!$C$7)) * DATA!$C$8</f>
        <v>1740.7187854640399</v>
      </c>
      <c r="L46" s="26">
        <f>+L45*(1+DATA!$C$11)</f>
        <v>117.15946776726959</v>
      </c>
      <c r="M46" s="23">
        <f>+DATA!$C$9*(1-Lapse_Mass!H46) * (G46 - DATA!$C$12)</f>
        <v>8308.3349247921324</v>
      </c>
      <c r="N46" s="23">
        <f>Lapse_Mass!H46 * (MAX($G$2,G46))</f>
        <v>66203.629979659425</v>
      </c>
      <c r="O46" s="23">
        <f t="shared" si="2"/>
        <v>1.2515955004897966E-2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+(1-H47)*(1-DATA!$C$9)*Lapse_Mass!J46</f>
        <v>7.3450822202994427E-8</v>
      </c>
      <c r="K47" s="26">
        <f>+(G47/(1-DATA!$C$7)) * DATA!$C$8</f>
        <v>1757.6902677897244</v>
      </c>
      <c r="L47" s="26">
        <f>+L46*(1+DATA!$C$11)</f>
        <v>119.50265712261498</v>
      </c>
      <c r="M47" s="23">
        <f>+DATA!$C$9*(1-Lapse_Mass!H47) * (G47 - DATA!$C$12)</f>
        <v>7748.2894501537294</v>
      </c>
      <c r="N47" s="23">
        <f>Lapse_Mass!H47 * (MAX($G$2,G47))</f>
        <v>71123.541978971596</v>
      </c>
      <c r="O47" s="23">
        <f t="shared" si="2"/>
        <v>4.9633872738055395E-3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+(1-H48)*(1-DATA!$C$9)*Lapse_Mass!J47</f>
        <v>2.4121617045221917E-8</v>
      </c>
      <c r="K48" s="26">
        <f>+(G48/(1-DATA!$C$7)) * DATA!$C$8</f>
        <v>1774.446123037156</v>
      </c>
      <c r="L48" s="26">
        <f>+L47*(1+DATA!$C$11)</f>
        <v>121.89271026506728</v>
      </c>
      <c r="M48" s="23">
        <f>+DATA!$C$9*(1-Lapse_Mass!H48) * (G48 - DATA!$C$12)</f>
        <v>7182.6656330904179</v>
      </c>
      <c r="N48" s="23">
        <f>Lapse_Mass!H48 * (MAX($G$2,G48))</f>
        <v>76065.571578973773</v>
      </c>
      <c r="O48" s="23">
        <f t="shared" si="2"/>
        <v>1.8132902758884906E-3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+(1-H49)*(1-DATA!$C$9)*Lapse_Mass!J48</f>
        <v>7.2315149629216827E-9</v>
      </c>
      <c r="K49" s="26">
        <f>+(G49/(1-DATA!$C$7)) * DATA!$C$8</f>
        <v>1791.7444399896863</v>
      </c>
      <c r="L49" s="26">
        <f>+L48*(1+DATA!$C$11)</f>
        <v>124.33056447036863</v>
      </c>
      <c r="M49" s="23">
        <f>+DATA!$C$9*(1-Lapse_Mass!H49) * (G49 - DATA!$C$12)</f>
        <v>6620.8338338576732</v>
      </c>
      <c r="N49" s="23">
        <f>Lapse_Mass!H49 * (MAX($G$2,G49))</f>
        <v>81020.201106733104</v>
      </c>
      <c r="O49" s="23">
        <f t="shared" si="2"/>
        <v>6.0666058418793877E-4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+(1-H50)*(1-DATA!$C$9)*Lapse_Mass!J49</f>
        <v>1.9675368367702721E-9</v>
      </c>
      <c r="K50" s="26">
        <f>+(G50/(1-DATA!$C$7)) * DATA!$C$8</f>
        <v>1809.5978725515176</v>
      </c>
      <c r="L50" s="26">
        <f>+L49*(1+DATA!$C$11)</f>
        <v>126.81717575977601</v>
      </c>
      <c r="M50" s="23">
        <f>+DATA!$C$9*(1-Lapse_Mass!H50) * (G50 - DATA!$C$12)</f>
        <v>6068.6221336188992</v>
      </c>
      <c r="N50" s="23">
        <f>Lapse_Mass!H50 * (MAX($G$2,G50))</f>
        <v>85949.454368420484</v>
      </c>
      <c r="O50" s="23">
        <f t="shared" si="2"/>
        <v>1.847646865077503E-4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+(1-H51)*(1-DATA!$C$9)*Lapse_Mass!J50</f>
        <v>4.8302589598227165E-10</v>
      </c>
      <c r="K51" s="26">
        <f>+(G51/(1-DATA!$C$7)) * DATA!$C$8</f>
        <v>1827.1480956427774</v>
      </c>
      <c r="L51" s="26">
        <f>+L50*(1+DATA!$C$11)</f>
        <v>129.35351927497152</v>
      </c>
      <c r="M51" s="23">
        <f>+DATA!$C$9*(1-Lapse_Mass!H51) * (G51 - DATA!$C$12)</f>
        <v>5528.8701353749575</v>
      </c>
      <c r="N51" s="23">
        <f>Lapse_Mass!H51 * (MAX($G$2,G51))</f>
        <v>90774.434884640956</v>
      </c>
      <c r="O51" s="23">
        <f t="shared" si="2"/>
        <v>5.0923482155621039E-5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+(1-H52)*(1-DATA!$C$9)*Lapse_Mass!J51</f>
        <v>1.063952205101074E-10</v>
      </c>
      <c r="K52" s="26">
        <f>+(G52/(1-DATA!$C$7)) * DATA!$C$8</f>
        <v>1846.1247301337507</v>
      </c>
      <c r="L52" s="26">
        <f>+L51*(1+DATA!$C$11)</f>
        <v>131.94058966047095</v>
      </c>
      <c r="M52" s="23">
        <f>(1-Lapse_Mass!H52) * (G52 )</f>
        <v>33419.860877171654</v>
      </c>
      <c r="N52" s="23">
        <f>Lapse_Mass!H52 * (MAX($G$2,G52))</f>
        <v>95545.138127886079</v>
      </c>
      <c r="O52" s="23">
        <f t="shared" si="2"/>
        <v>1.6125893789823415E-5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5E96-47EF-4BE4-A550-5B2120D6D53A}">
  <sheetPr>
    <tabColor theme="7" tint="0.59999389629810485"/>
  </sheetPr>
  <dimension ref="A1:R52"/>
  <sheetViews>
    <sheetView zoomScale="90" zoomScaleNormal="90" workbookViewId="0"/>
  </sheetViews>
  <sheetFormatPr defaultRowHeight="14.5" x14ac:dyDescent="0.35"/>
  <cols>
    <col min="1" max="1" width="15.90625" bestFit="1" customWidth="1"/>
    <col min="2" max="2" width="10.90625" bestFit="1" customWidth="1"/>
    <col min="3" max="3" width="17.453125" bestFit="1" customWidth="1"/>
    <col min="4" max="4" width="16.1796875" customWidth="1"/>
    <col min="5" max="5" width="12.6328125" bestFit="1" customWidth="1"/>
    <col min="6" max="6" width="16.453125" bestFit="1" customWidth="1"/>
    <col min="7" max="7" width="13.26953125" bestFit="1" customWidth="1"/>
    <col min="8" max="8" width="11.36328125" bestFit="1" customWidth="1"/>
    <col min="9" max="9" width="14" bestFit="1" customWidth="1"/>
    <col min="11" max="11" width="10.453125" bestFit="1" customWidth="1"/>
    <col min="12" max="12" width="11.36328125" bestFit="1" customWidth="1"/>
    <col min="13" max="13" width="9.08984375" bestFit="1" customWidth="1"/>
    <col min="14" max="14" width="9.1796875" bestFit="1" customWidth="1"/>
    <col min="15" max="15" width="13.6328125" bestFit="1" customWidth="1"/>
    <col min="17" max="17" width="10.90625" bestFit="1" customWidth="1"/>
    <col min="18" max="18" width="11.81640625" bestFit="1" customWidth="1"/>
  </cols>
  <sheetData>
    <row r="1" spans="1:18" x14ac:dyDescent="0.35">
      <c r="A1" s="15" t="s">
        <v>28</v>
      </c>
      <c r="B1" s="5" t="s">
        <v>29</v>
      </c>
      <c r="C1" s="5" t="s">
        <v>30</v>
      </c>
      <c r="D1" s="5" t="s">
        <v>2</v>
      </c>
      <c r="E1" s="5" t="s">
        <v>27</v>
      </c>
      <c r="F1" s="5" t="s">
        <v>26</v>
      </c>
      <c r="G1" s="5" t="s">
        <v>31</v>
      </c>
      <c r="H1" s="19" t="s">
        <v>32</v>
      </c>
      <c r="I1" s="19" t="s">
        <v>16</v>
      </c>
      <c r="J1" s="19" t="s">
        <v>72</v>
      </c>
      <c r="K1" s="24" t="s">
        <v>33</v>
      </c>
      <c r="L1" s="24" t="s">
        <v>34</v>
      </c>
      <c r="M1" s="4" t="s">
        <v>35</v>
      </c>
      <c r="N1" s="4" t="s">
        <v>36</v>
      </c>
      <c r="O1" s="4" t="s">
        <v>37</v>
      </c>
      <c r="Q1" s="107" t="s">
        <v>38</v>
      </c>
      <c r="R1" s="107"/>
    </row>
    <row r="2" spans="1:18" x14ac:dyDescent="0.35">
      <c r="A2" s="14">
        <v>0</v>
      </c>
      <c r="B2" s="16">
        <f>+VLOOKUP($A2,DATA!$J$2:$Y$54,2)</f>
        <v>0</v>
      </c>
      <c r="C2" s="16">
        <f>+VLOOKUP($A2,DATA!$J$2:$Y$54,5)</f>
        <v>0</v>
      </c>
      <c r="D2" s="21">
        <f>+VLOOKUP($A2,DATA!$J$2:$Y$54,8)</f>
        <v>1</v>
      </c>
      <c r="E2" s="16">
        <f>+VLOOKUP($A2,DATA!$J$2:$Y$54,14)</f>
        <v>0</v>
      </c>
      <c r="F2" s="17">
        <f>+VLOOKUP($A2,DATA!$J$2:$Y$54,11)</f>
        <v>1</v>
      </c>
      <c r="G2" s="18">
        <f>+DATA!C4 + DATA!C5</f>
        <v>100000</v>
      </c>
      <c r="H2" s="20"/>
      <c r="I2" s="22">
        <v>1</v>
      </c>
      <c r="J2" s="2">
        <v>1</v>
      </c>
      <c r="K2" s="25"/>
      <c r="L2" s="25"/>
      <c r="M2" s="23"/>
      <c r="N2" s="23"/>
      <c r="O2" s="23"/>
      <c r="Q2" s="6" t="s">
        <v>39</v>
      </c>
      <c r="R2" s="27">
        <f>+$G$2</f>
        <v>100000</v>
      </c>
    </row>
    <row r="3" spans="1:18" x14ac:dyDescent="0.35">
      <c r="A3" s="14">
        <f>+A2+1</f>
        <v>1</v>
      </c>
      <c r="B3" s="16">
        <f>+VLOOKUP($A3,DATA!$J$2:$Y$54,2)</f>
        <v>3.5139999999999998E-2</v>
      </c>
      <c r="C3" s="16">
        <f>+VLOOKUP($A3,DATA!$J$2:$Y$54,5)</f>
        <v>3.4536683270235471E-2</v>
      </c>
      <c r="D3" s="21">
        <f>+VLOOKUP($A3,DATA!$J$2:$Y$54,8)</f>
        <v>0.96605290105686192</v>
      </c>
      <c r="E3" s="16">
        <f>+VLOOKUP($A3,DATA!$J$2:$Y$54,14)</f>
        <v>3.4536683270235465E-2</v>
      </c>
      <c r="F3" s="17">
        <f>+VLOOKUP($A3,DATA!$J$2:$Y$54,11)</f>
        <v>0.96605290105686192</v>
      </c>
      <c r="G3" s="18">
        <f>+(G2*(1-DATA!$C$7)/F3)</f>
        <v>101236.692</v>
      </c>
      <c r="H3" s="20">
        <f>+_xlfn.XLOOKUP(A3+59,DATA!$E$4:$E$63,DATA!$G$4:$G$63)</f>
        <v>6.4678699999999997E-3</v>
      </c>
      <c r="I3" s="22">
        <f>+_xlfn.XLOOKUP(A3+59,DATA!$E$4:$E$63,DATA!$H$4:$H$63)</f>
        <v>0.99353212999999996</v>
      </c>
      <c r="J3" s="2">
        <f>+(1-H3)*(1-DATA!$C$9)*Expanses!J2</f>
        <v>0.84450231049999991</v>
      </c>
      <c r="K3" s="26">
        <f>+(G3/(1-DATA!$C$7)) *DATA!$C$8</f>
        <v>1449.1960000000001</v>
      </c>
      <c r="L3" s="26">
        <f>+DATA!C10 * 1.1</f>
        <v>55.000000000000007</v>
      </c>
      <c r="M3" s="23">
        <f>+DATA!$C$9*(1-Expanses!H3) * (G3 - DATA!$C$12)</f>
        <v>15084.305339147093</v>
      </c>
      <c r="N3" s="23">
        <f>Expanses!H3 * (MAX($G$2,G3))</f>
        <v>654.78576308603999</v>
      </c>
      <c r="O3" s="23">
        <f t="shared" ref="O3:O34" si="0">+J2*D3*(K3+L3+M3+N3)</f>
        <v>16657.927528868691</v>
      </c>
      <c r="Q3" s="6" t="s">
        <v>40</v>
      </c>
      <c r="R3" s="27">
        <f>+SUM(O2:O52)</f>
        <v>95841.623963665028</v>
      </c>
    </row>
    <row r="4" spans="1:18" x14ac:dyDescent="0.35">
      <c r="A4" s="14">
        <f t="shared" ref="A4:A52" si="1">+A3+1</f>
        <v>2</v>
      </c>
      <c r="B4" s="16">
        <f>+VLOOKUP($A4,DATA!$J$2:$Y$54,2)</f>
        <v>3.0349999999999999E-2</v>
      </c>
      <c r="C4" s="16">
        <f>+VLOOKUP($A4,DATA!$J$2:$Y$54,5)</f>
        <v>2.9898550345863351E-2</v>
      </c>
      <c r="D4" s="21">
        <f>+VLOOKUP($A4,DATA!$J$2:$Y$54,8)</f>
        <v>0.94195563634332247</v>
      </c>
      <c r="E4" s="16">
        <f>+VLOOKUP($A4,DATA!$J$2:$Y$54,14)</f>
        <v>2.5260417421491276E-2</v>
      </c>
      <c r="F4" s="17">
        <f>+VLOOKUP($A4,DATA!$J$2:$Y$54,11)</f>
        <v>0.97505595740442674</v>
      </c>
      <c r="G4" s="18">
        <f>+(G3*(1-DATA!$C$7)/F4)</f>
        <v>101542.36177332903</v>
      </c>
      <c r="H4" s="20">
        <f>+_xlfn.XLOOKUP(A4+59,DATA!$E$4:$E$63,DATA!$G$4:$G$63)</f>
        <v>7.1002599999999997E-3</v>
      </c>
      <c r="I4" s="22">
        <f>+_xlfn.XLOOKUP(A4+59,DATA!$E$4:$E$63,DATA!$H$4:$H$63)</f>
        <v>0.98647779355864618</v>
      </c>
      <c r="J4" s="2">
        <f>+(1-H4)*(1-DATA!$C$9)*Expanses!J3</f>
        <v>0.71273020584612179</v>
      </c>
      <c r="K4" s="26">
        <f>+(G4/(1-DATA!$C$7)) *DATA!$C$8</f>
        <v>1453.5716409270005</v>
      </c>
      <c r="L4" s="26">
        <f>+L3*(1+DATA!$C$11 + 0.01)</f>
        <v>56.650000000000006</v>
      </c>
      <c r="M4" s="23">
        <f>+DATA!$C$9*(1-Expanses!H4) * (G4 - DATA!$C$12)</f>
        <v>15120.22899133865</v>
      </c>
      <c r="N4" s="23">
        <f>Expanses!H4 * (MAX($G$2,G4))</f>
        <v>720.97716960469711</v>
      </c>
      <c r="O4" s="23">
        <f t="shared" si="0"/>
        <v>13802.778183846318</v>
      </c>
      <c r="Q4" s="6" t="s">
        <v>41</v>
      </c>
      <c r="R4" s="27">
        <f>+R2-R3</f>
        <v>4158.376036334972</v>
      </c>
    </row>
    <row r="5" spans="1:18" x14ac:dyDescent="0.35">
      <c r="A5" s="14">
        <f t="shared" si="1"/>
        <v>3</v>
      </c>
      <c r="B5" s="16">
        <f>+VLOOKUP($A5,DATA!$J$2:$Y$54,2)</f>
        <v>2.7830000000000001E-2</v>
      </c>
      <c r="C5" s="16">
        <f>+VLOOKUP($A5,DATA!$J$2:$Y$54,5)</f>
        <v>2.7449783708099751E-2</v>
      </c>
      <c r="D5" s="21">
        <f>+VLOOKUP($A5,DATA!$J$2:$Y$54,8)</f>
        <v>0.92095016751412118</v>
      </c>
      <c r="E5" s="16">
        <f>+VLOOKUP($A5,DATA!$J$2:$Y$54,14)</f>
        <v>2.2552250432572456E-2</v>
      </c>
      <c r="F5" s="17">
        <f>+VLOOKUP($A5,DATA!$J$2:$Y$54,11)</f>
        <v>0.97770015060290461</v>
      </c>
      <c r="G5" s="18">
        <f>+(G4*(1-DATA!$C$7)/F5)</f>
        <v>101573.50364841067</v>
      </c>
      <c r="H5" s="20">
        <f>+_xlfn.XLOOKUP(A5+59,DATA!$E$4:$E$63,DATA!$G$4:$G$63)</f>
        <v>7.8151000000000002E-3</v>
      </c>
      <c r="I5" s="22">
        <f>+_xlfn.XLOOKUP(A5+59,DATA!$E$4:$E$63,DATA!$H$4:$H$63)</f>
        <v>0.97876837095420599</v>
      </c>
      <c r="J5" s="2">
        <f>+(1-H5)*(1-DATA!$C$9)*Expanses!J4</f>
        <v>0.60108612581225174</v>
      </c>
      <c r="K5" s="26">
        <f>+(G5/(1-DATA!$C$7)) *DATA!$C$8</f>
        <v>1454.0174346398255</v>
      </c>
      <c r="L5" s="26">
        <f>+L4*(1+DATA!$C$11 + 0.01)</f>
        <v>58.349500000000006</v>
      </c>
      <c r="M5" s="23">
        <f>+DATA!$C$9*(1-Expanses!H5) * (G5 - DATA!$C$12)</f>
        <v>15113.977929307195</v>
      </c>
      <c r="N5" s="23">
        <f>Expanses!H5 * (MAX($G$2,G5))</f>
        <v>793.80708836269423</v>
      </c>
      <c r="O5" s="23">
        <f t="shared" si="0"/>
        <v>11434.396162788986</v>
      </c>
      <c r="Q5" s="6" t="s">
        <v>43</v>
      </c>
      <c r="R5" s="27">
        <f>+MAX(Rates_Basic!R4-R4,0)</f>
        <v>45.586205692146905</v>
      </c>
    </row>
    <row r="6" spans="1:18" x14ac:dyDescent="0.35">
      <c r="A6" s="14">
        <f t="shared" si="1"/>
        <v>4</v>
      </c>
      <c r="B6" s="16">
        <f>+VLOOKUP($A6,DATA!$J$2:$Y$54,2)</f>
        <v>2.6370000000000001E-2</v>
      </c>
      <c r="C6" s="16">
        <f>+VLOOKUP($A6,DATA!$J$2:$Y$54,5)</f>
        <v>2.6028305521127008E-2</v>
      </c>
      <c r="D6" s="21">
        <f>+VLOOKUP($A6,DATA!$J$2:$Y$54,8)</f>
        <v>0.90112326459071324</v>
      </c>
      <c r="E6" s="16">
        <f>+VLOOKUP($A6,DATA!$J$2:$Y$54,14)</f>
        <v>2.1763870960208789E-2</v>
      </c>
      <c r="F6" s="17">
        <f>+VLOOKUP($A6,DATA!$J$2:$Y$54,11)</f>
        <v>0.97847125325257744</v>
      </c>
      <c r="G6" s="18">
        <f>+(G5*(1-DATA!$C$7)/F6)</f>
        <v>101524.58361748398</v>
      </c>
      <c r="H6" s="20">
        <f>+_xlfn.XLOOKUP(A6+59,DATA!$E$4:$E$63,DATA!$G$4:$G$63)</f>
        <v>8.6648699999999999E-3</v>
      </c>
      <c r="I6" s="22">
        <f>+_xlfn.XLOOKUP(A6+59,DATA!$E$4:$E$63,DATA!$H$4:$H$63)</f>
        <v>0.97028747025977602</v>
      </c>
      <c r="J6" s="2">
        <f>+(1-H6)*(1-DATA!$C$9)*Expanses!J5</f>
        <v>0.50649612377229214</v>
      </c>
      <c r="K6" s="26">
        <f>+(G6/(1-DATA!$C$7)) *DATA!$C$8</f>
        <v>1453.3171478985437</v>
      </c>
      <c r="L6" s="26">
        <f>+L5*(1+DATA!$C$11 + 0.01)</f>
        <v>60.099985000000011</v>
      </c>
      <c r="M6" s="23">
        <f>+DATA!$C$9*(1-Expanses!H6) * (G6 - DATA!$C$12)</f>
        <v>15093.75893940515</v>
      </c>
      <c r="N6" s="23">
        <f>Expanses!H6 * (MAX($G$2,G6))</f>
        <v>879.69731884962835</v>
      </c>
      <c r="O6" s="23">
        <f t="shared" si="0"/>
        <v>9471.8120468435773</v>
      </c>
      <c r="Q6" s="6" t="s">
        <v>42</v>
      </c>
      <c r="R6" s="8">
        <f>+SUMPRODUCT(A2:A52,O2:O52)/R3</f>
        <v>5.6145416088453928</v>
      </c>
    </row>
    <row r="7" spans="1:18" x14ac:dyDescent="0.35">
      <c r="A7" s="14">
        <f t="shared" si="1"/>
        <v>5</v>
      </c>
      <c r="B7" s="16">
        <f>+VLOOKUP($A7,DATA!$J$2:$Y$54,2)</f>
        <v>2.5489999999999999E-2</v>
      </c>
      <c r="C7" s="16">
        <f>+VLOOKUP($A7,DATA!$J$2:$Y$54,5)</f>
        <v>2.5170547141944267E-2</v>
      </c>
      <c r="D7" s="21">
        <f>+VLOOKUP($A7,DATA!$J$2:$Y$54,8)</f>
        <v>0.88174468672828576</v>
      </c>
      <c r="E7" s="16">
        <f>+VLOOKUP($A7,DATA!$J$2:$Y$54,14)</f>
        <v>2.1739513625213296E-2</v>
      </c>
      <c r="F7" s="17">
        <f>+VLOOKUP($A7,DATA!$J$2:$Y$54,11)</f>
        <v>0.97849508649493233</v>
      </c>
      <c r="G7" s="18">
        <f>+(G6*(1-DATA!$C$7)/F7)</f>
        <v>101473.21550031469</v>
      </c>
      <c r="H7" s="20">
        <f>+_xlfn.XLOOKUP(A7+59,DATA!$E$4:$E$63,DATA!$G$4:$G$63)</f>
        <v>9.6527000000000002E-3</v>
      </c>
      <c r="I7" s="22">
        <f>+_xlfn.XLOOKUP(A7+59,DATA!$E$4:$E$63,DATA!$H$4:$H$63)</f>
        <v>0.9609215763955995</v>
      </c>
      <c r="J7" s="2">
        <f>+(1-H7)*(1-DATA!$C$9)*Expanses!J6</f>
        <v>0.42636600834260208</v>
      </c>
      <c r="K7" s="26">
        <f>+(G7/(1-DATA!$C$7)) *DATA!$C$8</f>
        <v>1452.58181697792</v>
      </c>
      <c r="L7" s="26">
        <f>+L6*(1+DATA!$C$11 + 0.01)</f>
        <v>61.902984550000014</v>
      </c>
      <c r="M7" s="23">
        <f>+DATA!$C$9*(1-Expanses!H7) * (G7 - DATA!$C$12)</f>
        <v>15071.087707058219</v>
      </c>
      <c r="N7" s="23">
        <f>Expanses!H7 * (MAX($G$2,G7))</f>
        <v>979.49050725988764</v>
      </c>
      <c r="O7" s="23">
        <f t="shared" si="0"/>
        <v>7844.5618149146903</v>
      </c>
      <c r="Q7" s="6" t="s">
        <v>44</v>
      </c>
      <c r="R7" s="27">
        <f>+MAX(R5,0)</f>
        <v>45.586205692146905</v>
      </c>
    </row>
    <row r="8" spans="1:18" x14ac:dyDescent="0.35">
      <c r="A8" s="14">
        <f t="shared" si="1"/>
        <v>6</v>
      </c>
      <c r="B8" s="16">
        <f>+VLOOKUP($A8,DATA!$J$2:$Y$54,2)</f>
        <v>2.5020000000000001E-2</v>
      </c>
      <c r="C8" s="16">
        <f>+VLOOKUP($A8,DATA!$J$2:$Y$54,5)</f>
        <v>2.4712124595133091E-2</v>
      </c>
      <c r="D8" s="21">
        <f>+VLOOKUP($A8,DATA!$J$2:$Y$54,8)</f>
        <v>0.86219592102620657</v>
      </c>
      <c r="E8" s="16">
        <f>+VLOOKUP($A8,DATA!$J$2:$Y$54,14)</f>
        <v>2.2420011861077244E-2</v>
      </c>
      <c r="F8" s="17">
        <f>+VLOOKUP($A8,DATA!$J$2:$Y$54,11)</f>
        <v>0.97782944882308853</v>
      </c>
      <c r="G8" s="18">
        <f>+(G7*(1-DATA!$C$7)/F8)</f>
        <v>101490.91426807977</v>
      </c>
      <c r="H8" s="20">
        <f>+_xlfn.XLOOKUP(A8+59,DATA!$E$4:$E$63,DATA!$G$4:$G$63)</f>
        <v>1.0795270000000001E-2</v>
      </c>
      <c r="I8" s="22">
        <f>+_xlfn.XLOOKUP(A8+59,DATA!$E$4:$E$63,DATA!$H$4:$H$63)</f>
        <v>0.95054816852958335</v>
      </c>
      <c r="J8" s="2">
        <f>+(1-H8)*(1-DATA!$C$9)*Expanses!J7</f>
        <v>0.35849878133916319</v>
      </c>
      <c r="K8" s="26">
        <f>+(G8/(1-DATA!$C$7)) *DATA!$C$8</f>
        <v>1452.835173571694</v>
      </c>
      <c r="L8" s="26">
        <f>+L7*(1+DATA!$C$11 + 0.01)</f>
        <v>63.760074086500019</v>
      </c>
      <c r="M8" s="23">
        <f>+DATA!$C$9*(1-Expanses!H8) * (G8 - DATA!$C$12)</f>
        <v>15056.326252711347</v>
      </c>
      <c r="N8" s="23">
        <f>Expanses!H8 * (MAX($G$2,G8))</f>
        <v>1095.6218220707735</v>
      </c>
      <c r="O8" s="23">
        <f t="shared" si="0"/>
        <v>6495.151466912188</v>
      </c>
    </row>
    <row r="9" spans="1:18" x14ac:dyDescent="0.35">
      <c r="A9" s="14">
        <f t="shared" si="1"/>
        <v>7</v>
      </c>
      <c r="B9" s="16">
        <f>+VLOOKUP($A9,DATA!$J$2:$Y$54,2)</f>
        <v>2.477E-2</v>
      </c>
      <c r="C9" s="16">
        <f>+VLOOKUP($A9,DATA!$J$2:$Y$54,5)</f>
        <v>2.4468197167211519E-2</v>
      </c>
      <c r="D9" s="21">
        <f>+VLOOKUP($A9,DATA!$J$2:$Y$54,8)</f>
        <v>0.84258782390013232</v>
      </c>
      <c r="E9" s="16">
        <f>+VLOOKUP($A9,DATA!$J$2:$Y$54,14)</f>
        <v>2.3004632599682183E-2</v>
      </c>
      <c r="F9" s="17">
        <f>+VLOOKUP($A9,DATA!$J$2:$Y$54,11)</f>
        <v>0.97725795651789182</v>
      </c>
      <c r="G9" s="18">
        <f>+(G8*(1-DATA!$C$7)/F9)</f>
        <v>101567.977515223</v>
      </c>
      <c r="H9" s="20">
        <f>+_xlfn.XLOOKUP(A9+59,DATA!$E$4:$E$63,DATA!$G$4:$G$63)</f>
        <v>1.1728260000000001E-2</v>
      </c>
      <c r="I9" s="22">
        <f>+_xlfn.XLOOKUP(A9+59,DATA!$E$4:$E$63,DATA!$H$4:$H$63)</f>
        <v>0.93939989246654454</v>
      </c>
      <c r="J9" s="2">
        <f>+(1-H9)*(1-DATA!$C$9)*Expanses!J8</f>
        <v>0.30115008225864415</v>
      </c>
      <c r="K9" s="26">
        <f>+(G9/(1-DATA!$C$7)) *DATA!$C$8</f>
        <v>1453.938328438775</v>
      </c>
      <c r="L9" s="26">
        <f>+L8*(1+DATA!$C$11 + 0.01)</f>
        <v>65.672876309095017</v>
      </c>
      <c r="M9" s="23">
        <f>+DATA!$C$9*(1-Expanses!H9) * (G9 - DATA!$C$12)</f>
        <v>15053.549464867547</v>
      </c>
      <c r="N9" s="23">
        <f>Expanses!H9 * (MAX($G$2,G9))</f>
        <v>1191.2156479726893</v>
      </c>
      <c r="O9" s="23">
        <f t="shared" si="0"/>
        <v>5366.0266746271827</v>
      </c>
      <c r="Q9" s="108" t="s">
        <v>45</v>
      </c>
      <c r="R9" s="108"/>
    </row>
    <row r="10" spans="1:18" x14ac:dyDescent="0.35">
      <c r="A10" s="14">
        <f t="shared" si="1"/>
        <v>8</v>
      </c>
      <c r="B10" s="16">
        <f>+VLOOKUP($A10,DATA!$J$2:$Y$54,2)</f>
        <v>2.4660000000000001E-2</v>
      </c>
      <c r="C10" s="16">
        <f>+VLOOKUP($A10,DATA!$J$2:$Y$54,5)</f>
        <v>2.4360850246257219E-2</v>
      </c>
      <c r="D10" s="21">
        <f>+VLOOKUP($A10,DATA!$J$2:$Y$54,8)</f>
        <v>0.8229278065902943</v>
      </c>
      <c r="E10" s="16">
        <f>+VLOOKUP($A10,DATA!$J$2:$Y$54,14)</f>
        <v>2.3609421799577101E-2</v>
      </c>
      <c r="F10" s="17">
        <f>+VLOOKUP($A10,DATA!$J$2:$Y$54,11)</f>
        <v>0.97666710015006319</v>
      </c>
      <c r="G10" s="18">
        <f>+(G9*(1-DATA!$C$7)/F10)</f>
        <v>101706.59172877399</v>
      </c>
      <c r="H10" s="20">
        <f>+_xlfn.XLOOKUP(A10+59,DATA!$E$4:$E$63,DATA!$G$4:$G$63)</f>
        <v>1.2797940000000001E-2</v>
      </c>
      <c r="I10" s="22">
        <f>+_xlfn.XLOOKUP(A10+59,DATA!$E$4:$E$63,DATA!$H$4:$H$63)</f>
        <v>0.9273775090067512</v>
      </c>
      <c r="J10" s="2">
        <f>+(1-H10)*(1-DATA!$C$9)*Expanses!J9</f>
        <v>0.25270158433866752</v>
      </c>
      <c r="K10" s="26">
        <f>+(G10/(1-DATA!$C$7)) *DATA!$C$8</f>
        <v>1455.9225809844947</v>
      </c>
      <c r="L10" s="26">
        <f>+L9*(1+DATA!$C$11 + 0.01)</f>
        <v>67.643062598367862</v>
      </c>
      <c r="M10" s="23">
        <f>+DATA!$C$9*(1-Expanses!H10) * (G10 - DATA!$C$12)</f>
        <v>15057.781924353696</v>
      </c>
      <c r="N10" s="23">
        <f>Expanses!H10 * (MAX($G$2,G10))</f>
        <v>1301.6348585493458</v>
      </c>
      <c r="O10" s="23">
        <f t="shared" si="0"/>
        <v>4431.8461256366954</v>
      </c>
      <c r="Q10" s="28" t="s">
        <v>8</v>
      </c>
      <c r="R10" s="30">
        <f>+SUMPRODUCT(D3:D52,J2:J51,M3:M52)</f>
        <v>81227.100451071048</v>
      </c>
    </row>
    <row r="11" spans="1:18" x14ac:dyDescent="0.35">
      <c r="A11" s="14">
        <f t="shared" si="1"/>
        <v>9</v>
      </c>
      <c r="B11" s="16">
        <f>+VLOOKUP($A11,DATA!$J$2:$Y$54,2)</f>
        <v>2.4639999999999999E-2</v>
      </c>
      <c r="C11" s="16">
        <f>+VLOOKUP($A11,DATA!$J$2:$Y$54,5)</f>
        <v>2.4341331386158117E-2</v>
      </c>
      <c r="D11" s="21">
        <f>+VLOOKUP($A11,DATA!$J$2:$Y$54,8)</f>
        <v>0.80326389514893914</v>
      </c>
      <c r="E11" s="16">
        <f>+VLOOKUP($A11,DATA!$J$2:$Y$54,14)</f>
        <v>2.4185180505365337E-2</v>
      </c>
      <c r="F11" s="17">
        <f>+VLOOKUP($A11,DATA!$J$2:$Y$54,11)</f>
        <v>0.97610493741506887</v>
      </c>
      <c r="G11" s="18">
        <f>+(G10*(1-DATA!$C$7)/F11)</f>
        <v>101904.05037203881</v>
      </c>
      <c r="H11" s="20">
        <f>+_xlfn.XLOOKUP(A11+59,DATA!$E$4:$E$63,DATA!$G$4:$G$63)</f>
        <v>1.397499E-2</v>
      </c>
      <c r="I11" s="22">
        <f>+_xlfn.XLOOKUP(A11+59,DATA!$E$4:$E$63,DATA!$H$4:$H$63)</f>
        <v>0.91441741759215689</v>
      </c>
      <c r="J11" s="2">
        <f>+(1-H11)*(1-DATA!$C$9)*Expanses!J10</f>
        <v>0.2117945698908679</v>
      </c>
      <c r="K11" s="26">
        <f>+(G11/(1-DATA!$C$7)) *DATA!$C$8</f>
        <v>1458.749187329799</v>
      </c>
      <c r="L11" s="26">
        <f>+L10*(1+DATA!$C$11 + 0.01)</f>
        <v>69.672354476318901</v>
      </c>
      <c r="M11" s="23">
        <f>+DATA!$C$9*(1-Expanses!H11) * (G11 - DATA!$C$12)</f>
        <v>15069.033268039509</v>
      </c>
      <c r="N11" s="23">
        <f>Expanses!H11 * (MAX($G$2,G11))</f>
        <v>1424.1080849087386</v>
      </c>
      <c r="O11" s="23">
        <f t="shared" si="0"/>
        <v>3658.1260280570127</v>
      </c>
      <c r="Q11" s="28" t="s">
        <v>17</v>
      </c>
      <c r="R11" s="30">
        <f>+SUMPRODUCT(D3:D52,J2:J51,N3:N52)</f>
        <v>6428.6259520095427</v>
      </c>
    </row>
    <row r="12" spans="1:18" x14ac:dyDescent="0.35">
      <c r="A12" s="14">
        <f t="shared" si="1"/>
        <v>10</v>
      </c>
      <c r="B12" s="16">
        <f>+VLOOKUP($A12,DATA!$J$2:$Y$54,2)</f>
        <v>2.47E-2</v>
      </c>
      <c r="C12" s="16">
        <f>+VLOOKUP($A12,DATA!$J$2:$Y$54,5)</f>
        <v>2.4399886823535121E-2</v>
      </c>
      <c r="D12" s="21">
        <f>+VLOOKUP($A12,DATA!$J$2:$Y$54,8)</f>
        <v>0.78348852098697153</v>
      </c>
      <c r="E12" s="16">
        <f>+VLOOKUP($A12,DATA!$J$2:$Y$54,14)</f>
        <v>2.4926885759928158E-2</v>
      </c>
      <c r="F12" s="17">
        <f>+VLOOKUP($A12,DATA!$J$2:$Y$54,11)</f>
        <v>0.97538122367830193</v>
      </c>
      <c r="G12" s="18">
        <f>+(G11*(1-DATA!$C$7)/F12)</f>
        <v>102177.64997363155</v>
      </c>
      <c r="H12" s="20">
        <f>+_xlfn.XLOOKUP(A12+59,DATA!$E$4:$E$63,DATA!$G$4:$G$63)</f>
        <v>1.5660050000000002E-2</v>
      </c>
      <c r="I12" s="22">
        <f>+_xlfn.XLOOKUP(A12+59,DATA!$E$4:$E$63,DATA!$H$4:$H$63)</f>
        <v>0.90009759511179277</v>
      </c>
      <c r="J12" s="2">
        <f>+(1-H12)*(1-DATA!$C$9)*Expanses!J11</f>
        <v>0.17720617788615114</v>
      </c>
      <c r="K12" s="26">
        <f>+(G12/(1-DATA!$C$7)) *DATA!$C$8</f>
        <v>1462.6657460438055</v>
      </c>
      <c r="L12" s="26">
        <f>+L11*(1+DATA!$C$11 + 0.01)</f>
        <v>71.762525110608465</v>
      </c>
      <c r="M12" s="23">
        <f>+DATA!$C$9*(1-Expanses!H12) * (G12 - DATA!$C$12)</f>
        <v>15083.678410074295</v>
      </c>
      <c r="N12" s="23">
        <f>Expanses!H12 * (MAX($G$2,G12))</f>
        <v>1600.107107469569</v>
      </c>
      <c r="O12" s="23">
        <f t="shared" si="0"/>
        <v>3023.1051514250476</v>
      </c>
      <c r="Q12" s="28" t="s">
        <v>18</v>
      </c>
      <c r="R12" s="30">
        <f>+SUMPRODUCT(D3:D52,J2:J51,L3:L52)</f>
        <v>340.61391459402245</v>
      </c>
    </row>
    <row r="13" spans="1:18" x14ac:dyDescent="0.35">
      <c r="A13" s="14">
        <f t="shared" si="1"/>
        <v>11</v>
      </c>
      <c r="B13" s="16">
        <f>+VLOOKUP($A13,DATA!$J$2:$Y$54,2)</f>
        <v>2.487E-2</v>
      </c>
      <c r="C13" s="16">
        <f>+VLOOKUP($A13,DATA!$J$2:$Y$54,5)</f>
        <v>2.4565775278567011E-2</v>
      </c>
      <c r="D13" s="21">
        <f>+VLOOKUP($A13,DATA!$J$2:$Y$54,8)</f>
        <v>0.76320887666583503</v>
      </c>
      <c r="E13" s="16">
        <f>+VLOOKUP($A13,DATA!$J$2:$Y$54,14)</f>
        <v>2.622465982888585E-2</v>
      </c>
      <c r="F13" s="17">
        <f>+VLOOKUP($A13,DATA!$J$2:$Y$54,11)</f>
        <v>0.9741162202407383</v>
      </c>
      <c r="G13" s="18">
        <f>+(G12*(1-DATA!$C$7)/F13)</f>
        <v>102585.02999725792</v>
      </c>
      <c r="H13" s="20">
        <f>+_xlfn.XLOOKUP(A13+59,DATA!$E$4:$E$63,DATA!$G$4:$G$63)</f>
        <v>1.7473579999999999E-2</v>
      </c>
      <c r="I13" s="22">
        <f>+_xlfn.XLOOKUP(A13+59,DATA!$E$4:$E$63,DATA!$H$4:$H$63)</f>
        <v>0.88436966777579928</v>
      </c>
      <c r="J13" s="2">
        <f>+(1-H13)*(1-DATA!$C$9)*Expanses!J12</f>
        <v>0.14799328882630877</v>
      </c>
      <c r="K13" s="26">
        <f>+(G13/(1-DATA!$C$7)) *DATA!$C$8</f>
        <v>1468.4973619239377</v>
      </c>
      <c r="L13" s="26">
        <f>+L12*(1+DATA!$C$11 + 0.01)</f>
        <v>73.91540086392672</v>
      </c>
      <c r="M13" s="23">
        <f>+DATA!$C$9*(1-Expanses!H13) * (G13 - DATA!$C$12)</f>
        <v>15115.927761059766</v>
      </c>
      <c r="N13" s="23">
        <f>Expanses!H13 * (MAX($G$2,G13))</f>
        <v>1792.5277284594861</v>
      </c>
      <c r="O13" s="23">
        <f t="shared" si="0"/>
        <v>2495.3937279805014</v>
      </c>
      <c r="Q13" s="29" t="s">
        <v>46</v>
      </c>
      <c r="R13" s="31">
        <f>+SUMPRODUCT(D3:D52,J2:J51,K3:K52)</f>
        <v>7845.2836459903638</v>
      </c>
    </row>
    <row r="14" spans="1:18" x14ac:dyDescent="0.35">
      <c r="A14" s="14">
        <f t="shared" si="1"/>
        <v>12</v>
      </c>
      <c r="B14" s="16">
        <f>+VLOOKUP($A14,DATA!$J$2:$Y$54,2)</f>
        <v>2.487E-2</v>
      </c>
      <c r="C14" s="16">
        <f>+VLOOKUP($A14,DATA!$J$2:$Y$54,5)</f>
        <v>2.4565775278567011E-2</v>
      </c>
      <c r="D14" s="21">
        <f>+VLOOKUP($A14,DATA!$J$2:$Y$54,8)</f>
        <v>0.7446884743097516</v>
      </c>
      <c r="E14" s="16">
        <f>+VLOOKUP($A14,DATA!$J$2:$Y$54,14)</f>
        <v>2.4565775278566938E-2</v>
      </c>
      <c r="F14" s="17">
        <f>+VLOOKUP($A14,DATA!$J$2:$Y$54,11)</f>
        <v>0.97573350766438682</v>
      </c>
      <c r="G14" s="18">
        <f>+(G13*(1-DATA!$C$7)/F14)</f>
        <v>102823.32066003734</v>
      </c>
      <c r="H14" s="20">
        <f>+_xlfn.XLOOKUP(A14+59,DATA!$E$4:$E$63,DATA!$G$4:$G$63)</f>
        <v>1.9737480000000002E-2</v>
      </c>
      <c r="I14" s="22">
        <f>+_xlfn.XLOOKUP(A14+59,DATA!$E$4:$E$63,DATA!$H$4:$H$63)</f>
        <v>0.86691443914546784</v>
      </c>
      <c r="J14" s="2">
        <f>+(1-H14)*(1-DATA!$C$9)*Expanses!J13</f>
        <v>0.12331143311077049</v>
      </c>
      <c r="K14" s="26">
        <f>+(G14/(1-DATA!$C$7)) *DATA!$C$8</f>
        <v>1471.9084757060559</v>
      </c>
      <c r="L14" s="26">
        <f>+L13*(1+DATA!$C$11 + 0.01)</f>
        <v>76.132862889844517</v>
      </c>
      <c r="M14" s="23">
        <f>+DATA!$C$9*(1-Expanses!H14) * (G14 - DATA!$C$12)</f>
        <v>15116.136326186439</v>
      </c>
      <c r="N14" s="23">
        <f>Expanses!H14 * (MAX($G$2,G14))</f>
        <v>2029.4732350610739</v>
      </c>
      <c r="O14" s="23">
        <f t="shared" si="0"/>
        <v>2060.206636557738</v>
      </c>
      <c r="Q14" s="28" t="s">
        <v>47</v>
      </c>
      <c r="R14" s="30">
        <f>+SUM(R10:R13)</f>
        <v>95841.623963664984</v>
      </c>
    </row>
    <row r="15" spans="1:18" x14ac:dyDescent="0.35">
      <c r="A15" s="14">
        <f t="shared" si="1"/>
        <v>13</v>
      </c>
      <c r="B15" s="16">
        <f>+VLOOKUP($A15,DATA!$J$2:$Y$54,2)</f>
        <v>2.4920000000000001E-2</v>
      </c>
      <c r="C15" s="16">
        <f>+VLOOKUP($A15,DATA!$J$2:$Y$54,5)</f>
        <v>2.4614560763919189E-2</v>
      </c>
      <c r="D15" s="21">
        <f>+VLOOKUP($A15,DATA!$J$2:$Y$54,8)</f>
        <v>0.72615681422166578</v>
      </c>
      <c r="E15" s="16">
        <f>+VLOOKUP($A15,DATA!$J$2:$Y$54,14)</f>
        <v>2.519998658814547E-2</v>
      </c>
      <c r="F15" s="17">
        <f>+VLOOKUP($A15,DATA!$J$2:$Y$54,11)</f>
        <v>0.97511488262892376</v>
      </c>
      <c r="G15" s="18">
        <f>+(G14*(1-DATA!$C$7)/F15)</f>
        <v>103127.54876061583</v>
      </c>
      <c r="H15" s="20">
        <f>+_xlfn.XLOOKUP(A15+59,DATA!$E$4:$E$63,DATA!$G$4:$G$63)</f>
        <v>2.1721769999999998E-2</v>
      </c>
      <c r="I15" s="22">
        <f>+_xlfn.XLOOKUP(A15+59,DATA!$E$4:$E$63,DATA!$H$4:$H$63)</f>
        <v>0.84808352308867097</v>
      </c>
      <c r="J15" s="2">
        <f>+(1-H15)*(1-DATA!$C$9)*Expanses!J14</f>
        <v>0.10253795694401276</v>
      </c>
      <c r="K15" s="26">
        <f>+(G15/(1-DATA!$C$7)) *DATA!$C$8</f>
        <v>1476.2634791908197</v>
      </c>
      <c r="L15" s="26">
        <f>+L14*(1+DATA!$C$11 + 0.01)</f>
        <v>78.416848776539851</v>
      </c>
      <c r="M15" s="23">
        <f>+DATA!$C$9*(1-Expanses!H15) * (G15 - DATA!$C$12)</f>
        <v>15130.180545176092</v>
      </c>
      <c r="N15" s="23">
        <f>Expanses!H15 * (MAX($G$2,G15))</f>
        <v>2240.1128948418818</v>
      </c>
      <c r="O15" s="23">
        <f t="shared" si="0"/>
        <v>1694.6072043600518</v>
      </c>
    </row>
    <row r="16" spans="1:18" x14ac:dyDescent="0.35">
      <c r="A16" s="14">
        <f t="shared" si="1"/>
        <v>14</v>
      </c>
      <c r="B16" s="16">
        <f>+VLOOKUP($A16,DATA!$J$2:$Y$54,2)</f>
        <v>2.4989999999999998E-2</v>
      </c>
      <c r="C16" s="16">
        <f>+VLOOKUP($A16,DATA!$J$2:$Y$54,5)</f>
        <v>2.4682856445219562E-2</v>
      </c>
      <c r="D16" s="21">
        <f>+VLOOKUP($A16,DATA!$J$2:$Y$54,8)</f>
        <v>0.70782386801134656</v>
      </c>
      <c r="E16" s="16">
        <f>+VLOOKUP($A16,DATA!$J$2:$Y$54,14)</f>
        <v>2.5570700302124431E-2</v>
      </c>
      <c r="F16" s="17">
        <f>+VLOOKUP($A16,DATA!$J$2:$Y$54,11)</f>
        <v>0.97475346116531392</v>
      </c>
      <c r="G16" s="18">
        <f>+(G15*(1-DATA!$C$7)/F16)</f>
        <v>103471.02801492599</v>
      </c>
      <c r="H16" s="20">
        <f>+_xlfn.XLOOKUP(A16+59,DATA!$E$4:$E$63,DATA!$G$4:$G$63)</f>
        <v>2.3921029999999999E-2</v>
      </c>
      <c r="I16" s="22">
        <f>+_xlfn.XLOOKUP(A16+59,DATA!$E$4:$E$63,DATA!$H$4:$H$63)</f>
        <v>0.82779649169036118</v>
      </c>
      <c r="J16" s="2">
        <f>+(1-H16)*(1-DATA!$C$9)*Expanses!J15</f>
        <v>8.5072371889843873E-2</v>
      </c>
      <c r="K16" s="26">
        <f>+(G16/(1-DATA!$C$7)) *DATA!$C$8</f>
        <v>1481.180360131865</v>
      </c>
      <c r="L16" s="26">
        <f>+L15*(1+DATA!$C$11 + 0.01)</f>
        <v>80.769354239836048</v>
      </c>
      <c r="M16" s="23">
        <f>+DATA!$C$9*(1-Expanses!H16) * (G16 - DATA!$C$12)</f>
        <v>15146.455930537515</v>
      </c>
      <c r="N16" s="23">
        <f>Expanses!H16 * (MAX($G$2,G16))</f>
        <v>2475.1335652758848</v>
      </c>
      <c r="O16" s="23">
        <f t="shared" si="0"/>
        <v>1392.3185108093865</v>
      </c>
    </row>
    <row r="17" spans="1:15" x14ac:dyDescent="0.35">
      <c r="A17" s="14">
        <f t="shared" si="1"/>
        <v>15</v>
      </c>
      <c r="B17" s="16">
        <f>+VLOOKUP($A17,DATA!$J$2:$Y$54,2)</f>
        <v>2.4979999999999999E-2</v>
      </c>
      <c r="C17" s="16">
        <f>+VLOOKUP($A17,DATA!$J$2:$Y$54,5)</f>
        <v>2.4673100204884196E-2</v>
      </c>
      <c r="D17" s="21">
        <f>+VLOOKUP($A17,DATA!$J$2:$Y$54,8)</f>
        <v>0.69066767586788669</v>
      </c>
      <c r="E17" s="16">
        <f>+VLOOKUP($A17,DATA!$J$2:$Y$54,14)</f>
        <v>2.4536512840189015E-2</v>
      </c>
      <c r="F17" s="17">
        <f>+VLOOKUP($A17,DATA!$J$2:$Y$54,11)</f>
        <v>0.97576206042378777</v>
      </c>
      <c r="G17" s="18">
        <f>+(G16*(1-DATA!$C$7)/F17)</f>
        <v>103708.34192369325</v>
      </c>
      <c r="H17" s="20">
        <f>+_xlfn.XLOOKUP(A17+59,DATA!$E$4:$E$63,DATA!$G$4:$G$63)</f>
        <v>2.5978890000000001E-2</v>
      </c>
      <c r="I17" s="22">
        <f>+_xlfn.XLOOKUP(A17+59,DATA!$E$4:$E$63,DATA!$H$4:$H$63)</f>
        <v>0.80629125769035137</v>
      </c>
      <c r="J17" s="2">
        <f>+(1-H17)*(1-DATA!$C$9)*Expanses!J16</f>
        <v>7.0432943183706756E-2</v>
      </c>
      <c r="K17" s="26">
        <f>+(G17/(1-DATA!$C$7)) *DATA!$C$8</f>
        <v>1484.5774917502104</v>
      </c>
      <c r="L17" s="26">
        <f>+L16*(1+DATA!$C$11 + 0.01)</f>
        <v>83.192434867031125</v>
      </c>
      <c r="M17" s="23">
        <f>+DATA!$C$9*(1-Expanses!H17) * (G17 - DATA!$C$12)</f>
        <v>15149.195084186285</v>
      </c>
      <c r="N17" s="23">
        <f>Expanses!H17 * (MAX($G$2,G17))</f>
        <v>2694.2276069180157</v>
      </c>
      <c r="O17" s="23">
        <f t="shared" si="0"/>
        <v>1140.5383467502932</v>
      </c>
    </row>
    <row r="18" spans="1:15" x14ac:dyDescent="0.35">
      <c r="A18" s="14">
        <f t="shared" si="1"/>
        <v>16</v>
      </c>
      <c r="B18" s="16">
        <f>+VLOOKUP($A18,DATA!$J$2:$Y$54,2)</f>
        <v>2.486E-2</v>
      </c>
      <c r="C18" s="16">
        <f>+VLOOKUP($A18,DATA!$J$2:$Y$54,5)</f>
        <v>2.4556017895887416E-2</v>
      </c>
      <c r="D18" s="21">
        <f>+VLOOKUP($A18,DATA!$J$2:$Y$54,8)</f>
        <v>0.67509876092267385</v>
      </c>
      <c r="E18" s="16">
        <f>+VLOOKUP($A18,DATA!$J$2:$Y$54,14)</f>
        <v>2.2799783260935555E-2</v>
      </c>
      <c r="F18" s="17">
        <f>+VLOOKUP($A18,DATA!$J$2:$Y$54,11)</f>
        <v>0.97745816766993032</v>
      </c>
      <c r="G18" s="18">
        <f>+(G17*(1-DATA!$C$7)/F18)</f>
        <v>103765.83035072859</v>
      </c>
      <c r="H18" s="20">
        <f>+_xlfn.XLOOKUP(A18+59,DATA!$E$4:$E$63,DATA!$G$4:$G$63)</f>
        <v>2.922232E-2</v>
      </c>
      <c r="I18" s="22">
        <f>+_xlfn.XLOOKUP(A18+59,DATA!$E$4:$E$63,DATA!$H$4:$H$63)</f>
        <v>0.78272955654492149</v>
      </c>
      <c r="J18" s="2">
        <f>+(1-H18)*(1-DATA!$C$9)*Expanses!J17</f>
        <v>5.8118519802533054E-2</v>
      </c>
      <c r="K18" s="26">
        <f>+(G18/(1-DATA!$C$7)) *DATA!$C$8</f>
        <v>1485.4004344685075</v>
      </c>
      <c r="L18" s="26">
        <f>+L17*(1+DATA!$C$11 + 0.01)</f>
        <v>85.688207913042064</v>
      </c>
      <c r="M18" s="23">
        <f>+DATA!$C$9*(1-Expanses!H18) * (G18 - DATA!$C$12)</f>
        <v>15107.120474633082</v>
      </c>
      <c r="N18" s="23">
        <f>Expanses!H18 * (MAX($G$2,G18))</f>
        <v>3032.2782995747029</v>
      </c>
      <c r="O18" s="23">
        <f t="shared" si="0"/>
        <v>937.21776381974519</v>
      </c>
    </row>
    <row r="19" spans="1:15" x14ac:dyDescent="0.35">
      <c r="A19" s="14">
        <f t="shared" si="1"/>
        <v>17</v>
      </c>
      <c r="B19" s="16">
        <f>+VLOOKUP($A19,DATA!$J$2:$Y$54,2)</f>
        <v>2.4660000000000001E-2</v>
      </c>
      <c r="C19" s="16">
        <f>+VLOOKUP($A19,DATA!$J$2:$Y$54,5)</f>
        <v>2.4360850246257219E-2</v>
      </c>
      <c r="D19" s="21">
        <f>+VLOOKUP($A19,DATA!$J$2:$Y$54,8)</f>
        <v>0.66091208289531456</v>
      </c>
      <c r="E19" s="16">
        <f>+VLOOKUP($A19,DATA!$J$2:$Y$54,14)</f>
        <v>2.1238167852174087E-2</v>
      </c>
      <c r="F19" s="17">
        <f>+VLOOKUP($A19,DATA!$J$2:$Y$54,11)</f>
        <v>0.97898577386222718</v>
      </c>
      <c r="G19" s="18">
        <f>+(G18*(1-DATA!$C$7)/F19)</f>
        <v>103661.3450292019</v>
      </c>
      <c r="H19" s="20">
        <f>+_xlfn.XLOOKUP(A19+59,DATA!$E$4:$E$63,DATA!$G$4:$G$63)</f>
        <v>3.2869429999999998E-2</v>
      </c>
      <c r="I19" s="22">
        <f>+_xlfn.XLOOKUP(A19+59,DATA!$E$4:$E$63,DATA!$H$4:$H$63)</f>
        <v>0.75700168217713715</v>
      </c>
      <c r="J19" s="2">
        <f>+(1-H19)*(1-DATA!$C$9)*Expanses!J18</f>
        <v>4.7776967606553068E-2</v>
      </c>
      <c r="K19" s="26">
        <f>+(G19/(1-DATA!$C$7)) *DATA!$C$8</f>
        <v>1483.9047345693523</v>
      </c>
      <c r="L19" s="26">
        <f>+L18*(1+DATA!$C$11 + 0.01)</f>
        <v>88.258854150433322</v>
      </c>
      <c r="M19" s="23">
        <f>+DATA!$C$9*(1-Expanses!H19) * (G19 - DATA!$C$12)</f>
        <v>15035.206964048803</v>
      </c>
      <c r="N19" s="23">
        <f>Expanses!H19 * (MAX($G$2,G19))</f>
        <v>3407.2893241431993</v>
      </c>
      <c r="O19" s="23">
        <f t="shared" si="0"/>
        <v>768.7877434825142</v>
      </c>
    </row>
    <row r="20" spans="1:15" x14ac:dyDescent="0.35">
      <c r="A20" s="14">
        <f t="shared" si="1"/>
        <v>18</v>
      </c>
      <c r="B20" s="16">
        <f>+VLOOKUP($A20,DATA!$J$2:$Y$54,2)</f>
        <v>2.4459999999999999E-2</v>
      </c>
      <c r="C20" s="16">
        <f>+VLOOKUP($A20,DATA!$J$2:$Y$54,5)</f>
        <v>2.4165644498780187E-2</v>
      </c>
      <c r="D20" s="21">
        <f>+VLOOKUP($A20,DATA!$J$2:$Y$54,8)</f>
        <v>0.64727657622441392</v>
      </c>
      <c r="E20" s="16">
        <f>+VLOOKUP($A20,DATA!$J$2:$Y$54,14)</f>
        <v>2.0847146791670716E-2</v>
      </c>
      <c r="F20" s="17">
        <f>+VLOOKUP($A20,DATA!$J$2:$Y$54,11)</f>
        <v>0.97936865276972029</v>
      </c>
      <c r="G20" s="18">
        <f>+(G19*(1-DATA!$C$7)/F20)</f>
        <v>103516.47987899935</v>
      </c>
      <c r="H20" s="20">
        <f>+_xlfn.XLOOKUP(A20+59,DATA!$E$4:$E$63,DATA!$G$4:$G$63)</f>
        <v>3.7547710000000005E-2</v>
      </c>
      <c r="I20" s="22">
        <f>+_xlfn.XLOOKUP(A20+59,DATA!$E$4:$E$63,DATA!$H$4:$H$63)</f>
        <v>0.72857800254523786</v>
      </c>
      <c r="J20" s="2">
        <f>+(1-H20)*(1-DATA!$C$9)*Expanses!J19</f>
        <v>3.9085594099855396E-2</v>
      </c>
      <c r="K20" s="26">
        <f>+(G20/(1-DATA!$C$7)) *DATA!$C$8</f>
        <v>1481.8310003128743</v>
      </c>
      <c r="L20" s="26">
        <f>+L19*(1+DATA!$C$11 + 0.01)</f>
        <v>90.906619774946321</v>
      </c>
      <c r="M20" s="23">
        <f>+DATA!$C$9*(1-Expanses!H20) * (G20 - DATA!$C$12)</f>
        <v>14941.563609972276</v>
      </c>
      <c r="N20" s="23">
        <f>Expanses!H20 * (MAX($G$2,G20))</f>
        <v>3886.8067667175033</v>
      </c>
      <c r="O20" s="23">
        <f t="shared" si="0"/>
        <v>630.90246980384961</v>
      </c>
    </row>
    <row r="21" spans="1:15" x14ac:dyDescent="0.35">
      <c r="A21" s="14">
        <f t="shared" si="1"/>
        <v>19</v>
      </c>
      <c r="B21" s="16">
        <f>+VLOOKUP($A21,DATA!$J$2:$Y$54,2)</f>
        <v>2.427E-2</v>
      </c>
      <c r="C21" s="16">
        <f>+VLOOKUP($A21,DATA!$J$2:$Y$54,5)</f>
        <v>2.3980163736996421E-2</v>
      </c>
      <c r="D21" s="21">
        <f>+VLOOKUP($A21,DATA!$J$2:$Y$54,8)</f>
        <v>0.63405275958074014</v>
      </c>
      <c r="E21" s="16">
        <f>+VLOOKUP($A21,DATA!$J$2:$Y$54,14)</f>
        <v>2.0641510024888652E-2</v>
      </c>
      <c r="F21" s="17">
        <f>+VLOOKUP($A21,DATA!$J$2:$Y$54,11)</f>
        <v>0.97957006768140942</v>
      </c>
      <c r="G21" s="18">
        <f>+(G20*(1-DATA!$C$7)/F21)</f>
        <v>103350.56231484187</v>
      </c>
      <c r="H21" s="20">
        <f>+_xlfn.XLOOKUP(A21+59,DATA!$E$4:$E$63,DATA!$G$4:$G$63)</f>
        <v>4.150015E-2</v>
      </c>
      <c r="I21" s="22">
        <f>+_xlfn.XLOOKUP(A21+59,DATA!$E$4:$E$63,DATA!$H$4:$H$63)</f>
        <v>0.69834190615291014</v>
      </c>
      <c r="J21" s="2">
        <f>+(1-H21)*(1-DATA!$C$9)*Expanses!J20</f>
        <v>3.1844005669591439E-2</v>
      </c>
      <c r="K21" s="26">
        <f>+(G21/(1-DATA!$C$7)) *DATA!$C$8</f>
        <v>1479.4559022574501</v>
      </c>
      <c r="L21" s="26">
        <f>+L20*(1+DATA!$C$11 + 0.01)</f>
        <v>93.63381836819471</v>
      </c>
      <c r="M21" s="23">
        <f>+DATA!$C$9*(1-Expanses!H21) * (G21 - DATA!$C$12)</f>
        <v>14856.349271878738</v>
      </c>
      <c r="N21" s="23">
        <f>Expanses!H21 * (MAX($G$2,G21))</f>
        <v>4289.0638386502851</v>
      </c>
      <c r="O21" s="23">
        <f t="shared" si="0"/>
        <v>513.4527493819113</v>
      </c>
    </row>
    <row r="22" spans="1:15" x14ac:dyDescent="0.35">
      <c r="A22" s="14">
        <f t="shared" si="1"/>
        <v>20</v>
      </c>
      <c r="B22" s="16">
        <f>+VLOOKUP($A22,DATA!$J$2:$Y$54,2)</f>
        <v>2.4150000000000001E-2</v>
      </c>
      <c r="C22" s="16">
        <f>+VLOOKUP($A22,DATA!$J$2:$Y$54,5)</f>
        <v>2.3863000264527503E-2</v>
      </c>
      <c r="D22" s="21">
        <f>+VLOOKUP($A22,DATA!$J$2:$Y$54,8)</f>
        <v>0.62048117992903384</v>
      </c>
      <c r="E22" s="16">
        <f>+VLOOKUP($A22,DATA!$J$2:$Y$54,14)</f>
        <v>2.1636894287617989E-2</v>
      </c>
      <c r="F22" s="17">
        <f>+VLOOKUP($A22,DATA!$J$2:$Y$54,11)</f>
        <v>0.97859550416485797</v>
      </c>
      <c r="G22" s="18">
        <f>+(G21*(1-DATA!$C$7)/F22)</f>
        <v>103287.67045601258</v>
      </c>
      <c r="H22" s="20">
        <f>+_xlfn.XLOOKUP(A22+59,DATA!$E$4:$E$63,DATA!$G$4:$G$63)</f>
        <v>4.704303E-2</v>
      </c>
      <c r="I22" s="22">
        <f>+_xlfn.XLOOKUP(A22+59,DATA!$E$4:$E$63,DATA!$H$4:$H$63)</f>
        <v>0.66548978691150162</v>
      </c>
      <c r="J22" s="2">
        <f>+(1-H22)*(1-DATA!$C$9)*Expanses!J21</f>
        <v>2.5794072082223177E-2</v>
      </c>
      <c r="K22" s="26">
        <f>+(G22/(1-DATA!$C$7)) *DATA!$C$8</f>
        <v>1478.555609799771</v>
      </c>
      <c r="L22" s="26">
        <f>+L21*(1+DATA!$C$11 + 0.01)</f>
        <v>96.442832919240558</v>
      </c>
      <c r="M22" s="23">
        <f>+DATA!$C$9*(1-Expanses!H22) * (G22 - DATA!$C$12)</f>
        <v>14761.44695050804</v>
      </c>
      <c r="N22" s="23">
        <f>Expanses!H22 * (MAX($G$2,G22))</f>
        <v>4858.9649798923137</v>
      </c>
      <c r="O22" s="23">
        <f t="shared" si="0"/>
        <v>418.79176705434838</v>
      </c>
    </row>
    <row r="23" spans="1:15" x14ac:dyDescent="0.35">
      <c r="A23" s="14">
        <f t="shared" si="1"/>
        <v>21</v>
      </c>
      <c r="B23" s="16">
        <f>+VLOOKUP($A23,DATA!$J$2:$Y$54,2)</f>
        <v>2.409E-2</v>
      </c>
      <c r="C23" s="16">
        <f>+VLOOKUP($A23,DATA!$J$2:$Y$54,5)</f>
        <v>2.3804413380161302E-2</v>
      </c>
      <c r="D23" s="21">
        <f>+VLOOKUP($A23,DATA!$J$2:$Y$54,8)</f>
        <v>0.6065957554795236</v>
      </c>
      <c r="E23" s="16">
        <f>+VLOOKUP($A23,DATA!$J$2:$Y$54,14)</f>
        <v>2.2632675692837268E-2</v>
      </c>
      <c r="F23" s="17">
        <f>+VLOOKUP($A23,DATA!$J$2:$Y$54,11)</f>
        <v>0.97762152197573771</v>
      </c>
      <c r="G23" s="18">
        <f>+(G22*(1-DATA!$C$7)/F23)</f>
        <v>103327.65741678022</v>
      </c>
      <c r="H23" s="20">
        <f>+_xlfn.XLOOKUP(A23+59,DATA!$E$4:$E$63,DATA!$G$4:$G$63)</f>
        <v>5.2770629999999999E-2</v>
      </c>
      <c r="I23" s="22">
        <f>+_xlfn.XLOOKUP(A23+59,DATA!$E$4:$E$63,DATA!$H$4:$H$63)</f>
        <v>0.63037147159761586</v>
      </c>
      <c r="J23" s="2">
        <f>+(1-H23)*(1-DATA!$C$9)*Expanses!J22</f>
        <v>2.0767967250952021E-2</v>
      </c>
      <c r="K23" s="26">
        <f>+(G23/(1-DATA!$C$7)) *DATA!$C$8</f>
        <v>1479.1280202811074</v>
      </c>
      <c r="L23" s="26">
        <f>+L22*(1+DATA!$C$11 + 0.01)</f>
        <v>99.336117906817776</v>
      </c>
      <c r="M23" s="23">
        <f>+DATA!$C$9*(1-Expanses!H23) * (G23 - DATA!$C$12)</f>
        <v>14678.40708766088</v>
      </c>
      <c r="N23" s="23">
        <f>Expanses!H23 * (MAX($G$2,G23))</f>
        <v>5452.6655783076649</v>
      </c>
      <c r="O23" s="23">
        <f t="shared" si="0"/>
        <v>339.67988804100179</v>
      </c>
    </row>
    <row r="24" spans="1:15" x14ac:dyDescent="0.35">
      <c r="A24" s="14">
        <f t="shared" si="1"/>
        <v>22</v>
      </c>
      <c r="B24" s="16">
        <f>+VLOOKUP($A24,DATA!$J$2:$Y$54,2)</f>
        <v>2.409E-2</v>
      </c>
      <c r="C24" s="16">
        <f>+VLOOKUP($A24,DATA!$J$2:$Y$54,5)</f>
        <v>2.3804413380161302E-2</v>
      </c>
      <c r="D24" s="21">
        <f>+VLOOKUP($A24,DATA!$J$2:$Y$54,8)</f>
        <v>0.59232660750473454</v>
      </c>
      <c r="E24" s="16">
        <f>+VLOOKUP($A24,DATA!$J$2:$Y$54,14)</f>
        <v>2.3804413380161399E-2</v>
      </c>
      <c r="F24" s="17">
        <f>+VLOOKUP($A24,DATA!$J$2:$Y$54,11)</f>
        <v>0.97647667685457329</v>
      </c>
      <c r="G24" s="18">
        <f>+(G23*(1-DATA!$C$7)/F24)</f>
        <v>103488.85062890354</v>
      </c>
      <c r="H24" s="20">
        <f>+_xlfn.XLOOKUP(A24+59,DATA!$E$4:$E$63,DATA!$G$4:$G$63)</f>
        <v>5.8951179999999999E-2</v>
      </c>
      <c r="I24" s="22">
        <f>+_xlfn.XLOOKUP(A24+59,DATA!$E$4:$E$63,DATA!$H$4:$H$63)</f>
        <v>0.59321032950859998</v>
      </c>
      <c r="J24" s="2">
        <f>+(1-H24)*(1-DATA!$C$9)*Expanses!J23</f>
        <v>1.6612120414010986E-2</v>
      </c>
      <c r="K24" s="26">
        <f>+(G24/(1-DATA!$C$7)) *DATA!$C$8</f>
        <v>1481.4354895753065</v>
      </c>
      <c r="L24" s="26">
        <f>+L23*(1+DATA!$C$11 + 0.01)</f>
        <v>102.31620144402231</v>
      </c>
      <c r="M24" s="23">
        <f>+DATA!$C$9*(1-Expanses!H24) * (G24 - DATA!$C$12)</f>
        <v>14605.385968662891</v>
      </c>
      <c r="N24" s="23">
        <f>Expanses!H24 * (MAX($G$2,G24))</f>
        <v>6100.7898614176056</v>
      </c>
      <c r="O24" s="23">
        <f t="shared" si="0"/>
        <v>274.19775099029874</v>
      </c>
    </row>
    <row r="25" spans="1:15" x14ac:dyDescent="0.35">
      <c r="A25" s="14">
        <f t="shared" si="1"/>
        <v>23</v>
      </c>
      <c r="B25" s="16">
        <f>+VLOOKUP($A25,DATA!$J$2:$Y$54,2)</f>
        <v>2.4129999999999999E-2</v>
      </c>
      <c r="C25" s="16">
        <f>+VLOOKUP($A25,DATA!$J$2:$Y$54,5)</f>
        <v>2.3843471684450026E-2</v>
      </c>
      <c r="D25" s="21">
        <f>+VLOOKUP($A25,DATA!$J$2:$Y$54,8)</f>
        <v>0.57787375637469418</v>
      </c>
      <c r="E25" s="16">
        <f>+VLOOKUP($A25,DATA!$J$2:$Y$54,14)</f>
        <v>2.4702754378801976E-2</v>
      </c>
      <c r="F25" s="17">
        <f>+VLOOKUP($A25,DATA!$J$2:$Y$54,11)</f>
        <v>0.97559986171999735</v>
      </c>
      <c r="G25" s="18">
        <f>+(G24*(1-DATA!$C$7)/F25)</f>
        <v>103743.45045173459</v>
      </c>
      <c r="H25" s="20">
        <f>+_xlfn.XLOOKUP(A25+59,DATA!$E$4:$E$63,DATA!$G$4:$G$63)</f>
        <v>6.573641999999999E-2</v>
      </c>
      <c r="I25" s="22">
        <f>+_xlfn.XLOOKUP(A25+59,DATA!$E$4:$E$63,DATA!$H$4:$H$63)</f>
        <v>0.55421480613968421</v>
      </c>
      <c r="J25" s="2">
        <f>+(1-H25)*(1-DATA!$C$9)*Expanses!J24</f>
        <v>1.3192084225977237E-2</v>
      </c>
      <c r="K25" s="26">
        <f>+(G25/(1-DATA!$C$7)) *DATA!$C$8</f>
        <v>1485.0800678162418</v>
      </c>
      <c r="L25" s="26">
        <f>+L24*(1+DATA!$C$11 + 0.01)</f>
        <v>105.38568748734298</v>
      </c>
      <c r="M25" s="23">
        <f>+DATA!$C$9*(1-Expanses!H25) * (G25 - DATA!$C$12)</f>
        <v>14535.756322348525</v>
      </c>
      <c r="N25" s="23">
        <f>Expanses!H25 * (MAX($G$2,G25))</f>
        <v>6819.7230311444137</v>
      </c>
      <c r="O25" s="23">
        <f t="shared" si="0"/>
        <v>220.27438258034707</v>
      </c>
    </row>
    <row r="26" spans="1:15" x14ac:dyDescent="0.35">
      <c r="A26" s="14">
        <f t="shared" si="1"/>
        <v>24</v>
      </c>
      <c r="B26" s="16">
        <f>+VLOOKUP($A26,DATA!$J$2:$Y$54,2)</f>
        <v>2.4209999999999999E-2</v>
      </c>
      <c r="C26" s="16">
        <f>+VLOOKUP($A26,DATA!$J$2:$Y$54,5)</f>
        <v>2.3921583716671978E-2</v>
      </c>
      <c r="D26" s="21">
        <f>+VLOOKUP($A26,DATA!$J$2:$Y$54,8)</f>
        <v>0.56320138825489219</v>
      </c>
      <c r="E26" s="16">
        <f>+VLOOKUP($A26,DATA!$J$2:$Y$54,14)</f>
        <v>2.5718160457776952E-2</v>
      </c>
      <c r="F26" s="17">
        <f>+VLOOKUP($A26,DATA!$J$2:$Y$54,11)</f>
        <v>0.97460973446544885</v>
      </c>
      <c r="G26" s="18">
        <f>+(G25*(1-DATA!$C$7)/F26)</f>
        <v>104104.33115306971</v>
      </c>
      <c r="H26" s="20">
        <f>+_xlfn.XLOOKUP(A26+59,DATA!$E$4:$E$63,DATA!$G$4:$G$63)</f>
        <v>7.2184380000000006E-2</v>
      </c>
      <c r="I26" s="22">
        <f>+_xlfn.XLOOKUP(A26+59,DATA!$E$4:$E$63,DATA!$H$4:$H$63)</f>
        <v>0.51420915397167088</v>
      </c>
      <c r="J26" s="2">
        <f>+(1-H26)*(1-DATA!$C$9)*Expanses!J25</f>
        <v>1.0403848534434695E-2</v>
      </c>
      <c r="K26" s="26">
        <f>+(G26/(1-DATA!$C$7)) *DATA!$C$8</f>
        <v>1490.2460492259468</v>
      </c>
      <c r="L26" s="26">
        <f>+L25*(1+DATA!$C$11 + 0.01)</f>
        <v>108.54725811196327</v>
      </c>
      <c r="M26" s="23">
        <f>+DATA!$C$9*(1-Expanses!H26) * (G26 - DATA!$C$12)</f>
        <v>14485.6602361606</v>
      </c>
      <c r="N26" s="23">
        <f>Expanses!H26 * (MAX($G$2,G26))</f>
        <v>7514.7065995990224</v>
      </c>
      <c r="O26" s="23">
        <f t="shared" si="0"/>
        <v>175.33704357214197</v>
      </c>
    </row>
    <row r="27" spans="1:15" x14ac:dyDescent="0.35">
      <c r="A27" s="14">
        <f t="shared" si="1"/>
        <v>25</v>
      </c>
      <c r="B27" s="16">
        <f>+VLOOKUP($A27,DATA!$J$2:$Y$54,2)</f>
        <v>2.4309999999999998E-2</v>
      </c>
      <c r="C27" s="16">
        <f>+VLOOKUP($A27,DATA!$J$2:$Y$54,5)</f>
        <v>2.4019215177511436E-2</v>
      </c>
      <c r="D27" s="21">
        <f>+VLOOKUP($A27,DATA!$J$2:$Y$54,8)</f>
        <v>0.54854806158178593</v>
      </c>
      <c r="E27" s="16">
        <f>+VLOOKUP($A27,DATA!$J$2:$Y$54,14)</f>
        <v>2.6362370237658257E-2</v>
      </c>
      <c r="F27" s="17">
        <f>+VLOOKUP($A27,DATA!$J$2:$Y$54,11)</f>
        <v>0.97398208353407945</v>
      </c>
      <c r="G27" s="18">
        <f>+(G26*(1-DATA!$C$7)/F27)</f>
        <v>104533.78721123027</v>
      </c>
      <c r="H27" s="20">
        <f>+_xlfn.XLOOKUP(A27+59,DATA!$E$4:$E$63,DATA!$G$4:$G$63)</f>
        <v>8.1257309999999999E-2</v>
      </c>
      <c r="I27" s="22">
        <f>+_xlfn.XLOOKUP(A27+59,DATA!$E$4:$E$63,DATA!$H$4:$H$63)</f>
        <v>0.47242590134255708</v>
      </c>
      <c r="J27" s="2">
        <f>+(1-H27)*(1-DATA!$C$9)*Expanses!J26</f>
        <v>8.124690820547226E-3</v>
      </c>
      <c r="K27" s="26">
        <f>+(G27/(1-DATA!$C$7)) *DATA!$C$8</f>
        <v>1496.3936819603516</v>
      </c>
      <c r="L27" s="26">
        <f>+L26*(1+DATA!$C$11 + 0.01)</f>
        <v>111.80367585532217</v>
      </c>
      <c r="M27" s="23">
        <f>+DATA!$C$9*(1-Expanses!H27) * (G27 - DATA!$C$12)</f>
        <v>14403.191700679994</v>
      </c>
      <c r="N27" s="23">
        <f>Expanses!H27 * (MAX($G$2,G27))</f>
        <v>8494.1343528969737</v>
      </c>
      <c r="O27" s="23">
        <f t="shared" si="0"/>
        <v>139.85329035986919</v>
      </c>
    </row>
    <row r="28" spans="1:15" x14ac:dyDescent="0.35">
      <c r="A28" s="14">
        <f t="shared" si="1"/>
        <v>26</v>
      </c>
      <c r="B28" s="16">
        <f>+VLOOKUP($A28,DATA!$J$2:$Y$54,2)</f>
        <v>2.443E-2</v>
      </c>
      <c r="C28" s="16">
        <f>+VLOOKUP($A28,DATA!$J$2:$Y$54,5)</f>
        <v>2.4136360349799893E-2</v>
      </c>
      <c r="D28" s="21">
        <f>+VLOOKUP($A28,DATA!$J$2:$Y$54,8)</f>
        <v>0.53390072310461201</v>
      </c>
      <c r="E28" s="16">
        <f>+VLOOKUP($A28,DATA!$J$2:$Y$54,14)</f>
        <v>2.7064989657011405E-2</v>
      </c>
      <c r="F28" s="17">
        <f>+VLOOKUP($A28,DATA!$J$2:$Y$54,11)</f>
        <v>0.97329798516662869</v>
      </c>
      <c r="G28" s="18">
        <f>+(G27*(1-DATA!$C$7)/F28)</f>
        <v>105038.79125474684</v>
      </c>
      <c r="H28" s="20">
        <f>+_xlfn.XLOOKUP(A28+59,DATA!$E$4:$E$63,DATA!$G$4:$G$63)</f>
        <v>9.2639579999999999E-2</v>
      </c>
      <c r="I28" s="22">
        <f>+_xlfn.XLOOKUP(A28+59,DATA!$E$4:$E$63,DATA!$H$4:$H$63)</f>
        <v>0.42866056426106119</v>
      </c>
      <c r="J28" s="2">
        <f>+(1-H28)*(1-DATA!$C$9)*Expanses!J27</f>
        <v>6.2662194440065945E-3</v>
      </c>
      <c r="K28" s="26">
        <f>+(G28/(1-DATA!$C$7)) *DATA!$C$8</f>
        <v>1503.6227786978077</v>
      </c>
      <c r="L28" s="26">
        <f>+L27*(1+DATA!$C$11 + 0.01)</f>
        <v>115.15778613098183</v>
      </c>
      <c r="M28" s="23">
        <f>+DATA!$C$9*(1-Expanses!H28) * (G28 - DATA!$C$12)</f>
        <v>14293.484181119913</v>
      </c>
      <c r="N28" s="23">
        <f>Expanses!H28 * (MAX($G$2,G28))</f>
        <v>9730.749505547421</v>
      </c>
      <c r="O28" s="23">
        <f t="shared" si="0"/>
        <v>111.23371087165074</v>
      </c>
    </row>
    <row r="29" spans="1:15" x14ac:dyDescent="0.35">
      <c r="A29" s="14">
        <f t="shared" si="1"/>
        <v>27</v>
      </c>
      <c r="B29" s="16">
        <f>+VLOOKUP($A29,DATA!$J$2:$Y$54,2)</f>
        <v>2.4570000000000002E-2</v>
      </c>
      <c r="C29" s="16">
        <f>+VLOOKUP($A29,DATA!$J$2:$Y$54,5)</f>
        <v>2.4273012375390805E-2</v>
      </c>
      <c r="D29" s="21">
        <f>+VLOOKUP($A29,DATA!$J$2:$Y$54,8)</f>
        <v>0.51924921182601946</v>
      </c>
      <c r="E29" s="16">
        <f>+VLOOKUP($A29,DATA!$J$2:$Y$54,14)</f>
        <v>2.7825965040754602E-2</v>
      </c>
      <c r="F29" s="17">
        <f>+VLOOKUP($A29,DATA!$J$2:$Y$54,11)</f>
        <v>0.9725576110978188</v>
      </c>
      <c r="G29" s="18">
        <f>+(G28*(1-DATA!$C$7)/F29)</f>
        <v>105626.58363362512</v>
      </c>
      <c r="H29" s="20">
        <f>+_xlfn.XLOOKUP(A29+59,DATA!$E$4:$E$63,DATA!$G$4:$G$63)</f>
        <v>0.10700140000000001</v>
      </c>
      <c r="I29" s="22">
        <f>+_xlfn.XLOOKUP(A29+59,DATA!$E$4:$E$63,DATA!$H$4:$H$63)</f>
        <v>0.38279328376033767</v>
      </c>
      <c r="J29" s="2">
        <f>+(1-H29)*(1-DATA!$C$9)*Expanses!J28</f>
        <v>4.7563664121720662E-3</v>
      </c>
      <c r="K29" s="26">
        <f>+(G29/(1-DATA!$C$7)) *DATA!$C$8</f>
        <v>1512.036984530421</v>
      </c>
      <c r="L29" s="26">
        <f>+L28*(1+DATA!$C$11 + 0.01)</f>
        <v>118.61251971491129</v>
      </c>
      <c r="M29" s="23">
        <f>+DATA!$C$9*(1-Expanses!H29) * (G29 - DATA!$C$12)</f>
        <v>14145.979700341521</v>
      </c>
      <c r="N29" s="23">
        <f>Expanses!H29 * (MAX($G$2,G29))</f>
        <v>11302.192326014976</v>
      </c>
      <c r="O29" s="23">
        <f t="shared" si="0"/>
        <v>88.107160640531063</v>
      </c>
    </row>
    <row r="30" spans="1:15" x14ac:dyDescent="0.35">
      <c r="A30" s="14">
        <f t="shared" si="1"/>
        <v>28</v>
      </c>
      <c r="B30" s="16">
        <f>+VLOOKUP($A30,DATA!$J$2:$Y$54,2)</f>
        <v>2.4719999999999999E-2</v>
      </c>
      <c r="C30" s="16">
        <f>+VLOOKUP($A30,DATA!$J$2:$Y$54,5)</f>
        <v>2.4419404540743664E-2</v>
      </c>
      <c r="D30" s="21">
        <f>+VLOOKUP($A30,DATA!$J$2:$Y$54,8)</f>
        <v>0.50472410428806347</v>
      </c>
      <c r="E30" s="16">
        <f>+VLOOKUP($A30,DATA!$J$2:$Y$54,14)</f>
        <v>2.8371993005270855E-2</v>
      </c>
      <c r="F30" s="17">
        <f>+VLOOKUP($A30,DATA!$J$2:$Y$54,11)</f>
        <v>0.97202671240101413</v>
      </c>
      <c r="G30" s="18">
        <f>+(G29*(1-DATA!$C$7)/F30)</f>
        <v>106275.6789250328</v>
      </c>
      <c r="H30" s="20">
        <f>+_xlfn.XLOOKUP(A30+59,DATA!$E$4:$E$63,DATA!$G$4:$G$63)</f>
        <v>0.12226466000000001</v>
      </c>
      <c r="I30" s="22">
        <f>+_xlfn.XLOOKUP(A30+59,DATA!$E$4:$E$63,DATA!$H$4:$H$63)</f>
        <v>0.33599119307109643</v>
      </c>
      <c r="J30" s="2">
        <f>+(1-H30)*(1-DATA!$C$9)*Expanses!J29</f>
        <v>3.5486062564595642E-3</v>
      </c>
      <c r="K30" s="26">
        <f>+(G30/(1-DATA!$C$7)) *DATA!$C$8</f>
        <v>1521.3287371681588</v>
      </c>
      <c r="L30" s="26">
        <f>+L29*(1+DATA!$C$11 + 0.01)</f>
        <v>122.17089530635863</v>
      </c>
      <c r="M30" s="23">
        <f>+DATA!$C$9*(1-Expanses!H30) * (G30 - DATA!$C$12)</f>
        <v>13989.654670229173</v>
      </c>
      <c r="N30" s="23">
        <f>Expanses!H30 * (MAX($G$2,G30))</f>
        <v>12993.759750038302</v>
      </c>
      <c r="O30" s="23">
        <f t="shared" si="0"/>
        <v>68.723280719068882</v>
      </c>
    </row>
    <row r="31" spans="1:15" x14ac:dyDescent="0.35">
      <c r="A31" s="14">
        <f t="shared" si="1"/>
        <v>29</v>
      </c>
      <c r="B31" s="16">
        <f>+VLOOKUP($A31,DATA!$J$2:$Y$54,2)</f>
        <v>2.487E-2</v>
      </c>
      <c r="C31" s="16">
        <f>+VLOOKUP($A31,DATA!$J$2:$Y$54,5)</f>
        <v>2.4565775278567011E-2</v>
      </c>
      <c r="D31" s="21">
        <f>+VLOOKUP($A31,DATA!$J$2:$Y$54,8)</f>
        <v>0.4904619960109568</v>
      </c>
      <c r="E31" s="16">
        <f>+VLOOKUP($A31,DATA!$J$2:$Y$54,14)</f>
        <v>2.8664155937620766E-2</v>
      </c>
      <c r="F31" s="17">
        <f>+VLOOKUP($A31,DATA!$J$2:$Y$54,11)</f>
        <v>0.97174276370805779</v>
      </c>
      <c r="G31" s="18">
        <f>+(G30*(1-DATA!$C$7)/F31)</f>
        <v>106960.00821458982</v>
      </c>
      <c r="H31" s="20">
        <f>+_xlfn.XLOOKUP(A31+59,DATA!$E$4:$E$63,DATA!$G$4:$G$63)</f>
        <v>0.13987938999999999</v>
      </c>
      <c r="I31" s="22">
        <f>+_xlfn.XLOOKUP(A31+59,DATA!$E$4:$E$63,DATA!$H$4:$H$63)</f>
        <v>0.28899294993893926</v>
      </c>
      <c r="J31" s="2">
        <f>+(1-H31)*(1-DATA!$C$9)*Expanses!J30</f>
        <v>2.5943949712624445E-3</v>
      </c>
      <c r="K31" s="26">
        <f>+(G31/(1-DATA!$C$7)) *DATA!$C$8</f>
        <v>1531.1248619675434</v>
      </c>
      <c r="L31" s="26">
        <f>+L30*(1+DATA!$C$11 + 0.01)</f>
        <v>125.83602216554939</v>
      </c>
      <c r="M31" s="23">
        <f>+DATA!$C$9*(1-Expanses!H31) * (G31 - DATA!$C$12)</f>
        <v>13797.195764840702</v>
      </c>
      <c r="N31" s="23">
        <f>Expanses!H31 * (MAX($G$2,G31))</f>
        <v>14961.500703451813</v>
      </c>
      <c r="O31" s="23">
        <f t="shared" si="0"/>
        <v>52.937128771964801</v>
      </c>
    </row>
    <row r="32" spans="1:15" x14ac:dyDescent="0.35">
      <c r="A32" s="14">
        <f t="shared" si="1"/>
        <v>30</v>
      </c>
      <c r="B32" s="16">
        <f>+VLOOKUP($A32,DATA!$J$2:$Y$54,2)</f>
        <v>2.5020000000000001E-2</v>
      </c>
      <c r="C32" s="16">
        <f>+VLOOKUP($A32,DATA!$J$2:$Y$54,5)</f>
        <v>2.4712124595133091E-2</v>
      </c>
      <c r="D32" s="21">
        <f>+VLOOKUP($A32,DATA!$J$2:$Y$54,8)</f>
        <v>0.47646370067584193</v>
      </c>
      <c r="E32" s="16">
        <f>+VLOOKUP($A32,DATA!$J$2:$Y$54,14)</f>
        <v>2.8956254775549289E-2</v>
      </c>
      <c r="F32" s="17">
        <f>+VLOOKUP($A32,DATA!$J$2:$Y$54,11)</f>
        <v>0.97145896022736455</v>
      </c>
      <c r="G32" s="18">
        <f>+(G31*(1-DATA!$C$7)/F32)</f>
        <v>107680.19269634013</v>
      </c>
      <c r="H32" s="20">
        <f>+_xlfn.XLOOKUP(A32+59,DATA!$E$4:$E$63,DATA!$G$4:$G$63)</f>
        <v>0.16003311000000001</v>
      </c>
      <c r="I32" s="22">
        <f>+_xlfn.XLOOKUP(A32+59,DATA!$E$4:$E$63,DATA!$H$4:$H$63)</f>
        <v>0.24274450939213651</v>
      </c>
      <c r="J32" s="2">
        <f>+(1-H32)*(1-DATA!$C$9)*Expanses!J31</f>
        <v>1.8523249941265114E-3</v>
      </c>
      <c r="K32" s="26">
        <f>+(G32/(1-DATA!$C$7)) *DATA!$C$8</f>
        <v>1541.4342512768526</v>
      </c>
      <c r="L32" s="26">
        <f>+L31*(1+DATA!$C$11 + 0.01)</f>
        <v>129.61110283051588</v>
      </c>
      <c r="M32" s="23">
        <f>+DATA!$C$9*(1-Expanses!H32) * (G32 - DATA!$C$12)</f>
        <v>13564.64958539183</v>
      </c>
      <c r="N32" s="23">
        <f>Expanses!H32 * (MAX($G$2,G32))</f>
        <v>17232.396122594597</v>
      </c>
      <c r="O32" s="23">
        <f t="shared" si="0"/>
        <v>40.134944687346447</v>
      </c>
    </row>
    <row r="33" spans="1:15" x14ac:dyDescent="0.35">
      <c r="A33" s="14">
        <f t="shared" si="1"/>
        <v>31</v>
      </c>
      <c r="B33" s="16">
        <f>+VLOOKUP($A33,DATA!$J$2:$Y$54,2)</f>
        <v>2.5180000000000001E-2</v>
      </c>
      <c r="C33" s="16">
        <f>+VLOOKUP($A33,DATA!$J$2:$Y$54,5)</f>
        <v>2.4868206928880785E-2</v>
      </c>
      <c r="D33" s="21">
        <f>+VLOOKUP($A33,DATA!$J$2:$Y$54,8)</f>
        <v>0.46258987582736716</v>
      </c>
      <c r="E33" s="16">
        <f>+VLOOKUP($A33,DATA!$J$2:$Y$54,14)</f>
        <v>2.9550676941311613E-2</v>
      </c>
      <c r="F33" s="17">
        <f>+VLOOKUP($A33,DATA!$J$2:$Y$54,11)</f>
        <v>0.97088167508081857</v>
      </c>
      <c r="G33" s="18">
        <f>+(G32*(1-DATA!$C$7)/F33)</f>
        <v>108469.68395840234</v>
      </c>
      <c r="H33" s="20">
        <f>+_xlfn.XLOOKUP(A33+59,DATA!$E$4:$E$63,DATA!$G$4:$G$63)</f>
        <v>0.18075868</v>
      </c>
      <c r="I33" s="22">
        <f>+_xlfn.XLOOKUP(A33+59,DATA!$E$4:$E$63,DATA!$H$4:$H$63)</f>
        <v>0.1988663322971663</v>
      </c>
      <c r="J33" s="2">
        <f>+(1-H33)*(1-DATA!$C$9)*Expanses!J32</f>
        <v>1.289875997268616E-3</v>
      </c>
      <c r="K33" s="26">
        <f>+(G33/(1-DATA!$C$7)) *DATA!$C$8</f>
        <v>1552.7357621857186</v>
      </c>
      <c r="L33" s="26">
        <f>+L32*(1+DATA!$C$11 + 0.01)</f>
        <v>133.49943591543135</v>
      </c>
      <c r="M33" s="23">
        <f>+DATA!$C$9*(1-Expanses!H33) * (G33 - DATA!$C$12)</f>
        <v>13326.969335949652</v>
      </c>
      <c r="N33" s="23">
        <f>Expanses!H33 * (MAX($G$2,G33))</f>
        <v>19606.836892337982</v>
      </c>
      <c r="O33" s="23">
        <f t="shared" si="0"/>
        <v>29.664763732939175</v>
      </c>
    </row>
    <row r="34" spans="1:15" x14ac:dyDescent="0.35">
      <c r="A34" s="14">
        <f t="shared" si="1"/>
        <v>32</v>
      </c>
      <c r="B34" s="16">
        <f>+VLOOKUP($A34,DATA!$J$2:$Y$54,2)</f>
        <v>2.5340000000000001E-2</v>
      </c>
      <c r="C34" s="16">
        <f>+VLOOKUP($A34,DATA!$J$2:$Y$54,5)</f>
        <v>2.5024264904735357E-2</v>
      </c>
      <c r="D34" s="21">
        <f>+VLOOKUP($A34,DATA!$J$2:$Y$54,8)</f>
        <v>0.44898020595179028</v>
      </c>
      <c r="E34" s="16">
        <f>+VLOOKUP($A34,DATA!$J$2:$Y$54,14)</f>
        <v>2.98620621562272E-2</v>
      </c>
      <c r="F34" s="17">
        <f>+VLOOKUP($A34,DATA!$J$2:$Y$54,11)</f>
        <v>0.9705794039455895</v>
      </c>
      <c r="G34" s="18">
        <f>+(G33*(1-DATA!$C$7)/F34)</f>
        <v>109298.99241635308</v>
      </c>
      <c r="H34" s="20">
        <f>+_xlfn.XLOOKUP(A34+59,DATA!$E$4:$E$63,DATA!$G$4:$G$63)</f>
        <v>0.20019365</v>
      </c>
      <c r="I34" s="22">
        <f>+_xlfn.XLOOKUP(A34+59,DATA!$E$4:$E$63,DATA!$H$4:$H$63)</f>
        <v>0.1590545553724837</v>
      </c>
      <c r="J34" s="2">
        <f>+(1-H34)*(1-DATA!$C$9)*Expanses!J33</f>
        <v>8.7690336132881849E-4</v>
      </c>
      <c r="K34" s="26">
        <f>+(G34/(1-DATA!$C$7)) *DATA!$C$8</f>
        <v>1564.6072534038274</v>
      </c>
      <c r="L34" s="26">
        <f>+L33*(1+DATA!$C$11 + 0.01)</f>
        <v>137.5044189928943</v>
      </c>
      <c r="M34" s="23">
        <f>+DATA!$C$9*(1-Expanses!H34) * (G34 - DATA!$C$12)</f>
        <v>13110.304808430155</v>
      </c>
      <c r="N34" s="23">
        <f>Expanses!H34 * (MAX($G$2,G34))</f>
        <v>21880.964233152044</v>
      </c>
      <c r="O34" s="23">
        <f t="shared" si="0"/>
        <v>21.250193207137734</v>
      </c>
    </row>
    <row r="35" spans="1:15" x14ac:dyDescent="0.35">
      <c r="A35" s="14">
        <f t="shared" si="1"/>
        <v>33</v>
      </c>
      <c r="B35" s="16">
        <f>+VLOOKUP($A35,DATA!$J$2:$Y$54,2)</f>
        <v>2.5499999999999998E-2</v>
      </c>
      <c r="C35" s="16">
        <f>+VLOOKUP($A35,DATA!$J$2:$Y$54,5)</f>
        <v>2.5180298530298326E-2</v>
      </c>
      <c r="D35" s="21">
        <f>+VLOOKUP($A35,DATA!$J$2:$Y$54,8)</f>
        <v>0.43563530089638075</v>
      </c>
      <c r="E35" s="16">
        <f>+VLOOKUP($A35,DATA!$J$2:$Y$54,14)</f>
        <v>3.0173374548313252E-2</v>
      </c>
      <c r="F35" s="17">
        <f>+VLOOKUP($A35,DATA!$J$2:$Y$54,11)</f>
        <v>0.97027729757680581</v>
      </c>
      <c r="G35" s="18">
        <f>+(G34*(1-DATA!$C$7)/F35)</f>
        <v>110168.93299488098</v>
      </c>
      <c r="H35" s="20">
        <f>+_xlfn.XLOOKUP(A35+59,DATA!$E$4:$E$63,DATA!$G$4:$G$63)</f>
        <v>0.22469547000000001</v>
      </c>
      <c r="I35" s="22">
        <f>+_xlfn.XLOOKUP(A35+59,DATA!$E$4:$E$63,DATA!$H$4:$H$63)</f>
        <v>0.12331571729742245</v>
      </c>
      <c r="J35" s="2">
        <f>+(1-H35)*(1-DATA!$C$9)*Expanses!J34</f>
        <v>5.7788707614889081E-4</v>
      </c>
      <c r="K35" s="26">
        <f>+(G35/(1-DATA!$C$7)) *DATA!$C$8</f>
        <v>1577.0603905197688</v>
      </c>
      <c r="L35" s="26">
        <f>+L34*(1+DATA!$C$11 + 0.01)</f>
        <v>141.62955156268114</v>
      </c>
      <c r="M35" s="23">
        <f>+DATA!$C$9*(1-Expanses!H35) * (G35 - DATA!$C$12)</f>
        <v>12809.845008839653</v>
      </c>
      <c r="N35" s="23">
        <f>Expanses!H35 * (MAX($G$2,G35))</f>
        <v>24754.46017868329</v>
      </c>
      <c r="O35" s="23">
        <f t="shared" ref="O35:O52" si="2">+J34*D35*(K35+L35+M35+N35)</f>
        <v>15.006499313458315</v>
      </c>
    </row>
    <row r="36" spans="1:15" x14ac:dyDescent="0.35">
      <c r="A36" s="14">
        <f t="shared" si="1"/>
        <v>34</v>
      </c>
      <c r="B36" s="16">
        <f>+VLOOKUP($A36,DATA!$J$2:$Y$54,2)</f>
        <v>2.5659999999999999E-2</v>
      </c>
      <c r="C36" s="16">
        <f>+VLOOKUP($A36,DATA!$J$2:$Y$54,5)</f>
        <v>2.5336307813167001E-2</v>
      </c>
      <c r="D36" s="21">
        <f>+VLOOKUP($A36,DATA!$J$2:$Y$54,8)</f>
        <v>0.42255550600771608</v>
      </c>
      <c r="E36" s="16">
        <f>+VLOOKUP($A36,DATA!$J$2:$Y$54,14)</f>
        <v>3.0484614147833235E-2</v>
      </c>
      <c r="F36" s="17">
        <f>+VLOOKUP($A36,DATA!$J$2:$Y$54,11)</f>
        <v>0.96997535584983319</v>
      </c>
      <c r="G36" s="18">
        <f>+(G35*(1-DATA!$C$7)/F36)</f>
        <v>111080.36489709969</v>
      </c>
      <c r="H36" s="20">
        <f>+_xlfn.XLOOKUP(A36+59,DATA!$E$4:$E$63,DATA!$G$4:$G$63)</f>
        <v>0.24599945000000001</v>
      </c>
      <c r="I36" s="22">
        <f>+_xlfn.XLOOKUP(A36+59,DATA!$E$4:$E$63,DATA!$H$4:$H$63)</f>
        <v>9.2980118665901043E-2</v>
      </c>
      <c r="J36" s="2">
        <f>+(1-H36)*(1-DATA!$C$9)*Expanses!J35</f>
        <v>3.7036809726603219E-4</v>
      </c>
      <c r="K36" s="26">
        <f>+(G36/(1-DATA!$C$7)) *DATA!$C$8</f>
        <v>1590.1074729646173</v>
      </c>
      <c r="L36" s="26">
        <f>+L35*(1+DATA!$C$11 + 0.01)</f>
        <v>145.87843810956159</v>
      </c>
      <c r="M36" s="23">
        <f>+DATA!$C$9*(1-Expanses!H36) * (G36 - DATA!$C$12)</f>
        <v>12560.936432342078</v>
      </c>
      <c r="N36" s="23">
        <f>Expanses!H36 * (MAX($G$2,G36))</f>
        <v>27325.70867048583</v>
      </c>
      <c r="O36" s="23">
        <f t="shared" si="2"/>
        <v>10.16380387343434</v>
      </c>
    </row>
    <row r="37" spans="1:15" x14ac:dyDescent="0.35">
      <c r="A37" s="14">
        <f t="shared" si="1"/>
        <v>35</v>
      </c>
      <c r="B37" s="16">
        <f>+VLOOKUP($A37,DATA!$J$2:$Y$54,2)</f>
        <v>2.581E-2</v>
      </c>
      <c r="C37" s="16">
        <f>+VLOOKUP($A37,DATA!$J$2:$Y$54,5)</f>
        <v>2.548254441449891E-2</v>
      </c>
      <c r="D37" s="21">
        <f>+VLOOKUP($A37,DATA!$J$2:$Y$54,8)</f>
        <v>0.40988073390848667</v>
      </c>
      <c r="E37" s="16">
        <f>+VLOOKUP($A37,DATA!$J$2:$Y$54,14)</f>
        <v>3.0454588859783846E-2</v>
      </c>
      <c r="F37" s="17">
        <f>+VLOOKUP($A37,DATA!$J$2:$Y$54,11)</f>
        <v>0.97000448007652285</v>
      </c>
      <c r="G37" s="18">
        <f>+(G36*(1-DATA!$C$7)/F37)</f>
        <v>111995.97434930738</v>
      </c>
      <c r="H37" s="20">
        <f>+_xlfn.XLOOKUP(A37+59,DATA!$E$4:$E$63,DATA!$G$4:$G$63)</f>
        <v>0.27561788000000004</v>
      </c>
      <c r="I37" s="22">
        <f>+_xlfn.XLOOKUP(A37+59,DATA!$E$4:$E$63,DATA!$H$4:$H$63)</f>
        <v>6.7353135477056972E-2</v>
      </c>
      <c r="J37" s="2">
        <f>+(1-H37)*(1-DATA!$C$9)*Expanses!J36</f>
        <v>2.280448233562444E-4</v>
      </c>
      <c r="K37" s="26">
        <f>+(G37/(1-DATA!$C$7)) *DATA!$C$8</f>
        <v>1603.2143567385515</v>
      </c>
      <c r="L37" s="26">
        <f>+L36*(1+DATA!$C$11 + 0.01)</f>
        <v>150.25479125284843</v>
      </c>
      <c r="M37" s="23">
        <f>+DATA!$C$9*(1-Expanses!H37) * (G37 - DATA!$C$12)</f>
        <v>12167.009053232536</v>
      </c>
      <c r="N37" s="23">
        <f>Expanses!H37 * (MAX($G$2,G37))</f>
        <v>30868.093018690484</v>
      </c>
      <c r="O37" s="23">
        <f t="shared" si="2"/>
        <v>6.7992073231284031</v>
      </c>
    </row>
    <row r="38" spans="1:15" x14ac:dyDescent="0.35">
      <c r="A38" s="14">
        <f t="shared" si="1"/>
        <v>36</v>
      </c>
      <c r="B38" s="16">
        <f>+VLOOKUP($A38,DATA!$J$2:$Y$54,2)</f>
        <v>2.596E-2</v>
      </c>
      <c r="C38" s="16">
        <f>+VLOOKUP($A38,DATA!$J$2:$Y$54,5)</f>
        <v>2.5628759633814266E-2</v>
      </c>
      <c r="D38" s="21">
        <f>+VLOOKUP($A38,DATA!$J$2:$Y$54,8)</f>
        <v>0.39747018785099697</v>
      </c>
      <c r="E38" s="16">
        <f>+VLOOKUP($A38,DATA!$J$2:$Y$54,14)</f>
        <v>3.0746292309851757E-2</v>
      </c>
      <c r="F38" s="17">
        <f>+VLOOKUP($A38,DATA!$J$2:$Y$54,11)</f>
        <v>0.96972156768836915</v>
      </c>
      <c r="G38" s="18">
        <f>+(G37*(1-DATA!$C$7)/F38)</f>
        <v>112952.07466069472</v>
      </c>
      <c r="H38" s="20">
        <f>+_xlfn.XLOOKUP(A38+59,DATA!$E$4:$E$63,DATA!$G$4:$G$63)</f>
        <v>0.30556044000000004</v>
      </c>
      <c r="I38" s="22">
        <f>+_xlfn.XLOOKUP(A38+59,DATA!$E$4:$E$63,DATA!$H$4:$H$63)</f>
        <v>4.6772681765307828E-2</v>
      </c>
      <c r="J38" s="2">
        <f>+(1-H38)*(1-DATA!$C$9)*Expanses!J37</f>
        <v>1.3460884477301988E-4</v>
      </c>
      <c r="K38" s="26">
        <f>+(G38/(1-DATA!$C$7)) *DATA!$C$8</f>
        <v>1616.9008642635238</v>
      </c>
      <c r="L38" s="26">
        <f>+L37*(1+DATA!$C$11 + 0.01)</f>
        <v>154.76243499043389</v>
      </c>
      <c r="M38" s="23">
        <f>+DATA!$C$9*(1-Expanses!H38) * (G38 - DATA!$C$12)</f>
        <v>11763.675035588998</v>
      </c>
      <c r="N38" s="23">
        <f>Expanses!H38 * (MAX($G$2,G38))</f>
        <v>34513.685632234738</v>
      </c>
      <c r="O38" s="23">
        <f t="shared" si="2"/>
        <v>4.3552124836574402</v>
      </c>
    </row>
    <row r="39" spans="1:15" x14ac:dyDescent="0.35">
      <c r="A39" s="14">
        <f t="shared" si="1"/>
        <v>37</v>
      </c>
      <c r="B39" s="16">
        <f>+VLOOKUP($A39,DATA!$J$2:$Y$54,2)</f>
        <v>2.6110000000000001E-2</v>
      </c>
      <c r="C39" s="16">
        <f>+VLOOKUP($A39,DATA!$J$2:$Y$54,5)</f>
        <v>2.5774953477364682E-2</v>
      </c>
      <c r="D39" s="21">
        <f>+VLOOKUP($A39,DATA!$J$2:$Y$54,8)</f>
        <v>0.38532302185706202</v>
      </c>
      <c r="E39" s="16">
        <f>+VLOOKUP($A39,DATA!$J$2:$Y$54,14)</f>
        <v>3.1037931845179736E-2</v>
      </c>
      <c r="F39" s="17">
        <f>+VLOOKUP($A39,DATA!$J$2:$Y$54,11)</f>
        <v>0.96943879977612646</v>
      </c>
      <c r="G39" s="18">
        <f>+(G38*(1-DATA!$C$7)/F39)</f>
        <v>113949.56447345592</v>
      </c>
      <c r="H39" s="20">
        <f>+_xlfn.XLOOKUP(A39+59,DATA!$E$4:$E$63,DATA!$G$4:$G$63)</f>
        <v>0.33257691</v>
      </c>
      <c r="I39" s="22">
        <f>+_xlfn.XLOOKUP(A39+59,DATA!$E$4:$E$63,DATA!$H$4:$H$63)</f>
        <v>3.1217167791388403E-2</v>
      </c>
      <c r="J39" s="2">
        <f>+(1-H39)*(1-DATA!$C$9)*Expanses!J38</f>
        <v>7.6364893451778384E-5</v>
      </c>
      <c r="K39" s="26">
        <f>+(G39/(1-DATA!$C$7)) *DATA!$C$8</f>
        <v>1631.1798595382238</v>
      </c>
      <c r="L39" s="26">
        <f>+L38*(1+DATA!$C$11 + 0.01)</f>
        <v>159.40530804014691</v>
      </c>
      <c r="M39" s="23">
        <f>+DATA!$C$9*(1-Expanses!H39) * (G39 - DATA!$C$12)</f>
        <v>11405.883294484225</v>
      </c>
      <c r="N39" s="23">
        <f>Expanses!H39 * (MAX($G$2,G39))</f>
        <v>37896.994048427747</v>
      </c>
      <c r="O39" s="23">
        <f t="shared" si="2"/>
        <v>2.6501099315856189</v>
      </c>
    </row>
    <row r="40" spans="1:15" x14ac:dyDescent="0.35">
      <c r="A40" s="14">
        <f t="shared" si="1"/>
        <v>38</v>
      </c>
      <c r="B40" s="16">
        <f>+VLOOKUP($A40,DATA!$J$2:$Y$54,2)</f>
        <v>2.6259999999999999E-2</v>
      </c>
      <c r="C40" s="16">
        <f>+VLOOKUP($A40,DATA!$J$2:$Y$54,5)</f>
        <v>2.5921125951399046E-2</v>
      </c>
      <c r="D40" s="21">
        <f>+VLOOKUP($A40,DATA!$J$2:$Y$54,8)</f>
        <v>0.37343818647922677</v>
      </c>
      <c r="E40" s="16">
        <f>+VLOOKUP($A40,DATA!$J$2:$Y$54,14)</f>
        <v>3.1329507490670302E-2</v>
      </c>
      <c r="F40" s="17">
        <f>+VLOOKUP($A40,DATA!$J$2:$Y$54,11)</f>
        <v>0.96915617623739081</v>
      </c>
      <c r="G40" s="18">
        <f>+(G39*(1-DATA!$C$7)/F40)</f>
        <v>114989.38642448734</v>
      </c>
      <c r="H40" s="20">
        <f>+_xlfn.XLOOKUP(A40+59,DATA!$E$4:$E$63,DATA!$G$4:$G$63)</f>
        <v>0.35657767000000001</v>
      </c>
      <c r="I40" s="22">
        <f>+_xlfn.XLOOKUP(A40+59,DATA!$E$4:$E$63,DATA!$H$4:$H$63)</f>
        <v>2.0085822836336076E-2</v>
      </c>
      <c r="J40" s="2">
        <f>+(1-H40)*(1-DATA!$C$9)*Expanses!J39</f>
        <v>4.1764646023703237E-5</v>
      </c>
      <c r="K40" s="26">
        <f>+(G40/(1-DATA!$C$7)) *DATA!$C$8</f>
        <v>1646.0648363423545</v>
      </c>
      <c r="L40" s="26">
        <f>+L39*(1+DATA!$C$11 + 0.01)</f>
        <v>164.18746728135133</v>
      </c>
      <c r="M40" s="23">
        <f>+DATA!$C$9*(1-Expanses!H40) * (G40 - DATA!$C$12)</f>
        <v>11096.0805737871</v>
      </c>
      <c r="N40" s="23">
        <f>Expanses!H40 * (MAX($G$2,G40))</f>
        <v>41002.647485973328</v>
      </c>
      <c r="O40" s="23">
        <f t="shared" si="2"/>
        <v>1.5373529767360667</v>
      </c>
    </row>
    <row r="41" spans="1:15" x14ac:dyDescent="0.35">
      <c r="A41" s="14">
        <f t="shared" si="1"/>
        <v>39</v>
      </c>
      <c r="B41" s="16">
        <f>+VLOOKUP($A41,DATA!$J$2:$Y$54,2)</f>
        <v>2.64E-2</v>
      </c>
      <c r="C41" s="16">
        <f>+VLOOKUP($A41,DATA!$J$2:$Y$54,5)</f>
        <v>2.6057534319289598E-2</v>
      </c>
      <c r="D41" s="21">
        <f>+VLOOKUP($A41,DATA!$J$2:$Y$54,8)</f>
        <v>0.36195193998144004</v>
      </c>
      <c r="E41" s="16">
        <f>+VLOOKUP($A41,DATA!$J$2:$Y$54,14)</f>
        <v>3.1241052299130538E-2</v>
      </c>
      <c r="F41" s="17">
        <f>+VLOOKUP($A41,DATA!$J$2:$Y$54,11)</f>
        <v>0.96924190692419809</v>
      </c>
      <c r="G41" s="18">
        <f>+(G40*(1-DATA!$C$7)/F41)</f>
        <v>116028.43327320533</v>
      </c>
      <c r="H41" s="20">
        <f>+_xlfn.XLOOKUP(A41+59,DATA!$E$4:$E$63,DATA!$G$4:$G$63)</f>
        <v>0.37908291000000005</v>
      </c>
      <c r="I41" s="22">
        <f>+_xlfn.XLOOKUP(A41+59,DATA!$E$4:$E$63,DATA!$H$4:$H$63)</f>
        <v>1.2471630665793342E-2</v>
      </c>
      <c r="J41" s="2">
        <f>+(1-H41)*(1-DATA!$C$9)*Expanses!J40</f>
        <v>2.2042525102830199E-5</v>
      </c>
      <c r="K41" s="26">
        <f>+(G41/(1-DATA!$C$7)) *DATA!$C$8</f>
        <v>1660.9387176123464</v>
      </c>
      <c r="L41" s="26">
        <f>+L40*(1+DATA!$C$11 + 0.01)</f>
        <v>169.11309129979188</v>
      </c>
      <c r="M41" s="23">
        <f>+DATA!$C$9*(1-Expanses!H41) * (G41 - DATA!$C$12)</f>
        <v>10804.742820518673</v>
      </c>
      <c r="N41" s="23">
        <f>Expanses!H41 * (MAX($G$2,G41))</f>
        <v>43984.396127947504</v>
      </c>
      <c r="O41" s="23">
        <f t="shared" si="2"/>
        <v>0.85590067998041541</v>
      </c>
    </row>
    <row r="42" spans="1:15" x14ac:dyDescent="0.35">
      <c r="A42" s="14">
        <f t="shared" si="1"/>
        <v>40</v>
      </c>
      <c r="B42" s="16">
        <f>+VLOOKUP($A42,DATA!$J$2:$Y$54,2)</f>
        <v>2.6540000000000001E-2</v>
      </c>
      <c r="C42" s="16">
        <f>+VLOOKUP($A42,DATA!$J$2:$Y$54,5)</f>
        <v>2.6193924082475131E-2</v>
      </c>
      <c r="D42" s="21">
        <f>+VLOOKUP($A42,DATA!$J$2:$Y$54,8)</f>
        <v>0.35072355328981913</v>
      </c>
      <c r="E42" s="16">
        <f>+VLOOKUP($A42,DATA!$J$2:$Y$54,14)</f>
        <v>3.1513124846710809E-2</v>
      </c>
      <c r="F42" s="17">
        <f>+VLOOKUP($A42,DATA!$J$2:$Y$54,11)</f>
        <v>0.96897823867943167</v>
      </c>
      <c r="G42" s="18">
        <f>+(G41*(1-DATA!$C$7)/F42)</f>
        <v>117108.72670974002</v>
      </c>
      <c r="H42" s="20">
        <f>+_xlfn.XLOOKUP(A42+59,DATA!$E$4:$E$63,DATA!$G$4:$G$63)</f>
        <v>0.40251482</v>
      </c>
      <c r="I42" s="22">
        <f>+_xlfn.XLOOKUP(A42+59,DATA!$E$4:$E$63,DATA!$H$4:$H$63)</f>
        <v>7.4516144932450555E-3</v>
      </c>
      <c r="J42" s="2">
        <f>+(1-H42)*(1-DATA!$C$9)*Expanses!J41</f>
        <v>1.1194569766911169E-5</v>
      </c>
      <c r="K42" s="26">
        <f>+(G42/(1-DATA!$C$7)) *DATA!$C$8</f>
        <v>1676.4030408347244</v>
      </c>
      <c r="L42" s="26">
        <f>+L41*(1+DATA!$C$11 + 0.01)</f>
        <v>174.18648403878564</v>
      </c>
      <c r="M42" s="23">
        <f>+DATA!$C$9*(1-Expanses!H42) * (G42 - DATA!$C$12)</f>
        <v>10493.816843120974</v>
      </c>
      <c r="N42" s="23">
        <f>Expanses!H42 * (MAX($G$2,G42))</f>
        <v>47137.998052000192</v>
      </c>
      <c r="O42" s="23">
        <f t="shared" si="2"/>
        <v>0.45984851880314104</v>
      </c>
    </row>
    <row r="43" spans="1:15" x14ac:dyDescent="0.35">
      <c r="A43" s="14">
        <f t="shared" si="1"/>
        <v>41</v>
      </c>
      <c r="B43" s="16">
        <f>+VLOOKUP($A43,DATA!$J$2:$Y$54,2)</f>
        <v>2.6669999999999999E-2</v>
      </c>
      <c r="C43" s="16">
        <f>+VLOOKUP($A43,DATA!$J$2:$Y$54,5)</f>
        <v>2.6320555065349444E-2</v>
      </c>
      <c r="D43" s="21">
        <f>+VLOOKUP($A43,DATA!$J$2:$Y$54,8)</f>
        <v>0.33988676611542634</v>
      </c>
      <c r="E43" s="16">
        <f>+VLOOKUP($A43,DATA!$J$2:$Y$54,14)</f>
        <v>3.1385794380322039E-2</v>
      </c>
      <c r="F43" s="17">
        <f>+VLOOKUP($A43,DATA!$J$2:$Y$54,11)</f>
        <v>0.96910162698586189</v>
      </c>
      <c r="G43" s="18">
        <f>+(G42*(1-DATA!$C$7)/F43)</f>
        <v>118184.0289323925</v>
      </c>
      <c r="H43" s="20">
        <f>+_xlfn.XLOOKUP(A43+59,DATA!$E$4:$E$63,DATA!$G$4:$G$63)</f>
        <v>0.43419751000000001</v>
      </c>
      <c r="I43" s="22">
        <f>+_xlfn.XLOOKUP(A43+59,DATA!$E$4:$E$63,DATA!$H$4:$H$63)</f>
        <v>4.2161420347981409E-3</v>
      </c>
      <c r="J43" s="2">
        <f>+(1-H43)*(1-DATA!$C$9)*Expanses!J42</f>
        <v>5.3838281313074997E-6</v>
      </c>
      <c r="K43" s="26">
        <f>+(G43/(1-DATA!$C$7)) *DATA!$C$8</f>
        <v>1691.7959151876225</v>
      </c>
      <c r="L43" s="26">
        <f>+L42*(1+DATA!$C$11 + 0.01)</f>
        <v>179.41207855994921</v>
      </c>
      <c r="M43" s="23">
        <f>+DATA!$C$9*(1-Expanses!H43) * (G43 - DATA!$C$12)</f>
        <v>10028.625269756958</v>
      </c>
      <c r="N43" s="23">
        <f>Expanses!H43 * (MAX($G$2,G43))</f>
        <v>51315.21108421278</v>
      </c>
      <c r="O43" s="23">
        <f t="shared" si="2"/>
        <v>0.24052604456910603</v>
      </c>
    </row>
    <row r="44" spans="1:15" x14ac:dyDescent="0.35">
      <c r="A44" s="14">
        <f t="shared" si="1"/>
        <v>42</v>
      </c>
      <c r="B44" s="16">
        <f>+VLOOKUP($A44,DATA!$J$2:$Y$54,2)</f>
        <v>2.6800000000000001E-2</v>
      </c>
      <c r="C44" s="16">
        <f>+VLOOKUP($A44,DATA!$J$2:$Y$54,5)</f>
        <v>2.6447170014848229E-2</v>
      </c>
      <c r="D44" s="21">
        <f>+VLOOKUP($A44,DATA!$J$2:$Y$54,8)</f>
        <v>0.32930162970189297</v>
      </c>
      <c r="E44" s="16">
        <f>+VLOOKUP($A44,DATA!$J$2:$Y$54,14)</f>
        <v>3.1638382944298472E-2</v>
      </c>
      <c r="F44" s="17">
        <f>+VLOOKUP($A44,DATA!$J$2:$Y$54,11)</f>
        <v>0.9688568739097696</v>
      </c>
      <c r="G44" s="18">
        <f>+(G43*(1-DATA!$C$7)/F44)</f>
        <v>119299.33451310196</v>
      </c>
      <c r="H44" s="20">
        <f>+_xlfn.XLOOKUP(A44+59,DATA!$E$4:$E$63,DATA!$G$4:$G$63)</f>
        <v>0.47489508999999996</v>
      </c>
      <c r="I44" s="22">
        <f>+_xlfn.XLOOKUP(A44+59,DATA!$E$4:$E$63,DATA!$H$4:$H$63)</f>
        <v>2.2139168837298946E-3</v>
      </c>
      <c r="J44" s="2">
        <f>+(1-H44)*(1-DATA!$C$9)*Expanses!J43</f>
        <v>2.4030133983938392E-6</v>
      </c>
      <c r="K44" s="26">
        <f>+(G44/(1-DATA!$C$7)) *DATA!$C$8</f>
        <v>1707.7614347478809</v>
      </c>
      <c r="L44" s="26">
        <f>+L43*(1+DATA!$C$11 + 0.01)</f>
        <v>184.79444091674767</v>
      </c>
      <c r="M44" s="23">
        <f>+DATA!$C$9*(1-Expanses!H44) * (G44 - DATA!$C$12)</f>
        <v>9395.1246321543458</v>
      </c>
      <c r="N44" s="23">
        <f>Expanses!H44 * (MAX($G$2,G44))</f>
        <v>56654.668200539658</v>
      </c>
      <c r="O44" s="23">
        <f t="shared" si="2"/>
        <v>0.12045521951218478</v>
      </c>
    </row>
    <row r="45" spans="1:15" x14ac:dyDescent="0.35">
      <c r="A45" s="14">
        <f t="shared" si="1"/>
        <v>43</v>
      </c>
      <c r="B45" s="16">
        <f>+VLOOKUP($A45,DATA!$J$2:$Y$54,2)</f>
        <v>2.6929999999999999E-2</v>
      </c>
      <c r="C45" s="16">
        <f>+VLOOKUP($A45,DATA!$J$2:$Y$54,5)</f>
        <v>2.6573768935031109E-2</v>
      </c>
      <c r="D45" s="21">
        <f>+VLOOKUP($A45,DATA!$J$2:$Y$54,8)</f>
        <v>0.31896558558159949</v>
      </c>
      <c r="E45" s="16">
        <f>+VLOOKUP($A45,DATA!$J$2:$Y$54,14)</f>
        <v>3.1890923582712095E-2</v>
      </c>
      <c r="F45" s="17">
        <f>+VLOOKUP($A45,DATA!$J$2:$Y$54,11)</f>
        <v>0.96861222906898337</v>
      </c>
      <c r="G45" s="18">
        <f>+(G44*(1-DATA!$C$7)/F45)</f>
        <v>120455.58134854426</v>
      </c>
      <c r="H45" s="20">
        <f>+_xlfn.XLOOKUP(A45+59,DATA!$E$4:$E$63,DATA!$G$4:$G$63)</f>
        <v>0.50954043000000004</v>
      </c>
      <c r="I45" s="22">
        <f>+_xlfn.XLOOKUP(A45+59,DATA!$E$4:$E$63,DATA!$H$4:$H$63)</f>
        <v>1.0858367228099039E-3</v>
      </c>
      <c r="J45" s="2">
        <f>+(1-H45)*(1-DATA!$C$9)*Expanses!J44</f>
        <v>1.0017937803684089E-6</v>
      </c>
      <c r="K45" s="26">
        <f>+(G45/(1-DATA!$C$7)) *DATA!$C$8</f>
        <v>1724.313025439284</v>
      </c>
      <c r="L45" s="26">
        <f>+L44*(1+DATA!$C$11 + 0.01)</f>
        <v>190.33827414425011</v>
      </c>
      <c r="M45" s="23">
        <f>+DATA!$C$9*(1-Expanses!H45) * (G45 - DATA!$C$12)</f>
        <v>8860.3175161360541</v>
      </c>
      <c r="N45" s="23">
        <f>Expanses!H45 * (MAX($G$2,G45))</f>
        <v>61376.988716237232</v>
      </c>
      <c r="O45" s="23">
        <f t="shared" si="2"/>
        <v>5.5302929648769844E-2</v>
      </c>
    </row>
    <row r="46" spans="1:15" x14ac:dyDescent="0.35">
      <c r="A46" s="14">
        <f t="shared" si="1"/>
        <v>44</v>
      </c>
      <c r="B46" s="16">
        <f>+VLOOKUP($A46,DATA!$J$2:$Y$54,2)</f>
        <v>2.7050000000000001E-2</v>
      </c>
      <c r="C46" s="16">
        <f>+VLOOKUP($A46,DATA!$J$2:$Y$54,5)</f>
        <v>2.6690615253044576E-2</v>
      </c>
      <c r="D46" s="21">
        <f>+VLOOKUP($A46,DATA!$J$2:$Y$54,8)</f>
        <v>0.30900832177573911</v>
      </c>
      <c r="E46" s="16">
        <f>+VLOOKUP($A46,DATA!$J$2:$Y$54,14)</f>
        <v>3.1715006927623565E-2</v>
      </c>
      <c r="F46" s="17">
        <f>+VLOOKUP($A46,DATA!$J$2:$Y$54,11)</f>
        <v>0.9687826390809392</v>
      </c>
      <c r="G46" s="18">
        <f>+(G45*(1-DATA!$C$7)/F46)</f>
        <v>121601.64087027364</v>
      </c>
      <c r="H46" s="20">
        <f>+_xlfn.XLOOKUP(A46+59,DATA!$E$4:$E$63,DATA!$G$4:$G$63)</f>
        <v>0.54443039999999998</v>
      </c>
      <c r="I46" s="22">
        <f>+_xlfn.XLOOKUP(A46+59,DATA!$E$4:$E$63,DATA!$H$4:$H$63)</f>
        <v>4.9467420147581884E-4</v>
      </c>
      <c r="J46" s="2">
        <f>+(1-H46)*(1-DATA!$C$9)*Expanses!J45</f>
        <v>3.879287730341853E-7</v>
      </c>
      <c r="K46" s="26">
        <f>+(G46/(1-DATA!$C$7)) *DATA!$C$8</f>
        <v>1740.7187854640399</v>
      </c>
      <c r="L46" s="26">
        <f>+L45*(1+DATA!$C$11 + 0.01)</f>
        <v>196.0484223685776</v>
      </c>
      <c r="M46" s="23">
        <f>+DATA!$C$9*(1-Expanses!H46) * (G46 - DATA!$C$12)</f>
        <v>8308.3349247921324</v>
      </c>
      <c r="N46" s="23">
        <f>Expanses!H46 * (MAX($G$2,G46))</f>
        <v>66203.629979659425</v>
      </c>
      <c r="O46" s="23">
        <f t="shared" si="2"/>
        <v>2.3665669413653199E-2</v>
      </c>
    </row>
    <row r="47" spans="1:15" x14ac:dyDescent="0.35">
      <c r="A47" s="14">
        <f t="shared" si="1"/>
        <v>45</v>
      </c>
      <c r="B47" s="16">
        <f>+VLOOKUP($A47,DATA!$J$2:$Y$54,2)</f>
        <v>2.717E-2</v>
      </c>
      <c r="C47" s="16">
        <f>+VLOOKUP($A47,DATA!$J$2:$Y$54,5)</f>
        <v>2.6807447919590902E-2</v>
      </c>
      <c r="D47" s="21">
        <f>+VLOOKUP($A47,DATA!$J$2:$Y$54,8)</f>
        <v>0.29929213083059825</v>
      </c>
      <c r="E47" s="16">
        <f>+VLOOKUP($A47,DATA!$J$2:$Y$54,14)</f>
        <v>3.1948085247629182E-2</v>
      </c>
      <c r="F47" s="17">
        <f>+VLOOKUP($A47,DATA!$J$2:$Y$54,11)</f>
        <v>0.96855686316372946</v>
      </c>
      <c r="G47" s="18">
        <f>+(G46*(1-DATA!$C$7)/F47)</f>
        <v>122787.22013559645</v>
      </c>
      <c r="H47" s="20">
        <f>+_xlfn.XLOOKUP(A47+59,DATA!$E$4:$E$63,DATA!$G$4:$G$63)</f>
        <v>0.57924222000000003</v>
      </c>
      <c r="I47" s="22">
        <f>+_xlfn.XLOOKUP(A47+59,DATA!$E$4:$E$63,DATA!$H$4:$H$63)</f>
        <v>2.0813801883623825E-4</v>
      </c>
      <c r="J47" s="2">
        <f>+(1-H47)*(1-DATA!$C$9)*Expanses!J46</f>
        <v>1.3874044193898951E-7</v>
      </c>
      <c r="K47" s="26">
        <f>+(G47/(1-DATA!$C$7)) *DATA!$C$8</f>
        <v>1757.6902677897244</v>
      </c>
      <c r="L47" s="26">
        <f>+L46*(1+DATA!$C$11 + 0.01)</f>
        <v>201.92987503963494</v>
      </c>
      <c r="M47" s="23">
        <f>+DATA!$C$9*(1-Expanses!H47) * (G47 - DATA!$C$12)</f>
        <v>7748.2894501537294</v>
      </c>
      <c r="N47" s="23">
        <f>Expanses!H47 * (MAX($G$2,G47))</f>
        <v>71123.541978971596</v>
      </c>
      <c r="O47" s="23">
        <f t="shared" si="2"/>
        <v>9.3848572048508012E-3</v>
      </c>
    </row>
    <row r="48" spans="1:15" x14ac:dyDescent="0.35">
      <c r="A48" s="14">
        <f t="shared" si="1"/>
        <v>46</v>
      </c>
      <c r="B48" s="16">
        <f>+VLOOKUP($A48,DATA!$J$2:$Y$54,2)</f>
        <v>2.7279999999999999E-2</v>
      </c>
      <c r="C48" s="16">
        <f>+VLOOKUP($A48,DATA!$J$2:$Y$54,5)</f>
        <v>2.6914532540881435E-2</v>
      </c>
      <c r="D48" s="21">
        <f>+VLOOKUP($A48,DATA!$J$2:$Y$54,8)</f>
        <v>0.28994370460990576</v>
      </c>
      <c r="E48" s="16">
        <f>+VLOOKUP($A48,DATA!$J$2:$Y$54,14)</f>
        <v>3.1733340498955577E-2</v>
      </c>
      <c r="F48" s="17">
        <f>+VLOOKUP($A48,DATA!$J$2:$Y$54,11)</f>
        <v>0.96876487799813293</v>
      </c>
      <c r="G48" s="18">
        <f>+(G47*(1-DATA!$C$7)/F48)</f>
        <v>123957.7363093099</v>
      </c>
      <c r="H48" s="20">
        <f>+_xlfn.XLOOKUP(A48+59,DATA!$E$4:$E$63,DATA!$G$4:$G$63)</f>
        <v>0.61364118000000001</v>
      </c>
      <c r="I48" s="22">
        <f>+_xlfn.XLOOKUP(A48+59,DATA!$E$4:$E$63,DATA!$H$4:$H$63)</f>
        <v>8.0415959354706781E-5</v>
      </c>
      <c r="J48" s="2">
        <f>+(1-H48)*(1-DATA!$C$9)*Expanses!J47</f>
        <v>4.5563054418752522E-8</v>
      </c>
      <c r="K48" s="26">
        <f>+(G48/(1-DATA!$C$7)) *DATA!$C$8</f>
        <v>1774.446123037156</v>
      </c>
      <c r="L48" s="26">
        <f>+L47*(1+DATA!$C$11 + 0.01)</f>
        <v>207.98777129082399</v>
      </c>
      <c r="M48" s="23">
        <f>+DATA!$C$9*(1-Expanses!H48) * (G48 - DATA!$C$12)</f>
        <v>7182.6656330904179</v>
      </c>
      <c r="N48" s="23">
        <f>Expanses!H48 * (MAX($G$2,G48))</f>
        <v>76065.571578973773</v>
      </c>
      <c r="O48" s="23">
        <f t="shared" si="2"/>
        <v>3.4285671933915905E-3</v>
      </c>
    </row>
    <row r="49" spans="1:15" x14ac:dyDescent="0.35">
      <c r="A49" s="14">
        <f t="shared" si="1"/>
        <v>47</v>
      </c>
      <c r="B49" s="16">
        <f>+VLOOKUP($A49,DATA!$J$2:$Y$54,2)</f>
        <v>2.7390000000000001E-2</v>
      </c>
      <c r="C49" s="16">
        <f>+VLOOKUP($A49,DATA!$J$2:$Y$54,5)</f>
        <v>2.7021605696283663E-2</v>
      </c>
      <c r="D49" s="21">
        <f>+VLOOKUP($A49,DATA!$J$2:$Y$54,8)</f>
        <v>0.28082727798558388</v>
      </c>
      <c r="E49" s="16">
        <f>+VLOOKUP($A49,DATA!$J$2:$Y$54,14)</f>
        <v>3.1946970844786197E-2</v>
      </c>
      <c r="F49" s="17">
        <f>+VLOOKUP($A49,DATA!$J$2:$Y$54,11)</f>
        <v>0.96855794252685279</v>
      </c>
      <c r="G49" s="18">
        <f>+(G48*(1-DATA!$C$7)/F49)</f>
        <v>125166.14730785093</v>
      </c>
      <c r="H49" s="20">
        <f>+_xlfn.XLOOKUP(A49+59,DATA!$E$4:$E$63,DATA!$G$4:$G$63)</f>
        <v>0.64730123000000006</v>
      </c>
      <c r="I49" s="22">
        <f>+_xlfn.XLOOKUP(A49+59,DATA!$E$4:$E$63,DATA!$H$4:$H$63)</f>
        <v>2.836260995277507E-5</v>
      </c>
      <c r="J49" s="2">
        <f>+(1-H49)*(1-DATA!$C$9)*Expanses!J48</f>
        <v>1.3659528263296515E-8</v>
      </c>
      <c r="K49" s="26">
        <f>+(G49/(1-DATA!$C$7)) *DATA!$C$8</f>
        <v>1791.7444399896863</v>
      </c>
      <c r="L49" s="26">
        <f>+L48*(1+DATA!$C$11 + 0.01)</f>
        <v>214.2274044295487</v>
      </c>
      <c r="M49" s="23">
        <f>+DATA!$C$9*(1-Expanses!H49) * (G49 - DATA!$C$12)</f>
        <v>6620.8338338576732</v>
      </c>
      <c r="N49" s="23">
        <f>Expanses!H49 * (MAX($G$2,G49))</f>
        <v>81020.201106733104</v>
      </c>
      <c r="O49" s="23">
        <f t="shared" si="2"/>
        <v>1.1470646982001832E-3</v>
      </c>
    </row>
    <row r="50" spans="1:15" x14ac:dyDescent="0.35">
      <c r="A50" s="14">
        <f t="shared" si="1"/>
        <v>48</v>
      </c>
      <c r="B50" s="16">
        <f>+VLOOKUP($A50,DATA!$J$2:$Y$54,2)</f>
        <v>2.75E-2</v>
      </c>
      <c r="C50" s="16">
        <f>+VLOOKUP($A50,DATA!$J$2:$Y$54,5)</f>
        <v>2.7128667388252696E-2</v>
      </c>
      <c r="D50" s="21">
        <f>+VLOOKUP($A50,DATA!$J$2:$Y$54,8)</f>
        <v>0.27193939918144983</v>
      </c>
      <c r="E50" s="16">
        <f>+VLOOKUP($A50,DATA!$J$2:$Y$54,14)</f>
        <v>3.2160566910797161E-2</v>
      </c>
      <c r="F50" s="17">
        <f>+VLOOKUP($A50,DATA!$J$2:$Y$54,11)</f>
        <v>0.9683510844534472</v>
      </c>
      <c r="G50" s="18">
        <f>+(G49*(1-DATA!$C$7)/F50)</f>
        <v>126413.33709681315</v>
      </c>
      <c r="H50" s="20">
        <f>+_xlfn.XLOOKUP(A50+59,DATA!$E$4:$E$63,DATA!$G$4:$G$63)</f>
        <v>0.67990812</v>
      </c>
      <c r="I50" s="22">
        <f>+_xlfn.XLOOKUP(A50+59,DATA!$E$4:$E$63,DATA!$H$4:$H$63)</f>
        <v>9.0786411414904827E-6</v>
      </c>
      <c r="J50" s="2">
        <f>+(1-H50)*(1-DATA!$C$9)*Expanses!J49</f>
        <v>3.7164584694549589E-9</v>
      </c>
      <c r="K50" s="26">
        <f>+(G50/(1-DATA!$C$7)) *DATA!$C$8</f>
        <v>1809.5978725515176</v>
      </c>
      <c r="L50" s="26">
        <f>+L49*(1+DATA!$C$11 + 0.01)</f>
        <v>220.65422656243516</v>
      </c>
      <c r="M50" s="23">
        <f>+DATA!$C$9*(1-Expanses!H50) * (G50 - DATA!$C$12)</f>
        <v>6068.6221336188992</v>
      </c>
      <c r="N50" s="23">
        <f>Expanses!H50 * (MAX($G$2,G50))</f>
        <v>85949.454368420484</v>
      </c>
      <c r="O50" s="23">
        <f t="shared" si="2"/>
        <v>3.4934852712576912E-4</v>
      </c>
    </row>
    <row r="51" spans="1:15" x14ac:dyDescent="0.35">
      <c r="A51" s="14">
        <f t="shared" si="1"/>
        <v>49</v>
      </c>
      <c r="B51" s="16">
        <f>+VLOOKUP($A51,DATA!$J$2:$Y$54,2)</f>
        <v>2.76E-2</v>
      </c>
      <c r="C51" s="16">
        <f>+VLOOKUP($A51,DATA!$J$2:$Y$54,5)</f>
        <v>2.7225986253591527E-2</v>
      </c>
      <c r="D51" s="21">
        <f>+VLOOKUP($A51,DATA!$J$2:$Y$54,8)</f>
        <v>0.26340215020802865</v>
      </c>
      <c r="E51" s="16">
        <f>+VLOOKUP($A51,DATA!$J$2:$Y$54,14)</f>
        <v>3.1897291789855411E-2</v>
      </c>
      <c r="F51" s="17">
        <f>+VLOOKUP($A51,DATA!$J$2:$Y$54,11)</f>
        <v>0.96860606076530764</v>
      </c>
      <c r="G51" s="18">
        <f>+(G50*(1-DATA!$C$7)/F51)</f>
        <v>127639.34553847401</v>
      </c>
      <c r="H51" s="20">
        <f>+_xlfn.XLOOKUP(A51+59,DATA!$E$4:$E$63,DATA!$G$4:$G$63)</f>
        <v>0.71117909999999995</v>
      </c>
      <c r="I51" s="22">
        <f>+_xlfn.XLOOKUP(A51+59,DATA!$E$4:$E$63,DATA!$H$4:$H$63)</f>
        <v>2.622101305262309E-6</v>
      </c>
      <c r="J51" s="2">
        <f>+(1-H51)*(1-DATA!$C$9)*Expanses!J50</f>
        <v>9.1238224796651336E-10</v>
      </c>
      <c r="K51" s="26">
        <f>+(G51/(1-DATA!$C$7)) *DATA!$C$8</f>
        <v>1827.1480956427774</v>
      </c>
      <c r="L51" s="26">
        <f>+L50*(1+DATA!$C$11 + 0.01)</f>
        <v>227.27385335930822</v>
      </c>
      <c r="M51" s="23">
        <f>+DATA!$C$9*(1-Expanses!H51) * (G51 - DATA!$C$12)</f>
        <v>5528.8701353749575</v>
      </c>
      <c r="N51" s="23">
        <f>Expanses!H51 * (MAX($G$2,G51))</f>
        <v>90774.434884640956</v>
      </c>
      <c r="O51" s="23">
        <f t="shared" si="2"/>
        <v>9.6284656109372251E-5</v>
      </c>
    </row>
    <row r="52" spans="1:15" x14ac:dyDescent="0.35">
      <c r="A52" s="14">
        <f t="shared" si="1"/>
        <v>50</v>
      </c>
      <c r="B52" s="16">
        <f>+VLOOKUP($A52,DATA!$J$2:$Y$54,2)</f>
        <v>2.7709999999999999E-2</v>
      </c>
      <c r="C52" s="16">
        <f>+VLOOKUP($A52,DATA!$J$2:$Y$54,5)</f>
        <v>2.7333026067638905E-2</v>
      </c>
      <c r="D52" s="21">
        <f>+VLOOKUP($A52,DATA!$J$2:$Y$54,8)</f>
        <v>0.2549593130089392</v>
      </c>
      <c r="E52" s="16">
        <f>+VLOOKUP($A52,DATA!$J$2:$Y$54,14)</f>
        <v>3.2577976955960347E-2</v>
      </c>
      <c r="F52" s="17">
        <f>+VLOOKUP($A52,DATA!$J$2:$Y$54,11)</f>
        <v>0.96794696933027502</v>
      </c>
      <c r="G52" s="18">
        <f>+(G51*(1-DATA!$C$7)/F52)</f>
        <v>128964.99900505773</v>
      </c>
      <c r="H52" s="20">
        <f>+_xlfn.XLOOKUP(A52+59,DATA!$E$4:$E$63,DATA!$G$4:$G$63)</f>
        <v>0.74086099999999999</v>
      </c>
      <c r="I52" s="22">
        <f>+_xlfn.XLOOKUP(A52+59,DATA!$E$4:$E$63,DATA!$H$4:$H$63)</f>
        <v>6.794887101443695E-7</v>
      </c>
      <c r="J52" s="2">
        <f>+(1-H52)*(1-DATA!$C$9)*Expanses!J51</f>
        <v>2.0096874985242516E-10</v>
      </c>
      <c r="K52" s="26">
        <f>+(G52/(1-DATA!$C$7)) *DATA!$C$8</f>
        <v>1846.1247301337507</v>
      </c>
      <c r="L52" s="26">
        <f>+L51*(1+DATA!$C$11 + 0.01)</f>
        <v>234.09206896008746</v>
      </c>
      <c r="M52" s="23">
        <f>+(1-Expanses!H52) * (G52 )</f>
        <v>33419.860877171654</v>
      </c>
      <c r="N52" s="23">
        <f>Expanses!H52 * (MAX($G$2,G52))</f>
        <v>95545.138127886079</v>
      </c>
      <c r="O52" s="23">
        <f t="shared" si="2"/>
        <v>3.0483784115984256E-5</v>
      </c>
    </row>
  </sheetData>
  <mergeCells count="2">
    <mergeCell ref="Q1:R1"/>
    <mergeCell ref="Q9:R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DATA</vt:lpstr>
      <vt:lpstr>BSCR</vt:lpstr>
      <vt:lpstr>RESULTS</vt:lpstr>
      <vt:lpstr>Rates_Basic</vt:lpstr>
      <vt:lpstr>Rates_Up</vt:lpstr>
      <vt:lpstr>Rates_Down</vt:lpstr>
      <vt:lpstr>Equity_Shock</vt:lpstr>
      <vt:lpstr>Property_Shock </vt:lpstr>
      <vt:lpstr>Mortality_Shock </vt:lpstr>
      <vt:lpstr>CAT</vt:lpstr>
      <vt:lpstr>Lapse_Up</vt:lpstr>
      <vt:lpstr>Lapse_Down</vt:lpstr>
      <vt:lpstr>Lapse_Mass</vt:lpstr>
      <vt:lpstr>Expanses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Toia</dc:creator>
  <cp:lastModifiedBy>Nicolò Toia</cp:lastModifiedBy>
  <dcterms:created xsi:type="dcterms:W3CDTF">2024-05-04T12:30:47Z</dcterms:created>
  <dcterms:modified xsi:type="dcterms:W3CDTF">2024-07-19T18:11:31Z</dcterms:modified>
</cp:coreProperties>
</file>