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lau6\Downloads\"/>
    </mc:Choice>
  </mc:AlternateContent>
  <xr:revisionPtr revIDLastSave="0" documentId="13_ncr:1_{B40F4B67-955D-477A-BFCF-AFFA8BBF29D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ipeta y balón" sheetId="1" r:id="rId1"/>
    <sheet name="Hoja2" sheetId="4" r:id="rId2"/>
    <sheet name="Corrección con factor" sheetId="2" r:id="rId3"/>
    <sheet name="Hoja1" sheetId="5" r:id="rId4"/>
  </sheets>
  <definedNames>
    <definedName name="_xlchart.v1.0" hidden="1">'Pipeta y balón'!$H$4:$H$13</definedName>
    <definedName name="_xlchart.v1.1" hidden="1">'Pipeta y balón'!$I$4:$I$13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" i="1" l="1"/>
  <c r="I36" i="1"/>
  <c r="I34" i="1"/>
  <c r="I35" i="1" s="1"/>
  <c r="I37" i="1" s="1"/>
  <c r="I33" i="1"/>
  <c r="N17" i="1"/>
  <c r="N15" i="1"/>
  <c r="N16" i="1" s="1"/>
  <c r="O17" i="1"/>
  <c r="O15" i="1"/>
  <c r="O16" i="1" s="1"/>
  <c r="O19" i="1" s="1"/>
  <c r="O14" i="1"/>
  <c r="P17" i="1"/>
  <c r="Q17" i="1"/>
  <c r="N14" i="1"/>
  <c r="F17" i="4"/>
  <c r="E17" i="4"/>
  <c r="F15" i="4"/>
  <c r="F16" i="4" s="1"/>
  <c r="F18" i="4" s="1"/>
  <c r="E15" i="4"/>
  <c r="E19" i="4" s="1"/>
  <c r="F14" i="4"/>
  <c r="E14" i="4"/>
  <c r="B19" i="4"/>
  <c r="B18" i="4"/>
  <c r="B17" i="4"/>
  <c r="B16" i="4"/>
  <c r="B15" i="4"/>
  <c r="C17" i="4"/>
  <c r="C15" i="4"/>
  <c r="C19" i="4" s="1"/>
  <c r="C14" i="4"/>
  <c r="B14" i="4"/>
  <c r="F4" i="1"/>
  <c r="F5" i="1"/>
  <c r="F6" i="1"/>
  <c r="F7" i="1"/>
  <c r="F8" i="1"/>
  <c r="F9" i="1"/>
  <c r="F10" i="1"/>
  <c r="F11" i="1"/>
  <c r="F12" i="1"/>
  <c r="F13" i="1"/>
  <c r="F17" i="1"/>
  <c r="G17" i="1"/>
  <c r="H17" i="1"/>
  <c r="I17" i="1"/>
  <c r="I38" i="1" l="1"/>
  <c r="O18" i="1"/>
  <c r="N19" i="1"/>
  <c r="N18" i="1"/>
  <c r="F15" i="1"/>
  <c r="F16" i="1" s="1"/>
  <c r="F19" i="4"/>
  <c r="E16" i="4"/>
  <c r="E18" i="4" s="1"/>
  <c r="C16" i="4"/>
  <c r="C18" i="4" s="1"/>
  <c r="F14" i="1"/>
  <c r="F18" i="1" l="1"/>
  <c r="E7" i="2" l="1"/>
  <c r="E5" i="2"/>
  <c r="E4" i="2"/>
  <c r="E3" i="2"/>
  <c r="M20" i="2"/>
  <c r="M8" i="2" s="1"/>
  <c r="E19" i="2"/>
  <c r="E18" i="2"/>
  <c r="E17" i="2"/>
  <c r="E16" i="2"/>
  <c r="E15" i="2"/>
  <c r="E13" i="2"/>
  <c r="E12" i="2"/>
  <c r="E11" i="2"/>
  <c r="E10" i="2"/>
  <c r="E9" i="2"/>
  <c r="E6" i="2"/>
  <c r="G13" i="1"/>
  <c r="G12" i="1"/>
  <c r="G11" i="1"/>
  <c r="G10" i="1"/>
  <c r="G9" i="1"/>
  <c r="G8" i="1"/>
  <c r="G7" i="1"/>
  <c r="G6" i="1"/>
  <c r="G5" i="1"/>
  <c r="G4" i="1"/>
  <c r="P6" i="1" l="1"/>
  <c r="P4" i="1"/>
  <c r="G15" i="1"/>
  <c r="G16" i="1" s="1"/>
  <c r="G14" i="1"/>
  <c r="P11" i="1"/>
  <c r="P7" i="1"/>
  <c r="P13" i="1"/>
  <c r="P9" i="1"/>
  <c r="P5" i="1"/>
  <c r="P12" i="1"/>
  <c r="P8" i="1"/>
  <c r="P10" i="1"/>
  <c r="M6" i="2"/>
  <c r="M7" i="2"/>
  <c r="P15" i="1" l="1"/>
  <c r="P16" i="1" s="1"/>
  <c r="P14" i="1"/>
  <c r="Q12" i="1"/>
  <c r="G18" i="1"/>
  <c r="G19" i="1"/>
  <c r="M10" i="2"/>
  <c r="M1" i="2" s="1"/>
  <c r="Q6" i="1" s="1"/>
  <c r="Q9" i="1" l="1"/>
  <c r="I8" i="1"/>
  <c r="K8" i="1" s="1"/>
  <c r="H12" i="1"/>
  <c r="J12" i="1" s="1"/>
  <c r="H10" i="1"/>
  <c r="J10" i="1" s="1"/>
  <c r="H8" i="1"/>
  <c r="J8" i="1" s="1"/>
  <c r="H6" i="1"/>
  <c r="J6" i="1" s="1"/>
  <c r="H4" i="1"/>
  <c r="H13" i="1"/>
  <c r="J13" i="1" s="1"/>
  <c r="H11" i="1"/>
  <c r="J11" i="1" s="1"/>
  <c r="H9" i="1"/>
  <c r="J9" i="1" s="1"/>
  <c r="H7" i="1"/>
  <c r="J7" i="1" s="1"/>
  <c r="H5" i="1"/>
  <c r="J5" i="1" s="1"/>
  <c r="F18" i="2"/>
  <c r="I5" i="1"/>
  <c r="K5" i="1" s="1"/>
  <c r="I13" i="1"/>
  <c r="K13" i="1" s="1"/>
  <c r="F6" i="2"/>
  <c r="I6" i="1"/>
  <c r="K6" i="1" s="1"/>
  <c r="F10" i="2"/>
  <c r="I7" i="1"/>
  <c r="K7" i="1" s="1"/>
  <c r="F11" i="2"/>
  <c r="F12" i="2"/>
  <c r="I12" i="1"/>
  <c r="K12" i="1" s="1"/>
  <c r="I10" i="1"/>
  <c r="K10" i="1" s="1"/>
  <c r="F3" i="2"/>
  <c r="F19" i="2"/>
  <c r="I9" i="1"/>
  <c r="K9" i="1" s="1"/>
  <c r="F16" i="2"/>
  <c r="F17" i="2"/>
  <c r="F13" i="2"/>
  <c r="F9" i="2"/>
  <c r="I4" i="1"/>
  <c r="F5" i="2"/>
  <c r="I11" i="1"/>
  <c r="K11" i="1" s="1"/>
  <c r="F7" i="2"/>
  <c r="F4" i="2"/>
  <c r="F15" i="2"/>
  <c r="Q4" i="1"/>
  <c r="Q10" i="1"/>
  <c r="Q7" i="1"/>
  <c r="Q13" i="1"/>
  <c r="Q11" i="1"/>
  <c r="Q8" i="1"/>
  <c r="Q5" i="1"/>
  <c r="P19" i="1"/>
  <c r="P18" i="1"/>
  <c r="Q14" i="1" l="1"/>
  <c r="Q15" i="1"/>
  <c r="Q16" i="1" s="1"/>
  <c r="Q19" i="1" s="1"/>
  <c r="J4" i="1"/>
  <c r="J14" i="1" s="1"/>
  <c r="H14" i="1"/>
  <c r="H15" i="1"/>
  <c r="H16" i="1" s="1"/>
  <c r="I15" i="1"/>
  <c r="I16" i="1" s="1"/>
  <c r="I14" i="1"/>
  <c r="K4" i="1"/>
  <c r="K14" i="1" s="1"/>
  <c r="Q18" i="1" l="1"/>
  <c r="H19" i="1"/>
  <c r="H18" i="1"/>
  <c r="I18" i="1"/>
  <c r="I19" i="1"/>
</calcChain>
</file>

<file path=xl/sharedStrings.xml><?xml version="1.0" encoding="utf-8"?>
<sst xmlns="http://schemas.openxmlformats.org/spreadsheetml/2006/main" count="93" uniqueCount="58">
  <si>
    <t>Pipeta</t>
  </si>
  <si>
    <t>Balón aforado</t>
  </si>
  <si>
    <t>Caida Libre</t>
  </si>
  <si>
    <t>Expulsión forzada</t>
  </si>
  <si>
    <t>Caida libre</t>
  </si>
  <si>
    <t>Exp. forzada</t>
  </si>
  <si>
    <t>No.</t>
  </si>
  <si>
    <t>No</t>
  </si>
  <si>
    <t>Bureta</t>
  </si>
  <si>
    <t>Recipiente con agua</t>
  </si>
  <si>
    <t>Volumen de agua (mL)</t>
  </si>
  <si>
    <t>Factor Z</t>
  </si>
  <si>
    <t>Como en Bogotá la presión atmosférica es &gt;800 hPa</t>
  </si>
  <si>
    <t>el factor Z solo depende de las mediciones de temperatura</t>
  </si>
  <si>
    <t>(t+a1)^2</t>
  </si>
  <si>
    <t>(t+a2)</t>
  </si>
  <si>
    <t>a3(t+a4)</t>
  </si>
  <si>
    <t>a5</t>
  </si>
  <si>
    <t>a1</t>
  </si>
  <si>
    <t>a2</t>
  </si>
  <si>
    <t>a3</t>
  </si>
  <si>
    <t>a4</t>
  </si>
  <si>
    <t>prom</t>
  </si>
  <si>
    <t>entre 1000</t>
  </si>
  <si>
    <t>Masa de agua (g)</t>
  </si>
  <si>
    <t>Corrección (mL)</t>
  </si>
  <si>
    <t>Error (mL)</t>
  </si>
  <si>
    <t>Masa agua + recipiente (g)</t>
  </si>
  <si>
    <t>Caída Libre</t>
  </si>
  <si>
    <t>Masa del recipiente</t>
  </si>
  <si>
    <t>Temperatura (°C)</t>
  </si>
  <si>
    <t>Promedio</t>
  </si>
  <si>
    <t>Desvest</t>
  </si>
  <si>
    <t>intervalo (Sx*2)</t>
  </si>
  <si>
    <t>miu fabricante</t>
  </si>
  <si>
    <t>incertidumbre total</t>
  </si>
  <si>
    <t>Sx (miu rep)</t>
  </si>
  <si>
    <t>Masa agua (g)</t>
  </si>
  <si>
    <t>Masa balón con agua (g)</t>
  </si>
  <si>
    <t>Masa balón vacío (g)</t>
  </si>
  <si>
    <t>V20</t>
  </si>
  <si>
    <t>Nominal</t>
  </si>
  <si>
    <t>Bureta - Duplicado</t>
  </si>
  <si>
    <t>Bureta - Triplicado</t>
  </si>
  <si>
    <t>Volumen leído (mL)</t>
  </si>
  <si>
    <t>Recipiente vacío (g)</t>
  </si>
  <si>
    <t>Prueba t para dos muestras suponiendo varianzas iguales</t>
  </si>
  <si>
    <t>Media</t>
  </si>
  <si>
    <t>Varianza</t>
  </si>
  <si>
    <t>Observaciones</t>
  </si>
  <si>
    <t>Varianza agrupada</t>
  </si>
  <si>
    <t>Diferencia hipotética de las medias</t>
  </si>
  <si>
    <t>Grados de libertad</t>
  </si>
  <si>
    <t>Estadístico t</t>
  </si>
  <si>
    <t>P(T&lt;=t) una cola</t>
  </si>
  <si>
    <t>Valor crítico de t (una cola)</t>
  </si>
  <si>
    <t>P(T&lt;=t) dos colas</t>
  </si>
  <si>
    <t>Valor crítico de t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</si>
</sst>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.5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8F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5" fillId="0" borderId="1" xfId="0" applyFont="1" applyBorder="1" applyAlignment="1">
      <alignment vertical="center"/>
    </xf>
    <xf numFmtId="164" fontId="0" fillId="0" borderId="1" xfId="0" applyNumberFormat="1" applyBorder="1"/>
    <xf numFmtId="0" fontId="0" fillId="2" borderId="0" xfId="0" applyFill="1"/>
    <xf numFmtId="0" fontId="4" fillId="2" borderId="2" xfId="0" applyFont="1" applyFill="1" applyBorder="1"/>
    <xf numFmtId="0" fontId="4" fillId="0" borderId="2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164" fontId="1" fillId="0" borderId="3" xfId="0" applyNumberFormat="1" applyFont="1" applyBorder="1"/>
    <xf numFmtId="164" fontId="1" fillId="2" borderId="3" xfId="0" applyNumberFormat="1" applyFont="1" applyFill="1" applyBorder="1"/>
    <xf numFmtId="164" fontId="0" fillId="0" borderId="3" xfId="0" applyNumberFormat="1" applyBorder="1"/>
    <xf numFmtId="0" fontId="2" fillId="0" borderId="1" xfId="0" applyFont="1" applyBorder="1"/>
    <xf numFmtId="166" fontId="0" fillId="0" borderId="1" xfId="0" applyNumberFormat="1" applyBorder="1"/>
    <xf numFmtId="2" fontId="0" fillId="0" borderId="1" xfId="0" applyNumberFormat="1" applyBorder="1"/>
    <xf numFmtId="0" fontId="2" fillId="2" borderId="1" xfId="0" applyFont="1" applyFill="1" applyBorder="1"/>
    <xf numFmtId="166" fontId="0" fillId="2" borderId="1" xfId="0" applyNumberFormat="1" applyFill="1" applyBorder="1"/>
    <xf numFmtId="2" fontId="0" fillId="2" borderId="1" xfId="0" applyNumberFormat="1" applyFill="1" applyBorder="1"/>
    <xf numFmtId="165" fontId="0" fillId="2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164" fontId="0" fillId="2" borderId="0" xfId="0" applyNumberFormat="1" applyFill="1"/>
    <xf numFmtId="164" fontId="1" fillId="2" borderId="0" xfId="0" applyNumberFormat="1" applyFont="1" applyFill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6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404855643044618"/>
          <c:y val="6.8403051828466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'Corrección con factor'!$F$3:$F$7</c:f>
              <c:numCache>
                <c:formatCode>0.0000</c:formatCode>
                <c:ptCount val="5"/>
                <c:pt idx="0">
                  <c:v>4.9366162592708989</c:v>
                </c:pt>
                <c:pt idx="1">
                  <c:v>9.9247067199266255</c:v>
                </c:pt>
                <c:pt idx="2">
                  <c:v>14.86292528896826</c:v>
                </c:pt>
                <c:pt idx="3">
                  <c:v>19.831087021850486</c:v>
                </c:pt>
                <c:pt idx="4">
                  <c:v>24.713324893277097</c:v>
                </c:pt>
              </c:numCache>
            </c:numRef>
          </c:xVal>
          <c:yVal>
            <c:numRef>
              <c:f>'Corrección con factor'!$H$3:$H$7</c:f>
              <c:numCache>
                <c:formatCode>0.0000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E-45DF-ADC2-FF1407AD46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1765616"/>
        <c:axId val="531769880"/>
      </c:scatterChart>
      <c:valAx>
        <c:axId val="5317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1769880"/>
        <c:crosses val="autoZero"/>
        <c:crossBetween val="midCat"/>
      </c:valAx>
      <c:valAx>
        <c:axId val="5317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176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Balon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Balon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ECF90EB0-717C-4440-8C08-1F7A0797E85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FDC847-412C-40B1-B5DE-DA6883062A01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20</xdr:row>
      <xdr:rowOff>161924</xdr:rowOff>
    </xdr:from>
    <xdr:to>
      <xdr:col>4</xdr:col>
      <xdr:colOff>781050</xdr:colOff>
      <xdr:row>35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794C175-FE6E-2F79-9AF8-F6B12BF245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6025" y="3438524"/>
              <a:ext cx="2447925" cy="2428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9</xdr:col>
      <xdr:colOff>447675</xdr:colOff>
      <xdr:row>24</xdr:row>
      <xdr:rowOff>19050</xdr:rowOff>
    </xdr:from>
    <xdr:to>
      <xdr:col>14</xdr:col>
      <xdr:colOff>695325</xdr:colOff>
      <xdr:row>39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411A606-87F6-FE7B-4A9A-C6A38FFFE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7875" y="3943350"/>
              <a:ext cx="48101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31</xdr:row>
      <xdr:rowOff>34290</xdr:rowOff>
    </xdr:from>
    <xdr:to>
      <xdr:col>5</xdr:col>
      <xdr:colOff>702945</xdr:colOff>
      <xdr:row>46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94B37E-CD49-4084-DB16-E08C54BBE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Q38"/>
  <sheetViews>
    <sheetView topLeftCell="C1" workbookViewId="0">
      <selection activeCell="I8" sqref="I8"/>
    </sheetView>
  </sheetViews>
  <sheetFormatPr baseColWidth="10" defaultColWidth="12.5703125" defaultRowHeight="15.75" customHeight="1" x14ac:dyDescent="0.2"/>
  <cols>
    <col min="1" max="1" width="4" customWidth="1"/>
    <col min="2" max="2" width="23.5703125" customWidth="1"/>
    <col min="3" max="3" width="22.140625" customWidth="1"/>
    <col min="5" max="5" width="17.85546875" customWidth="1"/>
    <col min="6" max="6" width="15" customWidth="1"/>
    <col min="7" max="7" width="18" customWidth="1"/>
    <col min="13" max="13" width="16.140625" customWidth="1"/>
    <col min="14" max="14" width="14.5703125" customWidth="1"/>
    <col min="15" max="15" width="17.42578125" customWidth="1"/>
    <col min="16" max="16" width="17.5703125" customWidth="1"/>
  </cols>
  <sheetData>
    <row r="1" spans="5:17" ht="12.75" x14ac:dyDescent="0.2">
      <c r="M1" s="51" t="s">
        <v>1</v>
      </c>
      <c r="N1" s="51"/>
      <c r="O1" s="51"/>
      <c r="P1" s="51"/>
      <c r="Q1" s="51"/>
    </row>
    <row r="2" spans="5:17" ht="12.75" x14ac:dyDescent="0.2">
      <c r="E2" s="50" t="s">
        <v>7</v>
      </c>
      <c r="F2" s="16" t="s">
        <v>4</v>
      </c>
      <c r="G2" s="10" t="s">
        <v>5</v>
      </c>
      <c r="H2" s="10" t="s">
        <v>4</v>
      </c>
      <c r="I2" s="10" t="s">
        <v>5</v>
      </c>
      <c r="J2" s="20" t="s">
        <v>4</v>
      </c>
      <c r="K2" s="10" t="s">
        <v>5</v>
      </c>
      <c r="M2" s="52" t="s">
        <v>7</v>
      </c>
      <c r="N2" s="53" t="s">
        <v>39</v>
      </c>
      <c r="O2" s="53" t="s">
        <v>38</v>
      </c>
      <c r="P2" s="53" t="s">
        <v>37</v>
      </c>
      <c r="Q2" s="53" t="s">
        <v>25</v>
      </c>
    </row>
    <row r="3" spans="5:17" ht="12.75" x14ac:dyDescent="0.2">
      <c r="E3" s="50"/>
      <c r="F3" s="17" t="s">
        <v>24</v>
      </c>
      <c r="G3" s="9" t="s">
        <v>24</v>
      </c>
      <c r="H3" s="9" t="s">
        <v>25</v>
      </c>
      <c r="I3" s="9" t="s">
        <v>25</v>
      </c>
      <c r="J3" s="21" t="s">
        <v>26</v>
      </c>
      <c r="K3" s="9" t="s">
        <v>26</v>
      </c>
      <c r="M3" s="52"/>
      <c r="N3" s="54"/>
      <c r="O3" s="54"/>
      <c r="P3" s="54"/>
      <c r="Q3" s="54"/>
    </row>
    <row r="4" spans="5:17" ht="12.75" x14ac:dyDescent="0.2">
      <c r="E4" s="7">
        <v>1</v>
      </c>
      <c r="F4" s="18">
        <f>Hoja2!B4-Hoja2!E4</f>
        <v>4.9805999999999999</v>
      </c>
      <c r="G4" s="7">
        <f>Hoja2!C4-Hoja2!F4</f>
        <v>4.8950999999999993</v>
      </c>
      <c r="H4" s="8">
        <f>F4*'Corrección con factor'!$M$1</f>
        <v>4.9877900275737161</v>
      </c>
      <c r="I4" s="8">
        <f>G4*'Corrección con factor'!$M$1</f>
        <v>4.9021665992001155</v>
      </c>
      <c r="J4" s="22">
        <f>5-H4</f>
        <v>1.2209972426283855E-2</v>
      </c>
      <c r="K4" s="8">
        <f>5-I4</f>
        <v>9.7833400799884451E-2</v>
      </c>
      <c r="M4" s="37">
        <v>1</v>
      </c>
      <c r="N4" s="37">
        <v>36.700299999999999</v>
      </c>
      <c r="O4" s="37">
        <v>86.447599999999994</v>
      </c>
      <c r="P4" s="38">
        <f>O4-$N$14</f>
        <v>49.729859999999988</v>
      </c>
      <c r="Q4" s="38">
        <f>P4*'Corrección con factor'!$M$1</f>
        <v>49.801650359522348</v>
      </c>
    </row>
    <row r="5" spans="5:17" ht="12.75" x14ac:dyDescent="0.2">
      <c r="E5" s="11">
        <v>2</v>
      </c>
      <c r="F5" s="19">
        <f>Hoja2!B5-Hoja2!E5</f>
        <v>4.8931000000000004</v>
      </c>
      <c r="G5" s="11">
        <f>Hoja2!C5-Hoja2!F5</f>
        <v>4.9131</v>
      </c>
      <c r="H5" s="12">
        <f>F5*'Corrección con factor'!$M$1</f>
        <v>4.900163711986699</v>
      </c>
      <c r="I5" s="12">
        <f>G5*'Corrección con factor'!$M$1</f>
        <v>4.9201925841208745</v>
      </c>
      <c r="J5" s="23">
        <f>5-H5</f>
        <v>9.9836288013301022E-2</v>
      </c>
      <c r="K5" s="12">
        <f t="shared" ref="K5:K13" si="0">5-I5</f>
        <v>7.9807415879125543E-2</v>
      </c>
      <c r="M5" s="6">
        <v>2</v>
      </c>
      <c r="N5" s="6">
        <v>36.722099999999998</v>
      </c>
      <c r="O5" s="6">
        <v>86.499200000000002</v>
      </c>
      <c r="P5" s="32">
        <f t="shared" ref="P5:P13" si="1">O5-$N$14</f>
        <v>49.781459999999996</v>
      </c>
      <c r="Q5" s="32">
        <f>P5*'Corrección con factor'!$M$1</f>
        <v>49.853324849628528</v>
      </c>
    </row>
    <row r="6" spans="5:17" ht="12.75" x14ac:dyDescent="0.2">
      <c r="E6" s="7">
        <v>3</v>
      </c>
      <c r="F6" s="18">
        <f>Hoja2!B6-Hoja2!E6</f>
        <v>4.9178000000000006</v>
      </c>
      <c r="G6" s="7">
        <f>Hoja2!C6-Hoja2!F6</f>
        <v>4.9479999999999995</v>
      </c>
      <c r="H6" s="8">
        <f>F6*'Corrección con factor'!$M$1</f>
        <v>4.9248993690724063</v>
      </c>
      <c r="I6" s="8">
        <f>G6*'Corrección con factor'!$M$1</f>
        <v>4.9551429659950097</v>
      </c>
      <c r="J6" s="22">
        <f t="shared" ref="J6:J13" si="2">5-H6</f>
        <v>7.510063092759367E-2</v>
      </c>
      <c r="K6" s="8">
        <f t="shared" si="0"/>
        <v>4.4857034004990304E-2</v>
      </c>
      <c r="M6" s="37">
        <v>3</v>
      </c>
      <c r="N6" s="39">
        <v>36.722000000000001</v>
      </c>
      <c r="O6" s="37">
        <v>86.500699999999995</v>
      </c>
      <c r="P6" s="38">
        <f t="shared" si="1"/>
        <v>49.782959999999989</v>
      </c>
      <c r="Q6" s="38">
        <f>P6*'Corrección con factor'!$M$1</f>
        <v>49.85482701503858</v>
      </c>
    </row>
    <row r="7" spans="5:17" ht="12.75" x14ac:dyDescent="0.2">
      <c r="E7" s="11">
        <v>4</v>
      </c>
      <c r="F7" s="19">
        <f>Hoja2!B7-Hoja2!E7</f>
        <v>4.9543000000000008</v>
      </c>
      <c r="G7" s="11">
        <f>Hoja2!C7-Hoja2!F7</f>
        <v>4.9142000000000001</v>
      </c>
      <c r="H7" s="12">
        <f>F7*'Corrección con factor'!$M$1</f>
        <v>4.9614520607172761</v>
      </c>
      <c r="I7" s="12">
        <f>G7*'Corrección con factor'!$M$1</f>
        <v>4.9212941720882535</v>
      </c>
      <c r="J7" s="23">
        <f t="shared" si="2"/>
        <v>3.8547939282723931E-2</v>
      </c>
      <c r="K7" s="12">
        <f t="shared" si="0"/>
        <v>7.8705827911746518E-2</v>
      </c>
      <c r="M7" s="6">
        <v>4</v>
      </c>
      <c r="N7" s="6">
        <v>36.722200000000001</v>
      </c>
      <c r="O7" s="6">
        <v>86.514799999999994</v>
      </c>
      <c r="P7" s="32">
        <f t="shared" si="1"/>
        <v>49.797059999999988</v>
      </c>
      <c r="Q7" s="32">
        <f>P7*'Corrección con factor'!$M$1</f>
        <v>49.868947369893178</v>
      </c>
    </row>
    <row r="8" spans="5:17" ht="12.75" x14ac:dyDescent="0.2">
      <c r="E8" s="7">
        <v>5</v>
      </c>
      <c r="F8" s="18">
        <f>Hoja2!B8-Hoja2!E8</f>
        <v>4.9384999999999994</v>
      </c>
      <c r="G8" s="7">
        <f>Hoja2!C8-Hoja2!F8</f>
        <v>4.7146000000000008</v>
      </c>
      <c r="H8" s="8">
        <f>F8*'Corrección con factor'!$M$1</f>
        <v>4.9456292517312761</v>
      </c>
      <c r="I8" s="8">
        <f>G8*'Corrección con factor'!$M$1</f>
        <v>4.7214060281891834</v>
      </c>
      <c r="J8" s="22">
        <f t="shared" si="2"/>
        <v>5.4370748268723901E-2</v>
      </c>
      <c r="K8" s="8">
        <f t="shared" si="0"/>
        <v>0.27859397181081658</v>
      </c>
      <c r="M8" s="37">
        <v>5</v>
      </c>
      <c r="N8" s="37">
        <v>36.722099999999998</v>
      </c>
      <c r="O8" s="39">
        <v>86.48</v>
      </c>
      <c r="P8" s="38">
        <f t="shared" si="1"/>
        <v>49.762259999999998</v>
      </c>
      <c r="Q8" s="38">
        <f>P8*'Corrección con factor'!$M$1</f>
        <v>49.834097132379718</v>
      </c>
    </row>
    <row r="9" spans="5:17" ht="12.75" x14ac:dyDescent="0.2">
      <c r="E9" s="11">
        <v>6</v>
      </c>
      <c r="F9" s="19">
        <f>Hoja2!B9-Hoja2!E9</f>
        <v>4.9164000000000003</v>
      </c>
      <c r="G9" s="11">
        <f>Hoja2!C9-Hoja2!F9</f>
        <v>4.8869000000000007</v>
      </c>
      <c r="H9" s="12">
        <f>F9*'Corrección con factor'!$M$1</f>
        <v>4.9234973480230133</v>
      </c>
      <c r="I9" s="12">
        <f>G9*'Corrección con factor'!$M$1</f>
        <v>4.8939547616251051</v>
      </c>
      <c r="J9" s="23">
        <f t="shared" si="2"/>
        <v>7.6502651976986691E-2</v>
      </c>
      <c r="K9" s="12">
        <f t="shared" si="0"/>
        <v>0.10604523837489488</v>
      </c>
      <c r="M9" s="6">
        <v>6</v>
      </c>
      <c r="N9" s="36"/>
      <c r="O9" s="6">
        <v>86.481200000000001</v>
      </c>
      <c r="P9" s="32">
        <f t="shared" si="1"/>
        <v>49.763459999999995</v>
      </c>
      <c r="Q9" s="32">
        <f>P9*'Corrección con factor'!$M$1</f>
        <v>49.835298864707767</v>
      </c>
    </row>
    <row r="10" spans="5:17" ht="12.75" x14ac:dyDescent="0.2">
      <c r="E10" s="7">
        <v>7</v>
      </c>
      <c r="F10" s="18">
        <f>Hoja2!B10-Hoja2!E10</f>
        <v>4.9370000000000012</v>
      </c>
      <c r="G10" s="7">
        <f>Hoja2!C10-Hoja2!F10</f>
        <v>4.9131</v>
      </c>
      <c r="H10" s="8">
        <f>F10*'Corrección con factor'!$M$1</f>
        <v>4.944127086321215</v>
      </c>
      <c r="I10" s="8">
        <f>G10*'Corrección con factor'!$M$1</f>
        <v>4.9201925841208745</v>
      </c>
      <c r="J10" s="22">
        <f t="shared" si="2"/>
        <v>5.5872913678784997E-2</v>
      </c>
      <c r="K10" s="8">
        <f t="shared" si="0"/>
        <v>7.9807415879125543E-2</v>
      </c>
      <c r="M10" s="37">
        <v>7</v>
      </c>
      <c r="N10" s="40"/>
      <c r="O10" s="37">
        <v>86.484300000000005</v>
      </c>
      <c r="P10" s="38">
        <f t="shared" si="1"/>
        <v>49.766559999999998</v>
      </c>
      <c r="Q10" s="38">
        <f>P10*'Corrección con factor'!$M$1</f>
        <v>49.838403339888565</v>
      </c>
    </row>
    <row r="11" spans="5:17" ht="12.75" x14ac:dyDescent="0.2">
      <c r="E11" s="11">
        <v>8</v>
      </c>
      <c r="F11" s="19">
        <f>Hoja2!B11-Hoja2!E11</f>
        <v>4.9512</v>
      </c>
      <c r="G11" s="11">
        <f>Hoja2!C11-Hoja2!F11</f>
        <v>4.8982000000000001</v>
      </c>
      <c r="H11" s="12">
        <f>F11*'Corrección con factor'!$M$1</f>
        <v>4.9583475855364787</v>
      </c>
      <c r="I11" s="12">
        <f>G11*'Corrección con factor'!$M$1</f>
        <v>4.9052710743809138</v>
      </c>
      <c r="J11" s="23">
        <f t="shared" si="2"/>
        <v>4.1652414463521303E-2</v>
      </c>
      <c r="K11" s="12">
        <f t="shared" si="0"/>
        <v>9.4728925619086191E-2</v>
      </c>
      <c r="M11" s="6">
        <v>8</v>
      </c>
      <c r="N11" s="36"/>
      <c r="O11" s="6">
        <v>86.460099999999997</v>
      </c>
      <c r="P11" s="32">
        <f t="shared" si="1"/>
        <v>49.742359999999991</v>
      </c>
      <c r="Q11" s="32">
        <f>P11*'Corrección con factor'!$M$1</f>
        <v>49.814168404606207</v>
      </c>
    </row>
    <row r="12" spans="5:17" ht="12.75" x14ac:dyDescent="0.2">
      <c r="E12" s="7">
        <v>9</v>
      </c>
      <c r="F12" s="18">
        <f>Hoja2!B12-Hoja2!E12</f>
        <v>4.9158999999999997</v>
      </c>
      <c r="G12" s="7">
        <f>Hoja2!C12-Hoja2!F12</f>
        <v>4.8598999999999997</v>
      </c>
      <c r="H12" s="8">
        <f>F12*'Corrección con factor'!$M$1</f>
        <v>4.9229966262196587</v>
      </c>
      <c r="I12" s="8">
        <f>G12*'Corrección con factor'!$M$1</f>
        <v>4.8669157842439672</v>
      </c>
      <c r="J12" s="22">
        <f t="shared" si="2"/>
        <v>7.7003373780341278E-2</v>
      </c>
      <c r="K12" s="8">
        <f t="shared" si="0"/>
        <v>0.1330842157560328</v>
      </c>
      <c r="M12" s="37">
        <v>9</v>
      </c>
      <c r="N12" s="40"/>
      <c r="O12" s="37">
        <v>86.501900000000006</v>
      </c>
      <c r="P12" s="38">
        <f t="shared" si="1"/>
        <v>49.78416</v>
      </c>
      <c r="Q12" s="38">
        <f>P12*'Corrección con factor'!$M$1</f>
        <v>49.856028747366643</v>
      </c>
    </row>
    <row r="13" spans="5:17" ht="12.75" x14ac:dyDescent="0.2">
      <c r="E13" s="11">
        <v>10</v>
      </c>
      <c r="F13" s="19">
        <f>Hoja2!B13-Hoja2!E13</f>
        <v>4.9055999999999997</v>
      </c>
      <c r="G13" s="11">
        <f>Hoja2!C13-Hoja2!F13</f>
        <v>4.8529999999999998</v>
      </c>
      <c r="H13" s="12">
        <f>F13*'Corrección con factor'!$M$1</f>
        <v>4.9126817570705583</v>
      </c>
      <c r="I13" s="12">
        <f>G13*'Corrección con factor'!$M$1</f>
        <v>4.8600058233576764</v>
      </c>
      <c r="J13" s="23">
        <f t="shared" si="2"/>
        <v>8.7318242929441681E-2</v>
      </c>
      <c r="K13" s="12">
        <f t="shared" si="0"/>
        <v>0.13999417664232361</v>
      </c>
      <c r="M13" s="6">
        <v>10</v>
      </c>
      <c r="N13" s="36"/>
      <c r="O13" s="6">
        <v>86.446399999999997</v>
      </c>
      <c r="P13" s="32">
        <f t="shared" si="1"/>
        <v>49.728659999999991</v>
      </c>
      <c r="Q13" s="32">
        <f>P13*'Corrección con factor'!$M$1</f>
        <v>49.800448627194299</v>
      </c>
    </row>
    <row r="14" spans="5:17" ht="15.75" customHeight="1" x14ac:dyDescent="0.2">
      <c r="E14" s="25" t="s">
        <v>31</v>
      </c>
      <c r="F14" s="14">
        <f t="shared" ref="F14:K14" si="3">AVERAGE(F4:F13)</f>
        <v>4.9310400000000003</v>
      </c>
      <c r="G14" s="14">
        <f t="shared" si="3"/>
        <v>4.8796100000000004</v>
      </c>
      <c r="H14" s="14">
        <f t="shared" si="3"/>
        <v>4.93815848242523</v>
      </c>
      <c r="I14" s="14">
        <f t="shared" si="3"/>
        <v>4.8866542377321966</v>
      </c>
      <c r="J14" s="24">
        <f t="shared" si="3"/>
        <v>6.184151757477023E-2</v>
      </c>
      <c r="K14" s="14">
        <f t="shared" si="3"/>
        <v>0.11334576226780264</v>
      </c>
      <c r="M14" s="33" t="s">
        <v>31</v>
      </c>
      <c r="N14" s="40">
        <f>AVERAGE(N4:N8)</f>
        <v>36.717740000000006</v>
      </c>
      <c r="O14" s="40">
        <f>AVERAGE(O4:O8)</f>
        <v>86.488460000000003</v>
      </c>
      <c r="P14" s="38">
        <f>AVERAGE(P4:P13)</f>
        <v>49.763879999999986</v>
      </c>
      <c r="Q14" s="38">
        <f>AVERAGE(Q4:Q13)</f>
        <v>49.835719471022585</v>
      </c>
    </row>
    <row r="15" spans="5:17" ht="12.75" x14ac:dyDescent="0.2">
      <c r="E15" s="28" t="s">
        <v>32</v>
      </c>
      <c r="F15" s="30">
        <f>_xlfn.STDEV.S(F4:F13)</f>
        <v>2.6247336372795364E-2</v>
      </c>
      <c r="G15" s="30">
        <f>_xlfn.STDEV.S(G4:G13)</f>
        <v>6.4187545520918363E-2</v>
      </c>
      <c r="H15" s="30">
        <f>_xlfn.STDEV.S(H4:H13)</f>
        <v>2.6285227203670481E-2</v>
      </c>
      <c r="I15" s="30">
        <f>_xlfn.STDEV.S(I4:I13)</f>
        <v>6.4280207092252073E-2</v>
      </c>
      <c r="M15" s="41" t="s">
        <v>32</v>
      </c>
      <c r="N15" s="42">
        <f>_xlfn.STDEV.S(N4:N13)</f>
        <v>9.7495128083410487E-3</v>
      </c>
      <c r="O15" s="42">
        <f>_xlfn.STDEV.S(O4:O13)</f>
        <v>2.3702311185949912E-2</v>
      </c>
      <c r="P15" s="42">
        <f>_xlfn.STDEV.S(P4:P13)</f>
        <v>2.3702311185949912E-2</v>
      </c>
      <c r="Q15" s="42">
        <f>_xlfn.STDEV.S(Q4:Q13)</f>
        <v>2.3736528001391241E-2</v>
      </c>
    </row>
    <row r="16" spans="5:17" ht="12.75" x14ac:dyDescent="0.2">
      <c r="E16" s="25" t="s">
        <v>36</v>
      </c>
      <c r="F16" s="14">
        <f>F15/SQRT(10)</f>
        <v>8.3001365450615719E-3</v>
      </c>
      <c r="G16" s="14">
        <f>G15/SQRT(10)</f>
        <v>2.0297884126184104E-2</v>
      </c>
      <c r="H16" s="14">
        <f>H15/SQRT(10)</f>
        <v>8.3121186778617323E-3</v>
      </c>
      <c r="I16" s="14">
        <f>I15/SQRT(10)</f>
        <v>2.0327186287882573E-2</v>
      </c>
      <c r="M16" s="33" t="s">
        <v>36</v>
      </c>
      <c r="N16" s="38">
        <f>N15/SQRT(10)</f>
        <v>3.0830666551342374E-3</v>
      </c>
      <c r="O16" s="38">
        <f>O15/SQRT(10)</f>
        <v>7.4953289157688487E-3</v>
      </c>
      <c r="P16" s="38">
        <f>P15/SQRT(10)</f>
        <v>7.4953289157688487E-3</v>
      </c>
      <c r="Q16" s="38">
        <f>Q15/SQRT(10)</f>
        <v>7.5061492228760711E-3</v>
      </c>
    </row>
    <row r="17" spans="5:17" ht="12.75" x14ac:dyDescent="0.2">
      <c r="E17" s="28" t="s">
        <v>34</v>
      </c>
      <c r="F17" s="31">
        <f>0.0001/(SQRT(3)*2)</f>
        <v>2.8867513459481293E-5</v>
      </c>
      <c r="G17" s="31">
        <f>0.0001/(SQRT(3)*2)</f>
        <v>2.8867513459481293E-5</v>
      </c>
      <c r="H17" s="29">
        <f>0.015/(SQRT(6)*2)</f>
        <v>3.0618621784789728E-3</v>
      </c>
      <c r="I17" s="29">
        <f>0.015/(SQRT(6)*2)</f>
        <v>3.0618621784789728E-3</v>
      </c>
      <c r="M17" s="35" t="s">
        <v>34</v>
      </c>
      <c r="N17" s="43">
        <f>0.0001/(SQRT(3)*2)</f>
        <v>2.8867513459481293E-5</v>
      </c>
      <c r="O17" s="43">
        <f>0.0001/(SQRT(3)*2)</f>
        <v>2.8867513459481293E-5</v>
      </c>
      <c r="P17" s="43">
        <f>0.0001/(SQRT(3)*2)</f>
        <v>2.8867513459481293E-5</v>
      </c>
      <c r="Q17" s="44">
        <f>0.06/(SQRT(6)*2)</f>
        <v>1.2247448713915891E-2</v>
      </c>
    </row>
    <row r="18" spans="5:17" ht="12.75" x14ac:dyDescent="0.2">
      <c r="E18" s="25" t="s">
        <v>33</v>
      </c>
      <c r="F18" s="27">
        <f>F16*2</f>
        <v>1.6600273090123144E-2</v>
      </c>
      <c r="G18" s="27">
        <f>G16*2</f>
        <v>4.0595768252368207E-2</v>
      </c>
      <c r="H18" s="27">
        <f>H16*2</f>
        <v>1.6624237355723465E-2</v>
      </c>
      <c r="I18" s="27">
        <f>I16*2</f>
        <v>4.0654372575765145E-2</v>
      </c>
      <c r="M18" s="33" t="s">
        <v>33</v>
      </c>
      <c r="N18" s="34">
        <f>N16*2</f>
        <v>6.1661333102684748E-3</v>
      </c>
      <c r="O18" s="34">
        <f>O16*2</f>
        <v>1.4990657831537697E-2</v>
      </c>
      <c r="P18" s="34">
        <f>P16*2</f>
        <v>1.4990657831537697E-2</v>
      </c>
      <c r="Q18" s="34">
        <f>Q16*2</f>
        <v>1.5012298445752142E-2</v>
      </c>
    </row>
    <row r="19" spans="5:17" ht="12.75" x14ac:dyDescent="0.2">
      <c r="E19" s="25" t="s">
        <v>35</v>
      </c>
      <c r="F19" s="26">
        <f>SQRT((F16)^2+(F17)^2)</f>
        <v>8.300186744887127E-3</v>
      </c>
      <c r="G19" s="14">
        <f>SQRT((G16)^2+(G17)^2)</f>
        <v>2.0297904653764878E-2</v>
      </c>
      <c r="H19" s="26">
        <f>SQRT((H16)^2+(H17)^2)</f>
        <v>8.8581215229222195E-3</v>
      </c>
      <c r="I19" s="26">
        <f>SQRT((I16)^2+(I17)^2)</f>
        <v>2.0556495381807698E-2</v>
      </c>
      <c r="M19" s="35" t="s">
        <v>35</v>
      </c>
      <c r="N19" s="32">
        <f>SQRT((N16)^2+(N17)^2)</f>
        <v>3.0832017989962882E-3</v>
      </c>
      <c r="O19" s="32">
        <f>SQRT((O16)^2+(O17)^2)</f>
        <v>7.4953845057404468E-3</v>
      </c>
      <c r="P19" s="32">
        <f>SQRT((P16)^2+(P17)^2)</f>
        <v>7.4953845057404468E-3</v>
      </c>
      <c r="Q19" s="44">
        <f>SQRT((Q16)^2+(Q17)^2)</f>
        <v>1.4364618900481943E-2</v>
      </c>
    </row>
    <row r="20" spans="5:17" ht="12.75" x14ac:dyDescent="0.2"/>
    <row r="21" spans="5:17" ht="12.75" x14ac:dyDescent="0.2"/>
    <row r="22" spans="5:17" ht="12.75" x14ac:dyDescent="0.2">
      <c r="H22" s="50" t="s">
        <v>7</v>
      </c>
      <c r="I22" s="10" t="s">
        <v>5</v>
      </c>
    </row>
    <row r="23" spans="5:17" ht="12.75" x14ac:dyDescent="0.2">
      <c r="H23" s="50"/>
      <c r="I23" s="9" t="s">
        <v>25</v>
      </c>
    </row>
    <row r="24" spans="5:17" ht="12.75" x14ac:dyDescent="0.2">
      <c r="H24" s="46">
        <v>1</v>
      </c>
      <c r="I24" s="12">
        <v>4.9021665992001155</v>
      </c>
    </row>
    <row r="25" spans="5:17" ht="12.75" x14ac:dyDescent="0.2">
      <c r="H25" s="45">
        <v>2</v>
      </c>
      <c r="I25" s="8">
        <v>4.9201925841208745</v>
      </c>
    </row>
    <row r="26" spans="5:17" ht="12.75" x14ac:dyDescent="0.2">
      <c r="H26" s="46">
        <v>3</v>
      </c>
      <c r="I26" s="12">
        <v>4.9551429659950097</v>
      </c>
    </row>
    <row r="27" spans="5:17" ht="12.75" x14ac:dyDescent="0.2">
      <c r="H27" s="45">
        <v>4</v>
      </c>
      <c r="I27" s="8">
        <v>4.9212941720882535</v>
      </c>
    </row>
    <row r="28" spans="5:17" ht="12.75" x14ac:dyDescent="0.2">
      <c r="H28" s="46">
        <v>6</v>
      </c>
      <c r="I28" s="12">
        <v>4.8939547616251051</v>
      </c>
    </row>
    <row r="29" spans="5:17" ht="12.75" x14ac:dyDescent="0.2">
      <c r="H29" s="45">
        <v>7</v>
      </c>
      <c r="I29" s="8">
        <v>4.9201925841208745</v>
      </c>
    </row>
    <row r="30" spans="5:17" ht="12.75" x14ac:dyDescent="0.2">
      <c r="H30" s="46">
        <v>8</v>
      </c>
      <c r="I30" s="12">
        <v>4.9052710743809138</v>
      </c>
    </row>
    <row r="31" spans="5:17" ht="12.75" x14ac:dyDescent="0.2">
      <c r="H31" s="45">
        <v>9</v>
      </c>
      <c r="I31" s="8">
        <v>4.8669157842439672</v>
      </c>
    </row>
    <row r="32" spans="5:17" ht="12.75" x14ac:dyDescent="0.2">
      <c r="H32" s="46">
        <v>10</v>
      </c>
      <c r="I32" s="12">
        <v>4.8600058233576764</v>
      </c>
    </row>
    <row r="33" spans="8:9" ht="12.75" x14ac:dyDescent="0.2">
      <c r="H33" s="25" t="s">
        <v>31</v>
      </c>
      <c r="I33" s="14">
        <f>AVERAGE(I24:I32)</f>
        <v>4.905015149903643</v>
      </c>
    </row>
    <row r="34" spans="8:9" ht="15.75" customHeight="1" x14ac:dyDescent="0.2">
      <c r="H34" s="28" t="s">
        <v>32</v>
      </c>
      <c r="I34" s="30">
        <f>_xlfn.STDEV.S(I24:I32)</f>
        <v>2.9254116367029206E-2</v>
      </c>
    </row>
    <row r="35" spans="8:9" ht="15.75" customHeight="1" x14ac:dyDescent="0.2">
      <c r="H35" s="25" t="s">
        <v>36</v>
      </c>
      <c r="I35" s="14">
        <f>I34/SQRT(9)</f>
        <v>9.7513721223430692E-3</v>
      </c>
    </row>
    <row r="36" spans="8:9" ht="15.75" customHeight="1" x14ac:dyDescent="0.2">
      <c r="H36" s="28" t="s">
        <v>34</v>
      </c>
      <c r="I36" s="29">
        <f>0.015/(SQRT(6)*2)</f>
        <v>3.0618621784789728E-3</v>
      </c>
    </row>
    <row r="37" spans="8:9" ht="15.75" customHeight="1" x14ac:dyDescent="0.2">
      <c r="H37" s="25" t="s">
        <v>33</v>
      </c>
      <c r="I37" s="27">
        <f>I35*2</f>
        <v>1.9502744244686138E-2</v>
      </c>
    </row>
    <row r="38" spans="8:9" ht="15.75" customHeight="1" x14ac:dyDescent="0.2">
      <c r="H38" s="28" t="s">
        <v>35</v>
      </c>
      <c r="I38" s="29">
        <f>SQRT((I35)^2+(I36)^2)</f>
        <v>1.0220775815387478E-2</v>
      </c>
    </row>
  </sheetData>
  <mergeCells count="8">
    <mergeCell ref="E2:E3"/>
    <mergeCell ref="H22:H23"/>
    <mergeCell ref="M1:Q1"/>
    <mergeCell ref="M2:M3"/>
    <mergeCell ref="N2:N3"/>
    <mergeCell ref="O2:O3"/>
    <mergeCell ref="P2:P3"/>
    <mergeCell ref="Q2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5C1D-2B23-4CD6-8778-1FEB70DA36F0}">
  <dimension ref="A1:F19"/>
  <sheetViews>
    <sheetView workbookViewId="0">
      <selection activeCell="G5" sqref="G5"/>
    </sheetView>
  </sheetViews>
  <sheetFormatPr baseColWidth="10" defaultRowHeight="12.75" x14ac:dyDescent="0.2"/>
  <cols>
    <col min="1" max="1" width="3.85546875" customWidth="1"/>
    <col min="2" max="2" width="20.140625" customWidth="1"/>
    <col min="3" max="3" width="24.140625" customWidth="1"/>
    <col min="4" max="4" width="4.42578125" customWidth="1"/>
    <col min="5" max="5" width="19.7109375" customWidth="1"/>
    <col min="6" max="6" width="18.7109375" customWidth="1"/>
  </cols>
  <sheetData>
    <row r="1" spans="1:6" x14ac:dyDescent="0.2">
      <c r="A1" s="57" t="s">
        <v>0</v>
      </c>
      <c r="B1" s="57"/>
      <c r="C1" s="57"/>
      <c r="D1" s="57"/>
      <c r="E1" s="57"/>
      <c r="F1" s="57"/>
    </row>
    <row r="2" spans="1:6" x14ac:dyDescent="0.2">
      <c r="A2" s="55" t="s">
        <v>2</v>
      </c>
      <c r="B2" s="56"/>
      <c r="C2" s="9" t="s">
        <v>3</v>
      </c>
      <c r="D2" s="58" t="s">
        <v>28</v>
      </c>
      <c r="E2" s="59"/>
      <c r="F2" s="13" t="s">
        <v>3</v>
      </c>
    </row>
    <row r="3" spans="1:6" x14ac:dyDescent="0.2">
      <c r="A3" s="10" t="s">
        <v>6</v>
      </c>
      <c r="B3" s="10" t="s">
        <v>27</v>
      </c>
      <c r="C3" s="10" t="s">
        <v>27</v>
      </c>
      <c r="D3" s="10" t="s">
        <v>6</v>
      </c>
      <c r="E3" s="10" t="s">
        <v>29</v>
      </c>
      <c r="F3" s="10" t="s">
        <v>29</v>
      </c>
    </row>
    <row r="4" spans="1:6" x14ac:dyDescent="0.2">
      <c r="A4" s="7">
        <v>1</v>
      </c>
      <c r="B4" s="7">
        <v>12.1814</v>
      </c>
      <c r="C4" s="7">
        <v>12.0962</v>
      </c>
      <c r="D4" s="7">
        <v>1</v>
      </c>
      <c r="E4" s="7">
        <v>7.2008000000000001</v>
      </c>
      <c r="F4" s="7">
        <v>7.2011000000000003</v>
      </c>
    </row>
    <row r="5" spans="1:6" x14ac:dyDescent="0.2">
      <c r="A5" s="11">
        <v>2</v>
      </c>
      <c r="B5" s="11">
        <v>12.1911</v>
      </c>
      <c r="C5" s="11">
        <v>12.0595</v>
      </c>
      <c r="D5" s="11">
        <v>2</v>
      </c>
      <c r="E5" s="11">
        <v>7.298</v>
      </c>
      <c r="F5" s="11">
        <v>7.1463999999999999</v>
      </c>
    </row>
    <row r="6" spans="1:6" x14ac:dyDescent="0.2">
      <c r="A6" s="7">
        <v>3</v>
      </c>
      <c r="B6" s="7">
        <v>12.185</v>
      </c>
      <c r="C6" s="7">
        <v>12.0839</v>
      </c>
      <c r="D6" s="7">
        <v>3</v>
      </c>
      <c r="E6" s="7">
        <v>7.2671999999999999</v>
      </c>
      <c r="F6" s="7">
        <v>7.1359000000000004</v>
      </c>
    </row>
    <row r="7" spans="1:6" x14ac:dyDescent="0.2">
      <c r="A7" s="11">
        <v>4</v>
      </c>
      <c r="B7" s="11">
        <v>12.2033</v>
      </c>
      <c r="C7" s="11">
        <v>12.0967</v>
      </c>
      <c r="D7" s="11">
        <v>4</v>
      </c>
      <c r="E7" s="11">
        <v>7.2489999999999997</v>
      </c>
      <c r="F7" s="11">
        <v>7.1825000000000001</v>
      </c>
    </row>
    <row r="8" spans="1:6" x14ac:dyDescent="0.2">
      <c r="A8" s="7">
        <v>5</v>
      </c>
      <c r="B8" s="7">
        <v>12.150499999999999</v>
      </c>
      <c r="C8" s="7">
        <v>11.851100000000001</v>
      </c>
      <c r="D8" s="7">
        <v>5</v>
      </c>
      <c r="E8" s="7">
        <v>7.2119999999999997</v>
      </c>
      <c r="F8" s="7">
        <v>7.1364999999999998</v>
      </c>
    </row>
    <row r="9" spans="1:6" x14ac:dyDescent="0.2">
      <c r="A9" s="11">
        <v>6</v>
      </c>
      <c r="B9" s="11">
        <v>12.1418</v>
      </c>
      <c r="C9" s="11">
        <v>12.0227</v>
      </c>
      <c r="D9" s="11">
        <v>6</v>
      </c>
      <c r="E9" s="11">
        <v>7.2253999999999996</v>
      </c>
      <c r="F9" s="11">
        <v>7.1357999999999997</v>
      </c>
    </row>
    <row r="10" spans="1:6" x14ac:dyDescent="0.2">
      <c r="A10" s="7">
        <v>7</v>
      </c>
      <c r="B10" s="7">
        <v>12.153600000000001</v>
      </c>
      <c r="C10" s="7">
        <v>12.0375</v>
      </c>
      <c r="D10" s="7">
        <v>7</v>
      </c>
      <c r="E10" s="7">
        <v>7.2165999999999997</v>
      </c>
      <c r="F10" s="7">
        <v>7.1243999999999996</v>
      </c>
    </row>
    <row r="11" spans="1:6" x14ac:dyDescent="0.2">
      <c r="A11" s="11">
        <v>8</v>
      </c>
      <c r="B11" s="11">
        <v>12.1591</v>
      </c>
      <c r="C11" s="11">
        <v>12.0496</v>
      </c>
      <c r="D11" s="11">
        <v>8</v>
      </c>
      <c r="E11" s="11">
        <v>7.2079000000000004</v>
      </c>
      <c r="F11" s="11">
        <v>7.1513999999999998</v>
      </c>
    </row>
    <row r="12" spans="1:6" x14ac:dyDescent="0.2">
      <c r="A12" s="7">
        <v>9</v>
      </c>
      <c r="B12" s="7">
        <v>12.113799999999999</v>
      </c>
      <c r="C12" s="7">
        <v>12.1014</v>
      </c>
      <c r="D12" s="7">
        <v>9</v>
      </c>
      <c r="E12" s="7">
        <v>7.1978999999999997</v>
      </c>
      <c r="F12" s="7">
        <v>7.2415000000000003</v>
      </c>
    </row>
    <row r="13" spans="1:6" x14ac:dyDescent="0.2">
      <c r="A13" s="11">
        <v>10</v>
      </c>
      <c r="B13" s="11">
        <v>12.125299999999999</v>
      </c>
      <c r="C13" s="11">
        <v>12.0542</v>
      </c>
      <c r="D13" s="11">
        <v>10</v>
      </c>
      <c r="E13" s="11">
        <v>7.2196999999999996</v>
      </c>
      <c r="F13" s="11">
        <v>7.2012</v>
      </c>
    </row>
    <row r="14" spans="1:6" x14ac:dyDescent="0.2">
      <c r="B14" s="14">
        <f>AVERAGE(B4:B13)</f>
        <v>12.160489999999999</v>
      </c>
      <c r="C14" s="14">
        <f>AVERAGE(C4:C13)</f>
        <v>12.045279999999998</v>
      </c>
      <c r="E14" s="14">
        <f>AVERAGE(E4:E13)</f>
        <v>7.2294499999999999</v>
      </c>
      <c r="F14" s="14">
        <f>AVERAGE(F4:F13)</f>
        <v>7.1656700000000004</v>
      </c>
    </row>
    <row r="15" spans="1:6" x14ac:dyDescent="0.2">
      <c r="B15" s="30">
        <f>_xlfn.STDEV.S(B4:B13)</f>
        <v>2.9296281523618888E-2</v>
      </c>
      <c r="C15" s="30">
        <f>_xlfn.STDEV.S(C4:C13)</f>
        <v>7.3374621710173588E-2</v>
      </c>
      <c r="E15" s="30">
        <f>_xlfn.STDEV.S(E4:E13)</f>
        <v>3.2262956053860502E-2</v>
      </c>
      <c r="F15" s="30">
        <f>_xlfn.STDEV.S(F4:F13)</f>
        <v>3.8670461020727027E-2</v>
      </c>
    </row>
    <row r="16" spans="1:6" x14ac:dyDescent="0.2">
      <c r="B16" s="14">
        <f>B15/SQRT(10)</f>
        <v>9.2642976588143654E-3</v>
      </c>
      <c r="C16" s="14">
        <f>C15/SQRT(10)</f>
        <v>2.3203092705738768E-2</v>
      </c>
      <c r="E16" s="14">
        <f>E15/SQRT(10)</f>
        <v>1.0202442518011723E-2</v>
      </c>
      <c r="F16" s="14">
        <f>F15/SQRT(10)</f>
        <v>1.2228673499425717E-2</v>
      </c>
    </row>
    <row r="17" spans="2:6" x14ac:dyDescent="0.2">
      <c r="B17" s="31">
        <f>0.0001/(SQRT(3)*2)</f>
        <v>2.8867513459481293E-5</v>
      </c>
      <c r="C17" s="31">
        <f>0.0001/(SQRT(3)*2)</f>
        <v>2.8867513459481293E-5</v>
      </c>
      <c r="E17" s="31">
        <f>0.0001/(SQRT(3)*2)</f>
        <v>2.8867513459481293E-5</v>
      </c>
      <c r="F17" s="31">
        <f>0.0001/(SQRT(3)*2)</f>
        <v>2.8867513459481293E-5</v>
      </c>
    </row>
    <row r="18" spans="2:6" x14ac:dyDescent="0.2">
      <c r="B18" s="27">
        <f>B16*2</f>
        <v>1.8528595317628731E-2</v>
      </c>
      <c r="C18" s="27">
        <f>C16*2</f>
        <v>4.6406185411477535E-2</v>
      </c>
      <c r="E18" s="27">
        <f>E16*2</f>
        <v>2.0404885036023446E-2</v>
      </c>
      <c r="F18" s="27">
        <f>F16*2</f>
        <v>2.4457346998851433E-2</v>
      </c>
    </row>
    <row r="19" spans="2:6" x14ac:dyDescent="0.2">
      <c r="B19" s="27">
        <f>SQRT((B15)^2+(B17)^2)</f>
        <v>2.9296295746125769E-2</v>
      </c>
      <c r="C19" s="27">
        <f>SQRT((C15)^2+(C17)^2)</f>
        <v>7.3374627388794356E-2</v>
      </c>
      <c r="E19" s="27">
        <f>SQRT((E15)^2+(E17)^2)</f>
        <v>3.226296896856623E-2</v>
      </c>
      <c r="F19" s="27">
        <f>SQRT((F15)^2+(F17)^2)</f>
        <v>3.8670471795530265E-2</v>
      </c>
    </row>
  </sheetData>
  <mergeCells count="3">
    <mergeCell ref="A2:B2"/>
    <mergeCell ref="A1:F1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A065-D6AD-4AE8-A6A4-C6327DA2423B}">
  <dimension ref="A1:P39"/>
  <sheetViews>
    <sheetView workbookViewId="0">
      <selection activeCell="A14" sqref="A14:F19"/>
    </sheetView>
  </sheetViews>
  <sheetFormatPr baseColWidth="10" defaultRowHeight="12.75" x14ac:dyDescent="0.2"/>
  <cols>
    <col min="5" max="5" width="13.5703125" customWidth="1"/>
    <col min="6" max="6" width="22.28515625" customWidth="1"/>
    <col min="7" max="7" width="16.85546875" customWidth="1"/>
    <col min="8" max="8" width="18" customWidth="1"/>
    <col min="10" max="11" width="11.5703125"/>
    <col min="12" max="12" width="4.5703125" customWidth="1"/>
  </cols>
  <sheetData>
    <row r="1" spans="1:16" x14ac:dyDescent="0.2">
      <c r="A1" s="60" t="s">
        <v>8</v>
      </c>
      <c r="B1" s="60"/>
      <c r="C1" s="60"/>
      <c r="D1" s="60"/>
      <c r="E1" s="60"/>
      <c r="F1" s="60"/>
      <c r="L1" s="3" t="s">
        <v>11</v>
      </c>
      <c r="M1">
        <f>1/M10</f>
        <v>1.0014436067087733</v>
      </c>
    </row>
    <row r="2" spans="1:16" x14ac:dyDescent="0.2">
      <c r="A2" s="1" t="s">
        <v>7</v>
      </c>
      <c r="B2" s="1" t="s">
        <v>45</v>
      </c>
      <c r="C2" s="1" t="s">
        <v>9</v>
      </c>
      <c r="D2" s="1" t="s">
        <v>44</v>
      </c>
      <c r="E2" s="1" t="s">
        <v>24</v>
      </c>
      <c r="F2" s="1" t="s">
        <v>10</v>
      </c>
      <c r="H2" s="1"/>
      <c r="I2" s="1"/>
      <c r="J2" s="1"/>
      <c r="K2" s="1"/>
    </row>
    <row r="3" spans="1:16" x14ac:dyDescent="0.2">
      <c r="A3" s="47">
        <v>1</v>
      </c>
      <c r="B3" s="47">
        <v>7.2028999999999996</v>
      </c>
      <c r="C3" s="47">
        <v>12.132400000000001</v>
      </c>
      <c r="D3" s="47">
        <v>5</v>
      </c>
      <c r="E3" s="15">
        <f>C3-$B$3</f>
        <v>4.9295000000000009</v>
      </c>
      <c r="F3" s="48">
        <f>E3*$M$1</f>
        <v>4.9366162592708989</v>
      </c>
      <c r="H3" s="4"/>
      <c r="I3" s="4"/>
      <c r="J3" s="4"/>
      <c r="K3" s="4"/>
      <c r="M3" s="3" t="s">
        <v>12</v>
      </c>
    </row>
    <row r="4" spans="1:16" x14ac:dyDescent="0.2">
      <c r="A4" s="1">
        <v>2</v>
      </c>
      <c r="C4" s="1">
        <v>17.113299999999999</v>
      </c>
      <c r="D4" s="1">
        <v>10</v>
      </c>
      <c r="E4">
        <f>C4-$B$3</f>
        <v>9.9103999999999992</v>
      </c>
      <c r="F4" s="4">
        <f>E4*$M$1</f>
        <v>9.9247067199266255</v>
      </c>
      <c r="H4" s="4"/>
      <c r="I4" s="4"/>
      <c r="J4" s="4"/>
      <c r="K4" s="4"/>
      <c r="M4" s="3" t="s">
        <v>13</v>
      </c>
    </row>
    <row r="5" spans="1:16" x14ac:dyDescent="0.2">
      <c r="A5" s="47">
        <v>3</v>
      </c>
      <c r="B5" s="15"/>
      <c r="C5" s="47">
        <v>22.0444</v>
      </c>
      <c r="D5" s="47">
        <v>15</v>
      </c>
      <c r="E5" s="15">
        <f>C5-$B$3</f>
        <v>14.8415</v>
      </c>
      <c r="F5" s="48">
        <f>E5*$M$1</f>
        <v>14.86292528896826</v>
      </c>
      <c r="H5" s="4"/>
      <c r="I5" s="4"/>
      <c r="J5" s="4"/>
      <c r="K5" s="4"/>
    </row>
    <row r="6" spans="1:16" ht="15" x14ac:dyDescent="0.25">
      <c r="A6" s="1">
        <v>4</v>
      </c>
      <c r="C6" s="1">
        <v>27.005400000000002</v>
      </c>
      <c r="D6" s="1">
        <v>20</v>
      </c>
      <c r="E6">
        <f>C6-$B$3</f>
        <v>19.802500000000002</v>
      </c>
      <c r="F6" s="4">
        <f>E6*$M$1</f>
        <v>19.831087021850486</v>
      </c>
      <c r="H6" s="4"/>
      <c r="I6" s="4"/>
      <c r="J6" s="4"/>
      <c r="K6" s="4"/>
      <c r="L6" s="3" t="s">
        <v>14</v>
      </c>
      <c r="M6">
        <f>(M20+P6)^2</f>
        <v>202.52849689285765</v>
      </c>
      <c r="O6" s="3" t="s">
        <v>18</v>
      </c>
      <c r="P6" s="5">
        <v>-3.9830350000000001</v>
      </c>
    </row>
    <row r="7" spans="1:16" ht="15" x14ac:dyDescent="0.25">
      <c r="A7" s="47">
        <v>5</v>
      </c>
      <c r="B7" s="15"/>
      <c r="C7" s="47">
        <v>31.880600000000001</v>
      </c>
      <c r="D7" s="47">
        <v>25</v>
      </c>
      <c r="E7" s="15">
        <f>C7-$B$3</f>
        <v>24.677700000000002</v>
      </c>
      <c r="F7" s="48">
        <f>E7*$M$1</f>
        <v>24.713324893277097</v>
      </c>
      <c r="H7" s="4"/>
      <c r="I7" s="4"/>
      <c r="J7" s="4"/>
      <c r="K7" s="4"/>
      <c r="L7" s="3" t="s">
        <v>15</v>
      </c>
      <c r="M7">
        <f>M20+P7</f>
        <v>320.01128571428575</v>
      </c>
      <c r="O7" s="3" t="s">
        <v>19</v>
      </c>
      <c r="P7" s="5">
        <v>301.79700000000003</v>
      </c>
    </row>
    <row r="8" spans="1:16" ht="15" x14ac:dyDescent="0.25">
      <c r="A8" s="61" t="s">
        <v>42</v>
      </c>
      <c r="B8" s="61"/>
      <c r="C8" s="61"/>
      <c r="D8" s="61"/>
      <c r="E8" s="61"/>
      <c r="F8" s="61"/>
      <c r="H8" s="4"/>
      <c r="I8" s="4"/>
      <c r="J8" s="4"/>
      <c r="K8" s="4"/>
      <c r="L8" s="3" t="s">
        <v>16</v>
      </c>
      <c r="M8">
        <f>P8*(M20+P9)</f>
        <v>45754248.08418043</v>
      </c>
      <c r="O8" s="3" t="s">
        <v>20</v>
      </c>
      <c r="P8" s="5">
        <v>522528.9</v>
      </c>
    </row>
    <row r="9" spans="1:16" ht="15" x14ac:dyDescent="0.25">
      <c r="A9" s="47">
        <v>1</v>
      </c>
      <c r="B9" s="47">
        <v>7.2018000000000004</v>
      </c>
      <c r="C9" s="47">
        <v>12.137600000000001</v>
      </c>
      <c r="D9" s="47">
        <v>5</v>
      </c>
      <c r="E9" s="15">
        <f>C9-$B$9</f>
        <v>4.9358000000000004</v>
      </c>
      <c r="F9" s="48">
        <f>E9*$M$1</f>
        <v>4.9429253539931635</v>
      </c>
      <c r="H9" s="4"/>
      <c r="I9" s="4"/>
      <c r="J9" s="4"/>
      <c r="K9" s="4"/>
      <c r="L9" s="3" t="s">
        <v>17</v>
      </c>
      <c r="M9" s="5">
        <v>999.97495000000004</v>
      </c>
      <c r="O9" s="3" t="s">
        <v>21</v>
      </c>
      <c r="P9" s="5">
        <v>69.34881</v>
      </c>
    </row>
    <row r="10" spans="1:16" x14ac:dyDescent="0.2">
      <c r="A10" s="1">
        <v>2</v>
      </c>
      <c r="C10" s="2">
        <v>17.126000000000001</v>
      </c>
      <c r="D10" s="1">
        <v>10</v>
      </c>
      <c r="E10">
        <f>C10-$B$9</f>
        <v>9.9242000000000008</v>
      </c>
      <c r="F10" s="4">
        <f>E10*$M$1</f>
        <v>9.9385266416992089</v>
      </c>
      <c r="H10" s="4"/>
      <c r="I10" s="4"/>
      <c r="J10" s="4"/>
      <c r="K10" s="4"/>
      <c r="L10" s="3" t="s">
        <v>23</v>
      </c>
      <c r="M10">
        <f>(M9*(1-((M6*M7)/M8))/1000)</f>
        <v>0.99855847428741618</v>
      </c>
    </row>
    <row r="11" spans="1:16" x14ac:dyDescent="0.2">
      <c r="A11" s="47">
        <v>3</v>
      </c>
      <c r="B11" s="15"/>
      <c r="C11" s="47">
        <v>22.085599999999999</v>
      </c>
      <c r="D11" s="47">
        <v>15</v>
      </c>
      <c r="E11" s="15">
        <f>C11-$B$9</f>
        <v>14.883799999999999</v>
      </c>
      <c r="F11" s="48">
        <f>E11*$M$1</f>
        <v>14.905286353532039</v>
      </c>
      <c r="H11" s="4"/>
      <c r="I11" s="4"/>
      <c r="J11" s="4"/>
      <c r="K11" s="4"/>
    </row>
    <row r="12" spans="1:16" x14ac:dyDescent="0.2">
      <c r="A12" s="1">
        <v>4</v>
      </c>
      <c r="C12" s="1">
        <v>27.055399999999999</v>
      </c>
      <c r="D12" s="1">
        <v>20</v>
      </c>
      <c r="E12">
        <f>C12-$B$9</f>
        <v>19.8536</v>
      </c>
      <c r="F12" s="4">
        <f>E12*$M$1</f>
        <v>19.882260790153303</v>
      </c>
      <c r="H12" s="4"/>
      <c r="I12" s="4"/>
      <c r="J12" s="4"/>
      <c r="K12" s="4"/>
      <c r="L12" s="3" t="s">
        <v>6</v>
      </c>
      <c r="M12" s="3" t="s">
        <v>30</v>
      </c>
    </row>
    <row r="13" spans="1:16" x14ac:dyDescent="0.2">
      <c r="A13" s="47">
        <v>5</v>
      </c>
      <c r="B13" s="15"/>
      <c r="C13" s="47">
        <v>32.030799999999999</v>
      </c>
      <c r="D13" s="47">
        <v>25</v>
      </c>
      <c r="E13" s="15">
        <f>C13-$B$9</f>
        <v>24.829000000000001</v>
      </c>
      <c r="F13" s="48">
        <f>E13*$M$1</f>
        <v>24.864843310972134</v>
      </c>
      <c r="H13" s="4"/>
      <c r="I13" s="4"/>
      <c r="J13" s="4"/>
      <c r="K13" s="4"/>
      <c r="L13" s="15">
        <v>1</v>
      </c>
      <c r="M13" s="15">
        <v>18</v>
      </c>
    </row>
    <row r="14" spans="1:16" x14ac:dyDescent="0.2">
      <c r="A14" s="61" t="s">
        <v>43</v>
      </c>
      <c r="B14" s="61"/>
      <c r="C14" s="61"/>
      <c r="D14" s="61"/>
      <c r="E14" s="61"/>
      <c r="F14" s="61"/>
      <c r="H14" s="4"/>
      <c r="I14" s="4"/>
      <c r="J14" s="4"/>
      <c r="K14" s="4"/>
      <c r="L14">
        <v>2</v>
      </c>
      <c r="M14">
        <v>18.5</v>
      </c>
    </row>
    <row r="15" spans="1:16" x14ac:dyDescent="0.2">
      <c r="A15" s="47">
        <v>1</v>
      </c>
      <c r="B15" s="47">
        <v>7.2027000000000001</v>
      </c>
      <c r="C15" s="47">
        <v>12.135199999999999</v>
      </c>
      <c r="D15" s="47">
        <v>5</v>
      </c>
      <c r="E15" s="15">
        <f>C15-$B$15</f>
        <v>4.9324999999999992</v>
      </c>
      <c r="F15" s="48">
        <f>E15*$M$1</f>
        <v>4.9396205900910237</v>
      </c>
      <c r="H15" s="4"/>
      <c r="I15" s="4"/>
      <c r="J15" s="4"/>
      <c r="K15" s="4"/>
      <c r="L15" s="15">
        <v>3</v>
      </c>
      <c r="M15" s="15">
        <v>18</v>
      </c>
    </row>
    <row r="16" spans="1:16" x14ac:dyDescent="0.2">
      <c r="A16" s="1">
        <v>2</v>
      </c>
      <c r="C16" s="1">
        <v>16.915500000000002</v>
      </c>
      <c r="D16" s="1">
        <v>10</v>
      </c>
      <c r="E16">
        <f>C16-$B$15</f>
        <v>9.7128000000000014</v>
      </c>
      <c r="F16" s="4">
        <f>E16*$M$1</f>
        <v>9.7268214632409755</v>
      </c>
      <c r="H16" s="4"/>
      <c r="I16" s="4"/>
      <c r="J16" s="4"/>
      <c r="K16" s="4"/>
      <c r="L16">
        <v>4</v>
      </c>
      <c r="M16">
        <v>18.5</v>
      </c>
    </row>
    <row r="17" spans="1:13" x14ac:dyDescent="0.2">
      <c r="A17" s="47">
        <v>3</v>
      </c>
      <c r="B17" s="15"/>
      <c r="C17" s="49">
        <v>21.85</v>
      </c>
      <c r="D17" s="47">
        <v>15</v>
      </c>
      <c r="E17" s="15">
        <f>C17-$B$15</f>
        <v>14.647300000000001</v>
      </c>
      <c r="F17" s="48">
        <f>E17*$M$1</f>
        <v>14.668444940545417</v>
      </c>
      <c r="H17" s="4"/>
      <c r="I17" s="4"/>
      <c r="J17" s="4"/>
      <c r="K17" s="4"/>
      <c r="L17" s="15">
        <v>5</v>
      </c>
      <c r="M17" s="15">
        <v>18</v>
      </c>
    </row>
    <row r="18" spans="1:13" x14ac:dyDescent="0.2">
      <c r="A18" s="1">
        <v>4</v>
      </c>
      <c r="C18" s="1">
        <v>26.846800000000002</v>
      </c>
      <c r="D18" s="1">
        <v>20</v>
      </c>
      <c r="E18">
        <f>C18-$B$15</f>
        <v>19.644100000000002</v>
      </c>
      <c r="F18" s="4">
        <f>E18*$M$1</f>
        <v>19.672458354547814</v>
      </c>
      <c r="H18" s="4"/>
      <c r="I18" s="4"/>
      <c r="J18" s="4"/>
      <c r="K18" s="4"/>
      <c r="L18">
        <v>6</v>
      </c>
      <c r="M18">
        <v>18.5</v>
      </c>
    </row>
    <row r="19" spans="1:13" x14ac:dyDescent="0.2">
      <c r="A19" s="47">
        <v>5</v>
      </c>
      <c r="B19" s="15"/>
      <c r="C19" s="47">
        <v>31.4391</v>
      </c>
      <c r="D19" s="47">
        <v>25</v>
      </c>
      <c r="E19" s="15">
        <f>C19-$B$15</f>
        <v>24.2364</v>
      </c>
      <c r="F19" s="48">
        <f>E19*$M$1</f>
        <v>24.271387829636513</v>
      </c>
      <c r="H19" s="4"/>
      <c r="I19" s="4"/>
      <c r="J19" s="4"/>
      <c r="K19" s="4"/>
      <c r="L19" s="15">
        <v>7</v>
      </c>
      <c r="M19" s="15">
        <v>18</v>
      </c>
    </row>
    <row r="20" spans="1:13" x14ac:dyDescent="0.2">
      <c r="G20" s="4"/>
      <c r="I20" s="4"/>
      <c r="J20" s="4"/>
      <c r="K20" s="4"/>
      <c r="L20" s="3" t="s">
        <v>22</v>
      </c>
      <c r="M20">
        <f>AVERAGE(M13:M19)</f>
        <v>18.214285714285715</v>
      </c>
    </row>
    <row r="24" spans="1:13" x14ac:dyDescent="0.2">
      <c r="H24" s="25" t="s">
        <v>41</v>
      </c>
      <c r="I24" s="25" t="s">
        <v>40</v>
      </c>
    </row>
    <row r="25" spans="1:13" x14ac:dyDescent="0.2">
      <c r="H25" s="7">
        <v>5</v>
      </c>
      <c r="I25" s="45">
        <v>4.9366162592708989</v>
      </c>
    </row>
    <row r="26" spans="1:13" x14ac:dyDescent="0.2">
      <c r="H26" s="7">
        <v>10</v>
      </c>
      <c r="I26" s="45">
        <v>9.9247067199266255</v>
      </c>
    </row>
    <row r="27" spans="1:13" x14ac:dyDescent="0.2">
      <c r="H27" s="7">
        <v>15</v>
      </c>
      <c r="I27" s="45">
        <v>14.86292528896826</v>
      </c>
    </row>
    <row r="28" spans="1:13" x14ac:dyDescent="0.2">
      <c r="H28" s="7">
        <v>20</v>
      </c>
      <c r="I28" s="45">
        <v>19.831087021850486</v>
      </c>
    </row>
    <row r="29" spans="1:13" x14ac:dyDescent="0.2">
      <c r="H29" s="7">
        <v>25</v>
      </c>
      <c r="I29" s="45">
        <v>24.713324893277097</v>
      </c>
    </row>
    <row r="30" spans="1:13" x14ac:dyDescent="0.2">
      <c r="H30" s="7">
        <v>5</v>
      </c>
      <c r="I30" s="45">
        <v>4.9429253539931635</v>
      </c>
    </row>
    <row r="31" spans="1:13" x14ac:dyDescent="0.2">
      <c r="H31" s="7">
        <v>10</v>
      </c>
      <c r="I31" s="45">
        <v>9.9385266416992089</v>
      </c>
    </row>
    <row r="32" spans="1:13" x14ac:dyDescent="0.2">
      <c r="H32" s="7">
        <v>15</v>
      </c>
      <c r="I32" s="45">
        <v>14.905286353532039</v>
      </c>
    </row>
    <row r="33" spans="8:9" x14ac:dyDescent="0.2">
      <c r="H33" s="7">
        <v>20</v>
      </c>
      <c r="I33" s="45">
        <v>19.882260790153303</v>
      </c>
    </row>
    <row r="34" spans="8:9" x14ac:dyDescent="0.2">
      <c r="H34" s="7">
        <v>25</v>
      </c>
      <c r="I34" s="45">
        <v>24.864843310972134</v>
      </c>
    </row>
    <row r="35" spans="8:9" x14ac:dyDescent="0.2">
      <c r="H35" s="7">
        <v>5</v>
      </c>
      <c r="I35" s="45">
        <v>4.9396205900910237</v>
      </c>
    </row>
    <row r="36" spans="8:9" x14ac:dyDescent="0.2">
      <c r="H36" s="7">
        <v>10</v>
      </c>
      <c r="I36" s="45">
        <v>9.7268214632409755</v>
      </c>
    </row>
    <row r="37" spans="8:9" x14ac:dyDescent="0.2">
      <c r="H37" s="7">
        <v>15</v>
      </c>
      <c r="I37" s="45">
        <v>14.668444940545417</v>
      </c>
    </row>
    <row r="38" spans="8:9" x14ac:dyDescent="0.2">
      <c r="H38" s="7">
        <v>20</v>
      </c>
      <c r="I38" s="45">
        <v>19.672458354547814</v>
      </c>
    </row>
    <row r="39" spans="8:9" x14ac:dyDescent="0.2">
      <c r="H39" s="7">
        <v>25</v>
      </c>
      <c r="I39" s="45">
        <v>24.271387829636513</v>
      </c>
    </row>
  </sheetData>
  <mergeCells count="3">
    <mergeCell ref="A1:F1"/>
    <mergeCell ref="A14:F14"/>
    <mergeCell ref="A8:F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4EC7-82A4-4516-B0E0-484A5E1E7BE4}">
  <dimension ref="A1:G18"/>
  <sheetViews>
    <sheetView tabSelected="1" workbookViewId="0">
      <selection activeCell="E5" sqref="E5:G18"/>
    </sheetView>
  </sheetViews>
  <sheetFormatPr baseColWidth="10" defaultRowHeight="12.75" x14ac:dyDescent="0.2"/>
  <cols>
    <col min="5" max="5" width="31.42578125" customWidth="1"/>
  </cols>
  <sheetData>
    <row r="1" spans="1:7" x14ac:dyDescent="0.2">
      <c r="A1" t="s">
        <v>4</v>
      </c>
      <c r="B1" t="s">
        <v>5</v>
      </c>
    </row>
    <row r="2" spans="1:7" x14ac:dyDescent="0.2">
      <c r="A2">
        <v>4.9877900275737161</v>
      </c>
      <c r="B2">
        <v>4.9021665992001155</v>
      </c>
    </row>
    <row r="3" spans="1:7" x14ac:dyDescent="0.2">
      <c r="A3">
        <v>4.900163711986699</v>
      </c>
      <c r="B3">
        <v>4.9201925841208745</v>
      </c>
    </row>
    <row r="4" spans="1:7" x14ac:dyDescent="0.2">
      <c r="A4">
        <v>4.9248993690724063</v>
      </c>
      <c r="B4">
        <v>4.9551429659950097</v>
      </c>
    </row>
    <row r="5" spans="1:7" x14ac:dyDescent="0.2">
      <c r="A5">
        <v>4.9614520607172761</v>
      </c>
      <c r="B5">
        <v>4.9212941720882535</v>
      </c>
      <c r="E5" t="s">
        <v>46</v>
      </c>
    </row>
    <row r="6" spans="1:7" ht="13.5" thickBot="1" x14ac:dyDescent="0.25">
      <c r="A6">
        <v>4.9456292517312761</v>
      </c>
      <c r="B6">
        <v>4.7214060281891834</v>
      </c>
    </row>
    <row r="7" spans="1:7" x14ac:dyDescent="0.2">
      <c r="A7">
        <v>4.9234973480230133</v>
      </c>
      <c r="B7">
        <v>4.8939547616251051</v>
      </c>
      <c r="E7" s="64"/>
      <c r="F7" s="64" t="s">
        <v>4</v>
      </c>
      <c r="G7" s="64" t="s">
        <v>5</v>
      </c>
    </row>
    <row r="8" spans="1:7" x14ac:dyDescent="0.2">
      <c r="A8">
        <v>4.944127086321215</v>
      </c>
      <c r="B8">
        <v>4.9201925841208745</v>
      </c>
      <c r="E8" s="62" t="s">
        <v>47</v>
      </c>
      <c r="F8" s="62">
        <v>4.93815848242523</v>
      </c>
      <c r="G8" s="62">
        <v>4.8866542377321966</v>
      </c>
    </row>
    <row r="9" spans="1:7" x14ac:dyDescent="0.2">
      <c r="A9">
        <v>4.9583475855364787</v>
      </c>
      <c r="B9">
        <v>4.9052710743809138</v>
      </c>
      <c r="E9" s="62" t="s">
        <v>48</v>
      </c>
      <c r="F9" s="62">
        <v>6.9091316914857875E-4</v>
      </c>
      <c r="G9" s="62">
        <v>4.1319450238228132E-3</v>
      </c>
    </row>
    <row r="10" spans="1:7" x14ac:dyDescent="0.2">
      <c r="A10">
        <v>4.9229966262196587</v>
      </c>
      <c r="B10">
        <v>4.8669157842439672</v>
      </c>
      <c r="E10" s="62" t="s">
        <v>49</v>
      </c>
      <c r="F10" s="62">
        <v>10</v>
      </c>
      <c r="G10" s="62">
        <v>10</v>
      </c>
    </row>
    <row r="11" spans="1:7" x14ac:dyDescent="0.2">
      <c r="A11">
        <v>4.9126817570705583</v>
      </c>
      <c r="B11">
        <v>4.8600058233576764</v>
      </c>
      <c r="E11" s="62" t="s">
        <v>50</v>
      </c>
      <c r="F11" s="62">
        <v>2.4114290964856958E-3</v>
      </c>
      <c r="G11" s="62"/>
    </row>
    <row r="12" spans="1:7" x14ac:dyDescent="0.2">
      <c r="E12" s="62" t="s">
        <v>51</v>
      </c>
      <c r="F12" s="62">
        <v>0</v>
      </c>
      <c r="G12" s="62"/>
    </row>
    <row r="13" spans="1:7" x14ac:dyDescent="0.2">
      <c r="E13" s="62" t="s">
        <v>52</v>
      </c>
      <c r="F13" s="62">
        <v>18</v>
      </c>
      <c r="G13" s="62"/>
    </row>
    <row r="14" spans="1:7" x14ac:dyDescent="0.2">
      <c r="E14" s="62" t="s">
        <v>53</v>
      </c>
      <c r="F14" s="62">
        <v>2.3452588117646669</v>
      </c>
      <c r="G14" s="62"/>
    </row>
    <row r="15" spans="1:7" x14ac:dyDescent="0.2">
      <c r="E15" s="62" t="s">
        <v>54</v>
      </c>
      <c r="F15" s="62">
        <v>1.5337723268912841E-2</v>
      </c>
      <c r="G15" s="62"/>
    </row>
    <row r="16" spans="1:7" x14ac:dyDescent="0.2">
      <c r="E16" s="62" t="s">
        <v>55</v>
      </c>
      <c r="F16" s="62">
        <v>1.7340636066175394</v>
      </c>
      <c r="G16" s="62"/>
    </row>
    <row r="17" spans="5:7" x14ac:dyDescent="0.2">
      <c r="E17" s="62" t="s">
        <v>56</v>
      </c>
      <c r="F17" s="62">
        <v>3.0675446537825682E-2</v>
      </c>
      <c r="G17" s="62"/>
    </row>
    <row r="18" spans="5:7" ht="13.5" thickBot="1" x14ac:dyDescent="0.25">
      <c r="E18" s="63" t="s">
        <v>57</v>
      </c>
      <c r="F18" s="63">
        <v>2.1009220402410378</v>
      </c>
      <c r="G18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Pipeta y balón</vt:lpstr>
      <vt:lpstr>Hoja2</vt:lpstr>
      <vt:lpstr>Corrección con factor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VARGAS NIEVES</cp:lastModifiedBy>
  <dcterms:modified xsi:type="dcterms:W3CDTF">2022-09-04T22:54:12Z</dcterms:modified>
</cp:coreProperties>
</file>