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1" activeTab="3"/>
  </bookViews>
  <sheets>
    <sheet name="封面1" sheetId="13" r:id="rId1"/>
    <sheet name="封面2" sheetId="14" r:id="rId2"/>
    <sheet name="35kV海缆载流量查询表" sheetId="7" r:id="rId3"/>
    <sheet name="66kV海缆载流量查询表" sheetId="8" r:id="rId4"/>
    <sheet name="220kV海缆载流量查询表" sheetId="9" r:id="rId5"/>
    <sheet name="500kV海缆载流量查询表" sheetId="12" r:id="rId6"/>
    <sheet name="J型管（数据表）" sheetId="6" r:id="rId7"/>
    <sheet name="220kV滩涂直埋、电缆沟（数据表）" sheetId="10" r:id="rId8"/>
    <sheet name="500kV滩涂直埋、电缆沟（数据表）" sheetId="11" r:id="rId9"/>
  </sheets>
  <calcPr calcId="144525"/>
</workbook>
</file>

<file path=xl/sharedStrings.xml><?xml version="1.0" encoding="utf-8"?>
<sst xmlns="http://schemas.openxmlformats.org/spreadsheetml/2006/main" count="280" uniqueCount="106">
  <si>
    <t>华东勘测设计研究院</t>
  </si>
  <si>
    <t>新能源工程院电气室</t>
  </si>
  <si>
    <t>基于Cymcap 35kV、66kV、220kV和500kV</t>
  </si>
  <si>
    <t>海缆载流量表</t>
  </si>
  <si>
    <r>
      <rPr>
        <sz val="16"/>
        <rFont val="宋体"/>
        <charset val="134"/>
      </rPr>
      <t>二○二一年十一月</t>
    </r>
    <r>
      <rPr>
        <sz val="16"/>
        <rFont val="Times New Roman"/>
        <charset val="134"/>
      </rPr>
      <t xml:space="preserve">  </t>
    </r>
    <r>
      <rPr>
        <sz val="16"/>
        <rFont val="宋体"/>
        <charset val="134"/>
      </rPr>
      <t>杭州</t>
    </r>
  </si>
  <si>
    <t>审     核：</t>
  </si>
  <si>
    <t>校     核：</t>
  </si>
  <si>
    <t>林斌</t>
  </si>
  <si>
    <t>设计/编写：</t>
  </si>
  <si>
    <t>黄松阁、何玉叶、王思逸</t>
  </si>
  <si>
    <t>35kV海缆载流量查询表</t>
  </si>
  <si>
    <r>
      <rPr>
        <b/>
        <sz val="11"/>
        <color theme="1"/>
        <rFont val="宋体"/>
        <charset val="134"/>
      </rPr>
      <t>序号</t>
    </r>
  </si>
  <si>
    <t>海缆规格（钢丝铠装）</t>
  </si>
  <si>
    <r>
      <rPr>
        <b/>
        <sz val="11"/>
        <color theme="1"/>
        <rFont val="宋体"/>
        <charset val="134"/>
      </rPr>
      <t>海底直埋敷设载流量</t>
    </r>
    <r>
      <rPr>
        <b/>
        <sz val="11"/>
        <color theme="1"/>
        <rFont val="Times New Roman"/>
        <charset val="134"/>
      </rPr>
      <t>/A</t>
    </r>
  </si>
  <si>
    <r>
      <rPr>
        <b/>
        <sz val="11"/>
        <color theme="1"/>
        <rFont val="Times New Roman"/>
        <charset val="134"/>
      </rPr>
      <t>J</t>
    </r>
    <r>
      <rPr>
        <b/>
        <sz val="11"/>
        <color theme="1"/>
        <rFont val="宋体"/>
        <charset val="134"/>
      </rPr>
      <t>型管敷设（管径</t>
    </r>
    <r>
      <rPr>
        <b/>
        <sz val="11"/>
        <color theme="1"/>
        <rFont val="Times New Roman"/>
        <charset val="134"/>
      </rPr>
      <t>2D)-</t>
    </r>
    <r>
      <rPr>
        <b/>
        <sz val="11"/>
        <color theme="1"/>
        <rFont val="宋体"/>
        <charset val="134"/>
      </rPr>
      <t>阳光直射</t>
    </r>
    <r>
      <rPr>
        <b/>
        <sz val="11"/>
        <color theme="1"/>
        <rFont val="Times New Roman"/>
        <charset val="134"/>
      </rPr>
      <t>,</t>
    </r>
    <r>
      <rPr>
        <b/>
        <sz val="11"/>
        <color rgb="FFFF0000"/>
        <rFont val="宋体"/>
        <charset val="134"/>
      </rPr>
      <t>温度</t>
    </r>
  </si>
  <si>
    <t>海底直埋敷设损耗(W/m)</t>
  </si>
  <si>
    <t>电阻Rac(90°)/Ohm/km</t>
  </si>
  <si>
    <r>
      <rPr>
        <b/>
        <sz val="11"/>
        <color theme="1"/>
        <rFont val="宋体"/>
        <charset val="134"/>
      </rPr>
      <t>电感</t>
    </r>
    <r>
      <rPr>
        <b/>
        <sz val="11"/>
        <color theme="1"/>
        <rFont val="Times New Roman"/>
        <charset val="134"/>
      </rPr>
      <t xml:space="preserve"> mh/km</t>
    </r>
  </si>
  <si>
    <r>
      <rPr>
        <b/>
        <sz val="11"/>
        <color theme="1"/>
        <rFont val="宋体"/>
        <charset val="134"/>
      </rPr>
      <t>电容</t>
    </r>
    <r>
      <rPr>
        <b/>
        <sz val="11"/>
        <color theme="1"/>
        <rFont val="Times New Roman"/>
        <charset val="134"/>
      </rPr>
      <t>uf/km</t>
    </r>
  </si>
  <si>
    <r>
      <rPr>
        <b/>
        <sz val="11"/>
        <color theme="1"/>
        <rFont val="宋体"/>
        <charset val="134"/>
      </rPr>
      <t>海床最高温度</t>
    </r>
    <r>
      <rPr>
        <b/>
        <sz val="11"/>
        <color theme="1"/>
        <rFont val="Times New Roman"/>
        <charset val="134"/>
      </rPr>
      <t>25</t>
    </r>
    <r>
      <rPr>
        <b/>
        <sz val="11"/>
        <color theme="1"/>
        <rFont val="宋体"/>
        <charset val="134"/>
      </rPr>
      <t>度，热阻系数</t>
    </r>
    <r>
      <rPr>
        <b/>
        <sz val="11"/>
        <color theme="1"/>
        <rFont val="Times New Roman"/>
        <charset val="134"/>
      </rPr>
      <t>0.7k.m/W,</t>
    </r>
    <r>
      <rPr>
        <b/>
        <sz val="11"/>
        <color theme="1"/>
        <rFont val="宋体"/>
        <charset val="134"/>
      </rPr>
      <t>埋深：</t>
    </r>
    <r>
      <rPr>
        <b/>
        <sz val="11"/>
        <color theme="1"/>
        <rFont val="Times New Roman"/>
        <charset val="134"/>
      </rPr>
      <t>3m</t>
    </r>
    <r>
      <rPr>
        <b/>
        <sz val="11"/>
        <color theme="1"/>
        <rFont val="Times New Roman"/>
        <charset val="134"/>
      </rPr>
      <t>,</t>
    </r>
    <r>
      <rPr>
        <b/>
        <sz val="11"/>
        <color theme="1"/>
        <rFont val="宋体"/>
        <charset val="134"/>
      </rPr>
      <t>单回路</t>
    </r>
  </si>
  <si>
    <t>导体总损耗/三相</t>
  </si>
  <si>
    <t>海缆总损耗/三相</t>
  </si>
  <si>
    <t>损耗系数</t>
  </si>
  <si>
    <t>HYJQF41-3X70 26/35kV</t>
  </si>
  <si>
    <t>HYJQF41-3X95 26/35kV</t>
  </si>
  <si>
    <t>HYJQF41-3X120 26/35kV</t>
  </si>
  <si>
    <t>HYJQF41-3X150 26/35kV</t>
  </si>
  <si>
    <t>HYJQF41-3X185 26/35kV</t>
  </si>
  <si>
    <t>HYJQF41-3X240 26/35kV</t>
  </si>
  <si>
    <t>HYJQF41-3X300 26/35kV</t>
  </si>
  <si>
    <t>HYJQF41-3X400 26/35kV</t>
  </si>
  <si>
    <t>HYJQF41-3X500  26/35kV</t>
  </si>
  <si>
    <t>HYJQF41-3X630  26/35kV</t>
  </si>
  <si>
    <t>注：J型管敷设温度可调</t>
  </si>
  <si>
    <t>66kV海缆载流量查询表</t>
  </si>
  <si>
    <t>序号</t>
  </si>
  <si>
    <r>
      <rPr>
        <b/>
        <sz val="11"/>
        <color theme="1"/>
        <rFont val="Times New Roman"/>
        <charset val="134"/>
      </rPr>
      <t>J</t>
    </r>
    <r>
      <rPr>
        <b/>
        <sz val="11"/>
        <color theme="1"/>
        <rFont val="宋体"/>
        <charset val="134"/>
      </rPr>
      <t>型</t>
    </r>
    <r>
      <rPr>
        <b/>
        <sz val="11"/>
        <color theme="1"/>
        <rFont val="宋体"/>
        <charset val="134"/>
      </rPr>
      <t>管敷设</t>
    </r>
    <r>
      <rPr>
        <b/>
        <sz val="11"/>
        <color theme="1"/>
        <rFont val="宋体"/>
        <charset val="134"/>
      </rPr>
      <t>（管径</t>
    </r>
    <r>
      <rPr>
        <b/>
        <sz val="11"/>
        <color theme="1"/>
        <rFont val="Times New Roman"/>
        <charset val="134"/>
      </rPr>
      <t>2D)-</t>
    </r>
    <r>
      <rPr>
        <b/>
        <sz val="11"/>
        <color theme="1"/>
        <rFont val="宋体"/>
        <charset val="134"/>
      </rPr>
      <t>阳光直射</t>
    </r>
    <r>
      <rPr>
        <b/>
        <sz val="11"/>
        <color theme="1"/>
        <rFont val="Times New Roman"/>
        <charset val="134"/>
      </rPr>
      <t>,</t>
    </r>
    <r>
      <rPr>
        <b/>
        <sz val="11"/>
        <color rgb="FFFF0000"/>
        <rFont val="宋体"/>
        <charset val="134"/>
      </rPr>
      <t>温度</t>
    </r>
  </si>
  <si>
    <r>
      <rPr>
        <b/>
        <sz val="11"/>
        <color theme="1"/>
        <rFont val="宋体"/>
        <charset val="134"/>
      </rPr>
      <t>海床最高温度</t>
    </r>
    <r>
      <rPr>
        <b/>
        <sz val="11"/>
        <color theme="1"/>
        <rFont val="Times New Roman"/>
        <charset val="134"/>
      </rPr>
      <t>25</t>
    </r>
    <r>
      <rPr>
        <b/>
        <sz val="11"/>
        <color theme="1"/>
        <rFont val="宋体"/>
        <charset val="134"/>
      </rPr>
      <t>度，热阻系数</t>
    </r>
    <r>
      <rPr>
        <b/>
        <sz val="11"/>
        <color theme="1"/>
        <rFont val="Times New Roman"/>
        <charset val="134"/>
      </rPr>
      <t>0.7°C.m/W,</t>
    </r>
    <r>
      <rPr>
        <b/>
        <sz val="11"/>
        <color theme="1"/>
        <rFont val="宋体"/>
        <charset val="134"/>
      </rPr>
      <t>埋深：</t>
    </r>
    <r>
      <rPr>
        <b/>
        <sz val="11"/>
        <color theme="1"/>
        <rFont val="Times New Roman"/>
        <charset val="134"/>
      </rPr>
      <t>3m,</t>
    </r>
    <r>
      <rPr>
        <b/>
        <sz val="11"/>
        <color theme="1"/>
        <rFont val="宋体"/>
        <charset val="134"/>
      </rPr>
      <t>单回路</t>
    </r>
  </si>
  <si>
    <t>单位电抗Xl</t>
  </si>
  <si>
    <t>最大传输功率(MVA)</t>
  </si>
  <si>
    <t>HYJQF41-3X70 38/66kV</t>
  </si>
  <si>
    <t>HYJQF41-3X95 38/66kV</t>
  </si>
  <si>
    <t>HYJQF41-3X120 38/66kV</t>
  </si>
  <si>
    <t>HYJQF41-3X150 38/66kV</t>
  </si>
  <si>
    <t>HYJQF41-3X185 38/66kV</t>
  </si>
  <si>
    <t>HYJQF41-3X240 38/66kV</t>
  </si>
  <si>
    <t>HYJQF41-3X300 38/66kV</t>
  </si>
  <si>
    <t>HYJQF41-3X400 38/66kV</t>
  </si>
  <si>
    <t>HYJQF41-3X500 38/66kV</t>
  </si>
  <si>
    <t>HYJQF41-3X630 38/66kV</t>
  </si>
  <si>
    <t>HYJQF41-3X800 38/66kV</t>
  </si>
  <si>
    <t>HYJQF41-3X1000 38/66kV</t>
  </si>
  <si>
    <t>HYJQF41-3X1200 38/66kV</t>
  </si>
  <si>
    <t>220kV海缆载流量查询表</t>
  </si>
  <si>
    <r>
      <rPr>
        <b/>
        <sz val="11"/>
        <color theme="1"/>
        <rFont val="宋体"/>
        <charset val="134"/>
      </rPr>
      <t>浅滩涂段直埋</t>
    </r>
    <r>
      <rPr>
        <b/>
        <sz val="11"/>
        <color theme="1"/>
        <rFont val="Times New Roman"/>
        <charset val="134"/>
      </rPr>
      <t>,30</t>
    </r>
    <r>
      <rPr>
        <b/>
        <sz val="11"/>
        <color theme="1"/>
        <rFont val="宋体"/>
        <charset val="134"/>
      </rPr>
      <t>度，热阻</t>
    </r>
    <r>
      <rPr>
        <b/>
        <sz val="11"/>
        <color theme="1"/>
        <rFont val="Times New Roman"/>
        <charset val="134"/>
      </rPr>
      <t>0.8k.m/W,</t>
    </r>
    <r>
      <rPr>
        <b/>
        <sz val="11"/>
        <color theme="1"/>
        <rFont val="宋体"/>
        <charset val="134"/>
      </rPr>
      <t>埋深：</t>
    </r>
    <r>
      <rPr>
        <b/>
        <sz val="11"/>
        <color theme="1"/>
        <rFont val="Times New Roman"/>
        <charset val="134"/>
      </rPr>
      <t>2m</t>
    </r>
  </si>
  <si>
    <r>
      <rPr>
        <b/>
        <sz val="11"/>
        <color theme="1"/>
        <rFont val="宋体"/>
        <charset val="134"/>
      </rPr>
      <t>登陆段滩涂直埋</t>
    </r>
    <r>
      <rPr>
        <b/>
        <sz val="11"/>
        <color theme="1"/>
        <rFont val="Times New Roman"/>
        <charset val="134"/>
      </rPr>
      <t>,30</t>
    </r>
    <r>
      <rPr>
        <b/>
        <sz val="11"/>
        <color theme="1"/>
        <rFont val="宋体"/>
        <charset val="134"/>
      </rPr>
      <t>度，热阻</t>
    </r>
    <r>
      <rPr>
        <b/>
        <sz val="11"/>
        <color theme="1"/>
        <rFont val="Times New Roman"/>
        <charset val="134"/>
      </rPr>
      <t>1.2k.m/W,</t>
    </r>
    <r>
      <rPr>
        <b/>
        <sz val="11"/>
        <color theme="1"/>
        <rFont val="宋体"/>
        <charset val="134"/>
      </rPr>
      <t>埋深：</t>
    </r>
    <r>
      <rPr>
        <b/>
        <sz val="11"/>
        <color theme="1"/>
        <rFont val="Times New Roman"/>
        <charset val="134"/>
      </rPr>
      <t>2m</t>
    </r>
  </si>
  <si>
    <t>电缆沟中(35℃，1600*1000(BXH))A</t>
  </si>
  <si>
    <t>海床最高温度25度，热阻系数0.7°C.m/W,埋深：3m,单回路</t>
  </si>
  <si>
    <t>1根</t>
  </si>
  <si>
    <t>间距为2m 2根</t>
  </si>
  <si>
    <t>2根</t>
  </si>
  <si>
    <t>HYJQF41-3X400 127/220kV</t>
  </si>
  <si>
    <t>HYJQF41-3X500 127/220kV</t>
  </si>
  <si>
    <t>HYJQF41-3X630 127/220kV</t>
  </si>
  <si>
    <t>HYJQF41-3X800 127/220kV</t>
  </si>
  <si>
    <t>HYJQF41-3X1000 127/220kV</t>
  </si>
  <si>
    <t>HYJQF41-3X1200 127/220kV</t>
  </si>
  <si>
    <t>HYJQF41-3X1400 127/220kV</t>
  </si>
  <si>
    <t>注：</t>
  </si>
  <si>
    <t>J型管敷设温度可调</t>
  </si>
  <si>
    <t>浅滩涂段直埋敷设工况可调</t>
  </si>
  <si>
    <t>登陆段滩涂直埋敷设工况可调</t>
  </si>
  <si>
    <t>电缆沟敷设工况可调</t>
  </si>
  <si>
    <t>500kV海缆载流量查询表</t>
  </si>
  <si>
    <t>海缆规格（铜丝铠装）</t>
  </si>
  <si>
    <t>间距为2m 3根</t>
  </si>
  <si>
    <t>3根</t>
  </si>
  <si>
    <t>导体总损耗/单相</t>
  </si>
  <si>
    <t>海缆总损耗/单相</t>
  </si>
  <si>
    <t>HYJQF41-1X1200 290/500kV</t>
  </si>
  <si>
    <t>HYJQF41-1X1400 290/500kV</t>
  </si>
  <si>
    <t>HYJQF41-1X1600 290/500kV</t>
  </si>
  <si>
    <t>HYJQF41-3X800 290/500kV</t>
  </si>
  <si>
    <t>HYJQF41-3X1000 290/500kV</t>
  </si>
  <si>
    <t>HYJQF41-3X1200 290/500kV</t>
  </si>
  <si>
    <t>J型管敷设（管径2D)-阳光直射</t>
  </si>
  <si>
    <r>
      <rPr>
        <b/>
        <sz val="11"/>
        <color theme="1"/>
        <rFont val="宋体"/>
        <charset val="134"/>
      </rPr>
      <t>海缆规格</t>
    </r>
  </si>
  <si>
    <t>变量：温度</t>
  </si>
  <si>
    <t>220kV海缆规格</t>
  </si>
  <si>
    <t>浅滩涂段直埋载流量/A,根数（热阻0.8k.m/W）</t>
  </si>
  <si>
    <t>间距为2m 4根</t>
  </si>
  <si>
    <t>间距为5m 2根</t>
  </si>
  <si>
    <t>间距为5m 4根</t>
  </si>
  <si>
    <t>登陆段滩涂直埋载流量/A,根数（热阻1.2k.m/W）</t>
  </si>
  <si>
    <t>电缆沟中载流量/A,根数（35℃，1600*1000(BXH)）</t>
  </si>
  <si>
    <t>4根</t>
  </si>
  <si>
    <t>500kV海缆规格</t>
  </si>
  <si>
    <r>
      <rPr>
        <b/>
        <sz val="11"/>
        <color theme="1"/>
        <rFont val="宋体"/>
        <charset val="134"/>
      </rPr>
      <t xml:space="preserve">间距为2m </t>
    </r>
    <r>
      <rPr>
        <b/>
        <sz val="11"/>
        <color theme="1"/>
        <rFont val="宋体"/>
        <charset val="134"/>
      </rPr>
      <t>3</t>
    </r>
    <r>
      <rPr>
        <b/>
        <sz val="11"/>
        <color theme="1"/>
        <rFont val="宋体"/>
        <charset val="134"/>
      </rPr>
      <t>根</t>
    </r>
  </si>
  <si>
    <r>
      <rPr>
        <b/>
        <sz val="11"/>
        <color theme="1"/>
        <rFont val="宋体"/>
        <charset val="134"/>
      </rPr>
      <t xml:space="preserve">间距为2m </t>
    </r>
    <r>
      <rPr>
        <b/>
        <sz val="11"/>
        <color theme="1"/>
        <rFont val="宋体"/>
        <charset val="134"/>
      </rPr>
      <t>6</t>
    </r>
    <r>
      <rPr>
        <b/>
        <sz val="11"/>
        <color theme="1"/>
        <rFont val="宋体"/>
        <charset val="134"/>
      </rPr>
      <t>根</t>
    </r>
  </si>
  <si>
    <r>
      <rPr>
        <b/>
        <sz val="11"/>
        <color theme="1"/>
        <rFont val="宋体"/>
        <charset val="134"/>
      </rPr>
      <t xml:space="preserve">间距为5m </t>
    </r>
    <r>
      <rPr>
        <b/>
        <sz val="11"/>
        <color theme="1"/>
        <rFont val="宋体"/>
        <charset val="134"/>
      </rPr>
      <t>3</t>
    </r>
    <r>
      <rPr>
        <b/>
        <sz val="11"/>
        <color theme="1"/>
        <rFont val="宋体"/>
        <charset val="134"/>
      </rPr>
      <t>根</t>
    </r>
  </si>
  <si>
    <r>
      <rPr>
        <b/>
        <sz val="11"/>
        <color theme="1"/>
        <rFont val="宋体"/>
        <charset val="134"/>
      </rPr>
      <t xml:space="preserve">间距为5m </t>
    </r>
    <r>
      <rPr>
        <b/>
        <sz val="11"/>
        <color theme="1"/>
        <rFont val="宋体"/>
        <charset val="134"/>
      </rPr>
      <t>6</t>
    </r>
    <r>
      <rPr>
        <b/>
        <sz val="11"/>
        <color theme="1"/>
        <rFont val="宋体"/>
        <charset val="134"/>
      </rPr>
      <t>根</t>
    </r>
  </si>
  <si>
    <r>
      <rPr>
        <b/>
        <sz val="11"/>
        <color theme="1"/>
        <rFont val="宋体"/>
        <charset val="134"/>
      </rPr>
      <t>1</t>
    </r>
    <r>
      <rPr>
        <b/>
        <sz val="11"/>
        <color theme="1"/>
        <rFont val="宋体"/>
        <charset val="134"/>
      </rPr>
      <t>根</t>
    </r>
  </si>
  <si>
    <r>
      <rPr>
        <b/>
        <sz val="11"/>
        <color theme="1"/>
        <rFont val="宋体"/>
        <charset val="134"/>
      </rPr>
      <t>间距为2m 2</t>
    </r>
    <r>
      <rPr>
        <b/>
        <sz val="11"/>
        <color theme="1"/>
        <rFont val="宋体"/>
        <charset val="134"/>
      </rPr>
      <t>根</t>
    </r>
  </si>
  <si>
    <r>
      <rPr>
        <b/>
        <sz val="11"/>
        <color theme="1"/>
        <rFont val="宋体"/>
        <charset val="134"/>
      </rPr>
      <t>间距为5m 2</t>
    </r>
    <r>
      <rPr>
        <b/>
        <sz val="11"/>
        <color theme="1"/>
        <rFont val="宋体"/>
        <charset val="134"/>
      </rPr>
      <t>根</t>
    </r>
  </si>
  <si>
    <r>
      <rPr>
        <b/>
        <sz val="11"/>
        <color theme="1"/>
        <rFont val="宋体"/>
        <charset val="134"/>
      </rPr>
      <t>3</t>
    </r>
    <r>
      <rPr>
        <b/>
        <sz val="11"/>
        <color theme="1"/>
        <rFont val="宋体"/>
        <charset val="134"/>
      </rPr>
      <t>根</t>
    </r>
  </si>
  <si>
    <r>
      <rPr>
        <b/>
        <sz val="11"/>
        <color theme="1"/>
        <rFont val="宋体"/>
        <charset val="134"/>
      </rPr>
      <t>6</t>
    </r>
    <r>
      <rPr>
        <b/>
        <sz val="11"/>
        <color theme="1"/>
        <rFont val="宋体"/>
        <charset val="134"/>
      </rPr>
      <t>根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</si>
</sst>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_ "/>
  </numFmts>
  <fonts count="4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1"/>
      <color rgb="FF0070C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Times New Roman"/>
      <charset val="134"/>
    </font>
    <font>
      <sz val="12"/>
      <color theme="1"/>
      <name val="宋体"/>
      <charset val="134"/>
      <scheme val="minor"/>
    </font>
    <font>
      <sz val="16"/>
      <color theme="1"/>
      <name val="黑体"/>
      <charset val="134"/>
    </font>
    <font>
      <sz val="18"/>
      <color theme="1"/>
      <name val="宋体"/>
      <charset val="134"/>
      <scheme val="minor"/>
    </font>
    <font>
      <sz val="12"/>
      <name val="宋体"/>
      <charset val="134"/>
    </font>
    <font>
      <b/>
      <sz val="24"/>
      <name val="宋体"/>
      <charset val="134"/>
    </font>
    <font>
      <b/>
      <sz val="20"/>
      <name val="宋体"/>
      <charset val="134"/>
    </font>
    <font>
      <sz val="14"/>
      <name val="Times New Roman"/>
      <charset val="134"/>
    </font>
    <font>
      <sz val="14"/>
      <name val="宋体"/>
      <charset val="134"/>
    </font>
    <font>
      <b/>
      <sz val="22"/>
      <name val="宋体"/>
      <charset val="134"/>
    </font>
    <font>
      <sz val="18"/>
      <name val="黑体"/>
      <charset val="134"/>
    </font>
    <font>
      <sz val="18"/>
      <name val="宋体"/>
      <charset val="134"/>
    </font>
    <font>
      <sz val="1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  <font>
      <sz val="16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4" borderId="12" applyNumberFormat="0" applyAlignment="0" applyProtection="0">
      <alignment vertical="center"/>
    </xf>
    <xf numFmtId="0" fontId="30" fillId="5" borderId="13" applyNumberFormat="0" applyAlignment="0" applyProtection="0">
      <alignment vertical="center"/>
    </xf>
    <xf numFmtId="0" fontId="31" fillId="5" borderId="12" applyNumberFormat="0" applyAlignment="0" applyProtection="0">
      <alignment vertical="center"/>
    </xf>
    <xf numFmtId="0" fontId="32" fillId="6" borderId="14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2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177" fontId="0" fillId="0" borderId="0" xfId="0" applyNumberFormat="1"/>
    <xf numFmtId="0" fontId="0" fillId="2" borderId="0" xfId="0" applyFill="1"/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7" fontId="0" fillId="2" borderId="0" xfId="0" applyNumberFormat="1" applyFill="1"/>
    <xf numFmtId="177" fontId="7" fillId="2" borderId="0" xfId="0" applyNumberFormat="1" applyFont="1" applyFill="1"/>
    <xf numFmtId="176" fontId="3" fillId="0" borderId="1" xfId="0" applyNumberFormat="1" applyFont="1" applyBorder="1" applyAlignment="1">
      <alignment horizontal="center" vertical="center" wrapText="1"/>
    </xf>
    <xf numFmtId="0" fontId="0" fillId="0" borderId="0" xfId="0" applyFill="1" applyAlignment="1" applyProtection="1"/>
    <xf numFmtId="0" fontId="9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/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/>
    <xf numFmtId="0" fontId="16" fillId="0" borderId="0" xfId="0" applyFont="1" applyFill="1" applyBorder="1" applyAlignment="1" applyProtection="1"/>
    <xf numFmtId="0" fontId="16" fillId="0" borderId="0" xfId="0" applyFont="1" applyFill="1" applyAlignment="1" applyProtection="1"/>
    <xf numFmtId="0" fontId="17" fillId="0" borderId="0" xfId="0" applyFont="1" applyFill="1" applyBorder="1" applyAlignment="1" applyProtection="1">
      <alignment horizontal="center"/>
    </xf>
    <xf numFmtId="0" fontId="12" fillId="0" borderId="0" xfId="0" applyFont="1" applyFill="1" applyAlignment="1" applyProtection="1"/>
    <xf numFmtId="0" fontId="18" fillId="0" borderId="0" xfId="0" applyFont="1" applyFill="1" applyBorder="1" applyAlignment="1" applyProtection="1">
      <alignment horizontal="center"/>
    </xf>
    <xf numFmtId="0" fontId="19" fillId="0" borderId="0" xfId="0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vertical="center"/>
    </xf>
    <xf numFmtId="0" fontId="20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372110</xdr:colOff>
      <xdr:row>24</xdr:row>
      <xdr:rowOff>19050</xdr:rowOff>
    </xdr:from>
    <xdr:to>
      <xdr:col>8</xdr:col>
      <xdr:colOff>573405</xdr:colOff>
      <xdr:row>27</xdr:row>
      <xdr:rowOff>130810</xdr:rowOff>
    </xdr:to>
    <xdr:pic>
      <xdr:nvPicPr>
        <xdr:cNvPr id="2" name="图片 1" descr="有限公司 新标识1 一个标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3700" y="6032500"/>
          <a:ext cx="4076065" cy="797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K23" sqref="K23"/>
    </sheetView>
  </sheetViews>
  <sheetFormatPr defaultColWidth="9" defaultRowHeight="15.75"/>
  <cols>
    <col min="1" max="11" width="9" style="63" customWidth="1"/>
    <col min="12" max="16384" width="9" style="63"/>
  </cols>
  <sheetData>
    <row r="1" ht="30.75" spans="1:11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ht="30.75" spans="1:11">
      <c r="A2" s="64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ht="17.6" spans="1:1">
      <c r="A3" s="66"/>
    </row>
    <row r="4" ht="17.6" spans="1:1">
      <c r="A4" s="67"/>
    </row>
    <row r="5" ht="17.6" spans="1:1">
      <c r="A5" s="68"/>
    </row>
    <row r="6" ht="17.6" spans="1:1">
      <c r="A6" s="68"/>
    </row>
    <row r="7" ht="17.6" spans="1:1">
      <c r="A7" s="68"/>
    </row>
    <row r="10" ht="27.75" spans="1:11">
      <c r="A10" s="69" t="s">
        <v>2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ht="30.75" spans="1:11">
      <c r="A11" s="64" t="s">
        <v>3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</row>
    <row r="12" ht="18" customHeight="1" spans="1:1">
      <c r="A12" s="68"/>
    </row>
    <row r="13" ht="18" customHeight="1" spans="1:1">
      <c r="A13" s="68"/>
    </row>
    <row r="14" ht="18" customHeight="1" spans="1:1">
      <c r="A14" s="68"/>
    </row>
    <row r="15" ht="18" customHeight="1"/>
    <row r="16" ht="18" customHeight="1"/>
    <row r="17" ht="18" customHeight="1"/>
    <row r="18" ht="18" customHeight="1" spans="4:4">
      <c r="D18" s="70"/>
    </row>
    <row r="19" ht="18" customHeight="1" spans="4:4">
      <c r="D19" s="70"/>
    </row>
    <row r="20" ht="18" customHeight="1" spans="4:4">
      <c r="D20" s="70"/>
    </row>
    <row r="21" ht="18" customHeight="1" spans="4:4">
      <c r="D21" s="70"/>
    </row>
    <row r="22" ht="18" customHeight="1" spans="4:4">
      <c r="D22" s="70"/>
    </row>
    <row r="23" ht="18" customHeight="1" spans="4:4">
      <c r="D23" s="67"/>
    </row>
    <row r="24" ht="18" customHeight="1"/>
    <row r="25" ht="18" customHeight="1"/>
    <row r="26" ht="18" customHeight="1" spans="1:11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</row>
    <row r="27" ht="18" customHeight="1" spans="1:1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ht="18" customHeight="1" spans="6:6">
      <c r="F28" s="74"/>
    </row>
    <row r="29" ht="18" customHeight="1" spans="1:11">
      <c r="A29" s="75" t="s">
        <v>4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</row>
    <row r="30" ht="18" customHeight="1"/>
  </sheetData>
  <mergeCells count="7">
    <mergeCell ref="A1:K1"/>
    <mergeCell ref="A2:K2"/>
    <mergeCell ref="A10:K10"/>
    <mergeCell ref="A11:K11"/>
    <mergeCell ref="A26:K26"/>
    <mergeCell ref="A27:K27"/>
    <mergeCell ref="A29:K29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1:G17"/>
  <sheetViews>
    <sheetView workbookViewId="0">
      <selection activeCell="O24" sqref="O23:O24"/>
    </sheetView>
  </sheetViews>
  <sheetFormatPr defaultColWidth="9" defaultRowHeight="13.5" outlineLevelCol="6"/>
  <cols>
    <col min="1" max="5" width="9" style="59"/>
    <col min="6" max="6" width="17.2477876106195" style="59" customWidth="1"/>
    <col min="7" max="16384" width="9" style="59"/>
  </cols>
  <sheetData>
    <row r="11" ht="15.75" spans="4:7">
      <c r="D11" s="60"/>
      <c r="E11" s="60"/>
      <c r="F11" s="60"/>
      <c r="G11" s="60"/>
    </row>
    <row r="12" ht="20.25" spans="4:7">
      <c r="D12" s="61" t="s">
        <v>5</v>
      </c>
      <c r="E12" s="61"/>
      <c r="F12" s="61"/>
      <c r="G12" s="60"/>
    </row>
    <row r="13" ht="20.25" spans="4:7">
      <c r="D13" s="61"/>
      <c r="E13" s="61"/>
      <c r="F13" s="61"/>
      <c r="G13" s="60"/>
    </row>
    <row r="14" ht="20.25" spans="4:7">
      <c r="D14" s="61" t="s">
        <v>6</v>
      </c>
      <c r="E14" s="61"/>
      <c r="F14" s="61" t="s">
        <v>7</v>
      </c>
      <c r="G14" s="60"/>
    </row>
    <row r="15" ht="20.25" spans="4:7">
      <c r="D15" s="61"/>
      <c r="E15" s="61"/>
      <c r="F15" s="61"/>
      <c r="G15" s="60"/>
    </row>
    <row r="16" ht="20.25" spans="4:7">
      <c r="D16" s="61" t="s">
        <v>8</v>
      </c>
      <c r="E16" s="61"/>
      <c r="F16" s="61" t="s">
        <v>9</v>
      </c>
      <c r="G16" s="60"/>
    </row>
    <row r="17" ht="23.25" spans="4:7">
      <c r="D17" s="62"/>
      <c r="E17" s="62"/>
      <c r="F17" s="62"/>
      <c r="G17" s="6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E2" sqref="E2:G2"/>
    </sheetView>
  </sheetViews>
  <sheetFormatPr defaultColWidth="9" defaultRowHeight="13.5"/>
  <cols>
    <col min="1" max="1" width="13.7522123893805" customWidth="1"/>
    <col min="2" max="2" width="28.8761061946903" customWidth="1"/>
    <col min="3" max="3" width="24.7522123893805" customWidth="1"/>
    <col min="4" max="4" width="13.1238938053097" customWidth="1"/>
    <col min="5" max="5" width="13" customWidth="1"/>
    <col min="6" max="6" width="12.5044247787611" customWidth="1"/>
    <col min="8" max="8" width="11.3716814159292" customWidth="1"/>
    <col min="9" max="9" width="14.2477876106195" customWidth="1"/>
    <col min="10" max="10" width="14.6283185840708" customWidth="1"/>
  </cols>
  <sheetData>
    <row r="1" spans="1:10">
      <c r="A1" s="28" t="s">
        <v>10</v>
      </c>
      <c r="B1" s="28"/>
      <c r="C1" s="28"/>
      <c r="D1" s="28"/>
      <c r="E1" s="28"/>
      <c r="F1" s="28"/>
      <c r="G1" s="28"/>
      <c r="H1" s="28"/>
      <c r="I1" s="28"/>
      <c r="J1" s="28"/>
    </row>
    <row r="2" ht="63.75" customHeight="1" spans="1:10">
      <c r="A2" s="29" t="s">
        <v>11</v>
      </c>
      <c r="B2" s="30" t="s">
        <v>12</v>
      </c>
      <c r="C2" s="29" t="s">
        <v>13</v>
      </c>
      <c r="D2" s="31" t="s">
        <v>14</v>
      </c>
      <c r="E2" s="34" t="s">
        <v>15</v>
      </c>
      <c r="F2" s="34"/>
      <c r="G2" s="34"/>
      <c r="H2" s="42" t="s">
        <v>16</v>
      </c>
      <c r="I2" s="13" t="s">
        <v>17</v>
      </c>
      <c r="J2" s="13" t="s">
        <v>18</v>
      </c>
    </row>
    <row r="3" ht="52.5" customHeight="1" spans="1:10">
      <c r="A3" s="14"/>
      <c r="B3" s="14"/>
      <c r="C3" s="24" t="s">
        <v>19</v>
      </c>
      <c r="D3" s="37">
        <v>50</v>
      </c>
      <c r="E3" s="46" t="s">
        <v>20</v>
      </c>
      <c r="F3" s="46" t="s">
        <v>21</v>
      </c>
      <c r="G3" s="46" t="s">
        <v>22</v>
      </c>
      <c r="H3" s="47"/>
      <c r="I3" s="55"/>
      <c r="J3" s="55"/>
    </row>
    <row r="4" ht="13.85" spans="1:10">
      <c r="A4" s="14">
        <v>1</v>
      </c>
      <c r="B4" s="26" t="s">
        <v>23</v>
      </c>
      <c r="C4" s="4">
        <v>264</v>
      </c>
      <c r="D4" s="4">
        <f>VLOOKUP(B4,'J型管（数据表）'!$B$4:$E$13,IF($D$3=40,2,IF($D$3=45,3,4)),0)</f>
        <v>201</v>
      </c>
      <c r="E4" s="39">
        <f>23.922998590445*3</f>
        <v>71.768995771335</v>
      </c>
      <c r="F4" s="39">
        <v>73.70348246</v>
      </c>
      <c r="G4" s="48">
        <f>F4/E4</f>
        <v>1.02695435080112</v>
      </c>
      <c r="H4" s="4">
        <v>0.342</v>
      </c>
      <c r="I4" s="4">
        <v>0.485</v>
      </c>
      <c r="J4" s="4">
        <v>0.138</v>
      </c>
    </row>
    <row r="5" ht="13.85" spans="1:10">
      <c r="A5" s="14">
        <v>2</v>
      </c>
      <c r="B5" s="14" t="s">
        <v>24</v>
      </c>
      <c r="C5" s="4">
        <v>315</v>
      </c>
      <c r="D5" s="4">
        <f>VLOOKUP(B5,'J型管（数据表）'!$B$4:$E$13,IF($D$3=40,2,IF($D$3=45,3,4)),0)</f>
        <v>240</v>
      </c>
      <c r="E5" s="39">
        <f>24.52175*3</f>
        <v>73.56525</v>
      </c>
      <c r="F5" s="39">
        <v>76.12113334</v>
      </c>
      <c r="G5" s="48">
        <f t="shared" ref="G5:G13" si="0">F5/E5</f>
        <v>1.03474307964698</v>
      </c>
      <c r="H5" s="27">
        <v>0.247</v>
      </c>
      <c r="I5" s="4">
        <v>0.459</v>
      </c>
      <c r="J5" s="4">
        <v>0.15</v>
      </c>
    </row>
    <row r="6" ht="13.85" spans="1:10">
      <c r="A6" s="14">
        <v>3</v>
      </c>
      <c r="B6" s="14" t="s">
        <v>25</v>
      </c>
      <c r="C6" s="4">
        <v>355</v>
      </c>
      <c r="D6" s="4">
        <f>VLOOKUP(B6,'J型管（数据表）'!$B$4:$E$13,IF($D$3=40,2,IF($D$3=45,3,4)),0)</f>
        <v>275</v>
      </c>
      <c r="E6" s="39">
        <f>24.75044*3</f>
        <v>74.25132</v>
      </c>
      <c r="F6" s="39">
        <v>77.89308927</v>
      </c>
      <c r="G6" s="48">
        <f t="shared" si="0"/>
        <v>1.04904652563752</v>
      </c>
      <c r="H6" s="4">
        <v>0.196</v>
      </c>
      <c r="I6" s="4">
        <v>0.445</v>
      </c>
      <c r="J6" s="4">
        <v>0.161</v>
      </c>
    </row>
    <row r="7" ht="13.85" spans="1:10">
      <c r="A7" s="14">
        <v>4</v>
      </c>
      <c r="B7" s="14" t="s">
        <v>26</v>
      </c>
      <c r="C7" s="4">
        <v>395</v>
      </c>
      <c r="D7" s="4">
        <f>VLOOKUP(B7,'J型管（数据表）'!$B$4:$E$13,IF($D$3=40,2,IF($D$3=45,3,4)),0)</f>
        <v>307</v>
      </c>
      <c r="E7" s="39">
        <f>24.80674*3</f>
        <v>74.42022</v>
      </c>
      <c r="F7" s="39">
        <v>79.0044016</v>
      </c>
      <c r="G7" s="48">
        <f t="shared" si="0"/>
        <v>1.06159860317532</v>
      </c>
      <c r="H7" s="27">
        <v>0.159</v>
      </c>
      <c r="I7" s="4">
        <v>0.432</v>
      </c>
      <c r="J7" s="4">
        <v>0.171</v>
      </c>
    </row>
    <row r="8" ht="13.85" spans="1:10">
      <c r="A8" s="14">
        <v>5</v>
      </c>
      <c r="B8" s="14" t="s">
        <v>27</v>
      </c>
      <c r="C8" s="4">
        <v>441</v>
      </c>
      <c r="D8" s="4">
        <f>VLOOKUP(B8,'J型管（数据表）'!$B$4:$E$13,IF($D$3=40,2,IF($D$3=45,3,4)),0)</f>
        <v>346</v>
      </c>
      <c r="E8" s="39">
        <f>24.869562237478*3</f>
        <v>74.608686712434</v>
      </c>
      <c r="F8" s="39">
        <v>80.485877</v>
      </c>
      <c r="G8" s="48">
        <f t="shared" si="0"/>
        <v>1.07877353893413</v>
      </c>
      <c r="H8" s="4">
        <v>0.128</v>
      </c>
      <c r="I8" s="4">
        <v>0.416</v>
      </c>
      <c r="J8" s="4">
        <v>0.187</v>
      </c>
    </row>
    <row r="9" ht="13.85" spans="1:10">
      <c r="A9" s="14">
        <v>6</v>
      </c>
      <c r="B9" s="14" t="s">
        <v>28</v>
      </c>
      <c r="C9" s="4">
        <v>494</v>
      </c>
      <c r="D9" s="4">
        <f>VLOOKUP(B9,'J型管（数据表）'!$B$4:$E$13,IF($D$3=40,2,IF($D$3=45,3,4)),0)</f>
        <v>396</v>
      </c>
      <c r="E9" s="39">
        <f>23.910052393134*3</f>
        <v>71.730157179402</v>
      </c>
      <c r="F9" s="39">
        <v>83.0820661</v>
      </c>
      <c r="G9" s="48">
        <f t="shared" si="0"/>
        <v>1.15825852566036</v>
      </c>
      <c r="H9" s="27">
        <v>0.098</v>
      </c>
      <c r="I9" s="4">
        <v>0.413</v>
      </c>
      <c r="J9" s="4">
        <v>0.226</v>
      </c>
    </row>
    <row r="10" ht="13.85" spans="1:10">
      <c r="A10" s="14">
        <v>7</v>
      </c>
      <c r="B10" s="14" t="s">
        <v>29</v>
      </c>
      <c r="C10" s="4">
        <v>555</v>
      </c>
      <c r="D10" s="4">
        <f>VLOOKUP(B10,'J型管（数据表）'!$B$4:$E$13,IF($D$3=40,2,IF($D$3=45,3,4)),0)</f>
        <v>445</v>
      </c>
      <c r="E10" s="39">
        <f>24.41055*3</f>
        <v>73.23165</v>
      </c>
      <c r="F10" s="39">
        <v>82.95045766</v>
      </c>
      <c r="G10" s="48">
        <f t="shared" si="0"/>
        <v>1.1327132143001</v>
      </c>
      <c r="H10" s="4">
        <v>0.079</v>
      </c>
      <c r="I10" s="4">
        <v>0.386</v>
      </c>
      <c r="J10" s="4">
        <v>0.223</v>
      </c>
    </row>
    <row r="11" ht="13.85" spans="1:10">
      <c r="A11" s="14">
        <v>8</v>
      </c>
      <c r="B11" s="14" t="s">
        <v>30</v>
      </c>
      <c r="C11" s="4">
        <v>603</v>
      </c>
      <c r="D11" s="4">
        <f>VLOOKUP(B11,'J型管（数据表）'!$B$4:$E$13,IF($D$3=40,2,IF($D$3=45,3,4)),0)</f>
        <v>495</v>
      </c>
      <c r="E11" s="39">
        <f>22.98444*3</f>
        <v>68.95332</v>
      </c>
      <c r="F11" s="39">
        <v>85.7268015</v>
      </c>
      <c r="G11" s="48">
        <f t="shared" si="0"/>
        <v>1.2432585044491</v>
      </c>
      <c r="H11" s="27">
        <v>0.063</v>
      </c>
      <c r="I11" s="27">
        <v>0.378</v>
      </c>
      <c r="J11" s="27">
        <v>0.254</v>
      </c>
    </row>
    <row r="12" ht="13.85" spans="1:10">
      <c r="A12" s="14">
        <v>9</v>
      </c>
      <c r="B12" s="14" t="s">
        <v>31</v>
      </c>
      <c r="C12" s="4">
        <v>673</v>
      </c>
      <c r="D12" s="4">
        <f>VLOOKUP(B12,'J型管（数据表）'!$B$4:$E$13,IF($D$3=40,2,IF($D$3=45,3,4)),0)</f>
        <v>554</v>
      </c>
      <c r="E12" s="58">
        <f>23.15177*3</f>
        <v>69.45531</v>
      </c>
      <c r="F12" s="39">
        <v>84.86378673</v>
      </c>
      <c r="G12" s="48">
        <f t="shared" si="0"/>
        <v>1.22184735378764</v>
      </c>
      <c r="H12" s="4">
        <v>0.051</v>
      </c>
      <c r="I12" s="4">
        <v>0.355</v>
      </c>
      <c r="J12" s="4">
        <v>0.274</v>
      </c>
    </row>
    <row r="13" ht="13.85" spans="1:10">
      <c r="A13" s="1">
        <v>10</v>
      </c>
      <c r="B13" s="14" t="s">
        <v>32</v>
      </c>
      <c r="C13" s="4">
        <v>727</v>
      </c>
      <c r="D13" s="4">
        <f>VLOOKUP(B13,'J型管（数据表）'!$B$4:$E$13,IF($D$3=40,2,IF($D$3=45,3,4)),0)</f>
        <v>610</v>
      </c>
      <c r="E13" s="58">
        <f>22.08301*3</f>
        <v>66.24903</v>
      </c>
      <c r="F13" s="58">
        <v>84.43022299</v>
      </c>
      <c r="G13" s="48">
        <f t="shared" si="0"/>
        <v>1.27443711990953</v>
      </c>
      <c r="H13" s="39">
        <v>0.04174</v>
      </c>
      <c r="I13" s="58">
        <v>0.348</v>
      </c>
      <c r="J13" s="39">
        <v>0.287</v>
      </c>
    </row>
    <row r="16" spans="2:2">
      <c r="B16" s="41" t="s">
        <v>33</v>
      </c>
    </row>
  </sheetData>
  <mergeCells count="7">
    <mergeCell ref="A1:J1"/>
    <mergeCell ref="E2:G2"/>
    <mergeCell ref="A2:A3"/>
    <mergeCell ref="B2:B3"/>
    <mergeCell ref="H2:H3"/>
    <mergeCell ref="I2:I3"/>
    <mergeCell ref="J2:J3"/>
  </mergeCells>
  <dataValidations count="1">
    <dataValidation type="list" allowBlank="1" showInputMessage="1" showErrorMessage="1" sqref="D3">
      <formula1>"40,45,50"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B4" sqref="B4"/>
    </sheetView>
  </sheetViews>
  <sheetFormatPr defaultColWidth="9" defaultRowHeight="13.5"/>
  <cols>
    <col min="1" max="1" width="13.7522123893805" customWidth="1"/>
    <col min="2" max="2" width="28.8761061946903" customWidth="1"/>
    <col min="3" max="3" width="24.7522123893805" customWidth="1"/>
    <col min="4" max="4" width="13.1238938053097" customWidth="1"/>
    <col min="5" max="5" width="12.3716814159292" customWidth="1"/>
    <col min="6" max="6" width="12.5044247787611" customWidth="1"/>
    <col min="7" max="7" width="14.8761061946903"/>
    <col min="8" max="8" width="10.7522123893805" customWidth="1"/>
    <col min="9" max="9" width="12.7522123893805" customWidth="1"/>
    <col min="10" max="10" width="12.6283185840708" customWidth="1"/>
    <col min="11" max="11" width="11.3805309734513" customWidth="1"/>
    <col min="12" max="12" width="9.53097345132743"/>
  </cols>
  <sheetData>
    <row r="1" spans="1:10">
      <c r="A1" s="28" t="s">
        <v>34</v>
      </c>
      <c r="B1" s="28"/>
      <c r="C1" s="28"/>
      <c r="D1" s="28"/>
      <c r="E1" s="28"/>
      <c r="F1" s="28"/>
      <c r="G1" s="28"/>
      <c r="H1" s="28"/>
      <c r="I1" s="28"/>
      <c r="J1" s="28"/>
    </row>
    <row r="2" ht="63.75" customHeight="1" spans="1:10">
      <c r="A2" s="30" t="s">
        <v>35</v>
      </c>
      <c r="B2" s="30" t="s">
        <v>12</v>
      </c>
      <c r="C2" s="30" t="s">
        <v>13</v>
      </c>
      <c r="D2" s="31" t="s">
        <v>36</v>
      </c>
      <c r="E2" s="34" t="s">
        <v>15</v>
      </c>
      <c r="F2" s="34"/>
      <c r="G2" s="34"/>
      <c r="H2" s="42" t="s">
        <v>16</v>
      </c>
      <c r="I2" s="43" t="s">
        <v>17</v>
      </c>
      <c r="J2" s="43" t="s">
        <v>18</v>
      </c>
    </row>
    <row r="3" ht="52.5" customHeight="1" spans="1:12">
      <c r="A3" s="14"/>
      <c r="B3" s="14"/>
      <c r="C3" s="25" t="s">
        <v>37</v>
      </c>
      <c r="D3" s="37">
        <v>45</v>
      </c>
      <c r="E3" s="38" t="s">
        <v>20</v>
      </c>
      <c r="F3" s="46" t="s">
        <v>21</v>
      </c>
      <c r="G3" s="38" t="s">
        <v>22</v>
      </c>
      <c r="H3" s="47"/>
      <c r="I3" s="55"/>
      <c r="J3" s="55"/>
      <c r="K3" t="s">
        <v>38</v>
      </c>
      <c r="L3" t="s">
        <v>39</v>
      </c>
    </row>
    <row r="4" ht="13.85" spans="1:12">
      <c r="A4" s="14">
        <v>1</v>
      </c>
      <c r="B4" s="26" t="s">
        <v>40</v>
      </c>
      <c r="C4" s="6">
        <v>255</v>
      </c>
      <c r="D4" s="4">
        <f>VLOOKUP(B4,'J型管（数据表）'!$B$14:$E$26,IF($D$3=40,2,IF($D$3=45,3,4)),0)</f>
        <v>209</v>
      </c>
      <c r="E4" s="48">
        <f>22.20622*3</f>
        <v>66.61866</v>
      </c>
      <c r="F4" s="48">
        <v>68.71747571</v>
      </c>
      <c r="G4" s="48">
        <f>F4/E4</f>
        <v>1.03150492234458</v>
      </c>
      <c r="H4" s="27">
        <v>0.342</v>
      </c>
      <c r="I4" s="27">
        <v>0.525</v>
      </c>
      <c r="J4" s="27">
        <v>0.117</v>
      </c>
      <c r="K4" s="44">
        <f t="shared" ref="K4:K10" si="0">2*PI()*50*I4*0.001</f>
        <v>0.164933614313464</v>
      </c>
      <c r="L4" s="44">
        <f>C4*66*1.732/1000</f>
        <v>29.14956</v>
      </c>
    </row>
    <row r="5" ht="13.85" spans="1:12">
      <c r="A5" s="14">
        <v>2</v>
      </c>
      <c r="B5" s="14" t="s">
        <v>41</v>
      </c>
      <c r="C5" s="6">
        <v>303</v>
      </c>
      <c r="D5" s="4">
        <f>VLOOKUP(B5,'J型管（数据表）'!$B$14:$E$26,IF($D$3=40,2,IF($D$3=45,3,4)),0)</f>
        <v>250</v>
      </c>
      <c r="E5" s="39">
        <f>22.64331*3</f>
        <v>67.92993</v>
      </c>
      <c r="F5" s="39">
        <v>70.90501242</v>
      </c>
      <c r="G5" s="48">
        <f t="shared" ref="G5:G16" si="1">F5/E5</f>
        <v>1.0437963416126</v>
      </c>
      <c r="H5" s="4">
        <v>0.247</v>
      </c>
      <c r="I5" s="4">
        <v>0.494</v>
      </c>
      <c r="J5" s="4">
        <v>0.132</v>
      </c>
      <c r="K5" s="44">
        <f t="shared" si="0"/>
        <v>0.155194677087336</v>
      </c>
      <c r="L5" s="44">
        <f t="shared" ref="L5:L16" si="2">C5*66*1.732/1000</f>
        <v>34.636536</v>
      </c>
    </row>
    <row r="6" ht="13.85" spans="1:12">
      <c r="A6" s="14">
        <v>3</v>
      </c>
      <c r="B6" s="14" t="s">
        <v>42</v>
      </c>
      <c r="C6" s="6">
        <v>341</v>
      </c>
      <c r="D6" s="4">
        <f>VLOOKUP(B6,'J型管（数据表）'!$B$14:$E$26,IF($D$3=40,2,IF($D$3=45,3,4)),0)</f>
        <v>283</v>
      </c>
      <c r="E6" s="39">
        <f>22.81807*3</f>
        <v>68.45421</v>
      </c>
      <c r="F6" s="39">
        <v>72.36000056</v>
      </c>
      <c r="G6" s="48">
        <f t="shared" si="1"/>
        <v>1.05705698100964</v>
      </c>
      <c r="H6" s="27">
        <v>0.196</v>
      </c>
      <c r="I6" s="27">
        <v>0.477</v>
      </c>
      <c r="J6" s="27">
        <v>0.14</v>
      </c>
      <c r="K6" s="44">
        <f t="shared" si="0"/>
        <v>0.149853969576233</v>
      </c>
      <c r="L6" s="44">
        <f t="shared" si="2"/>
        <v>38.980392</v>
      </c>
    </row>
    <row r="7" ht="13.85" spans="1:12">
      <c r="A7" s="14">
        <v>4</v>
      </c>
      <c r="B7" s="14" t="s">
        <v>43</v>
      </c>
      <c r="C7" s="6">
        <v>379</v>
      </c>
      <c r="D7" s="4">
        <f>VLOOKUP(B7,'J型管（数据表）'!$B$14:$E$26,IF($D$3=40,2,IF($D$3=45,3,4)),0)</f>
        <v>316</v>
      </c>
      <c r="E7" s="39">
        <f>22.90474*3</f>
        <v>68.71422</v>
      </c>
      <c r="F7" s="39">
        <v>73.49949499</v>
      </c>
      <c r="G7" s="48">
        <f t="shared" si="1"/>
        <v>1.06964024316946</v>
      </c>
      <c r="H7" s="4">
        <v>0.159</v>
      </c>
      <c r="I7" s="4">
        <v>0.459</v>
      </c>
      <c r="J7" s="4">
        <v>0.152</v>
      </c>
      <c r="K7" s="44">
        <f t="shared" si="0"/>
        <v>0.144199102799772</v>
      </c>
      <c r="L7" s="44">
        <f t="shared" si="2"/>
        <v>43.324248</v>
      </c>
    </row>
    <row r="8" ht="13.85" spans="1:12">
      <c r="A8" s="14">
        <v>5</v>
      </c>
      <c r="B8" s="14" t="s">
        <v>44</v>
      </c>
      <c r="C8" s="6">
        <v>424</v>
      </c>
      <c r="D8" s="4">
        <f>VLOOKUP(B8,'J型管（数据表）'!$B$14:$E$26,IF($D$3=40,2,IF($D$3=45,3,4)),0)</f>
        <v>358</v>
      </c>
      <c r="E8" s="39">
        <f>22.92743*3</f>
        <v>68.78229</v>
      </c>
      <c r="F8" s="39">
        <v>74.9624385</v>
      </c>
      <c r="G8" s="48">
        <f t="shared" si="1"/>
        <v>1.08985086858841</v>
      </c>
      <c r="H8" s="27">
        <v>0.128</v>
      </c>
      <c r="I8" s="27">
        <v>0.446</v>
      </c>
      <c r="J8" s="27">
        <v>0.16</v>
      </c>
      <c r="K8" s="44">
        <f t="shared" si="0"/>
        <v>0.140115032350105</v>
      </c>
      <c r="L8" s="44">
        <f t="shared" si="2"/>
        <v>48.468288</v>
      </c>
    </row>
    <row r="9" ht="13.85" spans="1:12">
      <c r="A9" s="14">
        <v>6</v>
      </c>
      <c r="B9" s="14" t="s">
        <v>45</v>
      </c>
      <c r="C9" s="6">
        <v>483</v>
      </c>
      <c r="D9" s="4">
        <f>VLOOKUP(B9,'J型管（数据表）'!$B$14:$E$26,IF($D$3=40,2,IF($D$3=45,3,4)),0)</f>
        <v>411</v>
      </c>
      <c r="E9" s="39">
        <f>22.88125*3</f>
        <v>68.64375</v>
      </c>
      <c r="F9" s="39">
        <v>76.75636424</v>
      </c>
      <c r="G9" s="48">
        <f t="shared" si="1"/>
        <v>1.11818431015205</v>
      </c>
      <c r="H9" s="4">
        <v>0.098</v>
      </c>
      <c r="I9" s="4">
        <v>0.419</v>
      </c>
      <c r="J9" s="4">
        <v>0.186</v>
      </c>
      <c r="K9" s="44">
        <f t="shared" si="0"/>
        <v>0.131632732185412</v>
      </c>
      <c r="L9" s="44">
        <f t="shared" si="2"/>
        <v>55.212696</v>
      </c>
    </row>
    <row r="10" ht="13.85" spans="1:12">
      <c r="A10" s="14">
        <v>7</v>
      </c>
      <c r="B10" s="14" t="s">
        <v>46</v>
      </c>
      <c r="C10" s="6">
        <v>534</v>
      </c>
      <c r="D10" s="4">
        <f>VLOOKUP(B10,'J型管（数据表）'!$B$14:$E$26,IF($D$3=40,2,IF($D$3=45,3,4)),0)</f>
        <v>460</v>
      </c>
      <c r="E10" s="39">
        <f>22.48472*3</f>
        <v>67.45416</v>
      </c>
      <c r="F10" s="39">
        <v>77.9632725</v>
      </c>
      <c r="G10" s="48">
        <f t="shared" si="1"/>
        <v>1.15579635859375</v>
      </c>
      <c r="H10" s="27">
        <v>0.079</v>
      </c>
      <c r="I10" s="27">
        <v>0.407</v>
      </c>
      <c r="J10" s="27">
        <v>0.201</v>
      </c>
      <c r="K10" s="44">
        <f t="shared" si="0"/>
        <v>0.127862821001105</v>
      </c>
      <c r="L10" s="44">
        <f t="shared" si="2"/>
        <v>61.042608</v>
      </c>
    </row>
    <row r="11" ht="13.85" spans="1:12">
      <c r="A11" s="14">
        <v>8</v>
      </c>
      <c r="B11" s="14" t="s">
        <v>47</v>
      </c>
      <c r="C11" s="6">
        <v>592</v>
      </c>
      <c r="D11" s="4">
        <f>VLOOKUP(B11,'J型管（数据表）'!$B$14:$E$26,IF($D$3=40,2,IF($D$3=45,3,4)),0)</f>
        <v>517</v>
      </c>
      <c r="E11" s="39">
        <f>22.13047*3</f>
        <v>66.39141</v>
      </c>
      <c r="F11" s="39">
        <v>79.34309654</v>
      </c>
      <c r="G11" s="48">
        <f t="shared" si="1"/>
        <v>1.19508075728472</v>
      </c>
      <c r="H11" s="4">
        <v>0.063</v>
      </c>
      <c r="I11" s="4">
        <v>0.391</v>
      </c>
      <c r="J11" s="4">
        <v>0.219</v>
      </c>
      <c r="K11" s="44">
        <f t="shared" ref="K11:K16" si="3">2*PI()*50*I11*0.001</f>
        <v>0.122836272755361</v>
      </c>
      <c r="L11" s="44">
        <f t="shared" si="2"/>
        <v>67.672704</v>
      </c>
    </row>
    <row r="12" ht="13.85" spans="1:12">
      <c r="A12" s="14">
        <v>9</v>
      </c>
      <c r="B12" s="14" t="s">
        <v>48</v>
      </c>
      <c r="C12" s="6">
        <v>650</v>
      </c>
      <c r="D12" s="4">
        <f>VLOOKUP(B12,'J型管（数据表）'!$B$14:$E$26,IF($D$3=40,2,IF($D$3=45,3,4)),0)</f>
        <v>575</v>
      </c>
      <c r="E12" s="39">
        <f>21.48544*3</f>
        <v>64.45632</v>
      </c>
      <c r="F12" s="39">
        <v>80.61093624</v>
      </c>
      <c r="G12" s="48">
        <f t="shared" si="1"/>
        <v>1.25062889473057</v>
      </c>
      <c r="H12" s="27">
        <v>0.051</v>
      </c>
      <c r="I12" s="27">
        <v>0.373</v>
      </c>
      <c r="J12" s="27">
        <v>0.248</v>
      </c>
      <c r="K12" s="44">
        <f t="shared" si="3"/>
        <v>0.117181405978899</v>
      </c>
      <c r="L12" s="44">
        <f t="shared" si="2"/>
        <v>74.3028</v>
      </c>
    </row>
    <row r="13" ht="17.1" customHeight="1" spans="1:12">
      <c r="A13" s="1">
        <v>10</v>
      </c>
      <c r="B13" s="14" t="s">
        <v>49</v>
      </c>
      <c r="C13" s="6">
        <v>706</v>
      </c>
      <c r="D13" s="4">
        <f>VLOOKUP(B13,'J型管（数据表）'!$B$14:$E$26,IF($D$3=40,2,IF($D$3=45,3,4)),0)</f>
        <v>635</v>
      </c>
      <c r="E13" s="39">
        <f>20.69653*3</f>
        <v>62.08959</v>
      </c>
      <c r="F13" s="39">
        <v>82.13619763</v>
      </c>
      <c r="G13" s="48">
        <f t="shared" si="1"/>
        <v>1.32286583999025</v>
      </c>
      <c r="H13" s="4">
        <v>0.042</v>
      </c>
      <c r="I13" s="4">
        <v>0.358</v>
      </c>
      <c r="J13" s="4">
        <v>0.275</v>
      </c>
      <c r="K13" s="44">
        <f t="shared" si="3"/>
        <v>0.112469016998515</v>
      </c>
      <c r="L13" s="44">
        <f t="shared" si="2"/>
        <v>80.704272</v>
      </c>
    </row>
    <row r="14" s="45" customFormat="1" ht="13.85" spans="1:12">
      <c r="A14" s="49">
        <v>11</v>
      </c>
      <c r="B14" s="49" t="s">
        <v>50</v>
      </c>
      <c r="C14" s="50">
        <v>753</v>
      </c>
      <c r="D14" s="51">
        <f>VLOOKUP(B14,'J型管（数据表）'!$B$14:$E$26,IF($D$3=40,2,IF($D$3=45,3,4)),0)</f>
        <v>689</v>
      </c>
      <c r="E14" s="52">
        <f>19.85152*3</f>
        <v>59.55456</v>
      </c>
      <c r="F14" s="52">
        <v>83.54684438</v>
      </c>
      <c r="G14" s="53">
        <f t="shared" si="1"/>
        <v>1.4028622557198</v>
      </c>
      <c r="H14" s="50">
        <v>0.035</v>
      </c>
      <c r="I14" s="50">
        <v>0.347</v>
      </c>
      <c r="J14" s="50">
        <v>0.303</v>
      </c>
      <c r="K14" s="56">
        <f t="shared" si="3"/>
        <v>0.109013265079566</v>
      </c>
      <c r="L14" s="44">
        <f t="shared" si="2"/>
        <v>86.076936</v>
      </c>
    </row>
    <row r="15" ht="13.85" spans="1:12">
      <c r="A15" s="1">
        <v>12</v>
      </c>
      <c r="B15" s="14" t="s">
        <v>51</v>
      </c>
      <c r="C15" s="6">
        <v>793</v>
      </c>
      <c r="D15" s="4">
        <f>VLOOKUP(B15,'J型管（数据表）'!$B$14:$E$26,IF($D$3=40,2,IF($D$3=45,3,4)),0)</f>
        <v>737</v>
      </c>
      <c r="E15" s="39">
        <f>19.22409*3</f>
        <v>57.67227</v>
      </c>
      <c r="F15" s="39">
        <v>84.88760994</v>
      </c>
      <c r="G15" s="48">
        <f t="shared" si="1"/>
        <v>1.47189645803781</v>
      </c>
      <c r="H15" s="27">
        <v>0.031</v>
      </c>
      <c r="I15" s="27">
        <v>0.335</v>
      </c>
      <c r="J15" s="27">
        <v>0.33</v>
      </c>
      <c r="K15" s="44">
        <f t="shared" si="3"/>
        <v>0.105243353895258</v>
      </c>
      <c r="L15" s="44">
        <f t="shared" si="2"/>
        <v>90.649416</v>
      </c>
    </row>
    <row r="16" s="45" customFormat="1" ht="13.85" spans="1:12">
      <c r="A16" s="49">
        <v>13</v>
      </c>
      <c r="B16" s="49" t="s">
        <v>52</v>
      </c>
      <c r="C16" s="50">
        <v>816</v>
      </c>
      <c r="D16" s="51">
        <f>VLOOKUP(B16,'J型管（数据表）'!$B$14:$E$26,IF($D$3=40,2,IF($D$3=45,3,4)),0)</f>
        <v>769</v>
      </c>
      <c r="E16" s="52">
        <f>18.88821*3</f>
        <v>56.66463</v>
      </c>
      <c r="F16" s="52">
        <v>86.14685862</v>
      </c>
      <c r="G16" s="53">
        <f t="shared" si="1"/>
        <v>1.52029332266001</v>
      </c>
      <c r="H16" s="54">
        <v>0.028</v>
      </c>
      <c r="I16" s="50">
        <v>0.325</v>
      </c>
      <c r="J16" s="50">
        <v>0.355</v>
      </c>
      <c r="K16" s="57">
        <f t="shared" si="3"/>
        <v>0.102101761241668</v>
      </c>
      <c r="L16" s="44">
        <f t="shared" si="2"/>
        <v>93.278592</v>
      </c>
    </row>
    <row r="21" spans="2:2">
      <c r="B21" s="41" t="s">
        <v>33</v>
      </c>
    </row>
  </sheetData>
  <mergeCells count="7">
    <mergeCell ref="A1:J1"/>
    <mergeCell ref="E2:G2"/>
    <mergeCell ref="A2:A3"/>
    <mergeCell ref="B2:B3"/>
    <mergeCell ref="H2:H3"/>
    <mergeCell ref="I2:I3"/>
    <mergeCell ref="J2:J3"/>
  </mergeCells>
  <dataValidations count="1">
    <dataValidation type="list" allowBlank="1" showInputMessage="1" showErrorMessage="1" sqref="D3">
      <formula1>"40,45,50"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N4" sqref="N4:N10"/>
    </sheetView>
  </sheetViews>
  <sheetFormatPr defaultColWidth="9" defaultRowHeight="13.5"/>
  <cols>
    <col min="1" max="1" width="13.7522123893805" customWidth="1"/>
    <col min="2" max="2" width="28.8761061946903" customWidth="1"/>
    <col min="3" max="3" width="21.2477876106195" customWidth="1"/>
    <col min="4" max="4" width="13.1238938053097" customWidth="1"/>
    <col min="5" max="5" width="13.6283185840708" customWidth="1"/>
    <col min="6" max="6" width="13.5044247787611" customWidth="1"/>
    <col min="7" max="7" width="18.7522123893805" customWidth="1"/>
    <col min="8" max="8" width="12.3716814159292" customWidth="1"/>
    <col min="9" max="9" width="12.5044247787611" customWidth="1"/>
    <col min="10" max="10" width="14.8761061946903"/>
    <col min="11" max="11" width="10.7522123893805" customWidth="1"/>
    <col min="12" max="12" width="12.7522123893805" customWidth="1"/>
    <col min="13" max="13" width="12.6283185840708" customWidth="1"/>
    <col min="14" max="14" width="12.7964601769912"/>
  </cols>
  <sheetData>
    <row r="1" spans="1:13">
      <c r="A1" s="28" t="s">
        <v>53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ht="63.75" customHeight="1" spans="1:13">
      <c r="A2" s="29" t="s">
        <v>11</v>
      </c>
      <c r="B2" s="30" t="s">
        <v>12</v>
      </c>
      <c r="C2" s="30" t="s">
        <v>13</v>
      </c>
      <c r="D2" s="31" t="s">
        <v>14</v>
      </c>
      <c r="E2" s="32" t="s">
        <v>54</v>
      </c>
      <c r="F2" s="32" t="s">
        <v>55</v>
      </c>
      <c r="G2" s="33" t="s">
        <v>56</v>
      </c>
      <c r="H2" s="34" t="s">
        <v>15</v>
      </c>
      <c r="I2" s="34"/>
      <c r="J2" s="34"/>
      <c r="K2" s="42" t="s">
        <v>16</v>
      </c>
      <c r="L2" s="43" t="s">
        <v>17</v>
      </c>
      <c r="M2" s="43" t="s">
        <v>18</v>
      </c>
    </row>
    <row r="3" ht="45" customHeight="1" spans="1:13">
      <c r="A3" s="29"/>
      <c r="B3" s="29"/>
      <c r="C3" s="35" t="s">
        <v>57</v>
      </c>
      <c r="D3" s="36">
        <v>50</v>
      </c>
      <c r="E3" s="37" t="s">
        <v>58</v>
      </c>
      <c r="F3" s="37" t="s">
        <v>59</v>
      </c>
      <c r="G3" s="37" t="s">
        <v>60</v>
      </c>
      <c r="H3" s="38" t="s">
        <v>20</v>
      </c>
      <c r="I3" s="38" t="s">
        <v>21</v>
      </c>
      <c r="J3" s="38" t="s">
        <v>22</v>
      </c>
      <c r="K3" s="42"/>
      <c r="L3" s="43"/>
      <c r="M3" s="43"/>
    </row>
    <row r="4" ht="13.85" spans="1:14">
      <c r="A4" s="1">
        <v>1</v>
      </c>
      <c r="B4" s="1" t="s">
        <v>61</v>
      </c>
      <c r="C4" s="6">
        <v>582</v>
      </c>
      <c r="D4" s="4">
        <f>VLOOKUP(B4,'J型管（数据表）'!$B$27:$E$33,IF($D$3=40,2,IF($D$3=45,3,4)),0)</f>
        <v>499</v>
      </c>
      <c r="E4" s="15">
        <f>VLOOKUP(B4,'220kV滩涂直埋、电缆沟（数据表）'!$B$3:$G$9,IF($E$3="1根",2,IF($E$3="间距为2m 2根",3,IF($E$3="间距为2m 4根",4,IF($E$3="间距为5m 2根",5,IF($E$3="间距为5m 4根",6,))))),0)</f>
        <v>555</v>
      </c>
      <c r="F4" s="15">
        <f>VLOOKUP(B4,'220kV滩涂直埋、电缆沟（数据表）'!$B$15:$G$21,IF($F$3="1根",2,IF($F$3="间距为2m 2根",3,IF($F$3="间距为2m 4根",4,IF($F$3="间距为5m 2根",5,IF($F$3="间距为5m 4根",6,))))),0)</f>
        <v>446</v>
      </c>
      <c r="G4" s="15">
        <f>VLOOKUP(B4,'220kV滩涂直埋、电缆沟（数据表）'!$B$27:$E$33,IF($G$3="1根",2,IF($G$3="2根",3,IF($G$3="4根",4,))),0)</f>
        <v>567</v>
      </c>
      <c r="H4" s="39">
        <v>63.409</v>
      </c>
      <c r="I4" s="39">
        <v>83.822</v>
      </c>
      <c r="J4" s="39">
        <f t="shared" ref="J4:J10" si="0">I4/H4</f>
        <v>1.3219259095712</v>
      </c>
      <c r="K4" s="27">
        <v>0.0624</v>
      </c>
      <c r="L4" s="27">
        <v>0.476</v>
      </c>
      <c r="M4" s="27">
        <v>0.128</v>
      </c>
      <c r="N4" s="44">
        <f>2*PI()*50*L4*0.001</f>
        <v>0.149539810310874</v>
      </c>
    </row>
    <row r="5" ht="13.85" spans="1:14">
      <c r="A5" s="1">
        <v>2</v>
      </c>
      <c r="B5" s="1" t="s">
        <v>62</v>
      </c>
      <c r="C5" s="6">
        <v>655</v>
      </c>
      <c r="D5" s="4">
        <f>VLOOKUP(B5,'J型管（数据表）'!$B$27:$E$33,IF($D$3=40,2,IF($D$3=45,3,4)),0)</f>
        <v>580</v>
      </c>
      <c r="E5" s="15">
        <f>VLOOKUP(B5,'220kV滩涂直埋、电缆沟（数据表）'!$B$3:$G$9,IF($E$3="1根",2,IF($E$3="间距为2m 2根",3,IF($E$3="间距为2m 4根",4,IF($E$3="间距为5m 2根",5,IF($E$3="间距为5m 4根",6,))))),0)</f>
        <v>624</v>
      </c>
      <c r="F5" s="15">
        <f>VLOOKUP(B5,'220kV滩涂直埋、电缆沟（数据表）'!$B$15:$G$21,IF($F$3="1根",2,IF($F$3="间距为2m 2根",3,IF($F$3="间距为2m 4根",4,IF($F$3="间距为5m 2根",5,IF($F$3="间距为5m 4根",6,))))),0)</f>
        <v>493</v>
      </c>
      <c r="G5" s="15">
        <f>VLOOKUP(B5,'220kV滩涂直埋、电缆沟（数据表）'!$B$27:$E$33,IF($G$3="1根",2,IF($G$3="2根",3,IF($G$3="4根",4,))),0)</f>
        <v>645</v>
      </c>
      <c r="H5" s="39">
        <v>64.248</v>
      </c>
      <c r="I5" s="39">
        <v>90.415</v>
      </c>
      <c r="J5" s="39">
        <f t="shared" si="0"/>
        <v>1.40728116050305</v>
      </c>
      <c r="K5" s="4">
        <v>0.0499</v>
      </c>
      <c r="L5" s="4">
        <v>0.464</v>
      </c>
      <c r="M5" s="4">
        <v>0.14</v>
      </c>
      <c r="N5" s="44">
        <f>2*PI()*50*L5*0.001</f>
        <v>0.145769899126566</v>
      </c>
    </row>
    <row r="6" ht="13.85" spans="1:14">
      <c r="A6" s="1">
        <v>3</v>
      </c>
      <c r="B6" s="1" t="s">
        <v>63</v>
      </c>
      <c r="C6" s="6">
        <v>706</v>
      </c>
      <c r="D6" s="4">
        <f>VLOOKUP(B6,'J型管（数据表）'!$B$27:$E$33,IF($D$3=40,2,IF($D$3=45,3,4)),0)</f>
        <v>636</v>
      </c>
      <c r="E6" s="15">
        <f>VLOOKUP(B6,'220kV滩涂直埋、电缆沟（数据表）'!$B$3:$G$9,IF($E$3="1根",2,IF($E$3="间距为2m 2根",3,IF($E$3="间距为2m 4根",4,IF($E$3="间距为5m 2根",5,IF($E$3="间距为5m 4根",6,))))),0)</f>
        <v>673</v>
      </c>
      <c r="F6" s="15">
        <f>VLOOKUP(B6,'220kV滩涂直埋、电缆沟（数据表）'!$B$15:$G$21,IF($F$3="1根",2,IF($F$3="间距为2m 2根",3,IF($F$3="间距为2m 4根",4,IF($F$3="间距为5m 2根",5,IF($F$3="间距为5m 4根",6,))))),0)</f>
        <v>528</v>
      </c>
      <c r="G6" s="15">
        <f>VLOOKUP(B6,'220kV滩涂直埋、电缆沟（数据表）'!$B$27:$E$33,IF($G$3="1根",2,IF($G$3="2根",3,IF($G$3="4根",4,))),0)</f>
        <v>699</v>
      </c>
      <c r="H6" s="39">
        <v>60.317</v>
      </c>
      <c r="I6" s="39">
        <v>91.861</v>
      </c>
      <c r="J6" s="39">
        <f t="shared" si="0"/>
        <v>1.52297030687866</v>
      </c>
      <c r="K6" s="27">
        <v>0.0403</v>
      </c>
      <c r="L6" s="27">
        <v>0.441</v>
      </c>
      <c r="M6" s="27">
        <v>0.15</v>
      </c>
      <c r="N6" s="44">
        <f>2*PI()*50*L6*0.001</f>
        <v>0.13854423602331</v>
      </c>
    </row>
    <row r="7" ht="13.85" spans="1:14">
      <c r="A7" s="1">
        <v>4</v>
      </c>
      <c r="B7" s="1" t="s">
        <v>64</v>
      </c>
      <c r="C7" s="6">
        <v>766</v>
      </c>
      <c r="D7" s="4">
        <f>VLOOKUP(B7,'J型管（数据表）'!$B$27:$E$33,IF($D$3=40,2,IF($D$3=45,3,4)),0)</f>
        <v>707</v>
      </c>
      <c r="E7" s="15">
        <f>VLOOKUP(B7,'220kV滩涂直埋、电缆沟（数据表）'!$B$3:$G$9,IF($E$3="1根",2,IF($E$3="间距为2m 2根",3,IF($E$3="间距为2m 4根",4,IF($E$3="间距为5m 2根",5,IF($E$3="间距为5m 4根",6,))))),0)</f>
        <v>730</v>
      </c>
      <c r="F7" s="15">
        <f>VLOOKUP(B7,'220kV滩涂直埋、电缆沟（数据表）'!$B$15:$G$21,IF($F$3="1根",2,IF($F$3="间距为2m 2根",3,IF($F$3="间距为2m 4根",4,IF($F$3="间距为5m 2根",5,IF($F$3="间距为5m 4根",6,))))),0)</f>
        <v>566</v>
      </c>
      <c r="G7" s="15">
        <f>VLOOKUP(B7,'220kV滩涂直埋、电缆沟（数据表）'!$B$27:$E$33,IF($G$3="1根",2,IF($G$3="2根",3,IF($G$3="4根",4,))),0)</f>
        <v>766</v>
      </c>
      <c r="H7" s="39">
        <v>59.265</v>
      </c>
      <c r="I7" s="39">
        <v>96.261</v>
      </c>
      <c r="J7" s="39">
        <f t="shared" si="0"/>
        <v>1.62424702606935</v>
      </c>
      <c r="K7" s="4">
        <v>0.0337</v>
      </c>
      <c r="L7" s="27">
        <v>0.411</v>
      </c>
      <c r="M7" s="27">
        <v>0.186</v>
      </c>
      <c r="N7" s="44">
        <f>2*PI()*50*L7*0.001</f>
        <v>0.12911945806254</v>
      </c>
    </row>
    <row r="8" ht="13.85" spans="1:14">
      <c r="A8" s="1">
        <v>5</v>
      </c>
      <c r="B8" s="14" t="s">
        <v>65</v>
      </c>
      <c r="C8" s="6">
        <v>801</v>
      </c>
      <c r="D8" s="4">
        <f>VLOOKUP(B8,'J型管（数据表）'!$B$27:$E$33,IF($D$3=40,2,IF($D$3=45,3,4)),0)</f>
        <v>746</v>
      </c>
      <c r="E8" s="15">
        <f>VLOOKUP(B8,'220kV滩涂直埋、电缆沟（数据表）'!$B$3:$G$9,IF($E$3="1根",2,IF($E$3="间距为2m 2根",3,IF($E$3="间距为2m 4根",4,IF($E$3="间距为5m 2根",5,IF($E$3="间距为5m 4根",6,))))),0)</f>
        <v>763</v>
      </c>
      <c r="F8" s="15">
        <f>VLOOKUP(B8,'220kV滩涂直埋、电缆沟（数据表）'!$B$15:$G$21,IF($F$3="1根",2,IF($F$3="间距为2m 2根",3,IF($F$3="间距为2m 4根",4,IF($F$3="间距为5m 2根",5,IF($F$3="间距为5m 4根",6,))))),0)</f>
        <v>590</v>
      </c>
      <c r="G8" s="15">
        <f>VLOOKUP(B8,'220kV滩涂直埋、电缆沟（数据表）'!$B$27:$E$33,IF($G$3="1根",2,IF($G$3="2根",3,IF($G$3="4根",4,))),0)</f>
        <v>803</v>
      </c>
      <c r="H8" s="39">
        <v>55.65796635</v>
      </c>
      <c r="I8" s="39">
        <v>97.07339204</v>
      </c>
      <c r="J8" s="39">
        <f t="shared" si="0"/>
        <v>1.74410598169475</v>
      </c>
      <c r="K8" s="27">
        <v>0.0289</v>
      </c>
      <c r="L8" s="27">
        <v>0.404</v>
      </c>
      <c r="M8" s="27">
        <v>0.197</v>
      </c>
      <c r="N8" s="44">
        <f>2*PI()*50*L8*0.001</f>
        <v>0.126920343205028</v>
      </c>
    </row>
    <row r="9" ht="13.85" spans="1:14">
      <c r="A9" s="1">
        <v>6</v>
      </c>
      <c r="B9" s="14" t="s">
        <v>66</v>
      </c>
      <c r="C9" s="6">
        <v>819</v>
      </c>
      <c r="D9" s="4">
        <f>VLOOKUP(B9,'J型管（数据表）'!$B$27:$E$33,IF($D$3=40,2,IF($D$3=45,3,4)),0)</f>
        <v>771</v>
      </c>
      <c r="E9" s="15">
        <f>VLOOKUP(B9,'220kV滩涂直埋、电缆沟（数据表）'!$B$3:$G$9,IF($E$3="1根",2,IF($E$3="间距为2m 2根",3,IF($E$3="间距为2m 4根",4,IF($E$3="间距为5m 2根",5,IF($E$3="间距为5m 4根",6,))))),0)</f>
        <v>780</v>
      </c>
      <c r="F9" s="15">
        <f>VLOOKUP(B9,'220kV滩涂直埋、电缆沟（数据表）'!$B$15:$G$21,IF($F$3="1根",2,IF($F$3="间距为2m 2根",3,IF($F$3="间距为2m 4根",4,IF($F$3="间距为5m 2根",5,IF($F$3="间距为5m 4根",6,))))),0)</f>
        <v>600</v>
      </c>
      <c r="G9" s="15">
        <f>VLOOKUP(B9,'220kV滩涂直埋、电缆沟（数据表）'!$B$27:$E$33,IF($G$3="1根",2,IF($G$3="2根",3,IF($G$3="4根",4,))),0)</f>
        <v>823</v>
      </c>
      <c r="H9" s="39">
        <v>53.43367631</v>
      </c>
      <c r="I9" s="39">
        <v>98.07884814</v>
      </c>
      <c r="J9" s="39">
        <f t="shared" si="0"/>
        <v>1.83552498935292</v>
      </c>
      <c r="K9" s="4">
        <v>0.0265</v>
      </c>
      <c r="L9" s="4">
        <v>0.391</v>
      </c>
      <c r="M9" s="4">
        <v>0.198</v>
      </c>
      <c r="N9" s="44">
        <f>2*PI()*50*L9*0.001</f>
        <v>0.122836272755361</v>
      </c>
    </row>
    <row r="10" ht="13.85" spans="1:14">
      <c r="A10" s="1">
        <v>7</v>
      </c>
      <c r="B10" s="14" t="s">
        <v>67</v>
      </c>
      <c r="C10" s="6">
        <v>839</v>
      </c>
      <c r="D10" s="4">
        <f>VLOOKUP(B10,'J型管（数据表）'!$B$27:$E$33,IF($D$3=40,2,IF($D$3=45,3,4)),0)</f>
        <v>800</v>
      </c>
      <c r="E10" s="15">
        <f>VLOOKUP(B10,'220kV滩涂直埋、电缆沟（数据表）'!$B$3:$G$9,IF($E$3="1根",2,IF($E$3="间距为2m 2根",3,IF($E$3="间距为2m 4根",4,IF($E$3="间距为5m 2根",5,IF($E$3="间距为5m 4根",6,))))),0)</f>
        <v>799</v>
      </c>
      <c r="F10" s="15">
        <f>VLOOKUP(B10,'220kV滩涂直埋、电缆沟（数据表）'!$B$15:$G$21,IF($F$3="1根",2,IF($F$3="间距为2m 2根",3,IF($F$3="间距为2m 4根",4,IF($F$3="间距为5m 2根",5,IF($F$3="间距为5m 4根",6,))))),0)</f>
        <v>614</v>
      </c>
      <c r="G10" s="15">
        <f>VLOOKUP(B10,'220kV滩涂直埋、电缆沟（数据表）'!$B$27:$E$33,IF($G$3="1根",2,IF($G$3="2根",3,IF($G$3="4根",4,))),0)</f>
        <v>848</v>
      </c>
      <c r="H10" s="39">
        <v>51.85915016</v>
      </c>
      <c r="I10" s="39">
        <v>99.47371749</v>
      </c>
      <c r="J10" s="39">
        <f t="shared" si="0"/>
        <v>1.91815170867814</v>
      </c>
      <c r="K10" s="27">
        <v>0.0245</v>
      </c>
      <c r="L10" s="27">
        <v>0.381</v>
      </c>
      <c r="M10" s="27">
        <v>0.209</v>
      </c>
      <c r="N10" s="44">
        <f>2*PI()*50*L10*0.001</f>
        <v>0.119694680101771</v>
      </c>
    </row>
    <row r="16" spans="1:2">
      <c r="A16" s="40" t="s">
        <v>68</v>
      </c>
      <c r="B16" s="41" t="s">
        <v>69</v>
      </c>
    </row>
    <row r="17" spans="2:2">
      <c r="B17" s="41" t="s">
        <v>70</v>
      </c>
    </row>
    <row r="18" spans="2:2">
      <c r="B18" s="41" t="s">
        <v>71</v>
      </c>
    </row>
    <row r="19" spans="2:2">
      <c r="B19" s="41" t="s">
        <v>72</v>
      </c>
    </row>
  </sheetData>
  <mergeCells count="7">
    <mergeCell ref="A1:M1"/>
    <mergeCell ref="H2:J2"/>
    <mergeCell ref="A2:A3"/>
    <mergeCell ref="B2:B3"/>
    <mergeCell ref="K2:K3"/>
    <mergeCell ref="L2:L3"/>
    <mergeCell ref="M2:M3"/>
  </mergeCells>
  <dataValidations count="4">
    <dataValidation type="list" allowBlank="1" showInputMessage="1" showErrorMessage="1" sqref="D3">
      <formula1>"40,45,50"</formula1>
    </dataValidation>
    <dataValidation type="list" allowBlank="1" showInputMessage="1" showErrorMessage="1" sqref="E3">
      <formula1>'220kV滩涂直埋、电缆沟（数据表）'!$C$2:$G$2</formula1>
    </dataValidation>
    <dataValidation type="list" allowBlank="1" showInputMessage="1" showErrorMessage="1" sqref="F3">
      <formula1>'220kV滩涂直埋、电缆沟（数据表）'!$C$14:$G$14</formula1>
    </dataValidation>
    <dataValidation type="list" allowBlank="1" showInputMessage="1" showErrorMessage="1" sqref="G3">
      <formula1>'220kV滩涂直埋、电缆沟（数据表）'!$C$26:$E$26</formula1>
    </dataValidation>
  </dataValidation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A2" workbookViewId="0">
      <selection activeCell="E15" sqref="E15"/>
    </sheetView>
  </sheetViews>
  <sheetFormatPr defaultColWidth="9" defaultRowHeight="13.5"/>
  <cols>
    <col min="1" max="1" width="13.7522123893805" customWidth="1"/>
    <col min="2" max="2" width="28.8761061946903" customWidth="1"/>
    <col min="3" max="3" width="25.6283185840708" customWidth="1"/>
    <col min="4" max="4" width="13.1238938053097" customWidth="1"/>
    <col min="5" max="5" width="13.6283185840708" customWidth="1"/>
    <col min="6" max="6" width="13.5044247787611" customWidth="1"/>
    <col min="7" max="7" width="18.7522123893805" customWidth="1"/>
    <col min="8" max="8" width="12.3716814159292" customWidth="1"/>
    <col min="9" max="9" width="12.5044247787611" customWidth="1"/>
    <col min="10" max="10" width="14.8761061946903"/>
    <col min="11" max="11" width="10.7522123893805" customWidth="1"/>
    <col min="12" max="12" width="12.7522123893805" customWidth="1"/>
    <col min="13" max="13" width="12.6283185840708" customWidth="1"/>
  </cols>
  <sheetData>
    <row r="1" spans="1:13">
      <c r="A1" s="28" t="s">
        <v>73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ht="63.75" customHeight="1" spans="1:13">
      <c r="A2" s="29" t="s">
        <v>11</v>
      </c>
      <c r="B2" s="30" t="s">
        <v>74</v>
      </c>
      <c r="C2" s="30" t="s">
        <v>13</v>
      </c>
      <c r="D2" s="31" t="s">
        <v>36</v>
      </c>
      <c r="E2" s="32" t="s">
        <v>54</v>
      </c>
      <c r="F2" s="32" t="s">
        <v>55</v>
      </c>
      <c r="G2" s="33" t="s">
        <v>56</v>
      </c>
      <c r="H2" s="34" t="s">
        <v>15</v>
      </c>
      <c r="I2" s="34"/>
      <c r="J2" s="34"/>
      <c r="K2" s="42" t="s">
        <v>16</v>
      </c>
      <c r="L2" s="43" t="s">
        <v>17</v>
      </c>
      <c r="M2" s="43" t="s">
        <v>18</v>
      </c>
    </row>
    <row r="3" ht="45" customHeight="1" spans="1:13">
      <c r="A3" s="29"/>
      <c r="B3" s="29"/>
      <c r="C3" s="35" t="s">
        <v>57</v>
      </c>
      <c r="D3" s="36">
        <v>40</v>
      </c>
      <c r="E3" s="37" t="s">
        <v>75</v>
      </c>
      <c r="F3" s="37" t="s">
        <v>75</v>
      </c>
      <c r="G3" s="37" t="s">
        <v>76</v>
      </c>
      <c r="H3" s="38" t="s">
        <v>77</v>
      </c>
      <c r="I3" s="38" t="s">
        <v>78</v>
      </c>
      <c r="J3" s="38" t="s">
        <v>22</v>
      </c>
      <c r="K3" s="42"/>
      <c r="L3" s="43"/>
      <c r="M3" s="43"/>
    </row>
    <row r="4" ht="13.85" spans="1:13">
      <c r="A4" s="1">
        <v>1</v>
      </c>
      <c r="B4" s="1" t="s">
        <v>79</v>
      </c>
      <c r="C4" s="6">
        <v>1406</v>
      </c>
      <c r="D4" s="4">
        <f>VLOOKUP(B4,'J型管（数据表）'!$B$34:$E$36,IF($D$3=40,2,IF($D$3=45,3,4)),0)</f>
        <v>1227</v>
      </c>
      <c r="E4" s="15">
        <f>VLOOKUP(B4,'500kV滩涂直埋、电缆沟（数据表）'!$B$3:$F$5,IF($E$3="间距为2m 3根",2,IF($E$3="间距为2m 6根",3,IF($E$3="间距为5m 3根",4,IF($E$3="间距为5m 6根",5)))),0)</f>
        <v>1205</v>
      </c>
      <c r="F4" s="15">
        <f>VLOOKUP(B4,'500kV滩涂直埋、电缆沟（数据表）'!$B$11:$F$13,IF($F$3="间距为2m 3根",2,IF($F$3="间距为2m 6根",3,IF($F$3="间距为5m 3根",4,IF($F$3="间距为5m 6根",5)))),0)</f>
        <v>1042</v>
      </c>
      <c r="G4" s="15">
        <f>VLOOKUP(B4,'500kV滩涂直埋、电缆沟（数据表）'!$B$37:$D$39,IF($G$3="3根",2,IF($G$3="6根",3,)),0)</f>
        <v>1183</v>
      </c>
      <c r="H4" s="39">
        <v>45.230596504222</v>
      </c>
      <c r="I4" s="39">
        <v>67.9821985616491</v>
      </c>
      <c r="J4" s="39">
        <f>I4/H4</f>
        <v>1.50301353101331</v>
      </c>
      <c r="K4" s="27">
        <v>0.0229</v>
      </c>
      <c r="L4" s="27">
        <v>1.538</v>
      </c>
      <c r="M4" s="27">
        <v>0.157</v>
      </c>
    </row>
    <row r="5" ht="13.85" spans="1:13">
      <c r="A5" s="1">
        <v>2</v>
      </c>
      <c r="B5" s="1" t="s">
        <v>80</v>
      </c>
      <c r="C5" s="6">
        <v>1491</v>
      </c>
      <c r="D5" s="4">
        <f>VLOOKUP(B5,'J型管（数据表）'!$B$34:$E$36,IF($D$3=40,2,IF($D$3=45,3,4)),0)</f>
        <v>1311</v>
      </c>
      <c r="E5" s="15">
        <f>VLOOKUP(B5,'500kV滩涂直埋、电缆沟（数据表）'!$B$3:$F$5,IF($E$3="间距为2m 3根",2,IF($E$3="间距为2m 6根",3,IF($E$3="间距为5m 3根",4,IF($E$3="间距为5m 6根",5)))),0)</f>
        <v>1271</v>
      </c>
      <c r="F5" s="15">
        <f>VLOOKUP(B5,'500kV滩涂直埋、电缆沟（数据表）'!$B$11:$F$13,IF($F$3="间距为2m 3根",2,IF($F$3="间距为2m 6根",3,IF($F$3="间距为5m 3根",4,IF($F$3="间距为5m 6根",5)))),0)</f>
        <v>1093</v>
      </c>
      <c r="G5" s="15">
        <f>VLOOKUP(B5,'500kV滩涂直埋、电缆沟（数据表）'!$B$37:$D$39,IF($G$3="3根",2,IF($G$3="6根",3,)),0)</f>
        <v>1258</v>
      </c>
      <c r="H5" s="39">
        <v>45.5310001628473</v>
      </c>
      <c r="I5" s="39">
        <v>70.9811097589854</v>
      </c>
      <c r="J5" s="39">
        <f>I5/H5</f>
        <v>1.55896223463382</v>
      </c>
      <c r="K5" s="4">
        <v>0.0205</v>
      </c>
      <c r="L5" s="4">
        <v>1.522</v>
      </c>
      <c r="M5" s="4">
        <v>0.168</v>
      </c>
    </row>
    <row r="6" ht="13.85" spans="1:13">
      <c r="A6" s="1">
        <v>3</v>
      </c>
      <c r="B6" s="1" t="s">
        <v>81</v>
      </c>
      <c r="C6" s="6">
        <v>1561</v>
      </c>
      <c r="D6" s="4">
        <f>VLOOKUP(B6,'J型管（数据表）'!$B$34:$E$36,IF($D$3=40,2,IF($D$3=45,3,4)),0)</f>
        <v>1383</v>
      </c>
      <c r="E6" s="15">
        <f>VLOOKUP(B6,'500kV滩涂直埋、电缆沟（数据表）'!$B$3:$F$5,IF($E$3="间距为2m 3根",2,IF($E$3="间距为2m 6根",3,IF($E$3="间距为5m 3根",4,IF($E$3="间距为5m 6根",5)))),0)</f>
        <v>1325</v>
      </c>
      <c r="F6" s="15">
        <f>VLOOKUP(B6,'500kV滩涂直埋、电缆沟（数据表）'!$B$11:$F$13,IF($F$3="间距为2m 3根",2,IF($F$3="间距为2m 6根",3,IF($F$3="间距为5m 3根",4,IF($F$3="间距为5m 6根",5)))),0)</f>
        <v>1136</v>
      </c>
      <c r="G6" s="15">
        <f>VLOOKUP(B6,'500kV滩涂直埋、电缆沟（数据表）'!$B$37:$D$39,IF($G$3="3根",2,IF($G$3="6根",3,)),0)</f>
        <v>1318</v>
      </c>
      <c r="H6" s="39">
        <v>45.6466004679749</v>
      </c>
      <c r="I6" s="4">
        <v>73.335</v>
      </c>
      <c r="J6" s="39">
        <f>I6/H6</f>
        <v>1.6065818538108</v>
      </c>
      <c r="K6" s="27">
        <v>0.0187</v>
      </c>
      <c r="L6" s="4">
        <v>1.509</v>
      </c>
      <c r="M6" s="27">
        <v>0.175</v>
      </c>
    </row>
    <row r="13" spans="1:13">
      <c r="A13" s="28" t="s">
        <v>73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ht="54" spans="1:13">
      <c r="A14" s="29" t="s">
        <v>11</v>
      </c>
      <c r="B14" s="30" t="s">
        <v>12</v>
      </c>
      <c r="C14" s="30" t="s">
        <v>13</v>
      </c>
      <c r="D14" s="31" t="s">
        <v>36</v>
      </c>
      <c r="E14" s="32" t="s">
        <v>54</v>
      </c>
      <c r="F14" s="32" t="s">
        <v>55</v>
      </c>
      <c r="G14" s="33" t="s">
        <v>56</v>
      </c>
      <c r="H14" s="34" t="s">
        <v>15</v>
      </c>
      <c r="I14" s="34"/>
      <c r="J14" s="34"/>
      <c r="K14" s="42" t="s">
        <v>16</v>
      </c>
      <c r="L14" s="43" t="s">
        <v>17</v>
      </c>
      <c r="M14" s="43" t="s">
        <v>18</v>
      </c>
    </row>
    <row r="15" ht="40.5" spans="1:13">
      <c r="A15" s="29"/>
      <c r="B15" s="29"/>
      <c r="C15" s="35" t="s">
        <v>57</v>
      </c>
      <c r="D15" s="36">
        <v>45</v>
      </c>
      <c r="E15" s="37" t="s">
        <v>58</v>
      </c>
      <c r="F15" s="37" t="s">
        <v>58</v>
      </c>
      <c r="G15" s="37" t="s">
        <v>60</v>
      </c>
      <c r="H15" s="38" t="s">
        <v>20</v>
      </c>
      <c r="I15" s="38" t="s">
        <v>21</v>
      </c>
      <c r="J15" s="38" t="s">
        <v>22</v>
      </c>
      <c r="K15" s="42"/>
      <c r="L15" s="43"/>
      <c r="M15" s="43"/>
    </row>
    <row r="16" ht="13.85" spans="1:13">
      <c r="A16" s="1">
        <v>1</v>
      </c>
      <c r="B16" s="1" t="s">
        <v>82</v>
      </c>
      <c r="C16" s="6">
        <v>719</v>
      </c>
      <c r="D16" s="4">
        <f>VLOOKUP(B16,'J型管（数据表）'!$B$37:$E$39,IF($D$15=40,2,IF($D$15=45,3,4)),0)</f>
        <v>725</v>
      </c>
      <c r="E16" s="15">
        <f>VLOOKUP(B16,'500kV滩涂直埋、电缆沟（数据表）'!$B$19:$E$21,IF($E$15="1根",2,IF($E$15="间距为2m 2根",3,IF($E$15="间距为5m 2根",4,))),0)</f>
        <v>685</v>
      </c>
      <c r="F16" s="15">
        <f>VLOOKUP(B16,'500kV滩涂直埋、电缆沟（数据表）'!$B$27:$E$29,IF($F$15="1根",2,IF($F$15="间距为2m 2根",3,IF($F$15="间距为5m 2根",4,))),0)</f>
        <v>578</v>
      </c>
      <c r="G16" s="15">
        <f>VLOOKUP(B16,'500kV滩涂直埋、电缆沟（数据表）'!$B$45:$D$47,IF($G$15="1根",2,IF($G$15="2根",3,IF($G$15="4根",4,))),0)</f>
        <v>724</v>
      </c>
      <c r="H16" s="39">
        <v>51.33312368385</v>
      </c>
      <c r="I16" s="39">
        <v>104.845351509266</v>
      </c>
      <c r="J16" s="39">
        <f>I16/H16</f>
        <v>2.04245025405013</v>
      </c>
      <c r="K16" s="4">
        <v>0.0331</v>
      </c>
      <c r="L16" s="27">
        <v>0.455</v>
      </c>
      <c r="M16" s="27">
        <v>0.138</v>
      </c>
    </row>
    <row r="17" ht="13.85" spans="1:13">
      <c r="A17" s="1">
        <v>2</v>
      </c>
      <c r="B17" s="1" t="s">
        <v>83</v>
      </c>
      <c r="C17" s="6">
        <v>753</v>
      </c>
      <c r="D17" s="4">
        <f>VLOOKUP(B17,'J型管（数据表）'!$B$37:$E$39,IF($D$15=40,2,IF($D$15=45,3,4)),0)</f>
        <v>773</v>
      </c>
      <c r="E17" s="15">
        <f>VLOOKUP(B17,'500kV滩涂直埋、电缆沟（数据表）'!$B$19:$E$21,IF($E$15="1根",2,IF($E$15="间距为2m 2根",3,IF($E$15="间距为5m 2根",4,))),0)</f>
        <v>717</v>
      </c>
      <c r="F17" s="15">
        <f>VLOOKUP(B17,'500kV滩涂直埋、电缆沟（数据表）'!$B$27:$E$29,IF($F$15="1根",2,IF($F$15="间距为2m 2根",3,IF($F$15="间距为5m 2根",4,))),0)</f>
        <v>603</v>
      </c>
      <c r="G17" s="15">
        <f>VLOOKUP(B17,'500kV滩涂直埋、电缆沟（数据表）'!$B$45:$D$47,IF($G$15="1根",2,IF($G$15="2根",3,IF($G$15="4根",4,))),0)</f>
        <v>762</v>
      </c>
      <c r="H17" s="39">
        <v>48.397722019239</v>
      </c>
      <c r="I17" s="39">
        <v>107.277107646656</v>
      </c>
      <c r="J17" s="39">
        <f>I17/H17</f>
        <v>2.21657349087652</v>
      </c>
      <c r="K17" s="27">
        <v>0.0285</v>
      </c>
      <c r="L17" s="27">
        <v>0.437</v>
      </c>
      <c r="M17" s="27">
        <v>0.15</v>
      </c>
    </row>
    <row r="18" ht="13.85" spans="1:13">
      <c r="A18" s="1">
        <v>3</v>
      </c>
      <c r="B18" s="1" t="s">
        <v>84</v>
      </c>
      <c r="C18" s="6">
        <v>769</v>
      </c>
      <c r="D18" s="4">
        <f>VLOOKUP(B18,'J型管（数据表）'!$B$37:$E$39,IF($D$15=40,2,IF($D$15=45,3,4)),0)</f>
        <v>800</v>
      </c>
      <c r="E18" s="15">
        <f>VLOOKUP(B18,'500kV滩涂直埋、电缆沟（数据表）'!$B$19:$E$21,IF($E$15="1根",2,IF($E$15="间距为2m 2根",3,IF($E$15="间距为5m 2根",4,))),0)</f>
        <v>732</v>
      </c>
      <c r="F18" s="15">
        <f>VLOOKUP(B18,'500kV滩涂直埋、电缆沟（数据表）'!$B$27:$E$29,IF($F$15="1根",2,IF($F$15="间距为2m 2根",3,IF($F$15="间距为5m 2根",4,))),0)</f>
        <v>614</v>
      </c>
      <c r="G18" s="15">
        <f>VLOOKUP(B18,'500kV滩涂直埋、电缆沟（数据表）'!$B$45:$D$47,IF($G$15="1根",2,IF($G$15="2根",3,IF($G$15="4根",4,))),0)</f>
        <v>782</v>
      </c>
      <c r="H18" s="39">
        <v>46.0781852336133</v>
      </c>
      <c r="I18" s="39">
        <v>110.019911255217</v>
      </c>
      <c r="J18" s="39">
        <f>I18/H18</f>
        <v>2.3876789135124</v>
      </c>
      <c r="K18" s="4">
        <v>0.026</v>
      </c>
      <c r="L18" s="4">
        <v>0.428</v>
      </c>
      <c r="M18" s="4">
        <v>0.158</v>
      </c>
    </row>
    <row r="23" spans="2:3">
      <c r="B23" s="40" t="s">
        <v>68</v>
      </c>
      <c r="C23" s="41" t="s">
        <v>69</v>
      </c>
    </row>
    <row r="24" spans="3:3">
      <c r="C24" s="41" t="s">
        <v>70</v>
      </c>
    </row>
    <row r="25" spans="3:3">
      <c r="C25" s="41" t="s">
        <v>71</v>
      </c>
    </row>
    <row r="26" spans="3:3">
      <c r="C26" s="41" t="s">
        <v>72</v>
      </c>
    </row>
  </sheetData>
  <mergeCells count="14">
    <mergeCell ref="A1:M1"/>
    <mergeCell ref="H2:J2"/>
    <mergeCell ref="A13:M13"/>
    <mergeCell ref="H14:J14"/>
    <mergeCell ref="A2:A3"/>
    <mergeCell ref="A14:A15"/>
    <mergeCell ref="B2:B3"/>
    <mergeCell ref="B14:B15"/>
    <mergeCell ref="K2:K3"/>
    <mergeCell ref="K14:K15"/>
    <mergeCell ref="L2:L3"/>
    <mergeCell ref="L14:L15"/>
    <mergeCell ref="M2:M3"/>
    <mergeCell ref="M14:M15"/>
  </mergeCells>
  <dataValidations count="7">
    <dataValidation type="list" allowBlank="1" showInputMessage="1" showErrorMessage="1" sqref="D3 D15">
      <formula1>"40,45,50"</formula1>
    </dataValidation>
    <dataValidation type="list" allowBlank="1" showInputMessage="1" showErrorMessage="1" sqref="E3">
      <formula1>'500kV滩涂直埋、电缆沟（数据表）'!$C$2:$F$2</formula1>
    </dataValidation>
    <dataValidation type="list" allowBlank="1" showInputMessage="1" showErrorMessage="1" sqref="F3">
      <formula1>'500kV滩涂直埋、电缆沟（数据表）'!$C$10:$F$10</formula1>
    </dataValidation>
    <dataValidation type="list" allowBlank="1" showInputMessage="1" showErrorMessage="1" sqref="G3">
      <formula1>'500kV滩涂直埋、电缆沟（数据表）'!$C$36:$D$36</formula1>
    </dataValidation>
    <dataValidation type="list" allowBlank="1" showInputMessage="1" showErrorMessage="1" sqref="E15">
      <formula1>'500kV滩涂直埋、电缆沟（数据表）'!$C$18:$E$18</formula1>
    </dataValidation>
    <dataValidation type="list" allowBlank="1" showInputMessage="1" showErrorMessage="1" sqref="F15">
      <formula1>'500kV滩涂直埋、电缆沟（数据表）'!$C$26:$E$26</formula1>
    </dataValidation>
    <dataValidation type="list" allowBlank="1" showInputMessage="1" showErrorMessage="1" sqref="G15">
      <formula1>'500kV滩涂直埋、电缆沟（数据表）'!$C$44:$D$44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opLeftCell="A4" workbookViewId="0">
      <selection activeCell="H34" sqref="H34"/>
    </sheetView>
  </sheetViews>
  <sheetFormatPr defaultColWidth="9" defaultRowHeight="13.5"/>
  <cols>
    <col min="2" max="2" width="34.3716814159292" customWidth="1"/>
    <col min="3" max="3" width="16.8761061946903" customWidth="1"/>
    <col min="4" max="4" width="17.3716814159292" customWidth="1"/>
    <col min="5" max="5" width="18.2477876106195" customWidth="1"/>
    <col min="6" max="7" width="14" style="18" customWidth="1"/>
    <col min="8" max="8" width="12.7522123893805" style="18" customWidth="1"/>
    <col min="9" max="9" width="12.8761061946903" style="18" customWidth="1"/>
    <col min="10" max="10" width="14.7522123893805" style="18" customWidth="1"/>
    <col min="11" max="11" width="19" style="18" customWidth="1"/>
  </cols>
  <sheetData>
    <row r="1" ht="42.75" customHeight="1" spans="1:18">
      <c r="A1" s="19" t="s">
        <v>85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="16" customFormat="1" ht="27" customHeight="1" spans="1:18">
      <c r="A2" s="14" t="s">
        <v>11</v>
      </c>
      <c r="B2" s="14" t="s">
        <v>86</v>
      </c>
      <c r="C2" s="21" t="s">
        <v>87</v>
      </c>
      <c r="D2" s="22"/>
      <c r="E2" s="23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="16" customFormat="1" ht="15.75" customHeight="1" spans="1:18">
      <c r="A3" s="14"/>
      <c r="B3" s="14"/>
      <c r="C3" s="24">
        <v>40</v>
      </c>
      <c r="D3" s="24">
        <v>45</v>
      </c>
      <c r="E3" s="25">
        <v>50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="16" customFormat="1" ht="13.85" spans="1:18">
      <c r="A4" s="14">
        <v>1</v>
      </c>
      <c r="B4" s="26" t="s">
        <v>23</v>
      </c>
      <c r="C4" s="4">
        <v>228</v>
      </c>
      <c r="D4" s="4">
        <v>215</v>
      </c>
      <c r="E4" s="4">
        <v>201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="17" customFormat="1" ht="13.85" spans="1:18">
      <c r="A5" s="14">
        <v>2</v>
      </c>
      <c r="B5" s="14" t="s">
        <v>24</v>
      </c>
      <c r="C5" s="27">
        <v>271</v>
      </c>
      <c r="D5" s="27">
        <v>256</v>
      </c>
      <c r="E5" s="27">
        <v>240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="17" customFormat="1" ht="13.85" spans="1:18">
      <c r="A6" s="14">
        <v>3</v>
      </c>
      <c r="B6" s="14" t="s">
        <v>25</v>
      </c>
      <c r="C6" s="4">
        <v>310</v>
      </c>
      <c r="D6" s="4">
        <v>293</v>
      </c>
      <c r="E6" s="4">
        <v>275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="17" customFormat="1" ht="13.85" spans="1:12">
      <c r="A7" s="14">
        <v>4</v>
      </c>
      <c r="B7" s="14" t="s">
        <v>26</v>
      </c>
      <c r="C7" s="27">
        <v>347</v>
      </c>
      <c r="D7" s="27">
        <v>328</v>
      </c>
      <c r="E7" s="27">
        <v>307</v>
      </c>
      <c r="F7" s="18"/>
      <c r="G7" s="18"/>
      <c r="H7" s="18"/>
      <c r="I7" s="18"/>
      <c r="J7" s="18"/>
      <c r="K7" s="18"/>
      <c r="L7" s="16"/>
    </row>
    <row r="8" s="17" customFormat="1" ht="13.85" spans="1:12">
      <c r="A8" s="14">
        <v>5</v>
      </c>
      <c r="B8" s="14" t="s">
        <v>27</v>
      </c>
      <c r="C8" s="4">
        <v>391</v>
      </c>
      <c r="D8" s="4">
        <v>370</v>
      </c>
      <c r="E8" s="4">
        <v>346</v>
      </c>
      <c r="F8" s="18"/>
      <c r="G8" s="18"/>
      <c r="H8" s="18"/>
      <c r="I8" s="18"/>
      <c r="J8" s="18"/>
      <c r="K8" s="18"/>
      <c r="L8" s="16"/>
    </row>
    <row r="9" s="17" customFormat="1" ht="13.85" spans="1:12">
      <c r="A9" s="14">
        <v>6</v>
      </c>
      <c r="B9" s="14" t="s">
        <v>28</v>
      </c>
      <c r="C9" s="27">
        <v>448</v>
      </c>
      <c r="D9" s="27">
        <v>423</v>
      </c>
      <c r="E9" s="27">
        <v>396</v>
      </c>
      <c r="F9" s="18"/>
      <c r="G9" s="18"/>
      <c r="H9" s="18"/>
      <c r="I9" s="18"/>
      <c r="J9" s="18"/>
      <c r="K9" s="18"/>
      <c r="L9" s="16"/>
    </row>
    <row r="10" s="17" customFormat="1" ht="13.85" spans="1:12">
      <c r="A10" s="14">
        <v>7</v>
      </c>
      <c r="B10" s="14" t="s">
        <v>29</v>
      </c>
      <c r="C10" s="4">
        <v>503</v>
      </c>
      <c r="D10" s="4">
        <v>476</v>
      </c>
      <c r="E10" s="4">
        <v>445</v>
      </c>
      <c r="F10" s="18"/>
      <c r="G10" s="18"/>
      <c r="H10" s="18"/>
      <c r="I10" s="18"/>
      <c r="J10" s="18"/>
      <c r="K10" s="18"/>
      <c r="L10" s="16"/>
    </row>
    <row r="11" s="17" customFormat="1" ht="13.85" spans="1:12">
      <c r="A11" s="14">
        <v>8</v>
      </c>
      <c r="B11" s="14" t="s">
        <v>30</v>
      </c>
      <c r="C11" s="27">
        <v>559</v>
      </c>
      <c r="D11" s="27">
        <v>529</v>
      </c>
      <c r="E11" s="27">
        <v>495</v>
      </c>
      <c r="F11" s="18"/>
      <c r="G11" s="18"/>
      <c r="H11" s="18"/>
      <c r="I11" s="18"/>
      <c r="J11" s="18"/>
      <c r="K11" s="18"/>
      <c r="L11" s="16"/>
    </row>
    <row r="12" s="17" customFormat="1" ht="13.85" spans="1:12">
      <c r="A12" s="14">
        <v>9</v>
      </c>
      <c r="B12" s="14" t="s">
        <v>31</v>
      </c>
      <c r="C12" s="4">
        <v>626</v>
      </c>
      <c r="D12" s="4">
        <v>591</v>
      </c>
      <c r="E12" s="4">
        <v>554</v>
      </c>
      <c r="F12" s="18"/>
      <c r="G12" s="18"/>
      <c r="H12" s="18"/>
      <c r="I12" s="18"/>
      <c r="J12" s="18"/>
      <c r="K12" s="18"/>
      <c r="L12" s="16"/>
    </row>
    <row r="13" s="17" customFormat="1" ht="13.85" spans="1:12">
      <c r="A13" s="14">
        <v>10</v>
      </c>
      <c r="B13" s="14" t="s">
        <v>32</v>
      </c>
      <c r="C13" s="4">
        <v>690</v>
      </c>
      <c r="D13" s="4">
        <v>652</v>
      </c>
      <c r="E13" s="4">
        <v>610</v>
      </c>
      <c r="F13" s="18"/>
      <c r="G13" s="18"/>
      <c r="H13" s="18"/>
      <c r="I13" s="18"/>
      <c r="J13" s="18"/>
      <c r="K13" s="18"/>
      <c r="L13" s="16"/>
    </row>
    <row r="14" s="17" customFormat="1" ht="13.85" spans="1:12">
      <c r="A14" s="14">
        <v>1</v>
      </c>
      <c r="B14" s="26" t="s">
        <v>40</v>
      </c>
      <c r="C14" s="27">
        <v>221</v>
      </c>
      <c r="D14" s="27">
        <v>209</v>
      </c>
      <c r="E14" s="27">
        <v>195</v>
      </c>
      <c r="F14" s="18"/>
      <c r="G14" s="18"/>
      <c r="H14" s="18"/>
      <c r="I14" s="18"/>
      <c r="J14" s="18"/>
      <c r="K14" s="18"/>
      <c r="L14" s="16"/>
    </row>
    <row r="15" s="16" customFormat="1" ht="13.85" spans="1:11">
      <c r="A15" s="14">
        <v>2</v>
      </c>
      <c r="B15" s="14" t="s">
        <v>41</v>
      </c>
      <c r="C15" s="4">
        <v>264</v>
      </c>
      <c r="D15" s="4">
        <v>250</v>
      </c>
      <c r="E15" s="4">
        <v>234</v>
      </c>
      <c r="F15" s="18"/>
      <c r="G15" s="18"/>
      <c r="H15" s="18"/>
      <c r="I15" s="18"/>
      <c r="J15" s="18"/>
      <c r="K15" s="18"/>
    </row>
    <row r="16" s="17" customFormat="1" ht="13.85" spans="1:12">
      <c r="A16" s="14">
        <v>3</v>
      </c>
      <c r="B16" s="14" t="s">
        <v>42</v>
      </c>
      <c r="C16" s="27">
        <v>300</v>
      </c>
      <c r="D16" s="27">
        <v>283</v>
      </c>
      <c r="E16" s="27">
        <v>265</v>
      </c>
      <c r="F16" s="18"/>
      <c r="G16" s="18"/>
      <c r="H16" s="18"/>
      <c r="I16" s="18"/>
      <c r="J16" s="18"/>
      <c r="K16" s="18"/>
      <c r="L16" s="16"/>
    </row>
    <row r="17" s="17" customFormat="1" ht="13.85" spans="1:12">
      <c r="A17" s="14">
        <v>4</v>
      </c>
      <c r="B17" s="14" t="s">
        <v>43</v>
      </c>
      <c r="C17" s="4">
        <v>335</v>
      </c>
      <c r="D17" s="4">
        <v>316</v>
      </c>
      <c r="E17" s="4">
        <v>296</v>
      </c>
      <c r="F17" s="18"/>
      <c r="G17" s="18"/>
      <c r="H17" s="18"/>
      <c r="I17" s="18"/>
      <c r="J17" s="18"/>
      <c r="K17" s="18"/>
      <c r="L17" s="16"/>
    </row>
    <row r="18" s="17" customFormat="1" ht="13.85" spans="1:12">
      <c r="A18" s="14">
        <v>5</v>
      </c>
      <c r="B18" s="14" t="s">
        <v>44</v>
      </c>
      <c r="C18" s="27">
        <v>379</v>
      </c>
      <c r="D18" s="27">
        <v>358</v>
      </c>
      <c r="E18" s="27">
        <v>335</v>
      </c>
      <c r="F18" s="18"/>
      <c r="G18" s="18"/>
      <c r="H18" s="18"/>
      <c r="I18" s="18"/>
      <c r="J18" s="18"/>
      <c r="K18" s="18"/>
      <c r="L18" s="16"/>
    </row>
    <row r="19" s="17" customFormat="1" ht="13.85" spans="1:12">
      <c r="A19" s="14">
        <v>6</v>
      </c>
      <c r="B19" s="14" t="s">
        <v>45</v>
      </c>
      <c r="C19" s="4">
        <v>435</v>
      </c>
      <c r="D19" s="4">
        <v>411</v>
      </c>
      <c r="E19" s="4">
        <v>385</v>
      </c>
      <c r="F19" s="18"/>
      <c r="G19" s="18"/>
      <c r="H19" s="18"/>
      <c r="I19" s="18"/>
      <c r="J19" s="18"/>
      <c r="K19" s="18"/>
      <c r="L19" s="16"/>
    </row>
    <row r="20" s="17" customFormat="1" ht="13.85" spans="1:12">
      <c r="A20" s="14">
        <v>7</v>
      </c>
      <c r="B20" s="14" t="s">
        <v>46</v>
      </c>
      <c r="C20" s="27">
        <v>487</v>
      </c>
      <c r="D20" s="27">
        <v>460</v>
      </c>
      <c r="E20" s="27">
        <v>430</v>
      </c>
      <c r="F20" s="18"/>
      <c r="G20" s="18"/>
      <c r="H20" s="18"/>
      <c r="I20" s="18"/>
      <c r="J20" s="18"/>
      <c r="K20" s="18"/>
      <c r="L20" s="16"/>
    </row>
    <row r="21" s="17" customFormat="1" ht="13.85" spans="1:12">
      <c r="A21" s="14">
        <v>8</v>
      </c>
      <c r="B21" s="14" t="s">
        <v>47</v>
      </c>
      <c r="C21" s="4">
        <v>547</v>
      </c>
      <c r="D21" s="4">
        <v>517</v>
      </c>
      <c r="E21" s="4">
        <v>484</v>
      </c>
      <c r="F21" s="18"/>
      <c r="G21" s="18"/>
      <c r="H21" s="18"/>
      <c r="I21" s="18"/>
      <c r="J21" s="18"/>
      <c r="K21" s="18"/>
      <c r="L21" s="16"/>
    </row>
    <row r="22" s="17" customFormat="1" ht="13.85" spans="1:12">
      <c r="A22" s="14">
        <v>9</v>
      </c>
      <c r="B22" s="14" t="s">
        <v>48</v>
      </c>
      <c r="C22" s="27">
        <v>608</v>
      </c>
      <c r="D22" s="27">
        <v>575</v>
      </c>
      <c r="E22" s="27">
        <v>538</v>
      </c>
      <c r="F22" s="18"/>
      <c r="G22" s="18"/>
      <c r="H22" s="18"/>
      <c r="I22" s="18"/>
      <c r="J22" s="18"/>
      <c r="K22" s="18"/>
      <c r="L22" s="16"/>
    </row>
    <row r="23" s="17" customFormat="1" ht="13.85" spans="1:12">
      <c r="A23" s="1">
        <v>10</v>
      </c>
      <c r="B23" s="14" t="s">
        <v>49</v>
      </c>
      <c r="C23" s="4">
        <v>672</v>
      </c>
      <c r="D23" s="4">
        <v>635</v>
      </c>
      <c r="E23" s="4">
        <v>594</v>
      </c>
      <c r="F23" s="18"/>
      <c r="G23" s="18"/>
      <c r="H23" s="18"/>
      <c r="I23" s="18"/>
      <c r="J23" s="18"/>
      <c r="K23" s="18"/>
      <c r="L23" s="16"/>
    </row>
    <row r="24" ht="13.85" spans="1:12">
      <c r="A24" s="1">
        <v>11</v>
      </c>
      <c r="B24" s="14" t="s">
        <v>50</v>
      </c>
      <c r="C24" s="27">
        <v>730</v>
      </c>
      <c r="D24" s="27">
        <v>689</v>
      </c>
      <c r="E24" s="27">
        <v>645</v>
      </c>
      <c r="L24" s="16"/>
    </row>
    <row r="25" ht="13.85" spans="1:12">
      <c r="A25" s="1">
        <v>12</v>
      </c>
      <c r="B25" s="14" t="s">
        <v>51</v>
      </c>
      <c r="C25" s="27">
        <v>780</v>
      </c>
      <c r="D25" s="27">
        <v>737</v>
      </c>
      <c r="E25" s="27">
        <v>690</v>
      </c>
      <c r="L25" s="16"/>
    </row>
    <row r="26" ht="13.85" spans="1:12">
      <c r="A26" s="1">
        <v>13</v>
      </c>
      <c r="B26" s="14" t="s">
        <v>52</v>
      </c>
      <c r="C26" s="27">
        <v>814</v>
      </c>
      <c r="D26" s="27">
        <v>769</v>
      </c>
      <c r="E26" s="27">
        <v>719</v>
      </c>
      <c r="L26" s="16"/>
    </row>
    <row r="27" ht="13.85" spans="1:12">
      <c r="A27" s="1">
        <v>1</v>
      </c>
      <c r="B27" s="14" t="s">
        <v>61</v>
      </c>
      <c r="C27" s="4">
        <v>567</v>
      </c>
      <c r="D27" s="4">
        <v>535</v>
      </c>
      <c r="E27" s="4">
        <v>499</v>
      </c>
      <c r="L27" s="16"/>
    </row>
    <row r="28" ht="13.85" spans="1:12">
      <c r="A28" s="1">
        <v>2</v>
      </c>
      <c r="B28" s="14" t="s">
        <v>62</v>
      </c>
      <c r="C28" s="27">
        <v>659</v>
      </c>
      <c r="D28" s="27">
        <v>621</v>
      </c>
      <c r="E28" s="27">
        <v>580</v>
      </c>
      <c r="L28" s="16"/>
    </row>
    <row r="29" ht="13.85" spans="1:12">
      <c r="A29" s="1">
        <v>3</v>
      </c>
      <c r="B29" s="14" t="s">
        <v>63</v>
      </c>
      <c r="C29" s="4">
        <v>722</v>
      </c>
      <c r="D29" s="4">
        <v>681</v>
      </c>
      <c r="E29" s="4">
        <v>636</v>
      </c>
      <c r="L29" s="16"/>
    </row>
    <row r="30" ht="13.85" spans="1:5">
      <c r="A30" s="1">
        <v>4</v>
      </c>
      <c r="B30" s="14" t="s">
        <v>64</v>
      </c>
      <c r="C30" s="4">
        <v>803</v>
      </c>
      <c r="D30" s="4">
        <v>757</v>
      </c>
      <c r="E30" s="4">
        <v>707</v>
      </c>
    </row>
    <row r="31" ht="13.85" spans="1:5">
      <c r="A31" s="1">
        <v>5</v>
      </c>
      <c r="B31" s="14" t="s">
        <v>65</v>
      </c>
      <c r="C31" s="4">
        <v>847</v>
      </c>
      <c r="D31" s="4">
        <v>798</v>
      </c>
      <c r="E31" s="4">
        <v>746</v>
      </c>
    </row>
    <row r="32" ht="13.85" spans="1:5">
      <c r="A32" s="1">
        <v>6</v>
      </c>
      <c r="B32" s="14" t="s">
        <v>66</v>
      </c>
      <c r="C32" s="4">
        <v>875</v>
      </c>
      <c r="D32" s="4">
        <v>825</v>
      </c>
      <c r="E32" s="4">
        <v>771</v>
      </c>
    </row>
    <row r="33" ht="13.85" spans="1:5">
      <c r="A33" s="1">
        <v>7</v>
      </c>
      <c r="B33" s="14" t="s">
        <v>67</v>
      </c>
      <c r="C33" s="4">
        <v>909</v>
      </c>
      <c r="D33" s="4">
        <v>857</v>
      </c>
      <c r="E33" s="4">
        <v>800</v>
      </c>
    </row>
    <row r="34" ht="13.85" spans="1:5">
      <c r="A34" s="1">
        <v>1</v>
      </c>
      <c r="B34" s="1" t="s">
        <v>79</v>
      </c>
      <c r="C34" s="4">
        <v>1227</v>
      </c>
      <c r="D34" s="4">
        <v>1152</v>
      </c>
      <c r="E34" s="4">
        <v>1070</v>
      </c>
    </row>
    <row r="35" ht="13.85" spans="1:5">
      <c r="A35" s="1">
        <v>2</v>
      </c>
      <c r="B35" s="1" t="s">
        <v>80</v>
      </c>
      <c r="C35" s="27">
        <v>1311</v>
      </c>
      <c r="D35" s="27">
        <v>1231</v>
      </c>
      <c r="E35" s="27">
        <v>1144</v>
      </c>
    </row>
    <row r="36" ht="13.85" spans="1:5">
      <c r="A36" s="1">
        <v>3</v>
      </c>
      <c r="B36" s="1" t="s">
        <v>81</v>
      </c>
      <c r="C36" s="4">
        <v>1383</v>
      </c>
      <c r="D36" s="4">
        <v>1298</v>
      </c>
      <c r="E36" s="4">
        <v>1206</v>
      </c>
    </row>
    <row r="37" ht="13.85" spans="1:5">
      <c r="A37" s="1">
        <v>4</v>
      </c>
      <c r="B37" s="1" t="s">
        <v>82</v>
      </c>
      <c r="C37" s="4">
        <v>771</v>
      </c>
      <c r="D37" s="4">
        <v>725</v>
      </c>
      <c r="E37" s="4">
        <v>676</v>
      </c>
    </row>
    <row r="38" ht="13.85" spans="1:5">
      <c r="A38" s="1">
        <v>5</v>
      </c>
      <c r="B38" s="1" t="s">
        <v>83</v>
      </c>
      <c r="C38" s="4">
        <v>822</v>
      </c>
      <c r="D38" s="4">
        <v>773</v>
      </c>
      <c r="E38" s="4">
        <v>720</v>
      </c>
    </row>
    <row r="39" ht="13.85" spans="1:5">
      <c r="A39" s="1">
        <v>6</v>
      </c>
      <c r="B39" s="1" t="s">
        <v>84</v>
      </c>
      <c r="C39" s="4">
        <v>851</v>
      </c>
      <c r="D39" s="4">
        <v>800</v>
      </c>
      <c r="E39" s="4">
        <v>745</v>
      </c>
    </row>
  </sheetData>
  <mergeCells count="4">
    <mergeCell ref="A1:E1"/>
    <mergeCell ref="C2:E2"/>
    <mergeCell ref="A2:A3"/>
    <mergeCell ref="B2:B3"/>
  </mergeCells>
  <pageMargins left="0.7" right="0.7" top="0.75" bottom="0.75" header="0.3" footer="0.3"/>
  <pageSetup paperSize="8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N17" sqref="N17"/>
    </sheetView>
  </sheetViews>
  <sheetFormatPr defaultColWidth="9" defaultRowHeight="13.5" outlineLevelCol="6"/>
  <cols>
    <col min="1" max="1" width="8.75221238938053" customWidth="1"/>
    <col min="2" max="2" width="28.5044247787611" customWidth="1"/>
    <col min="3" max="3" width="17.8761061946903" customWidth="1"/>
    <col min="4" max="4" width="14.6283185840708" customWidth="1"/>
    <col min="5" max="5" width="15.6283185840708" customWidth="1"/>
    <col min="6" max="6" width="14.8761061946903" customWidth="1"/>
    <col min="7" max="7" width="14.2477876106195" customWidth="1"/>
  </cols>
  <sheetData>
    <row r="1" spans="1:7">
      <c r="A1" s="1" t="s">
        <v>11</v>
      </c>
      <c r="B1" s="2" t="s">
        <v>88</v>
      </c>
      <c r="C1" s="7" t="s">
        <v>89</v>
      </c>
      <c r="D1" s="8"/>
      <c r="E1" s="8"/>
      <c r="F1" s="8"/>
      <c r="G1" s="9"/>
    </row>
    <row r="2" spans="1:7">
      <c r="A2" s="1"/>
      <c r="B2" s="1"/>
      <c r="C2" s="1" t="s">
        <v>58</v>
      </c>
      <c r="D2" s="3" t="s">
        <v>59</v>
      </c>
      <c r="E2" s="3" t="s">
        <v>90</v>
      </c>
      <c r="F2" s="3" t="s">
        <v>91</v>
      </c>
      <c r="G2" s="3" t="s">
        <v>92</v>
      </c>
    </row>
    <row r="3" ht="13.85" spans="1:7">
      <c r="A3" s="1">
        <v>1</v>
      </c>
      <c r="B3" s="1" t="s">
        <v>61</v>
      </c>
      <c r="C3" s="4">
        <v>555</v>
      </c>
      <c r="D3" s="5">
        <v>518</v>
      </c>
      <c r="E3" s="5">
        <v>476</v>
      </c>
      <c r="F3" s="5">
        <v>543</v>
      </c>
      <c r="G3" s="5">
        <v>528</v>
      </c>
    </row>
    <row r="4" ht="13.85" spans="1:7">
      <c r="A4" s="1">
        <v>2</v>
      </c>
      <c r="B4" s="1" t="s">
        <v>62</v>
      </c>
      <c r="C4" s="4">
        <v>624</v>
      </c>
      <c r="D4" s="6">
        <v>579</v>
      </c>
      <c r="E4" s="6">
        <v>528</v>
      </c>
      <c r="F4" s="6">
        <v>609</v>
      </c>
      <c r="G4" s="6">
        <v>591</v>
      </c>
    </row>
    <row r="5" ht="13.85" spans="1:7">
      <c r="A5" s="1">
        <v>3</v>
      </c>
      <c r="B5" s="1" t="s">
        <v>63</v>
      </c>
      <c r="C5" s="4">
        <v>673</v>
      </c>
      <c r="D5" s="6">
        <v>622</v>
      </c>
      <c r="E5" s="6">
        <v>566</v>
      </c>
      <c r="F5" s="6">
        <v>656</v>
      </c>
      <c r="G5" s="6">
        <v>636</v>
      </c>
    </row>
    <row r="6" ht="13.85" spans="1:7">
      <c r="A6" s="1">
        <v>4</v>
      </c>
      <c r="B6" s="14" t="s">
        <v>64</v>
      </c>
      <c r="C6" s="4">
        <v>730</v>
      </c>
      <c r="D6" s="6">
        <v>672</v>
      </c>
      <c r="E6" s="6">
        <v>608</v>
      </c>
      <c r="F6" s="6">
        <v>710</v>
      </c>
      <c r="G6" s="6">
        <v>687</v>
      </c>
    </row>
    <row r="7" ht="13.85" spans="1:7">
      <c r="A7" s="1">
        <v>5</v>
      </c>
      <c r="B7" s="14" t="s">
        <v>65</v>
      </c>
      <c r="C7" s="4">
        <v>763</v>
      </c>
      <c r="D7" s="6">
        <v>701</v>
      </c>
      <c r="E7" s="6">
        <v>634</v>
      </c>
      <c r="F7" s="6">
        <v>742</v>
      </c>
      <c r="G7" s="6">
        <v>718</v>
      </c>
    </row>
    <row r="8" ht="13.85" spans="1:7">
      <c r="A8" s="1">
        <v>6</v>
      </c>
      <c r="B8" s="14" t="s">
        <v>66</v>
      </c>
      <c r="C8" s="4">
        <v>780</v>
      </c>
      <c r="D8" s="6">
        <v>715</v>
      </c>
      <c r="E8" s="6">
        <v>646</v>
      </c>
      <c r="F8" s="6">
        <v>758</v>
      </c>
      <c r="G8" s="6">
        <v>732</v>
      </c>
    </row>
    <row r="9" ht="13.85" spans="1:7">
      <c r="A9" s="1">
        <v>7</v>
      </c>
      <c r="B9" s="14" t="s">
        <v>67</v>
      </c>
      <c r="C9" s="4">
        <v>799</v>
      </c>
      <c r="D9" s="6">
        <v>732</v>
      </c>
      <c r="E9" s="6">
        <v>660</v>
      </c>
      <c r="F9" s="6">
        <v>777</v>
      </c>
      <c r="G9" s="6">
        <v>750</v>
      </c>
    </row>
    <row r="13" spans="1:7">
      <c r="A13" s="1" t="s">
        <v>11</v>
      </c>
      <c r="B13" s="2" t="s">
        <v>88</v>
      </c>
      <c r="C13" s="7" t="s">
        <v>93</v>
      </c>
      <c r="D13" s="8"/>
      <c r="E13" s="8"/>
      <c r="F13" s="8"/>
      <c r="G13" s="9"/>
    </row>
    <row r="14" spans="1:7">
      <c r="A14" s="1"/>
      <c r="B14" s="1"/>
      <c r="C14" s="1" t="s">
        <v>58</v>
      </c>
      <c r="D14" s="3" t="s">
        <v>59</v>
      </c>
      <c r="E14" s="3" t="s">
        <v>90</v>
      </c>
      <c r="F14" s="3" t="s">
        <v>91</v>
      </c>
      <c r="G14" s="3" t="s">
        <v>92</v>
      </c>
    </row>
    <row r="15" ht="13.85" spans="1:7">
      <c r="A15" s="1">
        <v>1</v>
      </c>
      <c r="B15" s="1" t="s">
        <v>61</v>
      </c>
      <c r="C15" s="4">
        <v>482</v>
      </c>
      <c r="D15" s="5">
        <v>446</v>
      </c>
      <c r="E15" s="5">
        <v>406</v>
      </c>
      <c r="F15" s="5">
        <v>470</v>
      </c>
      <c r="G15" s="5">
        <v>456</v>
      </c>
    </row>
    <row r="16" ht="13.85" spans="1:7">
      <c r="A16" s="1">
        <v>2</v>
      </c>
      <c r="B16" s="1" t="s">
        <v>62</v>
      </c>
      <c r="C16" s="4">
        <v>536</v>
      </c>
      <c r="D16" s="6">
        <v>493</v>
      </c>
      <c r="E16" s="6">
        <v>447</v>
      </c>
      <c r="F16" s="6">
        <v>522</v>
      </c>
      <c r="G16" s="6">
        <v>505</v>
      </c>
    </row>
    <row r="17" ht="13.85" spans="1:7">
      <c r="A17" s="1">
        <v>3</v>
      </c>
      <c r="B17" s="1" t="s">
        <v>63</v>
      </c>
      <c r="C17" s="4">
        <v>576</v>
      </c>
      <c r="D17" s="6">
        <v>528</v>
      </c>
      <c r="E17" s="6">
        <v>477</v>
      </c>
      <c r="F17" s="6">
        <v>560</v>
      </c>
      <c r="G17" s="6">
        <v>541</v>
      </c>
    </row>
    <row r="18" ht="13.85" spans="1:7">
      <c r="A18" s="1">
        <v>4</v>
      </c>
      <c r="B18" s="14" t="s">
        <v>64</v>
      </c>
      <c r="C18" s="4">
        <v>620</v>
      </c>
      <c r="D18" s="6">
        <v>566</v>
      </c>
      <c r="E18" s="6">
        <v>509</v>
      </c>
      <c r="F18" s="6">
        <v>602</v>
      </c>
      <c r="G18" s="6">
        <v>581</v>
      </c>
    </row>
    <row r="19" ht="13.85" spans="1:7">
      <c r="A19" s="1">
        <v>5</v>
      </c>
      <c r="B19" s="14" t="s">
        <v>65</v>
      </c>
      <c r="C19" s="4">
        <v>647</v>
      </c>
      <c r="D19" s="6">
        <v>590</v>
      </c>
      <c r="E19" s="6">
        <v>530</v>
      </c>
      <c r="F19" s="6">
        <v>627</v>
      </c>
      <c r="G19" s="6">
        <v>605</v>
      </c>
    </row>
    <row r="20" ht="13.85" spans="1:7">
      <c r="A20" s="1">
        <v>6</v>
      </c>
      <c r="B20" s="14" t="s">
        <v>66</v>
      </c>
      <c r="C20" s="4">
        <v>659</v>
      </c>
      <c r="D20" s="6">
        <v>600</v>
      </c>
      <c r="E20" s="6">
        <v>538</v>
      </c>
      <c r="F20" s="6">
        <v>639</v>
      </c>
      <c r="G20" s="6">
        <v>616</v>
      </c>
    </row>
    <row r="21" ht="13.85" spans="1:7">
      <c r="A21" s="1">
        <v>7</v>
      </c>
      <c r="B21" s="14" t="s">
        <v>67</v>
      </c>
      <c r="C21" s="4">
        <v>674</v>
      </c>
      <c r="D21" s="6">
        <v>614</v>
      </c>
      <c r="E21" s="6">
        <v>549</v>
      </c>
      <c r="F21" s="6">
        <v>654</v>
      </c>
      <c r="G21" s="6">
        <v>630</v>
      </c>
    </row>
    <row r="25" spans="1:5">
      <c r="A25" s="1" t="s">
        <v>11</v>
      </c>
      <c r="B25" s="2" t="s">
        <v>88</v>
      </c>
      <c r="C25" s="2" t="s">
        <v>94</v>
      </c>
      <c r="D25" s="2"/>
      <c r="E25" s="2"/>
    </row>
    <row r="26" spans="1:5">
      <c r="A26" s="1"/>
      <c r="B26" s="1"/>
      <c r="C26" s="1" t="s">
        <v>58</v>
      </c>
      <c r="D26" s="3" t="s">
        <v>60</v>
      </c>
      <c r="E26" s="3" t="s">
        <v>95</v>
      </c>
    </row>
    <row r="27" ht="13.85" spans="1:5">
      <c r="A27" s="1">
        <v>1</v>
      </c>
      <c r="B27" s="1" t="s">
        <v>61</v>
      </c>
      <c r="C27" s="15">
        <v>608</v>
      </c>
      <c r="D27" s="5">
        <v>567</v>
      </c>
      <c r="E27" s="5">
        <v>438</v>
      </c>
    </row>
    <row r="28" ht="13.85" spans="1:5">
      <c r="A28" s="1">
        <v>2</v>
      </c>
      <c r="B28" s="1" t="s">
        <v>62</v>
      </c>
      <c r="C28" s="15">
        <v>699</v>
      </c>
      <c r="D28" s="6">
        <v>645</v>
      </c>
      <c r="E28" s="6">
        <v>497</v>
      </c>
    </row>
    <row r="29" ht="13.85" spans="1:5">
      <c r="A29" s="1">
        <v>3</v>
      </c>
      <c r="B29" s="1" t="s">
        <v>63</v>
      </c>
      <c r="C29" s="15">
        <v>761</v>
      </c>
      <c r="D29" s="6">
        <v>699</v>
      </c>
      <c r="E29" s="6">
        <v>538</v>
      </c>
    </row>
    <row r="30" ht="13.85" spans="1:5">
      <c r="A30" s="1">
        <v>4</v>
      </c>
      <c r="B30" s="14" t="s">
        <v>64</v>
      </c>
      <c r="C30" s="15">
        <v>841</v>
      </c>
      <c r="D30" s="6">
        <v>766</v>
      </c>
      <c r="E30" s="6">
        <v>586</v>
      </c>
    </row>
    <row r="31" ht="13.85" spans="1:5">
      <c r="A31" s="1">
        <v>5</v>
      </c>
      <c r="B31" s="14" t="s">
        <v>65</v>
      </c>
      <c r="C31" s="15">
        <v>883</v>
      </c>
      <c r="D31" s="6">
        <v>803</v>
      </c>
      <c r="E31" s="6">
        <v>613</v>
      </c>
    </row>
    <row r="32" ht="13.85" spans="1:5">
      <c r="A32" s="1">
        <v>6</v>
      </c>
      <c r="B32" s="14" t="s">
        <v>66</v>
      </c>
      <c r="C32" s="15">
        <v>909</v>
      </c>
      <c r="D32" s="6">
        <v>823</v>
      </c>
      <c r="E32" s="6">
        <v>727</v>
      </c>
    </row>
    <row r="33" ht="13.85" spans="1:5">
      <c r="A33" s="1">
        <v>7</v>
      </c>
      <c r="B33" s="14" t="s">
        <v>67</v>
      </c>
      <c r="C33" s="15">
        <v>939</v>
      </c>
      <c r="D33" s="6">
        <v>848</v>
      </c>
      <c r="E33" s="6">
        <v>746</v>
      </c>
    </row>
  </sheetData>
  <mergeCells count="9">
    <mergeCell ref="C1:G1"/>
    <mergeCell ref="C13:G13"/>
    <mergeCell ref="C25:E25"/>
    <mergeCell ref="A1:A2"/>
    <mergeCell ref="A13:A14"/>
    <mergeCell ref="A25:A26"/>
    <mergeCell ref="B1:B2"/>
    <mergeCell ref="B13:B14"/>
    <mergeCell ref="B25:B2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16" workbookViewId="0">
      <selection activeCell="N46" sqref="N46"/>
    </sheetView>
  </sheetViews>
  <sheetFormatPr defaultColWidth="9" defaultRowHeight="13.5" outlineLevelCol="5"/>
  <cols>
    <col min="1" max="1" width="8.75221238938053" customWidth="1"/>
    <col min="2" max="2" width="28.5044247787611" customWidth="1"/>
    <col min="3" max="3" width="24.2477876106195" customWidth="1"/>
    <col min="4" max="4" width="24.1238938053097" customWidth="1"/>
    <col min="5" max="5" width="15.6283185840708" customWidth="1"/>
    <col min="6" max="6" width="14.8761061946903" customWidth="1"/>
  </cols>
  <sheetData>
    <row r="1" spans="1:6">
      <c r="A1" s="1" t="s">
        <v>11</v>
      </c>
      <c r="B1" s="2" t="s">
        <v>96</v>
      </c>
      <c r="C1" s="2" t="s">
        <v>89</v>
      </c>
      <c r="D1" s="2"/>
      <c r="E1" s="2"/>
      <c r="F1" s="2"/>
    </row>
    <row r="2" spans="1:6">
      <c r="A2" s="1"/>
      <c r="B2" s="1"/>
      <c r="C2" s="3" t="s">
        <v>97</v>
      </c>
      <c r="D2" s="3" t="s">
        <v>98</v>
      </c>
      <c r="E2" s="3" t="s">
        <v>99</v>
      </c>
      <c r="F2" s="3" t="s">
        <v>100</v>
      </c>
    </row>
    <row r="3" ht="13.85" spans="1:6">
      <c r="A3" s="1">
        <v>1</v>
      </c>
      <c r="B3" s="1" t="s">
        <v>79</v>
      </c>
      <c r="C3" s="4">
        <v>1205</v>
      </c>
      <c r="D3" s="5">
        <v>1146</v>
      </c>
      <c r="E3" s="5">
        <v>1292</v>
      </c>
      <c r="F3" s="5">
        <v>1276</v>
      </c>
    </row>
    <row r="4" ht="13.85" spans="1:6">
      <c r="A4" s="1">
        <v>2</v>
      </c>
      <c r="B4" s="1" t="s">
        <v>80</v>
      </c>
      <c r="C4" s="4">
        <v>1271</v>
      </c>
      <c r="D4" s="6">
        <v>1208</v>
      </c>
      <c r="E4" s="6">
        <v>1367</v>
      </c>
      <c r="F4" s="6">
        <v>1351</v>
      </c>
    </row>
    <row r="5" ht="13.85" spans="1:6">
      <c r="A5" s="1">
        <v>3</v>
      </c>
      <c r="B5" s="1" t="s">
        <v>81</v>
      </c>
      <c r="C5" s="4">
        <v>1325</v>
      </c>
      <c r="D5" s="6">
        <v>1257</v>
      </c>
      <c r="E5" s="6">
        <v>1429</v>
      </c>
      <c r="F5" s="6">
        <v>1411</v>
      </c>
    </row>
    <row r="9" spans="1:6">
      <c r="A9" s="1" t="s">
        <v>11</v>
      </c>
      <c r="B9" s="2" t="s">
        <v>96</v>
      </c>
      <c r="C9" s="2" t="s">
        <v>93</v>
      </c>
      <c r="D9" s="2"/>
      <c r="E9" s="2"/>
      <c r="F9" s="2"/>
    </row>
    <row r="10" spans="1:6">
      <c r="A10" s="1"/>
      <c r="B10" s="1"/>
      <c r="C10" s="3" t="s">
        <v>97</v>
      </c>
      <c r="D10" s="3" t="s">
        <v>98</v>
      </c>
      <c r="E10" s="3" t="s">
        <v>99</v>
      </c>
      <c r="F10" s="3" t="s">
        <v>100</v>
      </c>
    </row>
    <row r="11" ht="13.85" spans="1:6">
      <c r="A11" s="1">
        <v>1</v>
      </c>
      <c r="B11" s="1" t="s">
        <v>79</v>
      </c>
      <c r="C11" s="4">
        <v>1042</v>
      </c>
      <c r="D11" s="5">
        <v>982</v>
      </c>
      <c r="E11" s="5">
        <v>1132</v>
      </c>
      <c r="F11" s="5">
        <v>1116</v>
      </c>
    </row>
    <row r="12" ht="13.85" spans="1:6">
      <c r="A12" s="1">
        <v>2</v>
      </c>
      <c r="B12" s="1" t="s">
        <v>80</v>
      </c>
      <c r="C12" s="4">
        <v>1093</v>
      </c>
      <c r="D12" s="6">
        <v>1030</v>
      </c>
      <c r="E12" s="6">
        <v>1192</v>
      </c>
      <c r="F12" s="6">
        <v>1175</v>
      </c>
    </row>
    <row r="13" ht="13.85" spans="1:6">
      <c r="A13" s="1">
        <v>3</v>
      </c>
      <c r="B13" s="1" t="s">
        <v>81</v>
      </c>
      <c r="C13" s="4">
        <v>1136</v>
      </c>
      <c r="D13" s="6">
        <v>1068</v>
      </c>
      <c r="E13" s="6">
        <v>1241</v>
      </c>
      <c r="F13" s="6">
        <v>1223</v>
      </c>
    </row>
    <row r="17" spans="1:5">
      <c r="A17" s="1" t="s">
        <v>11</v>
      </c>
      <c r="B17" s="2" t="s">
        <v>96</v>
      </c>
      <c r="C17" s="7" t="s">
        <v>89</v>
      </c>
      <c r="D17" s="8"/>
      <c r="E17" s="9"/>
    </row>
    <row r="18" spans="1:5">
      <c r="A18" s="1"/>
      <c r="B18" s="1"/>
      <c r="C18" s="3" t="s">
        <v>101</v>
      </c>
      <c r="D18" s="3" t="s">
        <v>102</v>
      </c>
      <c r="E18" s="3" t="s">
        <v>103</v>
      </c>
    </row>
    <row r="19" ht="13.85" spans="1:5">
      <c r="A19" s="1">
        <v>1</v>
      </c>
      <c r="B19" s="1" t="s">
        <v>82</v>
      </c>
      <c r="C19" s="4">
        <v>685</v>
      </c>
      <c r="D19" s="5">
        <v>626</v>
      </c>
      <c r="E19" s="5">
        <v>665</v>
      </c>
    </row>
    <row r="20" ht="13.85" spans="1:5">
      <c r="A20" s="1">
        <v>2</v>
      </c>
      <c r="B20" s="1" t="s">
        <v>83</v>
      </c>
      <c r="C20" s="4">
        <v>717</v>
      </c>
      <c r="D20" s="6">
        <v>654</v>
      </c>
      <c r="E20" s="6">
        <v>696</v>
      </c>
    </row>
    <row r="21" ht="13.85" spans="1:5">
      <c r="A21" s="1">
        <v>3</v>
      </c>
      <c r="B21" s="1" t="s">
        <v>84</v>
      </c>
      <c r="C21" s="4">
        <v>732</v>
      </c>
      <c r="D21" s="6">
        <v>666</v>
      </c>
      <c r="E21" s="6">
        <v>710</v>
      </c>
    </row>
    <row r="25" spans="1:5">
      <c r="A25" s="1" t="s">
        <v>11</v>
      </c>
      <c r="B25" s="2" t="s">
        <v>96</v>
      </c>
      <c r="C25" s="7" t="s">
        <v>93</v>
      </c>
      <c r="D25" s="8"/>
      <c r="E25" s="9"/>
    </row>
    <row r="26" spans="1:5">
      <c r="A26" s="1"/>
      <c r="B26" s="1"/>
      <c r="C26" s="3" t="s">
        <v>101</v>
      </c>
      <c r="D26" s="3" t="s">
        <v>102</v>
      </c>
      <c r="E26" s="3" t="s">
        <v>103</v>
      </c>
    </row>
    <row r="27" ht="13.85" spans="1:5">
      <c r="A27" s="1">
        <v>1</v>
      </c>
      <c r="B27" s="1" t="s">
        <v>82</v>
      </c>
      <c r="C27" s="4">
        <v>578</v>
      </c>
      <c r="D27" s="5">
        <v>524</v>
      </c>
      <c r="E27" s="5">
        <v>560</v>
      </c>
    </row>
    <row r="28" ht="13.85" spans="1:5">
      <c r="A28" s="1">
        <v>2</v>
      </c>
      <c r="B28" s="1" t="s">
        <v>83</v>
      </c>
      <c r="C28" s="4">
        <v>603</v>
      </c>
      <c r="D28" s="6">
        <v>545</v>
      </c>
      <c r="E28" s="6">
        <v>583</v>
      </c>
    </row>
    <row r="29" ht="13.85" spans="1:5">
      <c r="A29" s="1">
        <v>3</v>
      </c>
      <c r="B29" s="1" t="s">
        <v>84</v>
      </c>
      <c r="C29" s="4">
        <v>614</v>
      </c>
      <c r="D29" s="6">
        <v>554</v>
      </c>
      <c r="E29" s="6">
        <v>594</v>
      </c>
    </row>
    <row r="30" ht="13.85" spans="1:5">
      <c r="A30" s="10"/>
      <c r="B30" s="10"/>
      <c r="C30" s="11"/>
      <c r="D30" s="12"/>
      <c r="E30" s="12"/>
    </row>
    <row r="31" ht="13.85" spans="1:5">
      <c r="A31" s="10"/>
      <c r="B31" s="10"/>
      <c r="C31" s="11"/>
      <c r="D31" s="12"/>
      <c r="E31" s="12"/>
    </row>
    <row r="32" ht="13.85" spans="1:5">
      <c r="A32" s="10"/>
      <c r="B32" s="10"/>
      <c r="C32" s="11"/>
      <c r="D32" s="12"/>
      <c r="E32" s="12"/>
    </row>
    <row r="33" customHeight="1" spans="1:5">
      <c r="A33" s="10"/>
      <c r="B33" s="10"/>
      <c r="C33" s="11"/>
      <c r="D33" s="12"/>
      <c r="E33" s="12"/>
    </row>
    <row r="34" ht="15.75" customHeight="1"/>
    <row r="35" ht="15" customHeight="1" spans="1:4">
      <c r="A35" s="1" t="s">
        <v>11</v>
      </c>
      <c r="B35" s="2" t="s">
        <v>96</v>
      </c>
      <c r="C35" s="7" t="s">
        <v>94</v>
      </c>
      <c r="D35" s="9"/>
    </row>
    <row r="36" spans="1:4">
      <c r="A36" s="1"/>
      <c r="B36" s="1"/>
      <c r="C36" s="13" t="s">
        <v>104</v>
      </c>
      <c r="D36" s="13" t="s">
        <v>105</v>
      </c>
    </row>
    <row r="37" ht="13.85" spans="1:4">
      <c r="A37" s="1">
        <v>1</v>
      </c>
      <c r="B37" s="1" t="s">
        <v>79</v>
      </c>
      <c r="C37" s="4">
        <v>1183</v>
      </c>
      <c r="D37" s="5">
        <v>1016</v>
      </c>
    </row>
    <row r="38" ht="13.85" spans="1:4">
      <c r="A38" s="1">
        <v>2</v>
      </c>
      <c r="B38" s="1" t="s">
        <v>80</v>
      </c>
      <c r="C38" s="4">
        <v>1258</v>
      </c>
      <c r="D38" s="6">
        <v>1072</v>
      </c>
    </row>
    <row r="39" ht="13.85" spans="1:4">
      <c r="A39" s="1">
        <v>3</v>
      </c>
      <c r="B39" s="1" t="s">
        <v>81</v>
      </c>
      <c r="C39" s="4">
        <v>1318</v>
      </c>
      <c r="D39" s="6">
        <v>1118</v>
      </c>
    </row>
    <row r="43" spans="1:4">
      <c r="A43" s="1" t="s">
        <v>11</v>
      </c>
      <c r="B43" s="2" t="s">
        <v>96</v>
      </c>
      <c r="C43" s="2" t="s">
        <v>94</v>
      </c>
      <c r="D43" s="2"/>
    </row>
    <row r="44" spans="1:4">
      <c r="A44" s="1"/>
      <c r="B44" s="1"/>
      <c r="C44" s="13" t="s">
        <v>58</v>
      </c>
      <c r="D44" s="13" t="s">
        <v>60</v>
      </c>
    </row>
    <row r="45" ht="13.85" spans="1:4">
      <c r="A45" s="1">
        <v>1</v>
      </c>
      <c r="B45" s="1" t="s">
        <v>82</v>
      </c>
      <c r="C45" s="4">
        <v>800</v>
      </c>
      <c r="D45" s="5">
        <v>724</v>
      </c>
    </row>
    <row r="46" ht="13.85" spans="1:4">
      <c r="A46" s="1">
        <v>2</v>
      </c>
      <c r="B46" s="1" t="s">
        <v>83</v>
      </c>
      <c r="C46" s="4">
        <v>846</v>
      </c>
      <c r="D46" s="6">
        <v>762</v>
      </c>
    </row>
    <row r="47" ht="13.85" spans="1:4">
      <c r="A47" s="1">
        <v>3</v>
      </c>
      <c r="B47" s="1" t="s">
        <v>84</v>
      </c>
      <c r="C47" s="4">
        <v>871</v>
      </c>
      <c r="D47" s="6">
        <v>782</v>
      </c>
    </row>
    <row r="50" customHeight="1"/>
  </sheetData>
  <mergeCells count="18">
    <mergeCell ref="C1:F1"/>
    <mergeCell ref="C9:F9"/>
    <mergeCell ref="C17:E17"/>
    <mergeCell ref="C25:E25"/>
    <mergeCell ref="C35:D35"/>
    <mergeCell ref="C43:D43"/>
    <mergeCell ref="A1:A2"/>
    <mergeCell ref="A9:A10"/>
    <mergeCell ref="A17:A18"/>
    <mergeCell ref="A25:A26"/>
    <mergeCell ref="A35:A36"/>
    <mergeCell ref="A43:A44"/>
    <mergeCell ref="B1:B2"/>
    <mergeCell ref="B9:B10"/>
    <mergeCell ref="B17:B18"/>
    <mergeCell ref="B25:B26"/>
    <mergeCell ref="B35:B36"/>
    <mergeCell ref="B43:B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封面1</vt:lpstr>
      <vt:lpstr>封面2</vt:lpstr>
      <vt:lpstr>35kV海缆载流量查询表</vt:lpstr>
      <vt:lpstr>66kV海缆载流量查询表</vt:lpstr>
      <vt:lpstr>220kV海缆载流量查询表</vt:lpstr>
      <vt:lpstr>500kV海缆载流量查询表</vt:lpstr>
      <vt:lpstr>J型管（数据表）</vt:lpstr>
      <vt:lpstr>220kV滩涂直埋、电缆沟（数据表）</vt:lpstr>
      <vt:lpstr>500kV滩涂直埋、电缆沟（数据表）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沈欣炜</cp:lastModifiedBy>
  <dcterms:created xsi:type="dcterms:W3CDTF">2006-09-16T00:00:00Z</dcterms:created>
  <dcterms:modified xsi:type="dcterms:W3CDTF">2023-10-03T10:38:36Z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6B7A351D1C3B40AAA7E2A5B5784BC4FA</vt:lpwstr>
  </property>
  <property fmtid="{D5CDD505-2E9C-101B-9397-08002B2CF9AE}" pid="3" name="KSOProductBuildVer">
    <vt:lpwstr>2052-12.1.0.15374</vt:lpwstr>
  </property>
</Properties>
</file>