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https://northeastern-my.sharepoint.com/personal/m_niedre_northeastern_edu/Documents/Niedre_Lab/Fernando/MC_paper/revisions/"/>
    </mc:Choice>
  </mc:AlternateContent>
  <xr:revisionPtr revIDLastSave="475" documentId="13_ncr:1_{656C51DE-0CE1-4984-A9B2-CB45B0FAD50E}" xr6:coauthVersionLast="47" xr6:coauthVersionMax="47" xr10:uidLastSave="{54287FFC-80E8-4EDE-B7F8-70CBEA5E2669}"/>
  <bookViews>
    <workbookView xWindow="-120" yWindow="-120" windowWidth="29040" windowHeight="15840" activeTab="2" xr2:uid="{00000000-000D-0000-FFFF-FFFF00000000}"/>
  </bookViews>
  <sheets>
    <sheet name="Bottom 25%" sheetId="1" r:id="rId1"/>
    <sheet name="Average" sheetId="2" r:id="rId2"/>
    <sheet name="Top 25%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53" i="3" l="1"/>
  <c r="AF55" i="3" s="1"/>
  <c r="AE53" i="3"/>
  <c r="AE55" i="3" s="1"/>
  <c r="AD53" i="3"/>
  <c r="AC53" i="3"/>
  <c r="AC55" i="3" s="1"/>
  <c r="AB53" i="3"/>
  <c r="AB55" i="3" s="1"/>
  <c r="AA53" i="3"/>
  <c r="AA55" i="3" s="1"/>
  <c r="Z53" i="3"/>
  <c r="Z55" i="3" s="1"/>
  <c r="Y53" i="3"/>
  <c r="X53" i="3"/>
  <c r="X55" i="3" s="1"/>
  <c r="AD55" i="3"/>
  <c r="AF54" i="3"/>
  <c r="AE54" i="3"/>
  <c r="AD54" i="3"/>
  <c r="AC54" i="3"/>
  <c r="AB54" i="3"/>
  <c r="AA54" i="3"/>
  <c r="Z54" i="3"/>
  <c r="Y54" i="3"/>
  <c r="X54" i="3"/>
  <c r="AF25" i="3"/>
  <c r="AE25" i="3"/>
  <c r="AD25" i="3"/>
  <c r="AC26" i="3"/>
  <c r="AC27" i="3" s="1"/>
  <c r="AC25" i="3"/>
  <c r="AB25" i="3"/>
  <c r="AA25" i="3"/>
  <c r="Z25" i="3"/>
  <c r="Y26" i="3"/>
  <c r="Y25" i="3"/>
  <c r="X25" i="3"/>
  <c r="X27" i="3" s="1"/>
  <c r="AF26" i="3"/>
  <c r="AE26" i="3"/>
  <c r="AD26" i="3"/>
  <c r="AB26" i="3"/>
  <c r="AA26" i="3"/>
  <c r="Z26" i="3"/>
  <c r="X26" i="3"/>
  <c r="AF27" i="3"/>
  <c r="AE27" i="3"/>
  <c r="AD27" i="3"/>
  <c r="AB27" i="3"/>
  <c r="AA27" i="3"/>
  <c r="Z27" i="3"/>
  <c r="M25" i="3"/>
  <c r="N25" i="3"/>
  <c r="N27" i="3" s="1"/>
  <c r="U25" i="3"/>
  <c r="U27" i="3" s="1"/>
  <c r="T25" i="3"/>
  <c r="S25" i="3"/>
  <c r="S27" i="3" s="1"/>
  <c r="R25" i="3"/>
  <c r="Q25" i="3"/>
  <c r="Q27" i="3" s="1"/>
  <c r="P25" i="3"/>
  <c r="P27" i="3" s="1"/>
  <c r="O25" i="3"/>
  <c r="O27" i="3" s="1"/>
  <c r="M27" i="3"/>
  <c r="T27" i="3"/>
  <c r="R27" i="3"/>
  <c r="J59" i="3"/>
  <c r="L53" i="3"/>
  <c r="H54" i="3"/>
  <c r="H45" i="3"/>
  <c r="L52" i="3"/>
  <c r="G45" i="3"/>
  <c r="G54" i="3"/>
  <c r="G56" i="3" s="1"/>
  <c r="L51" i="3"/>
  <c r="F54" i="3"/>
  <c r="F45" i="3"/>
  <c r="J54" i="3"/>
  <c r="I54" i="3"/>
  <c r="H55" i="3"/>
  <c r="E54" i="3"/>
  <c r="D54" i="3"/>
  <c r="C54" i="3"/>
  <c r="B54" i="3"/>
  <c r="J55" i="3"/>
  <c r="I55" i="3"/>
  <c r="G55" i="3"/>
  <c r="F55" i="3"/>
  <c r="E55" i="3"/>
  <c r="D55" i="3"/>
  <c r="C55" i="3"/>
  <c r="B55" i="3"/>
  <c r="AL37" i="2"/>
  <c r="AA37" i="2"/>
  <c r="P18" i="2"/>
  <c r="E18" i="2"/>
  <c r="P37" i="2"/>
  <c r="E37" i="2"/>
  <c r="AL18" i="2"/>
  <c r="AA18" i="2"/>
  <c r="B46" i="3"/>
  <c r="AQ15" i="2"/>
  <c r="AQ17" i="2" s="1"/>
  <c r="AP15" i="2"/>
  <c r="AP17" i="2" s="1"/>
  <c r="AO15" i="2"/>
  <c r="AO17" i="2" s="1"/>
  <c r="AN15" i="2"/>
  <c r="AN17" i="2" s="1"/>
  <c r="AM15" i="2"/>
  <c r="AM17" i="2" s="1"/>
  <c r="AL15" i="2"/>
  <c r="AL17" i="2" s="1"/>
  <c r="AK15" i="2"/>
  <c r="AJ15" i="2"/>
  <c r="AI15" i="2"/>
  <c r="AI17" i="2" s="1"/>
  <c r="AF15" i="2"/>
  <c r="AE15" i="2"/>
  <c r="AE17" i="2" s="1"/>
  <c r="AD15" i="2"/>
  <c r="AC15" i="2"/>
  <c r="AB15" i="2"/>
  <c r="AB17" i="2" s="1"/>
  <c r="AA15" i="2"/>
  <c r="Z15" i="2"/>
  <c r="Y15" i="2"/>
  <c r="Y17" i="2" s="1"/>
  <c r="X15" i="2"/>
  <c r="X17" i="2" s="1"/>
  <c r="AQ9" i="2"/>
  <c r="AQ11" i="2" s="1"/>
  <c r="AP9" i="2"/>
  <c r="AP11" i="2" s="1"/>
  <c r="AO9" i="2"/>
  <c r="AO11" i="2" s="1"/>
  <c r="AN9" i="2"/>
  <c r="AN11" i="2" s="1"/>
  <c r="AM9" i="2"/>
  <c r="AM11" i="2" s="1"/>
  <c r="AL9" i="2"/>
  <c r="AL11" i="2" s="1"/>
  <c r="AK9" i="2"/>
  <c r="AK11" i="2" s="1"/>
  <c r="AJ9" i="2"/>
  <c r="AJ11" i="2" s="1"/>
  <c r="AI9" i="2"/>
  <c r="AF9" i="2"/>
  <c r="AE9" i="2"/>
  <c r="AE11" i="2" s="1"/>
  <c r="AD9" i="2"/>
  <c r="AD11" i="2" s="1"/>
  <c r="AC9" i="2"/>
  <c r="AC11" i="2" s="1"/>
  <c r="AB9" i="2"/>
  <c r="AB11" i="2" s="1"/>
  <c r="AA9" i="2"/>
  <c r="AA11" i="2" s="1"/>
  <c r="Z9" i="2"/>
  <c r="Z11" i="2" s="1"/>
  <c r="Y9" i="2"/>
  <c r="X9" i="2"/>
  <c r="AQ3" i="2"/>
  <c r="AQ5" i="2" s="1"/>
  <c r="AP3" i="2"/>
  <c r="AO3" i="2"/>
  <c r="AN3" i="2"/>
  <c r="AM3" i="2"/>
  <c r="AL3" i="2"/>
  <c r="AK3" i="2"/>
  <c r="AJ3" i="2"/>
  <c r="AI3" i="2"/>
  <c r="AF3" i="2"/>
  <c r="AE3" i="2"/>
  <c r="AE5" i="2" s="1"/>
  <c r="AD3" i="2"/>
  <c r="AD5" i="2" s="1"/>
  <c r="AB3" i="2"/>
  <c r="AB5" i="2" s="1"/>
  <c r="AC3" i="2"/>
  <c r="AA3" i="2"/>
  <c r="AA5" i="2" s="1"/>
  <c r="Z3" i="2"/>
  <c r="Y3" i="2"/>
  <c r="X3" i="2"/>
  <c r="X5" i="2" s="1"/>
  <c r="AK17" i="2"/>
  <c r="AJ17" i="2"/>
  <c r="AA17" i="2"/>
  <c r="Z17" i="2"/>
  <c r="AQ16" i="2"/>
  <c r="AP16" i="2"/>
  <c r="AO16" i="2"/>
  <c r="AN16" i="2"/>
  <c r="AM16" i="2"/>
  <c r="AL16" i="2"/>
  <c r="AK16" i="2"/>
  <c r="AJ16" i="2"/>
  <c r="AI16" i="2"/>
  <c r="AF16" i="2"/>
  <c r="AE16" i="2"/>
  <c r="AD16" i="2"/>
  <c r="AC16" i="2"/>
  <c r="AB16" i="2"/>
  <c r="AA16" i="2"/>
  <c r="Z16" i="2"/>
  <c r="Y16" i="2"/>
  <c r="X16" i="2"/>
  <c r="AF17" i="2"/>
  <c r="AD17" i="2"/>
  <c r="AC17" i="2"/>
  <c r="AI11" i="2"/>
  <c r="AF11" i="2"/>
  <c r="Y11" i="2"/>
  <c r="X11" i="2"/>
  <c r="AQ10" i="2"/>
  <c r="AP10" i="2"/>
  <c r="AO10" i="2"/>
  <c r="AN10" i="2"/>
  <c r="AM10" i="2"/>
  <c r="AL10" i="2"/>
  <c r="AK10" i="2"/>
  <c r="AJ10" i="2"/>
  <c r="AI10" i="2"/>
  <c r="AF10" i="2"/>
  <c r="AE10" i="2"/>
  <c r="AD10" i="2"/>
  <c r="AC10" i="2"/>
  <c r="AB10" i="2"/>
  <c r="AA10" i="2"/>
  <c r="Z10" i="2"/>
  <c r="Y10" i="2"/>
  <c r="X10" i="2"/>
  <c r="AO5" i="2"/>
  <c r="AN5" i="2"/>
  <c r="AQ4" i="2"/>
  <c r="AP4" i="2"/>
  <c r="AO4" i="2"/>
  <c r="AN4" i="2"/>
  <c r="AM4" i="2"/>
  <c r="AL4" i="2"/>
  <c r="AK4" i="2"/>
  <c r="AJ4" i="2"/>
  <c r="AI4" i="2"/>
  <c r="AF4" i="2"/>
  <c r="AE4" i="2"/>
  <c r="AD4" i="2"/>
  <c r="AC4" i="2"/>
  <c r="AB4" i="2"/>
  <c r="AA4" i="2"/>
  <c r="Z4" i="2"/>
  <c r="Y4" i="2"/>
  <c r="X4" i="2"/>
  <c r="AP5" i="2"/>
  <c r="AM5" i="2"/>
  <c r="AL5" i="2"/>
  <c r="AK5" i="2"/>
  <c r="AJ5" i="2"/>
  <c r="AI5" i="2"/>
  <c r="AF5" i="2"/>
  <c r="AC5" i="2"/>
  <c r="Z5" i="2"/>
  <c r="Y5" i="2"/>
  <c r="J15" i="2"/>
  <c r="I15" i="2"/>
  <c r="H15" i="2"/>
  <c r="H17" i="2" s="1"/>
  <c r="G15" i="2"/>
  <c r="F15" i="2"/>
  <c r="E15" i="2"/>
  <c r="D15" i="2"/>
  <c r="D17" i="2" s="1"/>
  <c r="C15" i="2"/>
  <c r="C17" i="2" s="1"/>
  <c r="B15" i="2"/>
  <c r="J9" i="2"/>
  <c r="I9" i="2"/>
  <c r="H9" i="2"/>
  <c r="H11" i="2" s="1"/>
  <c r="G9" i="2"/>
  <c r="G11" i="2" s="1"/>
  <c r="F9" i="2"/>
  <c r="E9" i="2"/>
  <c r="D9" i="2"/>
  <c r="C9" i="2"/>
  <c r="C11" i="2" s="1"/>
  <c r="B9" i="2"/>
  <c r="J3" i="2"/>
  <c r="J5" i="2" s="1"/>
  <c r="I3" i="2"/>
  <c r="H3" i="2"/>
  <c r="G3" i="2"/>
  <c r="G5" i="2" s="1"/>
  <c r="F3" i="2"/>
  <c r="E3" i="2"/>
  <c r="E5" i="2" s="1"/>
  <c r="D3" i="2"/>
  <c r="C3" i="2"/>
  <c r="C5" i="2" s="1"/>
  <c r="B3" i="2"/>
  <c r="B5" i="2" s="1"/>
  <c r="I17" i="2"/>
  <c r="J16" i="2"/>
  <c r="I16" i="2"/>
  <c r="H16" i="2"/>
  <c r="G16" i="2"/>
  <c r="F16" i="2"/>
  <c r="E16" i="2"/>
  <c r="D16" i="2"/>
  <c r="C16" i="2"/>
  <c r="B16" i="2"/>
  <c r="B17" i="2" s="1"/>
  <c r="G17" i="2"/>
  <c r="F17" i="2"/>
  <c r="E17" i="2"/>
  <c r="F11" i="2"/>
  <c r="D11" i="2"/>
  <c r="J10" i="2"/>
  <c r="I10" i="2"/>
  <c r="I11" i="2" s="1"/>
  <c r="H10" i="2"/>
  <c r="G10" i="2"/>
  <c r="F10" i="2"/>
  <c r="E10" i="2"/>
  <c r="E11" i="2" s="1"/>
  <c r="D10" i="2"/>
  <c r="C10" i="2"/>
  <c r="B10" i="2"/>
  <c r="J11" i="2"/>
  <c r="B11" i="2"/>
  <c r="I5" i="2"/>
  <c r="J4" i="2"/>
  <c r="I4" i="2"/>
  <c r="H4" i="2"/>
  <c r="H5" i="2" s="1"/>
  <c r="G4" i="2"/>
  <c r="F4" i="2"/>
  <c r="E4" i="2"/>
  <c r="D4" i="2"/>
  <c r="C4" i="2"/>
  <c r="B4" i="2"/>
  <c r="F5" i="2"/>
  <c r="AQ15" i="1"/>
  <c r="AQ17" i="1" s="1"/>
  <c r="AP15" i="1"/>
  <c r="AO15" i="1"/>
  <c r="AO17" i="1" s="1"/>
  <c r="AN15" i="1"/>
  <c r="AM15" i="1"/>
  <c r="AM17" i="1" s="1"/>
  <c r="AL15" i="1"/>
  <c r="AL17" i="1" s="1"/>
  <c r="AK15" i="1"/>
  <c r="AJ15" i="1"/>
  <c r="AI15" i="1"/>
  <c r="X15" i="1"/>
  <c r="AQ9" i="1"/>
  <c r="AP9" i="1"/>
  <c r="AO9" i="1"/>
  <c r="AN9" i="1"/>
  <c r="AN11" i="1" s="1"/>
  <c r="AM9" i="1"/>
  <c r="AM11" i="1" s="1"/>
  <c r="AL9" i="1"/>
  <c r="AL11" i="1" s="1"/>
  <c r="AK9" i="1"/>
  <c r="AJ9" i="1"/>
  <c r="AJ11" i="1" s="1"/>
  <c r="AI9" i="1"/>
  <c r="X9" i="1"/>
  <c r="AQ3" i="1"/>
  <c r="AP3" i="1"/>
  <c r="AO3" i="1"/>
  <c r="AO5" i="1" s="1"/>
  <c r="AN3" i="1"/>
  <c r="AM3" i="1"/>
  <c r="AL3" i="1"/>
  <c r="AK3" i="1"/>
  <c r="AK5" i="1" s="1"/>
  <c r="AJ3" i="1"/>
  <c r="AJ5" i="1" s="1"/>
  <c r="AI3" i="1"/>
  <c r="AI5" i="1" s="1"/>
  <c r="X3" i="1"/>
  <c r="AQ16" i="1"/>
  <c r="AP16" i="1"/>
  <c r="AP17" i="1" s="1"/>
  <c r="AO16" i="1"/>
  <c r="AN16" i="1"/>
  <c r="AM16" i="1"/>
  <c r="AL16" i="1"/>
  <c r="AK16" i="1"/>
  <c r="AJ16" i="1"/>
  <c r="AI16" i="1"/>
  <c r="AK17" i="1"/>
  <c r="AJ17" i="1"/>
  <c r="AI17" i="1"/>
  <c r="AP11" i="1"/>
  <c r="AO11" i="1"/>
  <c r="AQ10" i="1"/>
  <c r="AP10" i="1"/>
  <c r="AO10" i="1"/>
  <c r="AN10" i="1"/>
  <c r="AM10" i="1"/>
  <c r="AL10" i="1"/>
  <c r="AK10" i="1"/>
  <c r="AJ10" i="1"/>
  <c r="AI10" i="1"/>
  <c r="AM5" i="1"/>
  <c r="AQ4" i="1"/>
  <c r="AP4" i="1"/>
  <c r="AO4" i="1"/>
  <c r="AN4" i="1"/>
  <c r="AN5" i="1" s="1"/>
  <c r="AM4" i="1"/>
  <c r="AL4" i="1"/>
  <c r="AL5" i="1" s="1"/>
  <c r="AK4" i="1"/>
  <c r="AJ4" i="1"/>
  <c r="AI4" i="1"/>
  <c r="AQ5" i="1"/>
  <c r="AP5" i="1"/>
  <c r="AA56" i="3" l="1"/>
  <c r="Y55" i="3"/>
  <c r="AA28" i="3"/>
  <c r="AA29" i="3"/>
  <c r="Y27" i="3"/>
  <c r="P29" i="3"/>
  <c r="P28" i="3"/>
  <c r="F56" i="3"/>
  <c r="B56" i="3"/>
  <c r="L54" i="3"/>
  <c r="J56" i="3"/>
  <c r="C56" i="3"/>
  <c r="E56" i="3"/>
  <c r="D56" i="3"/>
  <c r="H56" i="3"/>
  <c r="I56" i="3"/>
  <c r="J17" i="2"/>
  <c r="D5" i="2"/>
  <c r="AN17" i="1"/>
  <c r="AQ11" i="1"/>
  <c r="AK11" i="1"/>
  <c r="AI11" i="1"/>
  <c r="AQ15" i="3"/>
  <c r="AP15" i="3"/>
  <c r="AP17" i="3" s="1"/>
  <c r="AO16" i="3"/>
  <c r="AO15" i="3"/>
  <c r="AN15" i="3"/>
  <c r="AM15" i="3"/>
  <c r="AL15" i="3"/>
  <c r="AK15" i="3"/>
  <c r="AJ16" i="3"/>
  <c r="AJ15" i="3"/>
  <c r="AJ17" i="3" s="1"/>
  <c r="AI15" i="3"/>
  <c r="AK16" i="3"/>
  <c r="AL16" i="3"/>
  <c r="AM16" i="3"/>
  <c r="AN16" i="3"/>
  <c r="AP16" i="3"/>
  <c r="AQ16" i="3"/>
  <c r="AI16" i="3"/>
  <c r="X16" i="3"/>
  <c r="X15" i="3"/>
  <c r="AQ9" i="3"/>
  <c r="AP9" i="3"/>
  <c r="AO9" i="3"/>
  <c r="AO11" i="3" s="1"/>
  <c r="AN9" i="3"/>
  <c r="AM9" i="3"/>
  <c r="AL9" i="3"/>
  <c r="AK9" i="3"/>
  <c r="AJ9" i="3"/>
  <c r="AI9" i="3"/>
  <c r="AJ10" i="3"/>
  <c r="AK10" i="3"/>
  <c r="AL10" i="3"/>
  <c r="AM10" i="3"/>
  <c r="AN10" i="3"/>
  <c r="AO10" i="3"/>
  <c r="AP10" i="3"/>
  <c r="AQ10" i="3"/>
  <c r="AQ11" i="3" s="1"/>
  <c r="AI10" i="3"/>
  <c r="X10" i="3"/>
  <c r="X9" i="3"/>
  <c r="AQ3" i="3"/>
  <c r="AP3" i="3"/>
  <c r="AO3" i="3"/>
  <c r="AN3" i="3"/>
  <c r="AM3" i="3"/>
  <c r="AL3" i="3"/>
  <c r="AK3" i="3"/>
  <c r="AJ3" i="3"/>
  <c r="AI4" i="3"/>
  <c r="AI3" i="3"/>
  <c r="AJ4" i="3"/>
  <c r="AK4" i="3"/>
  <c r="AL4" i="3"/>
  <c r="AM4" i="3"/>
  <c r="AN4" i="3"/>
  <c r="AO4" i="3"/>
  <c r="AP4" i="3"/>
  <c r="AQ4" i="3"/>
  <c r="X4" i="3"/>
  <c r="X3" i="3"/>
  <c r="AF15" i="3"/>
  <c r="AE15" i="3"/>
  <c r="AD15" i="3"/>
  <c r="AC15" i="3"/>
  <c r="AB15" i="3"/>
  <c r="AA15" i="3"/>
  <c r="Z15" i="3"/>
  <c r="Y15" i="3"/>
  <c r="AF9" i="3"/>
  <c r="AE9" i="3"/>
  <c r="AD9" i="3"/>
  <c r="AC9" i="3"/>
  <c r="AB9" i="3"/>
  <c r="AA9" i="3"/>
  <c r="Z9" i="3"/>
  <c r="Y9" i="3"/>
  <c r="AB3" i="1"/>
  <c r="AB5" i="1" s="1"/>
  <c r="AB3" i="3"/>
  <c r="AF3" i="3"/>
  <c r="AE3" i="3"/>
  <c r="AD3" i="3"/>
  <c r="AC3" i="3"/>
  <c r="AA3" i="3"/>
  <c r="Z3" i="3"/>
  <c r="Y3" i="3"/>
  <c r="AF16" i="3"/>
  <c r="AE16" i="3"/>
  <c r="AD16" i="3"/>
  <c r="AC16" i="3"/>
  <c r="AB16" i="3"/>
  <c r="AA16" i="3"/>
  <c r="Z16" i="3"/>
  <c r="Y16" i="3"/>
  <c r="AF10" i="3"/>
  <c r="AE10" i="3"/>
  <c r="AD10" i="3"/>
  <c r="AC10" i="3"/>
  <c r="AB10" i="3"/>
  <c r="AA10" i="3"/>
  <c r="Z10" i="3"/>
  <c r="Y10" i="3"/>
  <c r="AF4" i="3"/>
  <c r="AE4" i="3"/>
  <c r="AD4" i="3"/>
  <c r="AC4" i="3"/>
  <c r="AB4" i="3"/>
  <c r="AA4" i="3"/>
  <c r="Z4" i="3"/>
  <c r="Y4" i="3"/>
  <c r="AF15" i="1"/>
  <c r="AE15" i="1"/>
  <c r="AD15" i="1"/>
  <c r="AD17" i="1" s="1"/>
  <c r="AC15" i="1"/>
  <c r="AC17" i="1" s="1"/>
  <c r="AB15" i="1"/>
  <c r="AA15" i="1"/>
  <c r="Z15" i="1"/>
  <c r="Z17" i="1" s="1"/>
  <c r="Y15" i="1"/>
  <c r="Y17" i="1" s="1"/>
  <c r="Y16" i="1"/>
  <c r="Z16" i="1"/>
  <c r="AA16" i="1"/>
  <c r="AA17" i="1" s="1"/>
  <c r="AB16" i="1"/>
  <c r="AC16" i="1"/>
  <c r="AD16" i="1"/>
  <c r="AE16" i="1"/>
  <c r="AF16" i="1"/>
  <c r="AF17" i="1" s="1"/>
  <c r="X16" i="1"/>
  <c r="AF9" i="1"/>
  <c r="AE9" i="1"/>
  <c r="AE11" i="1" s="1"/>
  <c r="AD9" i="1"/>
  <c r="AC9" i="1"/>
  <c r="AC11" i="1" s="1"/>
  <c r="AB9" i="1"/>
  <c r="AB11" i="1" s="1"/>
  <c r="AA9" i="1"/>
  <c r="AA11" i="1" s="1"/>
  <c r="Z9" i="1"/>
  <c r="Y9" i="1"/>
  <c r="Y10" i="1"/>
  <c r="Z10" i="1"/>
  <c r="AA10" i="1"/>
  <c r="AB10" i="1"/>
  <c r="AC10" i="1"/>
  <c r="AD10" i="1"/>
  <c r="AE10" i="1"/>
  <c r="AF10" i="1"/>
  <c r="X10" i="1"/>
  <c r="J15" i="3"/>
  <c r="I15" i="3"/>
  <c r="H15" i="3"/>
  <c r="G15" i="3"/>
  <c r="F15" i="3"/>
  <c r="E15" i="3"/>
  <c r="D15" i="3"/>
  <c r="C15" i="3"/>
  <c r="B15" i="3"/>
  <c r="J9" i="3"/>
  <c r="I9" i="3"/>
  <c r="H9" i="3"/>
  <c r="G9" i="3"/>
  <c r="F9" i="3"/>
  <c r="E9" i="3"/>
  <c r="D9" i="3"/>
  <c r="C9" i="3"/>
  <c r="B9" i="3"/>
  <c r="J3" i="3"/>
  <c r="I3" i="3"/>
  <c r="H3" i="3"/>
  <c r="G3" i="3"/>
  <c r="F3" i="3"/>
  <c r="E3" i="3"/>
  <c r="D3" i="3"/>
  <c r="D5" i="3" s="1"/>
  <c r="C3" i="3"/>
  <c r="B3" i="3"/>
  <c r="J16" i="3"/>
  <c r="I16" i="3"/>
  <c r="H16" i="3"/>
  <c r="G16" i="3"/>
  <c r="F16" i="3"/>
  <c r="E16" i="3"/>
  <c r="D16" i="3"/>
  <c r="C16" i="3"/>
  <c r="B16" i="3"/>
  <c r="J10" i="3"/>
  <c r="I10" i="3"/>
  <c r="H10" i="3"/>
  <c r="G10" i="3"/>
  <c r="F10" i="3"/>
  <c r="E10" i="3"/>
  <c r="D10" i="3"/>
  <c r="C10" i="3"/>
  <c r="B10" i="3"/>
  <c r="J4" i="3"/>
  <c r="I4" i="3"/>
  <c r="H4" i="3"/>
  <c r="G4" i="3"/>
  <c r="F4" i="3"/>
  <c r="E4" i="3"/>
  <c r="D4" i="3"/>
  <c r="C4" i="3"/>
  <c r="B4" i="3"/>
  <c r="AF3" i="1"/>
  <c r="AE3" i="1"/>
  <c r="AD3" i="1"/>
  <c r="AC3" i="1"/>
  <c r="AC5" i="1" s="1"/>
  <c r="AA4" i="1"/>
  <c r="AA3" i="1"/>
  <c r="Z4" i="1"/>
  <c r="Z3" i="1"/>
  <c r="Y3" i="1"/>
  <c r="Y4" i="1"/>
  <c r="Y5" i="1" s="1"/>
  <c r="AB4" i="1"/>
  <c r="AC4" i="1"/>
  <c r="AD4" i="1"/>
  <c r="AE4" i="1"/>
  <c r="AF4" i="1"/>
  <c r="X4" i="1"/>
  <c r="AB17" i="1"/>
  <c r="X17" i="1"/>
  <c r="Z11" i="1"/>
  <c r="Y11" i="1"/>
  <c r="X11" i="1"/>
  <c r="AF5" i="1"/>
  <c r="AE5" i="1"/>
  <c r="B17" i="1"/>
  <c r="J15" i="1"/>
  <c r="J17" i="1" s="1"/>
  <c r="I15" i="1"/>
  <c r="H15" i="1"/>
  <c r="G15" i="1"/>
  <c r="F15" i="1"/>
  <c r="F17" i="1" s="1"/>
  <c r="E15" i="1"/>
  <c r="E17" i="1" s="1"/>
  <c r="D15" i="1"/>
  <c r="C15" i="1"/>
  <c r="C16" i="1"/>
  <c r="C17" i="1" s="1"/>
  <c r="D16" i="1"/>
  <c r="E16" i="1"/>
  <c r="F16" i="1"/>
  <c r="G16" i="1"/>
  <c r="H16" i="1"/>
  <c r="I16" i="1"/>
  <c r="J16" i="1"/>
  <c r="B16" i="1"/>
  <c r="B15" i="1"/>
  <c r="B35" i="1"/>
  <c r="N15" i="1"/>
  <c r="N17" i="1" s="1"/>
  <c r="J9" i="1"/>
  <c r="I9" i="1"/>
  <c r="I11" i="1" s="1"/>
  <c r="H9" i="1"/>
  <c r="G9" i="1"/>
  <c r="F9" i="1"/>
  <c r="E9" i="1"/>
  <c r="E11" i="1" s="1"/>
  <c r="D9" i="1"/>
  <c r="C10" i="1"/>
  <c r="D10" i="1"/>
  <c r="E10" i="1"/>
  <c r="F10" i="1"/>
  <c r="G10" i="1"/>
  <c r="H10" i="1"/>
  <c r="I10" i="1"/>
  <c r="J10" i="1"/>
  <c r="B10" i="1"/>
  <c r="B11" i="1" s="1"/>
  <c r="C9" i="1"/>
  <c r="B9" i="1"/>
  <c r="J11" i="1"/>
  <c r="B29" i="1"/>
  <c r="N9" i="1"/>
  <c r="J3" i="1"/>
  <c r="I3" i="1"/>
  <c r="H3" i="1"/>
  <c r="G3" i="1"/>
  <c r="F3" i="1"/>
  <c r="F5" i="1" s="1"/>
  <c r="E3" i="1"/>
  <c r="E5" i="1" s="1"/>
  <c r="D3" i="1"/>
  <c r="C3" i="1"/>
  <c r="C4" i="1"/>
  <c r="D4" i="1"/>
  <c r="E4" i="1"/>
  <c r="F4" i="1"/>
  <c r="G4" i="1"/>
  <c r="H4" i="1"/>
  <c r="I4" i="1"/>
  <c r="J4" i="1"/>
  <c r="B4" i="1"/>
  <c r="B3" i="1"/>
  <c r="B23" i="1"/>
  <c r="H5" i="1"/>
  <c r="B22" i="1"/>
  <c r="J46" i="3"/>
  <c r="I46" i="3"/>
  <c r="H46" i="3"/>
  <c r="H47" i="3" s="1"/>
  <c r="G46" i="3"/>
  <c r="G47" i="3" s="1"/>
  <c r="F46" i="3"/>
  <c r="F47" i="3" s="1"/>
  <c r="E46" i="3"/>
  <c r="D46" i="3"/>
  <c r="C46" i="3"/>
  <c r="J45" i="3"/>
  <c r="J47" i="3" s="1"/>
  <c r="I45" i="3"/>
  <c r="I47" i="3" s="1"/>
  <c r="E45" i="3"/>
  <c r="D45" i="3"/>
  <c r="C45" i="3"/>
  <c r="B45" i="3"/>
  <c r="B47" i="3" s="1"/>
  <c r="J40" i="3"/>
  <c r="I40" i="3"/>
  <c r="H40" i="3"/>
  <c r="G40" i="3"/>
  <c r="F40" i="3"/>
  <c r="E40" i="3"/>
  <c r="D40" i="3"/>
  <c r="C40" i="3"/>
  <c r="B40" i="3"/>
  <c r="J39" i="3"/>
  <c r="J41" i="3" s="1"/>
  <c r="I39" i="3"/>
  <c r="H39" i="3"/>
  <c r="G39" i="3"/>
  <c r="F39" i="3"/>
  <c r="E39" i="3"/>
  <c r="D39" i="3"/>
  <c r="C39" i="3"/>
  <c r="B39" i="3"/>
  <c r="B41" i="3" s="1"/>
  <c r="J34" i="3"/>
  <c r="I34" i="3"/>
  <c r="H34" i="3"/>
  <c r="G34" i="3"/>
  <c r="F34" i="3"/>
  <c r="E34" i="3"/>
  <c r="D34" i="3"/>
  <c r="C34" i="3"/>
  <c r="B34" i="3"/>
  <c r="J33" i="3"/>
  <c r="I33" i="3"/>
  <c r="H33" i="3"/>
  <c r="G33" i="3"/>
  <c r="F33" i="3"/>
  <c r="F35" i="3" s="1"/>
  <c r="E33" i="3"/>
  <c r="D33" i="3"/>
  <c r="C33" i="3"/>
  <c r="B33" i="3"/>
  <c r="N3" i="2"/>
  <c r="O3" i="2"/>
  <c r="P3" i="2"/>
  <c r="Q3" i="2"/>
  <c r="Q5" i="2" s="1"/>
  <c r="R3" i="2"/>
  <c r="S3" i="2"/>
  <c r="T3" i="2"/>
  <c r="T5" i="2" s="1"/>
  <c r="U3" i="2"/>
  <c r="U5" i="2" s="1"/>
  <c r="M5" i="2"/>
  <c r="N5" i="2"/>
  <c r="O5" i="2"/>
  <c r="P5" i="2"/>
  <c r="R5" i="2"/>
  <c r="S5" i="2"/>
  <c r="N9" i="2"/>
  <c r="O9" i="2"/>
  <c r="P9" i="2"/>
  <c r="P11" i="2" s="1"/>
  <c r="Q9" i="2"/>
  <c r="R9" i="2"/>
  <c r="S9" i="2"/>
  <c r="S11" i="2" s="1"/>
  <c r="T9" i="2"/>
  <c r="T11" i="2" s="1"/>
  <c r="U9" i="2"/>
  <c r="U11" i="2" s="1"/>
  <c r="M11" i="2"/>
  <c r="N11" i="2"/>
  <c r="O11" i="2"/>
  <c r="Q11" i="2"/>
  <c r="R11" i="2"/>
  <c r="N15" i="2"/>
  <c r="O15" i="2"/>
  <c r="O17" i="2" s="1"/>
  <c r="P15" i="2"/>
  <c r="Q15" i="2"/>
  <c r="R15" i="2"/>
  <c r="R17" i="2" s="1"/>
  <c r="S15" i="2"/>
  <c r="S17" i="2" s="1"/>
  <c r="T15" i="2"/>
  <c r="U15" i="2"/>
  <c r="M17" i="2"/>
  <c r="N17" i="2"/>
  <c r="P17" i="2"/>
  <c r="Q17" i="2"/>
  <c r="T17" i="2"/>
  <c r="U17" i="2"/>
  <c r="I17" i="1"/>
  <c r="G17" i="1"/>
  <c r="G11" i="1"/>
  <c r="F11" i="1"/>
  <c r="C11" i="1"/>
  <c r="I5" i="1"/>
  <c r="G5" i="1"/>
  <c r="B5" i="1"/>
  <c r="M17" i="1"/>
  <c r="U15" i="1"/>
  <c r="U17" i="1" s="1"/>
  <c r="T15" i="1"/>
  <c r="T17" i="1" s="1"/>
  <c r="S15" i="1"/>
  <c r="S17" i="1" s="1"/>
  <c r="R15" i="1"/>
  <c r="R17" i="1" s="1"/>
  <c r="Q15" i="1"/>
  <c r="Q17" i="1" s="1"/>
  <c r="P15" i="1"/>
  <c r="P17" i="1" s="1"/>
  <c r="O15" i="1"/>
  <c r="O17" i="1" s="1"/>
  <c r="M11" i="1"/>
  <c r="U9" i="1"/>
  <c r="U11" i="1" s="1"/>
  <c r="T9" i="1"/>
  <c r="T11" i="1" s="1"/>
  <c r="S9" i="1"/>
  <c r="S11" i="1" s="1"/>
  <c r="R9" i="1"/>
  <c r="R11" i="1" s="1"/>
  <c r="Q9" i="1"/>
  <c r="Q11" i="1" s="1"/>
  <c r="P9" i="1"/>
  <c r="P11" i="1" s="1"/>
  <c r="O9" i="1"/>
  <c r="O11" i="1" s="1"/>
  <c r="N11" i="1"/>
  <c r="S5" i="1"/>
  <c r="P5" i="1"/>
  <c r="M5" i="1"/>
  <c r="U3" i="1"/>
  <c r="U5" i="1" s="1"/>
  <c r="T3" i="1"/>
  <c r="T5" i="1" s="1"/>
  <c r="S3" i="1"/>
  <c r="R3" i="1"/>
  <c r="R5" i="1" s="1"/>
  <c r="Q3" i="1"/>
  <c r="Q5" i="1" s="1"/>
  <c r="P3" i="1"/>
  <c r="O3" i="1"/>
  <c r="O5" i="1" s="1"/>
  <c r="N3" i="1"/>
  <c r="N5" i="1" s="1"/>
  <c r="AQ34" i="1"/>
  <c r="AP34" i="1"/>
  <c r="AO34" i="1"/>
  <c r="AN34" i="1"/>
  <c r="AM34" i="1"/>
  <c r="AL34" i="1"/>
  <c r="AK34" i="1"/>
  <c r="AJ34" i="1"/>
  <c r="AI34" i="1"/>
  <c r="AF34" i="1"/>
  <c r="AE34" i="1"/>
  <c r="AD34" i="1"/>
  <c r="AC34" i="1"/>
  <c r="AB34" i="1"/>
  <c r="AA34" i="1"/>
  <c r="Z34" i="1"/>
  <c r="Y34" i="1"/>
  <c r="X34" i="1"/>
  <c r="U34" i="1"/>
  <c r="T34" i="1"/>
  <c r="S34" i="1"/>
  <c r="R34" i="1"/>
  <c r="Q34" i="1"/>
  <c r="P34" i="1"/>
  <c r="O34" i="1"/>
  <c r="N34" i="1"/>
  <c r="M34" i="1"/>
  <c r="J34" i="1"/>
  <c r="I34" i="1"/>
  <c r="H34" i="1"/>
  <c r="G34" i="1"/>
  <c r="F34" i="1"/>
  <c r="E34" i="1"/>
  <c r="D34" i="1"/>
  <c r="C34" i="1"/>
  <c r="B34" i="1"/>
  <c r="AQ28" i="1"/>
  <c r="AP28" i="1"/>
  <c r="AO28" i="1"/>
  <c r="AN28" i="1"/>
  <c r="AM28" i="1"/>
  <c r="AL28" i="1"/>
  <c r="AK28" i="1"/>
  <c r="AJ28" i="1"/>
  <c r="AI28" i="1"/>
  <c r="AF28" i="1"/>
  <c r="AE28" i="1"/>
  <c r="AD28" i="1"/>
  <c r="AC28" i="1"/>
  <c r="AB28" i="1"/>
  <c r="AA28" i="1"/>
  <c r="Z28" i="1"/>
  <c r="Y28" i="1"/>
  <c r="X28" i="1"/>
  <c r="U28" i="1"/>
  <c r="T28" i="1"/>
  <c r="S28" i="1"/>
  <c r="R28" i="1"/>
  <c r="Q28" i="1"/>
  <c r="P28" i="1"/>
  <c r="O28" i="1"/>
  <c r="N28" i="1"/>
  <c r="M28" i="1"/>
  <c r="J28" i="1"/>
  <c r="I28" i="1"/>
  <c r="H28" i="1"/>
  <c r="G28" i="1"/>
  <c r="F28" i="1"/>
  <c r="E28" i="1"/>
  <c r="D28" i="1"/>
  <c r="C28" i="1"/>
  <c r="B28" i="1"/>
  <c r="AQ22" i="1"/>
  <c r="AP22" i="1"/>
  <c r="AO22" i="1"/>
  <c r="AN22" i="1"/>
  <c r="AM22" i="1"/>
  <c r="AL22" i="1"/>
  <c r="AK22" i="1"/>
  <c r="AJ22" i="1"/>
  <c r="AI22" i="1"/>
  <c r="AF22" i="1"/>
  <c r="AE22" i="1"/>
  <c r="AD22" i="1"/>
  <c r="AC22" i="1"/>
  <c r="AB22" i="1"/>
  <c r="AA22" i="1"/>
  <c r="Z22" i="1"/>
  <c r="Y22" i="1"/>
  <c r="X22" i="1"/>
  <c r="U22" i="1"/>
  <c r="T22" i="1"/>
  <c r="S22" i="1"/>
  <c r="R22" i="1"/>
  <c r="Q22" i="1"/>
  <c r="P22" i="1"/>
  <c r="O22" i="1"/>
  <c r="N22" i="1"/>
  <c r="M22" i="1"/>
  <c r="J22" i="1"/>
  <c r="I22" i="1"/>
  <c r="H22" i="1"/>
  <c r="G22" i="1"/>
  <c r="F22" i="1"/>
  <c r="E22" i="1"/>
  <c r="D22" i="1"/>
  <c r="C22" i="1"/>
  <c r="AQ34" i="2"/>
  <c r="AP34" i="2"/>
  <c r="AO34" i="2"/>
  <c r="AN34" i="2"/>
  <c r="AM34" i="2"/>
  <c r="AL34" i="2"/>
  <c r="AK34" i="2"/>
  <c r="AI34" i="2"/>
  <c r="AJ34" i="2"/>
  <c r="AF34" i="2"/>
  <c r="AE34" i="2"/>
  <c r="AD34" i="2"/>
  <c r="AC34" i="2"/>
  <c r="AB34" i="2"/>
  <c r="AA34" i="2"/>
  <c r="Z34" i="2"/>
  <c r="Y34" i="2"/>
  <c r="X34" i="2"/>
  <c r="U34" i="2"/>
  <c r="T34" i="2"/>
  <c r="S34" i="2"/>
  <c r="R34" i="2"/>
  <c r="Q34" i="2"/>
  <c r="P34" i="2"/>
  <c r="O34" i="2"/>
  <c r="N34" i="2"/>
  <c r="M34" i="2"/>
  <c r="J34" i="2"/>
  <c r="I34" i="2"/>
  <c r="H34" i="2"/>
  <c r="G34" i="2"/>
  <c r="F34" i="2"/>
  <c r="E34" i="2"/>
  <c r="D34" i="2"/>
  <c r="C34" i="2"/>
  <c r="B34" i="2"/>
  <c r="AQ28" i="2"/>
  <c r="AP28" i="2"/>
  <c r="AO28" i="2"/>
  <c r="AN28" i="2"/>
  <c r="AM28" i="2"/>
  <c r="AL28" i="2"/>
  <c r="AK28" i="2"/>
  <c r="AJ28" i="2"/>
  <c r="AI28" i="2"/>
  <c r="AF28" i="2"/>
  <c r="AE28" i="2"/>
  <c r="AD28" i="2"/>
  <c r="AC28" i="2"/>
  <c r="AB28" i="2"/>
  <c r="AA28" i="2"/>
  <c r="Z28" i="2"/>
  <c r="Y28" i="2"/>
  <c r="X28" i="2"/>
  <c r="U28" i="2"/>
  <c r="T28" i="2"/>
  <c r="S28" i="2"/>
  <c r="R28" i="2"/>
  <c r="Q28" i="2"/>
  <c r="P28" i="2"/>
  <c r="O28" i="2"/>
  <c r="N28" i="2"/>
  <c r="M28" i="2"/>
  <c r="J28" i="2"/>
  <c r="I28" i="2"/>
  <c r="H28" i="2"/>
  <c r="G28" i="2"/>
  <c r="F28" i="2"/>
  <c r="E28" i="2"/>
  <c r="D28" i="2"/>
  <c r="C28" i="2"/>
  <c r="B28" i="2"/>
  <c r="AQ22" i="2"/>
  <c r="AP22" i="2"/>
  <c r="AO22" i="2"/>
  <c r="AN22" i="2"/>
  <c r="AM22" i="2"/>
  <c r="AL22" i="2"/>
  <c r="AK22" i="2"/>
  <c r="AJ22" i="2"/>
  <c r="AI22" i="2"/>
  <c r="AF22" i="2"/>
  <c r="AE22" i="2"/>
  <c r="AD22" i="2"/>
  <c r="AC22" i="2"/>
  <c r="AB22" i="2"/>
  <c r="AA22" i="2"/>
  <c r="Z22" i="2"/>
  <c r="Y22" i="2"/>
  <c r="X22" i="2"/>
  <c r="U22" i="2"/>
  <c r="T22" i="2"/>
  <c r="S22" i="2"/>
  <c r="R22" i="2"/>
  <c r="Q22" i="2"/>
  <c r="P22" i="2"/>
  <c r="O22" i="2"/>
  <c r="N22" i="2"/>
  <c r="M22" i="2"/>
  <c r="J22" i="2"/>
  <c r="I22" i="2"/>
  <c r="H22" i="2"/>
  <c r="G22" i="2"/>
  <c r="F22" i="2"/>
  <c r="E22" i="2"/>
  <c r="D22" i="2"/>
  <c r="C22" i="2"/>
  <c r="B22" i="2"/>
  <c r="H35" i="3" l="1"/>
  <c r="F41" i="3"/>
  <c r="AD11" i="3"/>
  <c r="X11" i="3"/>
  <c r="AB17" i="3"/>
  <c r="F5" i="3"/>
  <c r="C41" i="3"/>
  <c r="AF11" i="3"/>
  <c r="AN11" i="3"/>
  <c r="C11" i="3"/>
  <c r="J17" i="3"/>
  <c r="G35" i="3"/>
  <c r="AF17" i="3"/>
  <c r="AE11" i="3"/>
  <c r="AE5" i="3"/>
  <c r="AJ11" i="3"/>
  <c r="AN17" i="3"/>
  <c r="B11" i="3"/>
  <c r="AM17" i="3"/>
  <c r="AI17" i="3"/>
  <c r="E49" i="3"/>
  <c r="B35" i="3"/>
  <c r="J35" i="3"/>
  <c r="G41" i="3"/>
  <c r="AE17" i="3"/>
  <c r="AF5" i="3"/>
  <c r="AK5" i="3"/>
  <c r="E57" i="3"/>
  <c r="H11" i="3"/>
  <c r="I11" i="3"/>
  <c r="H17" i="3"/>
  <c r="AB5" i="3"/>
  <c r="Y17" i="3"/>
  <c r="D17" i="3"/>
  <c r="F11" i="3"/>
  <c r="E17" i="3"/>
  <c r="B17" i="3"/>
  <c r="AJ5" i="3"/>
  <c r="AK11" i="3"/>
  <c r="X17" i="3"/>
  <c r="E58" i="3"/>
  <c r="E11" i="3"/>
  <c r="C5" i="3"/>
  <c r="D41" i="3"/>
  <c r="G11" i="3"/>
  <c r="C17" i="3"/>
  <c r="AA17" i="3"/>
  <c r="AL11" i="3"/>
  <c r="AI5" i="3"/>
  <c r="AC17" i="3"/>
  <c r="AO5" i="3"/>
  <c r="B5" i="3"/>
  <c r="AM11" i="3"/>
  <c r="C47" i="3"/>
  <c r="AD5" i="3"/>
  <c r="AD17" i="3"/>
  <c r="G5" i="3"/>
  <c r="AM5" i="3"/>
  <c r="AI11" i="3"/>
  <c r="D47" i="3"/>
  <c r="AA11" i="3"/>
  <c r="Z17" i="3"/>
  <c r="E47" i="3"/>
  <c r="E48" i="3" s="1"/>
  <c r="C35" i="3"/>
  <c r="D11" i="3"/>
  <c r="F17" i="3"/>
  <c r="AC11" i="3"/>
  <c r="I17" i="3"/>
  <c r="Y5" i="3"/>
  <c r="I35" i="3"/>
  <c r="E41" i="3"/>
  <c r="Z5" i="3"/>
  <c r="AL5" i="3"/>
  <c r="Y11" i="3"/>
  <c r="AC5" i="3"/>
  <c r="Z11" i="3"/>
  <c r="X5" i="3"/>
  <c r="AP11" i="3"/>
  <c r="AL17" i="3"/>
  <c r="AA5" i="3"/>
  <c r="D35" i="3"/>
  <c r="H41" i="3"/>
  <c r="I5" i="3"/>
  <c r="E35" i="3"/>
  <c r="I41" i="3"/>
  <c r="J5" i="3"/>
  <c r="AB11" i="3"/>
  <c r="AO17" i="3"/>
  <c r="AK17" i="3"/>
  <c r="AQ17" i="3"/>
  <c r="AN5" i="3"/>
  <c r="AP5" i="3"/>
  <c r="AQ5" i="3"/>
  <c r="AE17" i="1"/>
  <c r="AD11" i="1"/>
  <c r="AF11" i="1"/>
  <c r="G17" i="3"/>
  <c r="J11" i="3"/>
  <c r="H5" i="3"/>
  <c r="E5" i="3"/>
  <c r="AD5" i="1"/>
  <c r="AA5" i="1"/>
  <c r="Z5" i="1"/>
  <c r="X5" i="1"/>
  <c r="H17" i="1"/>
  <c r="D17" i="1"/>
  <c r="H11" i="1"/>
  <c r="D11" i="1"/>
  <c r="C5" i="1"/>
  <c r="D5" i="1"/>
  <c r="J5" i="1"/>
  <c r="AQ35" i="2"/>
  <c r="AQ36" i="2" s="1"/>
  <c r="AP35" i="2"/>
  <c r="AP36" i="2" s="1"/>
  <c r="AO35" i="2"/>
  <c r="AO36" i="2" s="1"/>
  <c r="AN35" i="2"/>
  <c r="AN36" i="2" s="1"/>
  <c r="AM35" i="2"/>
  <c r="AM36" i="2" s="1"/>
  <c r="AL35" i="2"/>
  <c r="AL36" i="2" s="1"/>
  <c r="AK35" i="2"/>
  <c r="AK36" i="2" s="1"/>
  <c r="AJ35" i="2"/>
  <c r="AJ36" i="2" s="1"/>
  <c r="AI35" i="2"/>
  <c r="AI36" i="2" s="1"/>
  <c r="AF35" i="2"/>
  <c r="AF36" i="2" s="1"/>
  <c r="AE35" i="2"/>
  <c r="AE36" i="2" s="1"/>
  <c r="AD35" i="2"/>
  <c r="AD36" i="2" s="1"/>
  <c r="AC35" i="2"/>
  <c r="AC36" i="2" s="1"/>
  <c r="AB35" i="2"/>
  <c r="AA35" i="2"/>
  <c r="AA36" i="2" s="1"/>
  <c r="Z35" i="2"/>
  <c r="Z36" i="2" s="1"/>
  <c r="Y35" i="2"/>
  <c r="Y36" i="2" s="1"/>
  <c r="X35" i="2"/>
  <c r="X36" i="2" s="1"/>
  <c r="AB36" i="2"/>
  <c r="AQ29" i="2"/>
  <c r="AQ30" i="2" s="1"/>
  <c r="AP29" i="2"/>
  <c r="AP30" i="2" s="1"/>
  <c r="AO29" i="2"/>
  <c r="AO30" i="2" s="1"/>
  <c r="AN29" i="2"/>
  <c r="AN30" i="2" s="1"/>
  <c r="AM29" i="2"/>
  <c r="AM30" i="2" s="1"/>
  <c r="AL29" i="2"/>
  <c r="AL30" i="2" s="1"/>
  <c r="AK29" i="2"/>
  <c r="AK30" i="2" s="1"/>
  <c r="AJ29" i="2"/>
  <c r="AJ30" i="2" s="1"/>
  <c r="AI29" i="2"/>
  <c r="AF29" i="2"/>
  <c r="AF30" i="2" s="1"/>
  <c r="AE29" i="2"/>
  <c r="AE30" i="2" s="1"/>
  <c r="AD29" i="2"/>
  <c r="AC29" i="2"/>
  <c r="AC30" i="2" s="1"/>
  <c r="AB29" i="2"/>
  <c r="AB30" i="2" s="1"/>
  <c r="AA29" i="2"/>
  <c r="AA30" i="2" s="1"/>
  <c r="Z29" i="2"/>
  <c r="Z30" i="2" s="1"/>
  <c r="Y29" i="2"/>
  <c r="Y30" i="2" s="1"/>
  <c r="X29" i="2"/>
  <c r="X30" i="2" s="1"/>
  <c r="AI30" i="2"/>
  <c r="AD30" i="2"/>
  <c r="AQ23" i="2"/>
  <c r="AQ24" i="2" s="1"/>
  <c r="AP23" i="2"/>
  <c r="AO23" i="2"/>
  <c r="AN23" i="2"/>
  <c r="AN24" i="2" s="1"/>
  <c r="AM23" i="2"/>
  <c r="AM24" i="2" s="1"/>
  <c r="AL23" i="2"/>
  <c r="AL24" i="2" s="1"/>
  <c r="AK23" i="2"/>
  <c r="AK24" i="2" s="1"/>
  <c r="AJ23" i="2"/>
  <c r="AI23" i="2"/>
  <c r="AI24" i="2" s="1"/>
  <c r="AF23" i="2"/>
  <c r="AE23" i="2"/>
  <c r="AD23" i="2"/>
  <c r="AD24" i="2" s="1"/>
  <c r="AC23" i="2"/>
  <c r="AC24" i="2" s="1"/>
  <c r="AB23" i="2"/>
  <c r="AB24" i="2" s="1"/>
  <c r="AA23" i="2"/>
  <c r="AA24" i="2" s="1"/>
  <c r="Z23" i="2"/>
  <c r="Z24" i="2" s="1"/>
  <c r="Y23" i="2"/>
  <c r="Y24" i="2" s="1"/>
  <c r="X23" i="2"/>
  <c r="X24" i="2" s="1"/>
  <c r="AP24" i="2"/>
  <c r="AO24" i="2"/>
  <c r="AJ24" i="2"/>
  <c r="AF24" i="2"/>
  <c r="AE24" i="2"/>
  <c r="N36" i="2"/>
  <c r="U35" i="2"/>
  <c r="U36" i="2" s="1"/>
  <c r="T35" i="2"/>
  <c r="S35" i="2"/>
  <c r="S36" i="2" s="1"/>
  <c r="R35" i="2"/>
  <c r="R36" i="2" s="1"/>
  <c r="Q35" i="2"/>
  <c r="P35" i="2"/>
  <c r="P36" i="2" s="1"/>
  <c r="O35" i="2"/>
  <c r="O36" i="2" s="1"/>
  <c r="N35" i="2"/>
  <c r="M35" i="2"/>
  <c r="M36" i="2" s="1"/>
  <c r="J35" i="2"/>
  <c r="J36" i="2" s="1"/>
  <c r="I35" i="2"/>
  <c r="I36" i="2" s="1"/>
  <c r="H35" i="2"/>
  <c r="H36" i="2" s="1"/>
  <c r="G35" i="2"/>
  <c r="G36" i="2" s="1"/>
  <c r="F35" i="2"/>
  <c r="F36" i="2" s="1"/>
  <c r="E35" i="2"/>
  <c r="E36" i="2" s="1"/>
  <c r="D35" i="2"/>
  <c r="D36" i="2" s="1"/>
  <c r="C35" i="2"/>
  <c r="C36" i="2" s="1"/>
  <c r="B35" i="2"/>
  <c r="B36" i="2" s="1"/>
  <c r="T36" i="2"/>
  <c r="Q36" i="2"/>
  <c r="U29" i="2"/>
  <c r="U30" i="2" s="1"/>
  <c r="T29" i="2"/>
  <c r="T30" i="2" s="1"/>
  <c r="S29" i="2"/>
  <c r="S30" i="2" s="1"/>
  <c r="R29" i="2"/>
  <c r="R30" i="2" s="1"/>
  <c r="Q29" i="2"/>
  <c r="Q30" i="2" s="1"/>
  <c r="P29" i="2"/>
  <c r="P30" i="2" s="1"/>
  <c r="O29" i="2"/>
  <c r="O30" i="2" s="1"/>
  <c r="N29" i="2"/>
  <c r="N30" i="2" s="1"/>
  <c r="M29" i="2"/>
  <c r="M30" i="2" s="1"/>
  <c r="J29" i="2"/>
  <c r="J30" i="2" s="1"/>
  <c r="I29" i="2"/>
  <c r="I30" i="2" s="1"/>
  <c r="H29" i="2"/>
  <c r="H30" i="2" s="1"/>
  <c r="G29" i="2"/>
  <c r="G30" i="2" s="1"/>
  <c r="F29" i="2"/>
  <c r="E29" i="2"/>
  <c r="E30" i="2" s="1"/>
  <c r="D29" i="2"/>
  <c r="D30" i="2" s="1"/>
  <c r="C29" i="2"/>
  <c r="C30" i="2" s="1"/>
  <c r="B29" i="2"/>
  <c r="B30" i="2" s="1"/>
  <c r="F30" i="2"/>
  <c r="U23" i="2"/>
  <c r="U24" i="2" s="1"/>
  <c r="T23" i="2"/>
  <c r="T24" i="2" s="1"/>
  <c r="S23" i="2"/>
  <c r="R23" i="2"/>
  <c r="R24" i="2" s="1"/>
  <c r="Q23" i="2"/>
  <c r="Q24" i="2" s="1"/>
  <c r="P23" i="2"/>
  <c r="P24" i="2" s="1"/>
  <c r="O23" i="2"/>
  <c r="N23" i="2"/>
  <c r="N24" i="2" s="1"/>
  <c r="M23" i="2"/>
  <c r="M24" i="2" s="1"/>
  <c r="J23" i="2"/>
  <c r="J24" i="2" s="1"/>
  <c r="I23" i="2"/>
  <c r="I24" i="2" s="1"/>
  <c r="H23" i="2"/>
  <c r="H24" i="2" s="1"/>
  <c r="G23" i="2"/>
  <c r="G24" i="2" s="1"/>
  <c r="F23" i="2"/>
  <c r="F24" i="2" s="1"/>
  <c r="E23" i="2"/>
  <c r="D23" i="2"/>
  <c r="D24" i="2" s="1"/>
  <c r="C23" i="2"/>
  <c r="C24" i="2" s="1"/>
  <c r="B23" i="2"/>
  <c r="B24" i="2" s="1"/>
  <c r="S24" i="2"/>
  <c r="O24" i="2"/>
  <c r="E24" i="2"/>
  <c r="AQ46" i="3"/>
  <c r="AP46" i="3"/>
  <c r="AO46" i="3"/>
  <c r="AN46" i="3"/>
  <c r="AM46" i="3"/>
  <c r="AL46" i="3"/>
  <c r="AK46" i="3"/>
  <c r="AJ46" i="3"/>
  <c r="AI46" i="3"/>
  <c r="AF46" i="3"/>
  <c r="AE46" i="3"/>
  <c r="AD46" i="3"/>
  <c r="AC46" i="3"/>
  <c r="AB46" i="3"/>
  <c r="AA46" i="3"/>
  <c r="Z46" i="3"/>
  <c r="Y46" i="3"/>
  <c r="X46" i="3"/>
  <c r="AQ45" i="3"/>
  <c r="AP45" i="3"/>
  <c r="AO45" i="3"/>
  <c r="AN45" i="3"/>
  <c r="AN47" i="3" s="1"/>
  <c r="AM45" i="3"/>
  <c r="AL45" i="3"/>
  <c r="AK45" i="3"/>
  <c r="AJ45" i="3"/>
  <c r="AI45" i="3"/>
  <c r="AF45" i="3"/>
  <c r="AE45" i="3"/>
  <c r="AD45" i="3"/>
  <c r="AD47" i="3" s="1"/>
  <c r="AC45" i="3"/>
  <c r="AB45" i="3"/>
  <c r="AA45" i="3"/>
  <c r="Z45" i="3"/>
  <c r="Y45" i="3"/>
  <c r="X45" i="3"/>
  <c r="AQ40" i="3"/>
  <c r="AP40" i="3"/>
  <c r="AO40" i="3"/>
  <c r="AN40" i="3"/>
  <c r="AM40" i="3"/>
  <c r="AL40" i="3"/>
  <c r="AK40" i="3"/>
  <c r="AJ40" i="3"/>
  <c r="AI40" i="3"/>
  <c r="AF40" i="3"/>
  <c r="AE40" i="3"/>
  <c r="AD40" i="3"/>
  <c r="AC40" i="3"/>
  <c r="AB40" i="3"/>
  <c r="AA40" i="3"/>
  <c r="Z40" i="3"/>
  <c r="Y40" i="3"/>
  <c r="X40" i="3"/>
  <c r="AQ39" i="3"/>
  <c r="AP39" i="3"/>
  <c r="AO39" i="3"/>
  <c r="AN39" i="3"/>
  <c r="AM39" i="3"/>
  <c r="AL39" i="3"/>
  <c r="AK39" i="3"/>
  <c r="AJ39" i="3"/>
  <c r="AJ41" i="3" s="1"/>
  <c r="AI39" i="3"/>
  <c r="AF39" i="3"/>
  <c r="AE39" i="3"/>
  <c r="AD39" i="3"/>
  <c r="AC39" i="3"/>
  <c r="AB39" i="3"/>
  <c r="AA39" i="3"/>
  <c r="Z39" i="3"/>
  <c r="Z41" i="3" s="1"/>
  <c r="Y39" i="3"/>
  <c r="X39" i="3"/>
  <c r="AQ34" i="3"/>
  <c r="AP34" i="3"/>
  <c r="AO34" i="3"/>
  <c r="AN34" i="3"/>
  <c r="AM34" i="3"/>
  <c r="AL34" i="3"/>
  <c r="AK34" i="3"/>
  <c r="AJ34" i="3"/>
  <c r="AI34" i="3"/>
  <c r="AF34" i="3"/>
  <c r="AE34" i="3"/>
  <c r="AD34" i="3"/>
  <c r="AC34" i="3"/>
  <c r="AB34" i="3"/>
  <c r="AA34" i="3"/>
  <c r="Z34" i="3"/>
  <c r="Y34" i="3"/>
  <c r="X34" i="3"/>
  <c r="AQ33" i="3"/>
  <c r="AP33" i="3"/>
  <c r="AO33" i="3"/>
  <c r="AN33" i="3"/>
  <c r="AN35" i="3" s="1"/>
  <c r="AM33" i="3"/>
  <c r="AL33" i="3"/>
  <c r="AK33" i="3"/>
  <c r="AJ33" i="3"/>
  <c r="AI33" i="3"/>
  <c r="AF33" i="3"/>
  <c r="AE33" i="3"/>
  <c r="AD33" i="3"/>
  <c r="AD35" i="3" s="1"/>
  <c r="AC33" i="3"/>
  <c r="AB33" i="3"/>
  <c r="AA33" i="3"/>
  <c r="Z33" i="3"/>
  <c r="Y33" i="3"/>
  <c r="X33" i="3"/>
  <c r="M17" i="3"/>
  <c r="U46" i="3"/>
  <c r="T46" i="3"/>
  <c r="S46" i="3"/>
  <c r="R46" i="3"/>
  <c r="Q46" i="3"/>
  <c r="P46" i="3"/>
  <c r="O46" i="3"/>
  <c r="N46" i="3"/>
  <c r="M46" i="3"/>
  <c r="U45" i="3"/>
  <c r="T45" i="3"/>
  <c r="S45" i="3"/>
  <c r="R45" i="3"/>
  <c r="Q45" i="3"/>
  <c r="P45" i="3"/>
  <c r="O45" i="3"/>
  <c r="N45" i="3"/>
  <c r="N47" i="3" s="1"/>
  <c r="M45" i="3"/>
  <c r="U15" i="3"/>
  <c r="U17" i="3" s="1"/>
  <c r="T15" i="3"/>
  <c r="T17" i="3" s="1"/>
  <c r="S15" i="3"/>
  <c r="S17" i="3" s="1"/>
  <c r="R15" i="3"/>
  <c r="R17" i="3" s="1"/>
  <c r="Q15" i="3"/>
  <c r="Q17" i="3" s="1"/>
  <c r="P15" i="3"/>
  <c r="P17" i="3" s="1"/>
  <c r="O15" i="3"/>
  <c r="O17" i="3" s="1"/>
  <c r="N15" i="3"/>
  <c r="N17" i="3" s="1"/>
  <c r="M11" i="3"/>
  <c r="U40" i="3"/>
  <c r="T40" i="3"/>
  <c r="S40" i="3"/>
  <c r="R40" i="3"/>
  <c r="Q40" i="3"/>
  <c r="P40" i="3"/>
  <c r="O40" i="3"/>
  <c r="N40" i="3"/>
  <c r="M40" i="3"/>
  <c r="U39" i="3"/>
  <c r="T39" i="3"/>
  <c r="S39" i="3"/>
  <c r="R39" i="3"/>
  <c r="Q39" i="3"/>
  <c r="P39" i="3"/>
  <c r="O39" i="3"/>
  <c r="N39" i="3"/>
  <c r="M39" i="3"/>
  <c r="U9" i="3"/>
  <c r="U11" i="3" s="1"/>
  <c r="T9" i="3"/>
  <c r="T11" i="3" s="1"/>
  <c r="S9" i="3"/>
  <c r="S11" i="3" s="1"/>
  <c r="R9" i="3"/>
  <c r="R11" i="3" s="1"/>
  <c r="Q9" i="3"/>
  <c r="Q11" i="3" s="1"/>
  <c r="P9" i="3"/>
  <c r="P11" i="3" s="1"/>
  <c r="O9" i="3"/>
  <c r="O11" i="3" s="1"/>
  <c r="N9" i="3"/>
  <c r="N11" i="3" s="1"/>
  <c r="M5" i="3"/>
  <c r="U34" i="3"/>
  <c r="T34" i="3"/>
  <c r="S34" i="3"/>
  <c r="R34" i="3"/>
  <c r="Q34" i="3"/>
  <c r="P34" i="3"/>
  <c r="O34" i="3"/>
  <c r="N34" i="3"/>
  <c r="M34" i="3"/>
  <c r="U33" i="3"/>
  <c r="T33" i="3"/>
  <c r="S33" i="3"/>
  <c r="R33" i="3"/>
  <c r="Q33" i="3"/>
  <c r="P33" i="3"/>
  <c r="O33" i="3"/>
  <c r="N33" i="3"/>
  <c r="M33" i="3"/>
  <c r="U3" i="3"/>
  <c r="U5" i="3" s="1"/>
  <c r="T3" i="3"/>
  <c r="T5" i="3" s="1"/>
  <c r="S3" i="3"/>
  <c r="S5" i="3" s="1"/>
  <c r="R3" i="3"/>
  <c r="R5" i="3" s="1"/>
  <c r="Q3" i="3"/>
  <c r="Q5" i="3" s="1"/>
  <c r="P3" i="3"/>
  <c r="P5" i="3" s="1"/>
  <c r="O3" i="3"/>
  <c r="O5" i="3" s="1"/>
  <c r="N3" i="3"/>
  <c r="N5" i="3" s="1"/>
  <c r="AQ35" i="1"/>
  <c r="AQ36" i="1" s="1"/>
  <c r="AP35" i="1"/>
  <c r="AP36" i="1" s="1"/>
  <c r="AO35" i="1"/>
  <c r="AO36" i="1" s="1"/>
  <c r="AN35" i="1"/>
  <c r="AN36" i="1" s="1"/>
  <c r="AM35" i="1"/>
  <c r="AM36" i="1" s="1"/>
  <c r="AL35" i="1"/>
  <c r="AL36" i="1" s="1"/>
  <c r="AK35" i="1"/>
  <c r="AK36" i="1" s="1"/>
  <c r="AJ35" i="1"/>
  <c r="AJ36" i="1" s="1"/>
  <c r="AI35" i="1"/>
  <c r="AI36" i="1" s="1"/>
  <c r="AQ29" i="1"/>
  <c r="AQ30" i="1" s="1"/>
  <c r="AP29" i="1"/>
  <c r="AP30" i="1" s="1"/>
  <c r="AO29" i="1"/>
  <c r="AO30" i="1" s="1"/>
  <c r="AN29" i="1"/>
  <c r="AN30" i="1" s="1"/>
  <c r="AM29" i="1"/>
  <c r="AM30" i="1" s="1"/>
  <c r="AL29" i="1"/>
  <c r="AL30" i="1" s="1"/>
  <c r="AK29" i="1"/>
  <c r="AK30" i="1" s="1"/>
  <c r="AJ29" i="1"/>
  <c r="AJ30" i="1" s="1"/>
  <c r="AI29" i="1"/>
  <c r="AI30" i="1" s="1"/>
  <c r="AQ23" i="1"/>
  <c r="AQ24" i="1" s="1"/>
  <c r="AP23" i="1"/>
  <c r="AP24" i="1" s="1"/>
  <c r="AO23" i="1"/>
  <c r="AO24" i="1" s="1"/>
  <c r="AN23" i="1"/>
  <c r="AN24" i="1" s="1"/>
  <c r="AM23" i="1"/>
  <c r="AM24" i="1" s="1"/>
  <c r="AL23" i="1"/>
  <c r="AL24" i="1" s="1"/>
  <c r="AK23" i="1"/>
  <c r="AK24" i="1" s="1"/>
  <c r="AJ23" i="1"/>
  <c r="AJ24" i="1" s="1"/>
  <c r="AI23" i="1"/>
  <c r="AI24" i="1" s="1"/>
  <c r="AF35" i="1"/>
  <c r="AF36" i="1" s="1"/>
  <c r="AE35" i="1"/>
  <c r="AE36" i="1" s="1"/>
  <c r="AD35" i="1"/>
  <c r="AD36" i="1" s="1"/>
  <c r="AC35" i="1"/>
  <c r="AC36" i="1" s="1"/>
  <c r="AB35" i="1"/>
  <c r="AB36" i="1" s="1"/>
  <c r="AA35" i="1"/>
  <c r="AA36" i="1" s="1"/>
  <c r="Z35" i="1"/>
  <c r="Z36" i="1" s="1"/>
  <c r="Y35" i="1"/>
  <c r="Y36" i="1" s="1"/>
  <c r="X35" i="1"/>
  <c r="X36" i="1" s="1"/>
  <c r="AF29" i="1"/>
  <c r="AF30" i="1" s="1"/>
  <c r="AE29" i="1"/>
  <c r="AE30" i="1" s="1"/>
  <c r="AD29" i="1"/>
  <c r="AD30" i="1" s="1"/>
  <c r="AC29" i="1"/>
  <c r="AB29" i="1"/>
  <c r="AB30" i="1" s="1"/>
  <c r="AA29" i="1"/>
  <c r="AA30" i="1" s="1"/>
  <c r="Z29" i="1"/>
  <c r="Z30" i="1" s="1"/>
  <c r="Y29" i="1"/>
  <c r="Y30" i="1" s="1"/>
  <c r="X29" i="1"/>
  <c r="X30" i="1" s="1"/>
  <c r="AC30" i="1"/>
  <c r="AF23" i="1"/>
  <c r="AF24" i="1" s="1"/>
  <c r="AE23" i="1"/>
  <c r="AE24" i="1" s="1"/>
  <c r="AD23" i="1"/>
  <c r="AD24" i="1" s="1"/>
  <c r="AC23" i="1"/>
  <c r="AC24" i="1" s="1"/>
  <c r="AB23" i="1"/>
  <c r="AB24" i="1" s="1"/>
  <c r="AA23" i="1"/>
  <c r="AA24" i="1" s="1"/>
  <c r="Z23" i="1"/>
  <c r="Y23" i="1"/>
  <c r="Y24" i="1" s="1"/>
  <c r="X23" i="1"/>
  <c r="X24" i="1" s="1"/>
  <c r="Z24" i="1"/>
  <c r="U35" i="1"/>
  <c r="U36" i="1" s="1"/>
  <c r="T35" i="1"/>
  <c r="T36" i="1" s="1"/>
  <c r="S35" i="1"/>
  <c r="S36" i="1" s="1"/>
  <c r="R35" i="1"/>
  <c r="Q35" i="1"/>
  <c r="Q36" i="1" s="1"/>
  <c r="P35" i="1"/>
  <c r="P36" i="1" s="1"/>
  <c r="O35" i="1"/>
  <c r="O36" i="1" s="1"/>
  <c r="N35" i="1"/>
  <c r="N36" i="1" s="1"/>
  <c r="M35" i="1"/>
  <c r="M36" i="1" s="1"/>
  <c r="R36" i="1"/>
  <c r="T30" i="1"/>
  <c r="U29" i="1"/>
  <c r="U30" i="1" s="1"/>
  <c r="T29" i="1"/>
  <c r="S29" i="1"/>
  <c r="S30" i="1" s="1"/>
  <c r="R29" i="1"/>
  <c r="R30" i="1" s="1"/>
  <c r="Q29" i="1"/>
  <c r="Q30" i="1" s="1"/>
  <c r="P29" i="1"/>
  <c r="P30" i="1" s="1"/>
  <c r="O29" i="1"/>
  <c r="O30" i="1" s="1"/>
  <c r="N29" i="1"/>
  <c r="N30" i="1" s="1"/>
  <c r="M29" i="1"/>
  <c r="M30" i="1" s="1"/>
  <c r="U23" i="1"/>
  <c r="U24" i="1" s="1"/>
  <c r="T23" i="1"/>
  <c r="T24" i="1" s="1"/>
  <c r="S23" i="1"/>
  <c r="S24" i="1" s="1"/>
  <c r="R23" i="1"/>
  <c r="R24" i="1" s="1"/>
  <c r="Q23" i="1"/>
  <c r="Q24" i="1" s="1"/>
  <c r="P23" i="1"/>
  <c r="P24" i="1" s="1"/>
  <c r="O23" i="1"/>
  <c r="O24" i="1" s="1"/>
  <c r="N23" i="1"/>
  <c r="N24" i="1" s="1"/>
  <c r="M23" i="1"/>
  <c r="M24" i="1"/>
  <c r="J35" i="1"/>
  <c r="I35" i="1"/>
  <c r="I36" i="1" s="1"/>
  <c r="H35" i="1"/>
  <c r="G35" i="1"/>
  <c r="G36" i="1" s="1"/>
  <c r="F35" i="1"/>
  <c r="E35" i="1"/>
  <c r="E36" i="1" s="1"/>
  <c r="D35" i="1"/>
  <c r="D36" i="1" s="1"/>
  <c r="C35" i="1"/>
  <c r="C36" i="1" s="1"/>
  <c r="B36" i="1"/>
  <c r="J36" i="1"/>
  <c r="H36" i="1"/>
  <c r="F36" i="1"/>
  <c r="J29" i="1"/>
  <c r="J30" i="1" s="1"/>
  <c r="I29" i="1"/>
  <c r="I30" i="1" s="1"/>
  <c r="H29" i="1"/>
  <c r="H30" i="1" s="1"/>
  <c r="G29" i="1"/>
  <c r="G30" i="1" s="1"/>
  <c r="F29" i="1"/>
  <c r="F30" i="1" s="1"/>
  <c r="E29" i="1"/>
  <c r="E30" i="1" s="1"/>
  <c r="D29" i="1"/>
  <c r="D30" i="1" s="1"/>
  <c r="C29" i="1"/>
  <c r="C30" i="1" s="1"/>
  <c r="B30" i="1"/>
  <c r="J23" i="1"/>
  <c r="J24" i="1" s="1"/>
  <c r="I23" i="1"/>
  <c r="I24" i="1" s="1"/>
  <c r="H23" i="1"/>
  <c r="H24" i="1" s="1"/>
  <c r="G23" i="1"/>
  <c r="G24" i="1" s="1"/>
  <c r="F23" i="1"/>
  <c r="F24" i="1" s="1"/>
  <c r="E23" i="1"/>
  <c r="E24" i="1" s="1"/>
  <c r="D23" i="1"/>
  <c r="D24" i="1" s="1"/>
  <c r="C23" i="1"/>
  <c r="C24" i="1" s="1"/>
  <c r="B24" i="1"/>
  <c r="AA19" i="3" l="1"/>
  <c r="AL19" i="3"/>
  <c r="T41" i="3"/>
  <c r="P35" i="3"/>
  <c r="AA18" i="3"/>
  <c r="E18" i="3"/>
  <c r="R41" i="3"/>
  <c r="O47" i="3"/>
  <c r="AA41" i="3"/>
  <c r="AK41" i="3"/>
  <c r="N35" i="3"/>
  <c r="S41" i="3"/>
  <c r="P19" i="3"/>
  <c r="X35" i="3"/>
  <c r="AF35" i="3"/>
  <c r="AP35" i="3"/>
  <c r="AB41" i="3"/>
  <c r="AL41" i="3"/>
  <c r="S47" i="3"/>
  <c r="AE41" i="3"/>
  <c r="AO41" i="3"/>
  <c r="AA47" i="3"/>
  <c r="AA48" i="3" s="1"/>
  <c r="AK47" i="3"/>
  <c r="S35" i="3"/>
  <c r="O41" i="3"/>
  <c r="T47" i="3"/>
  <c r="P18" i="3"/>
  <c r="P47" i="3"/>
  <c r="Q35" i="3"/>
  <c r="Z35" i="3"/>
  <c r="AJ35" i="3"/>
  <c r="Z47" i="3"/>
  <c r="AJ47" i="3"/>
  <c r="Y35" i="3"/>
  <c r="AI35" i="3"/>
  <c r="AQ35" i="3"/>
  <c r="AC41" i="3"/>
  <c r="AM41" i="3"/>
  <c r="Y47" i="3"/>
  <c r="AI47" i="3"/>
  <c r="AL18" i="3"/>
  <c r="R35" i="3"/>
  <c r="N41" i="3"/>
  <c r="M41" i="3"/>
  <c r="U41" i="3"/>
  <c r="R47" i="3"/>
  <c r="T35" i="3"/>
  <c r="X41" i="3"/>
  <c r="AF41" i="3"/>
  <c r="AP41" i="3"/>
  <c r="AB47" i="3"/>
  <c r="AL47" i="3"/>
  <c r="M35" i="3"/>
  <c r="U35" i="3"/>
  <c r="Q41" i="3"/>
  <c r="M47" i="3"/>
  <c r="U47" i="3"/>
  <c r="AC35" i="3"/>
  <c r="AM35" i="3"/>
  <c r="AC47" i="3"/>
  <c r="AM47" i="3"/>
  <c r="AQ47" i="3"/>
  <c r="O35" i="3"/>
  <c r="P41" i="3"/>
  <c r="Q47" i="3"/>
  <c r="AE35" i="3"/>
  <c r="AO35" i="3"/>
  <c r="Y41" i="3"/>
  <c r="AI41" i="3"/>
  <c r="AQ41" i="3"/>
  <c r="AB35" i="3"/>
  <c r="AL35" i="3"/>
  <c r="AD41" i="3"/>
  <c r="AN41" i="3"/>
  <c r="AE47" i="3"/>
  <c r="AO47" i="3"/>
  <c r="AA35" i="3"/>
  <c r="AK35" i="3"/>
  <c r="X47" i="3"/>
  <c r="AF47" i="3"/>
  <c r="AP47" i="3"/>
  <c r="P48" i="3" l="1"/>
  <c r="AL48" i="3"/>
  <c r="P49" i="3"/>
</calcChain>
</file>

<file path=xl/sharedStrings.xml><?xml version="1.0" encoding="utf-8"?>
<sst xmlns="http://schemas.openxmlformats.org/spreadsheetml/2006/main" count="408" uniqueCount="20">
  <si>
    <t>0mmSD</t>
  </si>
  <si>
    <t>Blue-Green</t>
  </si>
  <si>
    <t>0.3mmSD</t>
  </si>
  <si>
    <t>1mmSD</t>
  </si>
  <si>
    <t>2mmSD</t>
  </si>
  <si>
    <t>tissue depth (mm)</t>
  </si>
  <si>
    <t>cell fluorescence</t>
  </si>
  <si>
    <t xml:space="preserve">autofluorescence </t>
  </si>
  <si>
    <t>cell fluorescence/autofluorescence</t>
  </si>
  <si>
    <t>RED</t>
  </si>
  <si>
    <t>tissue depth(mm)</t>
  </si>
  <si>
    <t>autofluorescence</t>
  </si>
  <si>
    <t>NIR</t>
  </si>
  <si>
    <t>3mmSD</t>
  </si>
  <si>
    <t>4mmSD</t>
  </si>
  <si>
    <t>5mmSD</t>
  </si>
  <si>
    <t>6mmSD</t>
  </si>
  <si>
    <t>NIR-3mm disk</t>
  </si>
  <si>
    <t xml:space="preserve">  </t>
  </si>
  <si>
    <t>3mm disk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</si>
</sst>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11" fontId="0" fillId="0" borderId="0" xfId="0" applyNumberFormat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36"/>
  <sheetViews>
    <sheetView workbookViewId="0">
      <selection activeCell="K39" sqref="K39"/>
    </sheetView>
  </sheetViews>
  <sheetFormatPr defaultRowHeight="15" x14ac:dyDescent="0.25"/>
  <cols>
    <col min="1" max="1" width="33" bestFit="1" customWidth="1"/>
    <col min="2" max="2" width="12" bestFit="1" customWidth="1"/>
    <col min="12" max="12" width="33" bestFit="1" customWidth="1"/>
    <col min="23" max="23" width="33" bestFit="1" customWidth="1"/>
    <col min="28" max="28" width="12" bestFit="1" customWidth="1"/>
    <col min="34" max="34" width="33" bestFit="1" customWidth="1"/>
    <col min="45" max="45" width="33" bestFit="1" customWidth="1"/>
  </cols>
  <sheetData>
    <row r="1" spans="1:43" x14ac:dyDescent="0.25">
      <c r="A1" s="9" t="s">
        <v>0</v>
      </c>
      <c r="B1" t="s">
        <v>1</v>
      </c>
      <c r="L1" s="2" t="s">
        <v>2</v>
      </c>
      <c r="M1" t="s">
        <v>1</v>
      </c>
      <c r="W1" s="8" t="s">
        <v>3</v>
      </c>
      <c r="X1" t="s">
        <v>1</v>
      </c>
      <c r="AH1" s="10" t="s">
        <v>4</v>
      </c>
      <c r="AI1" t="s">
        <v>1</v>
      </c>
    </row>
    <row r="2" spans="1:43" x14ac:dyDescent="0.25">
      <c r="A2" t="s">
        <v>5</v>
      </c>
      <c r="B2">
        <v>0.75</v>
      </c>
      <c r="C2">
        <v>1</v>
      </c>
      <c r="D2">
        <v>1.5</v>
      </c>
      <c r="E2">
        <v>2</v>
      </c>
      <c r="F2">
        <v>2.5</v>
      </c>
      <c r="G2">
        <v>3</v>
      </c>
      <c r="H2">
        <v>3.5</v>
      </c>
      <c r="I2">
        <v>4</v>
      </c>
      <c r="J2">
        <v>5</v>
      </c>
      <c r="L2" t="s">
        <v>5</v>
      </c>
      <c r="M2">
        <v>0.75</v>
      </c>
      <c r="N2">
        <v>1</v>
      </c>
      <c r="O2">
        <v>1.5</v>
      </c>
      <c r="P2">
        <v>2</v>
      </c>
      <c r="Q2">
        <v>2.5</v>
      </c>
      <c r="R2">
        <v>3</v>
      </c>
      <c r="S2">
        <v>3.5</v>
      </c>
      <c r="T2">
        <v>4</v>
      </c>
      <c r="U2">
        <v>5</v>
      </c>
      <c r="W2" t="s">
        <v>5</v>
      </c>
      <c r="X2">
        <v>0.75</v>
      </c>
      <c r="Y2">
        <v>1</v>
      </c>
      <c r="Z2">
        <v>1.5</v>
      </c>
      <c r="AA2">
        <v>2</v>
      </c>
      <c r="AB2">
        <v>2.5</v>
      </c>
      <c r="AC2">
        <v>3</v>
      </c>
      <c r="AD2">
        <v>3.5</v>
      </c>
      <c r="AE2">
        <v>4</v>
      </c>
      <c r="AF2">
        <v>5</v>
      </c>
      <c r="AH2" t="s">
        <v>5</v>
      </c>
      <c r="AI2">
        <v>0.75</v>
      </c>
      <c r="AJ2">
        <v>1</v>
      </c>
      <c r="AK2">
        <v>1.5</v>
      </c>
      <c r="AL2">
        <v>2</v>
      </c>
      <c r="AM2">
        <v>2.5</v>
      </c>
      <c r="AN2">
        <v>3</v>
      </c>
      <c r="AO2">
        <v>3.5</v>
      </c>
      <c r="AP2">
        <v>4</v>
      </c>
      <c r="AQ2">
        <v>5</v>
      </c>
    </row>
    <row r="3" spans="1:43" x14ac:dyDescent="0.25">
      <c r="A3" t="s">
        <v>6</v>
      </c>
      <c r="B3">
        <f>((149.54/1462800000000000)*1832800000000000)</f>
        <v>187.36458299152309</v>
      </c>
      <c r="C3">
        <f>((149.54/1462800000000000)*450840000000000)</f>
        <v>46.088743232157505</v>
      </c>
      <c r="D3">
        <f>((149.54/1462800000000000)*60012000000000)</f>
        <v>6.1349429040196881</v>
      </c>
      <c r="E3">
        <f>((149.54/1462800000000000)*13660000000000)</f>
        <v>1.3964427126059611</v>
      </c>
      <c r="F3">
        <f>((149.54/1462800000000000)*  3985300000000)</f>
        <v>0.40741165025977577</v>
      </c>
      <c r="G3">
        <f>((149.54/1462800000000000)*  1335400000000)</f>
        <v>0.13651607601859447</v>
      </c>
      <c r="H3">
        <f>((149.54/1462800000000000)*484270000000)</f>
        <v>4.9506245419742953E-2</v>
      </c>
      <c r="I3">
        <f>((149.54/1462800000000000)* 187520000000)</f>
        <v>1.9169907574514627E-2</v>
      </c>
      <c r="J3">
        <f>((149.54/1462800000000000)*32086000000)</f>
        <v>3.2801069455838119E-3</v>
      </c>
      <c r="L3" t="s">
        <v>6</v>
      </c>
      <c r="M3">
        <v>149.54</v>
      </c>
      <c r="N3">
        <f>(405000000000000*(149.54/1462800000000000))</f>
        <v>41.40258408531583</v>
      </c>
      <c r="O3">
        <f>(57900000000000*(149.54/1462800000000000))</f>
        <v>5.9190360951599672</v>
      </c>
      <c r="P3">
        <f>(13400000000000*(149.54/1462800000000000))</f>
        <v>1.3698632759092151</v>
      </c>
      <c r="Q3">
        <f>( 3946800000000*(149.54/1462800000000000))</f>
        <v>0.40347584905660372</v>
      </c>
      <c r="R3">
        <f>(1330000000000*(149.54/1462800000000000))</f>
        <v>0.13596404156412359</v>
      </c>
      <c r="S3">
        <f>(  485360000000*(149.54/1462800000000000))</f>
        <v>4.9617674596663927E-2</v>
      </c>
      <c r="T3">
        <f>(189000000000*(149.54/1462800000000000))</f>
        <v>1.9321205906480721E-2</v>
      </c>
      <c r="U3">
        <f>(32100000000*(149.54/1462800000000000))</f>
        <v>3.2815381460213288E-3</v>
      </c>
      <c r="W3" t="s">
        <v>6</v>
      </c>
      <c r="X3">
        <f>((149.54/1462800000000000)* 321860000000000)</f>
        <v>32.903298058517912</v>
      </c>
      <c r="Y3">
        <f>((149.54/1462800000000000)*169880000000000)</f>
        <v>17.366595023243093</v>
      </c>
      <c r="Z3">
        <f>((149.54/1462800000000000)*  40112000000000)</f>
        <v>4.1005937106918235</v>
      </c>
      <c r="AA3">
        <f>((149.54/1462800000000000)*10919000000000)</f>
        <v>1.1162341126606508</v>
      </c>
      <c r="AB3">
        <f>((149.54/1462800000000000)*     3434800000000)</f>
        <v>0.35113480448455014</v>
      </c>
      <c r="AC3">
        <f>((149.54/1462800000000000)*  1193500000000)</f>
        <v>0.12200983729833195</v>
      </c>
      <c r="AD3">
        <f>((149.54/1462800000000000)* 446590000000)</f>
        <v>4.5654271670768388E-2</v>
      </c>
      <c r="AE3">
        <f>((149.54/1462800000000000)* 175560000000)</f>
        <v>1.7947253486464313E-2</v>
      </c>
      <c r="AF3">
        <f>((149.54/1462800000000000)*  30390000000)</f>
        <v>3.1067272354388842E-3</v>
      </c>
      <c r="AH3" t="s">
        <v>6</v>
      </c>
      <c r="AI3">
        <f>((149.54/1462800000000000)*  45435000000000)</f>
        <v>4.6447565627563572</v>
      </c>
      <c r="AJ3">
        <f>((149.54/1462800000000000)*  36013000000000)</f>
        <v>3.6815586683073556</v>
      </c>
      <c r="AK3">
        <f>((149.54/1462800000000000)*
  15988000000000)</f>
        <v>1.6344308996445172</v>
      </c>
      <c r="AL3">
        <f>((149.54/1462800000000000)*  6037300000000)</f>
        <v>0.61718474295870929</v>
      </c>
      <c r="AM3">
        <f>((149.54/1462800000000000)*  2248100000000)</f>
        <v>0.22982012168444077</v>
      </c>
      <c r="AN3">
        <f>((149.54/1462800000000000)*  868540000000)</f>
        <v>8.8789630571506697E-2</v>
      </c>
      <c r="AO3">
        <f>((149.54/1462800000000000)*  347180000000)</f>
        <v>3.5491726278370245E-2</v>
      </c>
      <c r="AP3">
        <f>((149.54/1462800000000000)*  142530000000)</f>
        <v>1.4570642739950778E-2</v>
      </c>
      <c r="AQ3">
        <f>((149.54/1462800000000000)*
  26170000000)</f>
        <v>2.6753225321301611E-3</v>
      </c>
    </row>
    <row r="4" spans="1:43" x14ac:dyDescent="0.25">
      <c r="A4" t="s">
        <v>7</v>
      </c>
      <c r="B4">
        <f>((1702.25/ 40155000000000000)* 68514000000000000)</f>
        <v>2904.4441912588718</v>
      </c>
      <c r="C4">
        <f t="shared" ref="C4:J4" si="0">((1702.25/ 40155000000000000)* 68514000000000000)</f>
        <v>2904.4441912588718</v>
      </c>
      <c r="D4">
        <f t="shared" si="0"/>
        <v>2904.4441912588718</v>
      </c>
      <c r="E4">
        <f t="shared" si="0"/>
        <v>2904.4441912588718</v>
      </c>
      <c r="F4">
        <f t="shared" si="0"/>
        <v>2904.4441912588718</v>
      </c>
      <c r="G4">
        <f t="shared" si="0"/>
        <v>2904.4441912588718</v>
      </c>
      <c r="H4">
        <f t="shared" si="0"/>
        <v>2904.4441912588718</v>
      </c>
      <c r="I4">
        <f t="shared" si="0"/>
        <v>2904.4441912588718</v>
      </c>
      <c r="J4">
        <f t="shared" si="0"/>
        <v>2904.4441912588718</v>
      </c>
      <c r="L4" t="s">
        <v>7</v>
      </c>
      <c r="M4">
        <v>1702.25</v>
      </c>
      <c r="N4">
        <v>1702.25</v>
      </c>
      <c r="O4">
        <v>1702.25</v>
      </c>
      <c r="P4">
        <v>1702.25</v>
      </c>
      <c r="Q4">
        <v>1702.25</v>
      </c>
      <c r="R4">
        <v>1702.25</v>
      </c>
      <c r="S4">
        <v>1702.25</v>
      </c>
      <c r="T4">
        <v>1702.25</v>
      </c>
      <c r="U4">
        <v>1702.25</v>
      </c>
      <c r="W4" t="s">
        <v>7</v>
      </c>
      <c r="X4">
        <f>((1702.25/ 40155000000000000)*
  12888000000000000)</f>
        <v>546.34785207321625</v>
      </c>
      <c r="Y4">
        <f t="shared" ref="Y4:AF4" si="1">((1702.25/ 40155000000000000)*
  12888000000000000)</f>
        <v>546.34785207321625</v>
      </c>
      <c r="Z4">
        <f>((1702.25/ 40155000000000000)*12888000000000000)</f>
        <v>546.34785207321625</v>
      </c>
      <c r="AA4">
        <f>((1702.25/ 40155000000000000)*12888000000000000)</f>
        <v>546.34785207321625</v>
      </c>
      <c r="AB4">
        <f t="shared" si="1"/>
        <v>546.34785207321625</v>
      </c>
      <c r="AC4">
        <f t="shared" si="1"/>
        <v>546.34785207321625</v>
      </c>
      <c r="AD4">
        <f t="shared" si="1"/>
        <v>546.34785207321625</v>
      </c>
      <c r="AE4">
        <f t="shared" si="1"/>
        <v>546.34785207321625</v>
      </c>
      <c r="AF4">
        <f t="shared" si="1"/>
        <v>546.34785207321625</v>
      </c>
      <c r="AH4" t="s">
        <v>7</v>
      </c>
      <c r="AI4">
        <f>((1702.25/ 40155000000000000)*  3726000000000000)</f>
        <v>157.95252147926783</v>
      </c>
      <c r="AJ4">
        <f t="shared" ref="AJ4:AQ4" si="2">((1702.25/ 40155000000000000)*  3726000000000000)</f>
        <v>157.95252147926783</v>
      </c>
      <c r="AK4">
        <f t="shared" si="2"/>
        <v>157.95252147926783</v>
      </c>
      <c r="AL4">
        <f t="shared" si="2"/>
        <v>157.95252147926783</v>
      </c>
      <c r="AM4">
        <f t="shared" si="2"/>
        <v>157.95252147926783</v>
      </c>
      <c r="AN4">
        <f t="shared" si="2"/>
        <v>157.95252147926783</v>
      </c>
      <c r="AO4">
        <f t="shared" si="2"/>
        <v>157.95252147926783</v>
      </c>
      <c r="AP4">
        <f t="shared" si="2"/>
        <v>157.95252147926783</v>
      </c>
      <c r="AQ4">
        <f t="shared" si="2"/>
        <v>157.95252147926783</v>
      </c>
    </row>
    <row r="5" spans="1:43" x14ac:dyDescent="0.25">
      <c r="A5" t="s">
        <v>8</v>
      </c>
      <c r="B5">
        <f>(B3/B4)</f>
        <v>6.4509617211929882E-2</v>
      </c>
      <c r="C5">
        <f t="shared" ref="C5:J5" si="3">(C3/C4)</f>
        <v>1.5868352151804054E-2</v>
      </c>
      <c r="D5">
        <f t="shared" si="3"/>
        <v>2.112260556592283E-3</v>
      </c>
      <c r="E5">
        <f t="shared" si="3"/>
        <v>4.807951610186394E-4</v>
      </c>
      <c r="F5">
        <f t="shared" si="3"/>
        <v>1.4027181224067229E-4</v>
      </c>
      <c r="G5">
        <f t="shared" si="3"/>
        <v>4.7002478625497147E-5</v>
      </c>
      <c r="H5">
        <f t="shared" si="3"/>
        <v>1.7044997996083199E-5</v>
      </c>
      <c r="I5">
        <f t="shared" si="3"/>
        <v>6.600198286545772E-6</v>
      </c>
      <c r="J5">
        <f t="shared" si="3"/>
        <v>1.129340668846564E-6</v>
      </c>
      <c r="L5" t="s">
        <v>8</v>
      </c>
      <c r="M5">
        <f>(M3/M4)</f>
        <v>8.784843589367014E-2</v>
      </c>
      <c r="N5">
        <f t="shared" ref="N5:U5" si="4">(N3/N4)</f>
        <v>2.4322269986967737E-2</v>
      </c>
      <c r="O5">
        <f t="shared" si="4"/>
        <v>3.4771837833220544E-3</v>
      </c>
      <c r="P5">
        <f t="shared" si="4"/>
        <v>8.0473683413671024E-4</v>
      </c>
      <c r="Q5">
        <f t="shared" si="4"/>
        <v>2.3702502514707225E-4</v>
      </c>
      <c r="R5">
        <f t="shared" si="4"/>
        <v>7.9873133537449598E-5</v>
      </c>
      <c r="S5">
        <f t="shared" si="4"/>
        <v>2.9148288792283113E-5</v>
      </c>
      <c r="T5">
        <f t="shared" si="4"/>
        <v>1.1350392660584945E-5</v>
      </c>
      <c r="U5">
        <f t="shared" si="4"/>
        <v>1.9277651026707762E-6</v>
      </c>
      <c r="W5" t="s">
        <v>8</v>
      </c>
      <c r="X5">
        <f>(X3/X4)</f>
        <v>6.0224082393040196E-2</v>
      </c>
      <c r="Y5">
        <f t="shared" ref="Y5:AF5" si="5">(Y3/Y4)</f>
        <v>3.1786699549275051E-2</v>
      </c>
      <c r="Z5">
        <f t="shared" si="5"/>
        <v>7.5054632229839928E-3</v>
      </c>
      <c r="AA5">
        <f t="shared" si="5"/>
        <v>2.0430831903610449E-3</v>
      </c>
      <c r="AB5">
        <f t="shared" si="5"/>
        <v>6.4269458212767795E-4</v>
      </c>
      <c r="AC5">
        <f t="shared" si="5"/>
        <v>2.2331896581151265E-4</v>
      </c>
      <c r="AD5">
        <f t="shared" si="5"/>
        <v>8.3562645112495552E-5</v>
      </c>
      <c r="AE5">
        <f t="shared" si="5"/>
        <v>3.2849499487112827E-5</v>
      </c>
      <c r="AF5">
        <f t="shared" si="5"/>
        <v>5.6863538927623546E-6</v>
      </c>
      <c r="AH5" t="s">
        <v>8</v>
      </c>
      <c r="AI5">
        <f>(AI3/AI4)</f>
        <v>2.9406029857940622E-2</v>
      </c>
      <c r="AJ5">
        <f t="shared" ref="AJ5:AQ5" si="6">(AJ3/AJ4)</f>
        <v>2.3308008215561036E-2</v>
      </c>
      <c r="AK5">
        <f t="shared" si="6"/>
        <v>1.0347608789892255E-2</v>
      </c>
      <c r="AL5">
        <f t="shared" si="6"/>
        <v>3.9074067142367101E-3</v>
      </c>
      <c r="AM5">
        <f t="shared" si="6"/>
        <v>1.4549949537501115E-3</v>
      </c>
      <c r="AN5">
        <f t="shared" si="6"/>
        <v>5.6212860510214044E-4</v>
      </c>
      <c r="AO5">
        <f t="shared" si="6"/>
        <v>2.2469870025486574E-4</v>
      </c>
      <c r="AP5">
        <f t="shared" si="6"/>
        <v>9.2246977784797557E-5</v>
      </c>
      <c r="AQ5">
        <f t="shared" si="6"/>
        <v>1.693751076003755E-5</v>
      </c>
    </row>
    <row r="7" spans="1:43" x14ac:dyDescent="0.25">
      <c r="B7" t="s">
        <v>9</v>
      </c>
      <c r="M7" t="s">
        <v>9</v>
      </c>
      <c r="X7" t="s">
        <v>9</v>
      </c>
      <c r="AI7" t="s">
        <v>9</v>
      </c>
    </row>
    <row r="8" spans="1:43" x14ac:dyDescent="0.25">
      <c r="A8" t="s">
        <v>10</v>
      </c>
      <c r="B8">
        <v>0.75</v>
      </c>
      <c r="C8">
        <v>1</v>
      </c>
      <c r="D8">
        <v>1.5</v>
      </c>
      <c r="E8">
        <v>2</v>
      </c>
      <c r="F8">
        <v>2.5</v>
      </c>
      <c r="G8">
        <v>3</v>
      </c>
      <c r="H8">
        <v>3.5</v>
      </c>
      <c r="I8">
        <v>4</v>
      </c>
      <c r="J8">
        <v>5</v>
      </c>
      <c r="L8" t="s">
        <v>10</v>
      </c>
      <c r="M8">
        <v>0.75</v>
      </c>
      <c r="N8">
        <v>1</v>
      </c>
      <c r="O8">
        <v>1.5</v>
      </c>
      <c r="P8">
        <v>2</v>
      </c>
      <c r="Q8">
        <v>2.5</v>
      </c>
      <c r="R8">
        <v>3</v>
      </c>
      <c r="S8">
        <v>3.5</v>
      </c>
      <c r="T8">
        <v>4</v>
      </c>
      <c r="U8">
        <v>5</v>
      </c>
      <c r="W8" t="s">
        <v>10</v>
      </c>
      <c r="X8">
        <v>0.75</v>
      </c>
      <c r="Y8">
        <v>1</v>
      </c>
      <c r="Z8">
        <v>1.5</v>
      </c>
      <c r="AA8">
        <v>2</v>
      </c>
      <c r="AB8">
        <v>2.5</v>
      </c>
      <c r="AC8">
        <v>3</v>
      </c>
      <c r="AD8">
        <v>3.5</v>
      </c>
      <c r="AE8">
        <v>4</v>
      </c>
      <c r="AF8">
        <v>5</v>
      </c>
      <c r="AH8" t="s">
        <v>10</v>
      </c>
      <c r="AI8">
        <v>0.75</v>
      </c>
      <c r="AJ8">
        <v>1</v>
      </c>
      <c r="AK8">
        <v>1.5</v>
      </c>
      <c r="AL8">
        <v>2</v>
      </c>
      <c r="AM8">
        <v>2.5</v>
      </c>
      <c r="AN8">
        <v>3</v>
      </c>
      <c r="AO8">
        <v>3.5</v>
      </c>
      <c r="AP8">
        <v>4</v>
      </c>
      <c r="AQ8">
        <v>5</v>
      </c>
    </row>
    <row r="9" spans="1:43" x14ac:dyDescent="0.25">
      <c r="A9" t="s">
        <v>6</v>
      </c>
      <c r="B9">
        <f>((6640.63/2400500000000000)*  4220700000000000)</f>
        <v>11675.945445115602</v>
      </c>
      <c r="C9">
        <f>((6640.63/2400500000000000)*  1363200000000000)</f>
        <v>3771.0921957925434</v>
      </c>
      <c r="D9">
        <f>((6640.63/2400500000000000)*  146660000000000)</f>
        <v>405.71330797750471</v>
      </c>
      <c r="E9">
        <f>((6640.63/2400500000000000)*  27962000000000)</f>
        <v>77.352758200374922</v>
      </c>
      <c r="F9">
        <f>((6640.63/2400500000000000)*  8520600000000)</f>
        <v>23.570986035409291</v>
      </c>
      <c r="G9">
        <f>((6640.63/2400500000000000)* 3380600000000)</f>
        <v>9.3519324215788391</v>
      </c>
      <c r="H9">
        <f>((6640.63/2400500000000000)*  1557800000000)</f>
        <v>4.3094244590710273</v>
      </c>
      <c r="I9">
        <f>((6640.63/2400500000000000)* 786300000000)</f>
        <v>2.1751832405748805</v>
      </c>
      <c r="J9">
        <f>((6640.63/2400500000000000)*  240990000000)</f>
        <v>0.66666337167256828</v>
      </c>
      <c r="L9" t="s">
        <v>6</v>
      </c>
      <c r="M9">
        <v>6640.63</v>
      </c>
      <c r="N9">
        <f>(984000000000000*(6640.63/2400500000000000))</f>
        <v>2722.0911976671528</v>
      </c>
      <c r="O9">
        <f>(132000000000000*(6640.63/2400500000000000))</f>
        <v>365.15857529681318</v>
      </c>
      <c r="P9">
        <f>(27000000000000*(6640.63/2400500000000000))</f>
        <v>74.691526765257251</v>
      </c>
      <c r="Q9">
        <f>(8397800000000*(6640.63/2400500000000000))</f>
        <v>23.231277906269529</v>
      </c>
      <c r="R9">
        <f>(3360000000000*(6640.63/2400500000000000))</f>
        <v>9.2949455530097911</v>
      </c>
      <c r="S9">
        <f>(  1552700000000*(6640.63/2400500000000000))</f>
        <v>4.295316059570923</v>
      </c>
      <c r="T9">
        <f>(787000000000*(6640.63/2400500000000000))</f>
        <v>2.1771196875650909</v>
      </c>
      <c r="U9">
        <f>(242000000000*(6640.63/2400500000000000))</f>
        <v>0.66945738804415755</v>
      </c>
      <c r="W9" t="s">
        <v>6</v>
      </c>
      <c r="X9">
        <f>((6640.63/2400500000000000)*    158390000000000)</f>
        <v>438.16262682774425</v>
      </c>
      <c r="Y9">
        <f>((6640.63/2400500000000000)*    154310000000000)</f>
        <v>426.87590722766095</v>
      </c>
      <c r="Z9">
        <f>((6640.63/2400500000000000)*   69767000000000)</f>
        <v>193.00013880858157</v>
      </c>
      <c r="AA9">
        <f>((6640.63/2400500000000000)*    25109000000000)</f>
        <v>69.460353538846078</v>
      </c>
      <c r="AB9">
        <f>((6640.63/2400500000000000)*
  10388000000000)</f>
        <v>28.736873334721935</v>
      </c>
      <c r="AC9">
        <f>((6640.63/2400500000000000)*   5064700000000)</f>
        <v>14.01074724474068</v>
      </c>
      <c r="AD9">
        <f>((6640.63/2400500000000000)*    2762600000000)</f>
        <v>7.6423263645073947</v>
      </c>
      <c r="AE9">
        <f>((6640.63/2400500000000000)*   1644200000000)</f>
        <v>4.5484373447198507</v>
      </c>
      <c r="AF9">
        <f>((6640.63/2400500000000000)*    688450000000)</f>
        <v>1.9044956148719019</v>
      </c>
      <c r="AH9" t="s">
        <v>6</v>
      </c>
      <c r="AI9">
        <f>((6640.63/2400500000000000)*  23361000000000)</f>
        <v>64.624768769006465</v>
      </c>
      <c r="AJ9">
        <f>((6640.63/2400500000000000)*  25278000000000)</f>
        <v>69.92786716933972</v>
      </c>
      <c r="AK9">
        <f>((6640.63/2400500000000000)*  20858000000000)</f>
        <v>57.7005876025828</v>
      </c>
      <c r="AL9">
        <f>((6640.63/2400500000000000)*  12534000000000)</f>
        <v>34.673466536138307</v>
      </c>
      <c r="AM9">
        <f>((6640.63/2400500000000000)*6904200000000)</f>
        <v>19.099453299729223</v>
      </c>
      <c r="AN9">
        <f>((6640.63/2400500000000000)*  3885300000000)</f>
        <v>10.748110701520517</v>
      </c>
      <c r="AO9">
        <f>((6640.63/2400500000000000)*
  2303400000000)</f>
        <v>6.3720171389293903</v>
      </c>
      <c r="AP9">
        <f>((6640.63/2400500000000000)*
  1439600000000)</f>
        <v>3.9824415530097901</v>
      </c>
      <c r="AQ9">
        <f>((6640.63/2400500000000000)*  634930000000)</f>
        <v>1.7564404107061031</v>
      </c>
    </row>
    <row r="10" spans="1:43" x14ac:dyDescent="0.25">
      <c r="A10" t="s">
        <v>11</v>
      </c>
      <c r="B10">
        <f>((12352.6264/  23812000000000000)*  49900000000000000)</f>
        <v>25885.942271123804</v>
      </c>
      <c r="C10">
        <f t="shared" ref="C10:J10" si="7">((12352.6264/  23812000000000000)*  49900000000000000)</f>
        <v>25885.942271123804</v>
      </c>
      <c r="D10">
        <f t="shared" si="7"/>
        <v>25885.942271123804</v>
      </c>
      <c r="E10">
        <f t="shared" si="7"/>
        <v>25885.942271123804</v>
      </c>
      <c r="F10">
        <f t="shared" si="7"/>
        <v>25885.942271123804</v>
      </c>
      <c r="G10">
        <f t="shared" si="7"/>
        <v>25885.942271123804</v>
      </c>
      <c r="H10">
        <f t="shared" si="7"/>
        <v>25885.942271123804</v>
      </c>
      <c r="I10">
        <f t="shared" si="7"/>
        <v>25885.942271123804</v>
      </c>
      <c r="J10">
        <f t="shared" si="7"/>
        <v>25885.942271123804</v>
      </c>
      <c r="L10" t="s">
        <v>11</v>
      </c>
      <c r="M10">
        <v>12352.626399999999</v>
      </c>
      <c r="N10">
        <v>12352.626399999999</v>
      </c>
      <c r="O10">
        <v>12352.626399999999</v>
      </c>
      <c r="P10">
        <v>12352.626399999999</v>
      </c>
      <c r="Q10">
        <v>12352.626399999999</v>
      </c>
      <c r="R10">
        <v>12352.626399999999</v>
      </c>
      <c r="S10">
        <v>12352.626399999999</v>
      </c>
      <c r="T10">
        <v>12352.626399999999</v>
      </c>
      <c r="U10">
        <v>12352.626399999999</v>
      </c>
      <c r="W10" t="s">
        <v>11</v>
      </c>
      <c r="X10">
        <f>((12352.6264/  23812000000000000)*    9960600000000000)</f>
        <v>5167.124580876869</v>
      </c>
      <c r="Y10">
        <f t="shared" ref="Y10:AF10" si="8">((12352.6264/  23812000000000000)*    9960600000000000)</f>
        <v>5167.124580876869</v>
      </c>
      <c r="Z10">
        <f t="shared" si="8"/>
        <v>5167.124580876869</v>
      </c>
      <c r="AA10">
        <f t="shared" si="8"/>
        <v>5167.124580876869</v>
      </c>
      <c r="AB10">
        <f t="shared" si="8"/>
        <v>5167.124580876869</v>
      </c>
      <c r="AC10">
        <f t="shared" si="8"/>
        <v>5167.124580876869</v>
      </c>
      <c r="AD10">
        <f t="shared" si="8"/>
        <v>5167.124580876869</v>
      </c>
      <c r="AE10">
        <f t="shared" si="8"/>
        <v>5167.124580876869</v>
      </c>
      <c r="AF10">
        <f t="shared" si="8"/>
        <v>5167.124580876869</v>
      </c>
      <c r="AH10" t="s">
        <v>11</v>
      </c>
      <c r="AI10">
        <f>((12352.6264/  23812000000000000)*  5167300000000000)</f>
        <v>2680.5697294103811</v>
      </c>
      <c r="AJ10">
        <f t="shared" ref="AJ10:AQ10" si="9">((12352.6264/  23812000000000000)*  5167300000000000)</f>
        <v>2680.5697294103811</v>
      </c>
      <c r="AK10">
        <f t="shared" si="9"/>
        <v>2680.5697294103811</v>
      </c>
      <c r="AL10">
        <f t="shared" si="9"/>
        <v>2680.5697294103811</v>
      </c>
      <c r="AM10">
        <f t="shared" si="9"/>
        <v>2680.5697294103811</v>
      </c>
      <c r="AN10">
        <f t="shared" si="9"/>
        <v>2680.5697294103811</v>
      </c>
      <c r="AO10">
        <f t="shared" si="9"/>
        <v>2680.5697294103811</v>
      </c>
      <c r="AP10">
        <f t="shared" si="9"/>
        <v>2680.5697294103811</v>
      </c>
      <c r="AQ10">
        <f t="shared" si="9"/>
        <v>2680.5697294103811</v>
      </c>
    </row>
    <row r="11" spans="1:43" x14ac:dyDescent="0.25">
      <c r="A11" t="s">
        <v>8</v>
      </c>
      <c r="B11">
        <f t="shared" ref="B11:J11" si="10">(B9 / B10)</f>
        <v>0.45105352251906672</v>
      </c>
      <c r="C11">
        <f t="shared" si="10"/>
        <v>0.14568108652545592</v>
      </c>
      <c r="D11">
        <f t="shared" si="10"/>
        <v>1.5673113372816433E-2</v>
      </c>
      <c r="E11">
        <f t="shared" si="10"/>
        <v>2.9882148924771112E-3</v>
      </c>
      <c r="F11">
        <f t="shared" si="10"/>
        <v>9.1057091098063346E-4</v>
      </c>
      <c r="G11">
        <f t="shared" si="10"/>
        <v>3.6127456067191631E-4</v>
      </c>
      <c r="H11">
        <f t="shared" si="10"/>
        <v>1.6647740360134627E-4</v>
      </c>
      <c r="I11">
        <f t="shared" si="10"/>
        <v>8.4029517557926927E-5</v>
      </c>
      <c r="J11">
        <f t="shared" si="10"/>
        <v>2.5753876937917856E-5</v>
      </c>
      <c r="L11" t="s">
        <v>8</v>
      </c>
      <c r="M11">
        <f t="shared" ref="M11:U11" si="11">(M9 / M10)</f>
        <v>0.53758850830297922</v>
      </c>
      <c r="N11">
        <f t="shared" si="11"/>
        <v>0.22036537895027353</v>
      </c>
      <c r="O11">
        <f t="shared" si="11"/>
        <v>2.9561209371378155E-2</v>
      </c>
      <c r="P11">
        <f t="shared" si="11"/>
        <v>6.0466110077818961E-3</v>
      </c>
      <c r="Q11">
        <f t="shared" si="11"/>
        <v>1.8806751822648445E-3</v>
      </c>
      <c r="R11">
        <f t="shared" si="11"/>
        <v>7.5246714763508042E-4</v>
      </c>
      <c r="S11">
        <f t="shared" si="11"/>
        <v>3.4772492265862777E-4</v>
      </c>
      <c r="T11">
        <f t="shared" si="11"/>
        <v>1.7624751344905008E-4</v>
      </c>
      <c r="U11">
        <f t="shared" si="11"/>
        <v>5.4195550514193292E-5</v>
      </c>
      <c r="W11" t="s">
        <v>8</v>
      </c>
      <c r="X11">
        <f t="shared" ref="X11:AF11" si="12">(X9 / X10)</f>
        <v>8.4798154170571086E-2</v>
      </c>
      <c r="Y11">
        <f t="shared" si="12"/>
        <v>8.2613821390623302E-2</v>
      </c>
      <c r="Z11">
        <f t="shared" si="12"/>
        <v>3.7351555161425805E-2</v>
      </c>
      <c r="AA11">
        <f t="shared" si="12"/>
        <v>1.3442747983262008E-2</v>
      </c>
      <c r="AB11">
        <f t="shared" si="12"/>
        <v>5.5614825779651015E-3</v>
      </c>
      <c r="AC11">
        <f t="shared" si="12"/>
        <v>2.7115172133827348E-3</v>
      </c>
      <c r="AD11">
        <f t="shared" si="12"/>
        <v>1.4790288573244502E-3</v>
      </c>
      <c r="AE11">
        <f t="shared" si="12"/>
        <v>8.8026469529170395E-4</v>
      </c>
      <c r="AF11">
        <f t="shared" si="12"/>
        <v>3.6857938783212114E-4</v>
      </c>
      <c r="AH11" t="s">
        <v>8</v>
      </c>
      <c r="AI11">
        <f>(AI9 / AI10)</f>
        <v>2.4108594549868825E-2</v>
      </c>
      <c r="AJ11">
        <f t="shared" ref="AJ11:AQ11" si="13">(AJ9 / AJ10)</f>
        <v>2.6086942041504392E-2</v>
      </c>
      <c r="AK11">
        <f t="shared" si="13"/>
        <v>2.1525493990889256E-2</v>
      </c>
      <c r="AL11">
        <f t="shared" si="13"/>
        <v>1.2935110829504552E-2</v>
      </c>
      <c r="AM11">
        <f t="shared" si="13"/>
        <v>7.1251469753522674E-3</v>
      </c>
      <c r="AN11">
        <f t="shared" si="13"/>
        <v>4.0096366767092733E-3</v>
      </c>
      <c r="AO11">
        <f t="shared" si="13"/>
        <v>2.3771129954269017E-3</v>
      </c>
      <c r="AP11">
        <f t="shared" si="13"/>
        <v>1.4856698220962784E-3</v>
      </c>
      <c r="AQ11">
        <f t="shared" si="13"/>
        <v>6.5524891646540019E-4</v>
      </c>
    </row>
    <row r="13" spans="1:43" x14ac:dyDescent="0.25">
      <c r="B13" t="s">
        <v>12</v>
      </c>
      <c r="M13" t="s">
        <v>12</v>
      </c>
      <c r="X13" t="s">
        <v>12</v>
      </c>
      <c r="AI13" t="s">
        <v>12</v>
      </c>
    </row>
    <row r="14" spans="1:43" x14ac:dyDescent="0.25">
      <c r="A14" t="s">
        <v>5</v>
      </c>
      <c r="B14">
        <v>0.75</v>
      </c>
      <c r="C14">
        <v>1</v>
      </c>
      <c r="D14">
        <v>1.5</v>
      </c>
      <c r="E14">
        <v>2</v>
      </c>
      <c r="F14">
        <v>2.5</v>
      </c>
      <c r="G14">
        <v>3</v>
      </c>
      <c r="H14">
        <v>3.5</v>
      </c>
      <c r="I14">
        <v>4</v>
      </c>
      <c r="J14">
        <v>5</v>
      </c>
      <c r="L14" t="s">
        <v>5</v>
      </c>
      <c r="M14">
        <v>0.75</v>
      </c>
      <c r="N14">
        <v>1</v>
      </c>
      <c r="O14">
        <v>1.5</v>
      </c>
      <c r="P14">
        <v>2</v>
      </c>
      <c r="Q14">
        <v>2.5</v>
      </c>
      <c r="R14">
        <v>3</v>
      </c>
      <c r="S14">
        <v>3.5</v>
      </c>
      <c r="T14">
        <v>4</v>
      </c>
      <c r="U14">
        <v>5</v>
      </c>
      <c r="W14" t="s">
        <v>5</v>
      </c>
      <c r="X14">
        <v>0.75</v>
      </c>
      <c r="Y14">
        <v>1</v>
      </c>
      <c r="Z14">
        <v>1.5</v>
      </c>
      <c r="AA14">
        <v>2</v>
      </c>
      <c r="AB14">
        <v>2.5</v>
      </c>
      <c r="AC14">
        <v>3</v>
      </c>
      <c r="AD14">
        <v>3.5</v>
      </c>
      <c r="AE14">
        <v>4</v>
      </c>
      <c r="AF14">
        <v>5</v>
      </c>
      <c r="AH14" t="s">
        <v>5</v>
      </c>
      <c r="AI14">
        <v>0.75</v>
      </c>
      <c r="AJ14">
        <v>1</v>
      </c>
      <c r="AK14">
        <v>1.5</v>
      </c>
      <c r="AL14">
        <v>2</v>
      </c>
      <c r="AM14">
        <v>2.5</v>
      </c>
      <c r="AN14">
        <v>3</v>
      </c>
      <c r="AO14">
        <v>3.5</v>
      </c>
      <c r="AP14">
        <v>4</v>
      </c>
      <c r="AQ14">
        <v>5</v>
      </c>
    </row>
    <row r="15" spans="1:43" x14ac:dyDescent="0.25">
      <c r="A15" t="s">
        <v>6</v>
      </c>
      <c r="B15">
        <f>((1387.2/ 2603300000000000)* 5514700000000000)</f>
        <v>2938.5748242615141</v>
      </c>
      <c r="C15">
        <f>((1387.2/ 2603300000000000)* 2378600000000000)</f>
        <v>1267.4658779241731</v>
      </c>
      <c r="D15">
        <f>((1387.2/ 2603300000000000)*  329530000000000)</f>
        <v>175.59405984711711</v>
      </c>
      <c r="E15">
        <f>((1387.2/ 2603300000000000)*  58464000000000)</f>
        <v>31.153251949448773</v>
      </c>
      <c r="F15">
        <f>((1387.2/ 2603300000000000)*  16135000000000)</f>
        <v>8.5977305727346049</v>
      </c>
      <c r="G15">
        <f>((1387.2/ 2603300000000000)* 6267800000000)</f>
        <v>3.3398732992739983</v>
      </c>
      <c r="H15">
        <f>((1387.2/ 2603300000000000)  *3024400000000)</f>
        <v>1.6115882456881649</v>
      </c>
      <c r="I15">
        <f>((1387.2/ 2603300000000000)*  1690000000000)</f>
        <v>0.90053701071716663</v>
      </c>
      <c r="J15">
        <f>((1387.2/ 2603300000000000)*  668220000000)</f>
        <v>0.35606913686474856</v>
      </c>
      <c r="L15" t="s">
        <v>6</v>
      </c>
      <c r="M15">
        <v>1387.2</v>
      </c>
      <c r="N15">
        <f>((1387.2/ 2603300000000000)*1482700000000000)</f>
        <v>790.07468981677096</v>
      </c>
      <c r="O15">
        <f>((1387.2/ 2603300000000000)*272760000000000)</f>
        <v>145.34347635693157</v>
      </c>
      <c r="P15">
        <f>( (1387.2/ 2603300000000000)*54393000000000)</f>
        <v>28.983970191679788</v>
      </c>
      <c r="Q15" s="1">
        <f>(15711000000000*(1387.2/ 2603300000000000))</f>
        <v>8.3717970268505351</v>
      </c>
      <c r="R15">
        <f>(6216600000000*(1387.2/ 2603300000000000))</f>
        <v>3.3125907578842235</v>
      </c>
      <c r="S15">
        <f>(  3021700000000*(1387.2/ 2603300000000000))</f>
        <v>1.6101495179195635</v>
      </c>
      <c r="T15">
        <f>(1689500000000*(1387.2/ 2603300000000000))</f>
        <v>0.90027057964890711</v>
      </c>
      <c r="U15">
        <f>(671530000000*(1387.2/ 2603300000000000))</f>
        <v>0.35783291053662658</v>
      </c>
      <c r="W15" t="s">
        <v>6</v>
      </c>
      <c r="X15">
        <f>((1387.2/ 2603300000000000)*   88287000000000)</f>
        <v>47.044799446855912</v>
      </c>
      <c r="Y15">
        <f>((1387.2/ 2603300000000000)*   110170000000000)</f>
        <v>58.705421580301923</v>
      </c>
      <c r="Z15">
        <f>((1387.2/ 2603300000000000)*    74110000000000)</f>
        <v>39.490412937425575</v>
      </c>
      <c r="AA15">
        <f>((1387.2/ 2603300000000000)*   30293000000000)</f>
        <v>16.14199270157108</v>
      </c>
      <c r="AB15">
        <f>((1387.2/ 2603300000000000)*    11968000000000)</f>
        <v>6.3772940498597928</v>
      </c>
      <c r="AC15">
        <f>((1387.2/ 2603300000000000)*   5390400000000)</f>
        <v>2.8723400606921983</v>
      </c>
      <c r="AD15">
        <f>((1387.2/ 2603300000000000)  *  2775100000000)</f>
        <v>1.4787457150539698</v>
      </c>
      <c r="AE15">
        <f>((1387.2/ 2603300000000000)*    1594900000000)</f>
        <v>0.84986182153420653</v>
      </c>
      <c r="AF15">
        <f>((1387.2/ 2603300000000000)*    651100000000)</f>
        <v>0.34694653708754269</v>
      </c>
      <c r="AH15" t="s">
        <v>6</v>
      </c>
      <c r="AI15">
        <f>((1387.2/2603300000000000)*11630000000000)</f>
        <v>6.19718664771636</v>
      </c>
      <c r="AJ15">
        <f>((1387.2/2603300000000000)*  13995000000000)</f>
        <v>7.4574056005838738</v>
      </c>
      <c r="AK15">
        <f>((1387.2/2603300000000000)*  14998000000000)</f>
        <v>7.9918663235124647</v>
      </c>
      <c r="AL15">
        <f>((1387.2/2603300000000000)*  10945000000000)</f>
        <v>5.8321760842008219</v>
      </c>
      <c r="AM15">
        <f>((1387.2/2603300000000000)*  6560300000000)</f>
        <v>3.4957354742058153</v>
      </c>
      <c r="AN15">
        <f>((1387.2/2603300000000000)*  3732000000000)</f>
        <v>1.9886414934890331</v>
      </c>
      <c r="AO15">
        <f>((1387.2/2603300000000000)*  2200500000000)</f>
        <v>1.1725631314101332</v>
      </c>
      <c r="AP15">
        <f>((1387.2/2603300000000000)*  1347500000000)</f>
        <v>0.7180317289593976</v>
      </c>
      <c r="AQ15">
        <f>((1387.2/2603300000000000)*  592190000000)</f>
        <v>0.31555562862520647</v>
      </c>
    </row>
    <row r="16" spans="1:43" x14ac:dyDescent="0.25">
      <c r="A16" t="s">
        <v>7</v>
      </c>
      <c r="B16">
        <f>((735.83/  22668000000000000)* 49673000000000000)</f>
        <v>1612.4441322569262</v>
      </c>
      <c r="C16">
        <f t="shared" ref="C16:J16" si="14">((735.83/  22668000000000000)* 49673000000000000)</f>
        <v>1612.4441322569262</v>
      </c>
      <c r="D16">
        <f t="shared" si="14"/>
        <v>1612.4441322569262</v>
      </c>
      <c r="E16">
        <f t="shared" si="14"/>
        <v>1612.4441322569262</v>
      </c>
      <c r="F16">
        <f t="shared" si="14"/>
        <v>1612.4441322569262</v>
      </c>
      <c r="G16">
        <f t="shared" si="14"/>
        <v>1612.4441322569262</v>
      </c>
      <c r="H16">
        <f t="shared" si="14"/>
        <v>1612.4441322569262</v>
      </c>
      <c r="I16">
        <f t="shared" si="14"/>
        <v>1612.4441322569262</v>
      </c>
      <c r="J16">
        <f t="shared" si="14"/>
        <v>1612.4441322569262</v>
      </c>
      <c r="L16" t="s">
        <v>7</v>
      </c>
      <c r="M16">
        <v>735.83</v>
      </c>
      <c r="N16">
        <v>735.83</v>
      </c>
      <c r="O16">
        <v>735.83</v>
      </c>
      <c r="P16">
        <v>735.83</v>
      </c>
      <c r="Q16">
        <v>735.83</v>
      </c>
      <c r="R16">
        <v>735.83</v>
      </c>
      <c r="S16">
        <v>735.83</v>
      </c>
      <c r="T16">
        <v>735.83</v>
      </c>
      <c r="U16">
        <v>735.83</v>
      </c>
      <c r="W16" t="s">
        <v>7</v>
      </c>
      <c r="X16">
        <f>((735.83/  22668000000000000)*   7614800000000000)</f>
        <v>247.18538397741312</v>
      </c>
      <c r="Y16">
        <f t="shared" ref="Y16:AF16" si="15">((735.83/  22668000000000000)*   7614800000000000)</f>
        <v>247.18538397741312</v>
      </c>
      <c r="Z16">
        <f t="shared" si="15"/>
        <v>247.18538397741312</v>
      </c>
      <c r="AA16">
        <f t="shared" si="15"/>
        <v>247.18538397741312</v>
      </c>
      <c r="AB16">
        <f t="shared" si="15"/>
        <v>247.18538397741312</v>
      </c>
      <c r="AC16">
        <f t="shared" si="15"/>
        <v>247.18538397741312</v>
      </c>
      <c r="AD16">
        <f t="shared" si="15"/>
        <v>247.18538397741312</v>
      </c>
      <c r="AE16">
        <f t="shared" si="15"/>
        <v>247.18538397741312</v>
      </c>
      <c r="AF16">
        <f t="shared" si="15"/>
        <v>247.18538397741312</v>
      </c>
      <c r="AH16" t="s">
        <v>7</v>
      </c>
      <c r="AI16">
        <f>((735.83/  22668000000000000)*   4102800000000000)</f>
        <v>133.18172419269456</v>
      </c>
      <c r="AJ16">
        <f>((735.83/  22668000000000000)*   4102800000000000)</f>
        <v>133.18172419269456</v>
      </c>
      <c r="AK16">
        <f t="shared" ref="AK16:AQ16" si="16">((735.83/  22668000000000000)*   4102800000000000)</f>
        <v>133.18172419269456</v>
      </c>
      <c r="AL16">
        <f t="shared" si="16"/>
        <v>133.18172419269456</v>
      </c>
      <c r="AM16">
        <f t="shared" si="16"/>
        <v>133.18172419269456</v>
      </c>
      <c r="AN16">
        <f t="shared" si="16"/>
        <v>133.18172419269456</v>
      </c>
      <c r="AO16">
        <f>((735.83/  22668000000000000)*   4102800000000000)</f>
        <v>133.18172419269456</v>
      </c>
      <c r="AP16">
        <f t="shared" si="16"/>
        <v>133.18172419269456</v>
      </c>
      <c r="AQ16">
        <f t="shared" si="16"/>
        <v>133.18172419269456</v>
      </c>
    </row>
    <row r="17" spans="1:43" x14ac:dyDescent="0.25">
      <c r="A17" t="s">
        <v>8</v>
      </c>
      <c r="B17">
        <f>(B15/B16)</f>
        <v>1.8224351253326294</v>
      </c>
      <c r="C17">
        <f t="shared" ref="C17:J17" si="17">(C15/C16)</f>
        <v>0.78605258474915995</v>
      </c>
      <c r="D17">
        <f t="shared" si="17"/>
        <v>0.10889931398822444</v>
      </c>
      <c r="E17">
        <f t="shared" si="17"/>
        <v>1.9320515561580293E-2</v>
      </c>
      <c r="F17">
        <f t="shared" si="17"/>
        <v>5.3321106764179322E-3</v>
      </c>
      <c r="G17">
        <f t="shared" si="17"/>
        <v>2.0713110193772742E-3</v>
      </c>
      <c r="H17">
        <f t="shared" si="17"/>
        <v>9.994691992413012E-4</v>
      </c>
      <c r="I17">
        <f t="shared" si="17"/>
        <v>5.5849191466664434E-4</v>
      </c>
      <c r="J17">
        <f t="shared" si="17"/>
        <v>2.2082572024765981E-4</v>
      </c>
      <c r="L17" t="s">
        <v>8</v>
      </c>
      <c r="M17">
        <f>(M15/M16)</f>
        <v>1.8852180530829132</v>
      </c>
      <c r="N17">
        <f t="shared" ref="N17:U17" si="18">(N15/N16)</f>
        <v>1.0737190517059252</v>
      </c>
      <c r="O17">
        <f t="shared" si="18"/>
        <v>0.19752317295697588</v>
      </c>
      <c r="P17">
        <f t="shared" si="18"/>
        <v>3.9389492398624389E-2</v>
      </c>
      <c r="Q17">
        <f t="shared" si="18"/>
        <v>1.1377352142275437E-2</v>
      </c>
      <c r="R17">
        <f t="shared" si="18"/>
        <v>4.5018424879173496E-3</v>
      </c>
      <c r="S17">
        <f t="shared" si="18"/>
        <v>2.1882085779589898E-3</v>
      </c>
      <c r="T17">
        <f t="shared" si="18"/>
        <v>1.2234763187813857E-3</v>
      </c>
      <c r="U17">
        <f t="shared" si="18"/>
        <v>4.8629834409663451E-4</v>
      </c>
      <c r="W17" t="s">
        <v>8</v>
      </c>
      <c r="X17">
        <f>(X15/X16)</f>
        <v>0.19032193040651096</v>
      </c>
      <c r="Y17">
        <f t="shared" ref="Y17:AF17" si="19">(Y15/Y16)</f>
        <v>0.23749552111732547</v>
      </c>
      <c r="Z17">
        <f t="shared" si="19"/>
        <v>0.15976030743401098</v>
      </c>
      <c r="AA17">
        <f t="shared" si="19"/>
        <v>6.5303184362413905E-2</v>
      </c>
      <c r="AB17">
        <f t="shared" si="19"/>
        <v>2.5799640525843253E-2</v>
      </c>
      <c r="AC17">
        <f t="shared" si="19"/>
        <v>1.1620185686038224E-2</v>
      </c>
      <c r="AD17">
        <f t="shared" si="19"/>
        <v>5.9823347613024401E-3</v>
      </c>
      <c r="AE17">
        <f t="shared" si="19"/>
        <v>3.4381556379234125E-3</v>
      </c>
      <c r="AF17">
        <f t="shared" si="19"/>
        <v>1.4035883979258473E-3</v>
      </c>
      <c r="AH17" t="s">
        <v>8</v>
      </c>
      <c r="AI17">
        <f>(AI15/AI16)</f>
        <v>4.6531809715497703E-2</v>
      </c>
      <c r="AJ17">
        <f t="shared" ref="AJ17:AQ17" si="20">(AJ15/AJ16)</f>
        <v>5.5994211261254541E-2</v>
      </c>
      <c r="AK17">
        <f t="shared" si="20"/>
        <v>6.00072297603641E-2</v>
      </c>
      <c r="AL17">
        <f t="shared" si="20"/>
        <v>4.3791114130363053E-2</v>
      </c>
      <c r="AM17">
        <f t="shared" si="20"/>
        <v>2.6247861674684396E-2</v>
      </c>
      <c r="AN17">
        <f t="shared" si="20"/>
        <v>1.4931789669667878E-2</v>
      </c>
      <c r="AO17">
        <f t="shared" si="20"/>
        <v>8.8042345037792503E-3</v>
      </c>
      <c r="AP17">
        <f t="shared" si="20"/>
        <v>5.3913683225823858E-3</v>
      </c>
      <c r="AQ17">
        <f t="shared" si="20"/>
        <v>2.3693613409647967E-3</v>
      </c>
    </row>
    <row r="20" spans="1:43" x14ac:dyDescent="0.25">
      <c r="A20" s="4" t="s">
        <v>13</v>
      </c>
      <c r="B20" t="s">
        <v>1</v>
      </c>
      <c r="L20" s="5" t="s">
        <v>14</v>
      </c>
      <c r="M20" t="s">
        <v>1</v>
      </c>
      <c r="W20" s="6" t="s">
        <v>15</v>
      </c>
      <c r="X20" t="s">
        <v>1</v>
      </c>
      <c r="AH20" s="7" t="s">
        <v>16</v>
      </c>
      <c r="AI20" t="s">
        <v>1</v>
      </c>
    </row>
    <row r="21" spans="1:43" x14ac:dyDescent="0.25">
      <c r="A21" t="s">
        <v>5</v>
      </c>
      <c r="B21">
        <v>0.75</v>
      </c>
      <c r="C21">
        <v>1</v>
      </c>
      <c r="D21">
        <v>1.5</v>
      </c>
      <c r="E21">
        <v>2</v>
      </c>
      <c r="F21">
        <v>2.5</v>
      </c>
      <c r="G21">
        <v>3</v>
      </c>
      <c r="H21">
        <v>3.5</v>
      </c>
      <c r="I21">
        <v>4</v>
      </c>
      <c r="J21">
        <v>5</v>
      </c>
      <c r="L21" t="s">
        <v>5</v>
      </c>
      <c r="M21">
        <v>0.75</v>
      </c>
      <c r="N21">
        <v>1</v>
      </c>
      <c r="O21">
        <v>1.5</v>
      </c>
      <c r="P21">
        <v>2</v>
      </c>
      <c r="Q21">
        <v>2.5</v>
      </c>
      <c r="R21">
        <v>3</v>
      </c>
      <c r="S21">
        <v>3.5</v>
      </c>
      <c r="T21">
        <v>4</v>
      </c>
      <c r="U21">
        <v>5</v>
      </c>
      <c r="W21" t="s">
        <v>5</v>
      </c>
      <c r="X21">
        <v>0.75</v>
      </c>
      <c r="Y21">
        <v>1</v>
      </c>
      <c r="Z21">
        <v>1.5</v>
      </c>
      <c r="AA21">
        <v>2</v>
      </c>
      <c r="AB21">
        <v>2.5</v>
      </c>
      <c r="AC21">
        <v>3</v>
      </c>
      <c r="AD21">
        <v>3.5</v>
      </c>
      <c r="AE21">
        <v>4</v>
      </c>
      <c r="AF21">
        <v>5</v>
      </c>
      <c r="AH21" t="s">
        <v>5</v>
      </c>
      <c r="AI21">
        <v>0.75</v>
      </c>
      <c r="AJ21">
        <v>1</v>
      </c>
      <c r="AK21">
        <v>1.5</v>
      </c>
      <c r="AL21">
        <v>2</v>
      </c>
      <c r="AM21">
        <v>2.5</v>
      </c>
      <c r="AN21">
        <v>3</v>
      </c>
      <c r="AO21">
        <v>3.5</v>
      </c>
      <c r="AP21">
        <v>4</v>
      </c>
      <c r="AQ21">
        <v>5</v>
      </c>
    </row>
    <row r="22" spans="1:43" x14ac:dyDescent="0.25">
      <c r="A22" t="s">
        <v>6</v>
      </c>
      <c r="B22">
        <f>((149.54/1462800000000000)*9208900000000)</f>
        <v>0.9414129792179381</v>
      </c>
      <c r="C22">
        <f>(8580000000000*((149.54/1462800000000000)))</f>
        <v>0.87712141099261687</v>
      </c>
      <c r="D22">
        <f>(5430000000000*((149.54/1462800000000000)))</f>
        <v>0.55510131255127149</v>
      </c>
      <c r="E22">
        <f>(2710000000000*((149.54/1462800000000000)))</f>
        <v>0.2770395132622368</v>
      </c>
      <c r="F22">
        <f>( 1227000000000*(149.54/1462800000000000))</f>
        <v>0.12543449548810501</v>
      </c>
      <c r="G22" s="3">
        <f>(543000000000*(149.54/1462800000000000))</f>
        <v>5.5510131255127153E-2</v>
      </c>
      <c r="H22" s="3">
        <f>(  235160000000*(149.54/1462800000000000))</f>
        <v>2.4040078206179927E-2</v>
      </c>
      <c r="I22">
        <f>(104000000000*(149.54/1462800000000000))</f>
        <v>1.0631774678698386E-2</v>
      </c>
      <c r="J22">
        <f>(20700000000*(149.54/1462800000000000))</f>
        <v>2.1161320754716981E-3</v>
      </c>
      <c r="L22" t="s">
        <v>6</v>
      </c>
      <c r="M22">
        <f>((0.94/9208900000000)*  2219400000000)</f>
        <v>0.22654562434166947</v>
      </c>
      <c r="N22">
        <f>((0.94/9208900000000)*    2273200000000)</f>
        <v>0.23203726829480176</v>
      </c>
      <c r="O22">
        <f>((0.94/9208900000000)*  1790600000000)</f>
        <v>0.18277579298287527</v>
      </c>
      <c r="P22">
        <f>((0.94/9208900000000)*    1105300000000)</f>
        <v>0.1128236814386083</v>
      </c>
      <c r="Q22">
        <f>((0.94/9208900000000)*   594760000000)</f>
        <v>6.0710225977043945E-2</v>
      </c>
      <c r="R22">
        <f>((0.94/9208900000000)*    295620000000)</f>
        <v>3.0175460695631401E-2</v>
      </c>
      <c r="S22">
        <f>((0.94/9208900000000)*   142910000000)</f>
        <v>1.4587562032381717E-2</v>
      </c>
      <c r="T22">
        <f>((0.94/9208900000000)*    67420000000)</f>
        <v>6.8819077197059368E-3</v>
      </c>
      <c r="U22">
        <f>((0.94/9208900000000)*   14923000000)</f>
        <v>1.523267708412514E-3</v>
      </c>
      <c r="W22" t="s">
        <v>6</v>
      </c>
      <c r="X22">
        <f>((0.23/2219400000000)*598770000000)</f>
        <v>6.2051500405515006E-2</v>
      </c>
      <c r="Y22">
        <f>((0.23/2219400000000)*  652700000000)</f>
        <v>6.7640353248625759E-2</v>
      </c>
      <c r="Z22">
        <f>((0.23/2219400000000)* 598230000000)</f>
        <v>6.1995539334955392E-2</v>
      </c>
      <c r="AA22">
        <f>((0.23/2219400000000)*432280000000)</f>
        <v>4.4797873299089845E-2</v>
      </c>
      <c r="AB22">
        <f>((0.23/2219400000000)* 266250000000)</f>
        <v>2.75919167342525E-2</v>
      </c>
      <c r="AC22">
        <f>((0.23/2219400000000)*149920000000)</f>
        <v>1.5536451293142291E-2</v>
      </c>
      <c r="AD22">
        <f>((0.23/2219400000000)*78893000000)</f>
        <v>8.1758087771469767E-3</v>
      </c>
      <c r="AE22">
        <f>((0.23/2219400000000)*  40326000000)</f>
        <v>4.1790483914571509E-3</v>
      </c>
      <c r="AF22">
        <f>((0.23/2219400000000)*10050000000)</f>
        <v>1.0414977020816436E-3</v>
      </c>
      <c r="AH22" t="s">
        <v>6</v>
      </c>
      <c r="AI22" s="3">
        <f>(179000000000*(0.062/598770000000))</f>
        <v>1.8534662725253438E-2</v>
      </c>
      <c r="AJ22" s="3">
        <f>(202000000000*(0.062/598770000000))</f>
        <v>2.0916211567045779E-2</v>
      </c>
      <c r="AK22" s="3">
        <f>((0.062/598770000000))*206000000000</f>
        <v>2.1330393974314011E-2</v>
      </c>
      <c r="AL22" s="3">
        <f>(166000000000*(0.062/598770000000))</f>
        <v>1.718856990163168E-2</v>
      </c>
      <c r="AM22" s="3">
        <f>( 114790000000*(0.062/598770000000))</f>
        <v>1.1885999632580123E-2</v>
      </c>
      <c r="AN22" s="3">
        <f>((0.062/598770000000)*71600000000)</f>
        <v>7.4138650901013747E-3</v>
      </c>
      <c r="AO22" s="3">
        <f>(  41545000000*(0.062/598770000000))</f>
        <v>4.3018020274896871E-3</v>
      </c>
      <c r="AP22" s="3">
        <f>(22900000000*(0.062/598770000000))</f>
        <v>2.3711942816106351E-3</v>
      </c>
      <c r="AQ22" s="3">
        <f>((0.062/598770000000)*6339200000)</f>
        <v>6.5639627903869597E-4</v>
      </c>
    </row>
    <row r="23" spans="1:43" x14ac:dyDescent="0.25">
      <c r="A23" t="s">
        <v>11</v>
      </c>
      <c r="B23">
        <f>((1702.25/ 40155000000000000)*  1291300000000000)</f>
        <v>54.740765160004976</v>
      </c>
      <c r="C23">
        <f t="shared" ref="C23:J23" si="21">((1702.25/ 40155000000000000)*  1291300000000000)</f>
        <v>54.740765160004976</v>
      </c>
      <c r="D23">
        <f t="shared" si="21"/>
        <v>54.740765160004976</v>
      </c>
      <c r="E23">
        <f t="shared" si="21"/>
        <v>54.740765160004976</v>
      </c>
      <c r="F23">
        <f t="shared" si="21"/>
        <v>54.740765160004976</v>
      </c>
      <c r="G23">
        <f t="shared" si="21"/>
        <v>54.740765160004976</v>
      </c>
      <c r="H23">
        <f t="shared" si="21"/>
        <v>54.740765160004976</v>
      </c>
      <c r="I23">
        <f t="shared" si="21"/>
        <v>54.740765160004976</v>
      </c>
      <c r="J23">
        <f t="shared" si="21"/>
        <v>54.740765160004976</v>
      </c>
      <c r="L23" t="s">
        <v>11</v>
      </c>
      <c r="M23">
        <f>((54.74/1291300000000000)*489290000000000)</f>
        <v>20.741682490513437</v>
      </c>
      <c r="N23">
        <f t="shared" ref="N23:U23" si="22">((54.74/1291300000000000)*489290000000000)</f>
        <v>20.741682490513437</v>
      </c>
      <c r="O23">
        <f t="shared" si="22"/>
        <v>20.741682490513437</v>
      </c>
      <c r="P23">
        <f t="shared" si="22"/>
        <v>20.741682490513437</v>
      </c>
      <c r="Q23">
        <f t="shared" si="22"/>
        <v>20.741682490513437</v>
      </c>
      <c r="R23">
        <f t="shared" si="22"/>
        <v>20.741682490513437</v>
      </c>
      <c r="S23">
        <f t="shared" si="22"/>
        <v>20.741682490513437</v>
      </c>
      <c r="T23">
        <f t="shared" si="22"/>
        <v>20.741682490513437</v>
      </c>
      <c r="U23">
        <f t="shared" si="22"/>
        <v>20.741682490513437</v>
      </c>
      <c r="W23" t="s">
        <v>11</v>
      </c>
      <c r="X23">
        <f>(20.74/489290000000000)*198170000000000</f>
        <v>8.4000200290216434</v>
      </c>
      <c r="Y23">
        <f t="shared" ref="Y23:AF23" si="23">(20.74/489290000000000)*198170000000000</f>
        <v>8.4000200290216434</v>
      </c>
      <c r="Z23">
        <f t="shared" si="23"/>
        <v>8.4000200290216434</v>
      </c>
      <c r="AA23">
        <f t="shared" si="23"/>
        <v>8.4000200290216434</v>
      </c>
      <c r="AB23">
        <f t="shared" si="23"/>
        <v>8.4000200290216434</v>
      </c>
      <c r="AC23">
        <f t="shared" si="23"/>
        <v>8.4000200290216434</v>
      </c>
      <c r="AD23">
        <f t="shared" si="23"/>
        <v>8.4000200290216434</v>
      </c>
      <c r="AE23">
        <f t="shared" si="23"/>
        <v>8.4000200290216434</v>
      </c>
      <c r="AF23">
        <f t="shared" si="23"/>
        <v>8.4000200290216434</v>
      </c>
      <c r="AH23" t="s">
        <v>11</v>
      </c>
      <c r="AI23">
        <f>(83780000000000* (8.4/198170000000000))</f>
        <v>3.5512539738608266</v>
      </c>
      <c r="AJ23">
        <f t="shared" ref="AJ23:AQ23" si="24">(83780000000000* (8.4/198170000000000))</f>
        <v>3.5512539738608266</v>
      </c>
      <c r="AK23">
        <f t="shared" si="24"/>
        <v>3.5512539738608266</v>
      </c>
      <c r="AL23">
        <f t="shared" si="24"/>
        <v>3.5512539738608266</v>
      </c>
      <c r="AM23">
        <f t="shared" si="24"/>
        <v>3.5512539738608266</v>
      </c>
      <c r="AN23">
        <f t="shared" si="24"/>
        <v>3.5512539738608266</v>
      </c>
      <c r="AO23">
        <f t="shared" si="24"/>
        <v>3.5512539738608266</v>
      </c>
      <c r="AP23">
        <f t="shared" si="24"/>
        <v>3.5512539738608266</v>
      </c>
      <c r="AQ23">
        <f t="shared" si="24"/>
        <v>3.5512539738608266</v>
      </c>
    </row>
    <row r="24" spans="1:43" x14ac:dyDescent="0.25">
      <c r="A24" t="s">
        <v>8</v>
      </c>
      <c r="B24">
        <f>(B22/B23)</f>
        <v>1.7197658389798302E-2</v>
      </c>
      <c r="C24">
        <f t="shared" ref="C24:J24" si="25">(C22/C23)</f>
        <v>1.6023185069277485E-2</v>
      </c>
      <c r="D24">
        <f t="shared" si="25"/>
        <v>1.0140547194193094E-2</v>
      </c>
      <c r="E24">
        <f t="shared" si="25"/>
        <v>5.0609360766599052E-3</v>
      </c>
      <c r="F24">
        <f t="shared" si="25"/>
        <v>2.2914275151519202E-3</v>
      </c>
      <c r="G24">
        <f t="shared" si="25"/>
        <v>1.0140547194193094E-3</v>
      </c>
      <c r="H24">
        <f t="shared" si="25"/>
        <v>4.3916226117614142E-4</v>
      </c>
      <c r="I24">
        <f t="shared" si="25"/>
        <v>1.9422042508215133E-4</v>
      </c>
      <c r="J24">
        <f t="shared" si="25"/>
        <v>3.8657334607697432E-5</v>
      </c>
      <c r="L24" t="s">
        <v>8</v>
      </c>
      <c r="M24">
        <f>(M22/M23)</f>
        <v>1.0922239526387698E-2</v>
      </c>
      <c r="N24">
        <f t="shared" ref="N24:U24" si="26">(N22/N23)</f>
        <v>1.1187003195180911E-2</v>
      </c>
      <c r="O24">
        <f t="shared" si="26"/>
        <v>8.8120041884968067E-3</v>
      </c>
      <c r="P24">
        <f t="shared" si="26"/>
        <v>5.4394662289431019E-3</v>
      </c>
      <c r="Q24">
        <f t="shared" si="26"/>
        <v>2.9269672797667596E-3</v>
      </c>
      <c r="R24">
        <f t="shared" si="26"/>
        <v>1.4548222261830815E-3</v>
      </c>
      <c r="S24">
        <f t="shared" si="26"/>
        <v>7.0329694994866439E-4</v>
      </c>
      <c r="T24">
        <f t="shared" si="26"/>
        <v>3.3179119981484122E-4</v>
      </c>
      <c r="U24">
        <f t="shared" si="26"/>
        <v>7.3439929914519058E-5</v>
      </c>
      <c r="W24" t="s">
        <v>8</v>
      </c>
      <c r="X24">
        <f>(X22/X23)</f>
        <v>7.3870657678351027E-3</v>
      </c>
      <c r="Y24">
        <f t="shared" ref="Y24:AF24" si="27">(Y22/Y23)</f>
        <v>8.0524038055780536E-3</v>
      </c>
      <c r="Z24">
        <f t="shared" si="27"/>
        <v>7.3804037515105853E-3</v>
      </c>
      <c r="AA24">
        <f t="shared" si="27"/>
        <v>5.333067438448416E-3</v>
      </c>
      <c r="AB24">
        <f t="shared" si="27"/>
        <v>3.2847441600048367E-3</v>
      </c>
      <c r="AC24">
        <f t="shared" si="27"/>
        <v>1.84957312476216E-3</v>
      </c>
      <c r="AD24">
        <f t="shared" si="27"/>
        <v>9.733082479446444E-4</v>
      </c>
      <c r="AE24">
        <f t="shared" si="27"/>
        <v>4.9750457463419739E-4</v>
      </c>
      <c r="AF24">
        <f t="shared" si="27"/>
        <v>1.2398752603961919E-4</v>
      </c>
      <c r="AH24" t="s">
        <v>8</v>
      </c>
      <c r="AI24" s="3">
        <f>(AI22/AI23)</f>
        <v>5.2191881689337633E-3</v>
      </c>
      <c r="AJ24">
        <f t="shared" ref="AJ24:AQ24" si="28">(AJ22/AJ23)</f>
        <v>5.8898101124280457E-3</v>
      </c>
      <c r="AK24">
        <f t="shared" si="28"/>
        <v>6.0064400156444424E-3</v>
      </c>
      <c r="AL24">
        <f t="shared" si="28"/>
        <v>4.840140983480473E-3</v>
      </c>
      <c r="AM24">
        <f t="shared" si="28"/>
        <v>3.3469866475525512E-3</v>
      </c>
      <c r="AN24">
        <f t="shared" si="28"/>
        <v>2.0876752675735052E-3</v>
      </c>
      <c r="AO24">
        <f t="shared" si="28"/>
        <v>1.2113473322813027E-3</v>
      </c>
      <c r="AP24">
        <f t="shared" si="28"/>
        <v>6.6770619591387237E-4</v>
      </c>
      <c r="AQ24">
        <f t="shared" si="28"/>
        <v>1.8483507061734585E-4</v>
      </c>
    </row>
    <row r="26" spans="1:43" x14ac:dyDescent="0.25">
      <c r="B26" t="s">
        <v>9</v>
      </c>
      <c r="M26" t="s">
        <v>9</v>
      </c>
      <c r="X26" t="s">
        <v>9</v>
      </c>
      <c r="AI26" t="s">
        <v>9</v>
      </c>
    </row>
    <row r="27" spans="1:43" x14ac:dyDescent="0.25">
      <c r="A27" t="s">
        <v>5</v>
      </c>
      <c r="B27">
        <v>0.75</v>
      </c>
      <c r="C27">
        <v>1</v>
      </c>
      <c r="D27">
        <v>1.5</v>
      </c>
      <c r="E27">
        <v>2</v>
      </c>
      <c r="F27">
        <v>2.5</v>
      </c>
      <c r="G27">
        <v>3</v>
      </c>
      <c r="H27">
        <v>3.5</v>
      </c>
      <c r="I27">
        <v>4</v>
      </c>
      <c r="J27">
        <v>5</v>
      </c>
      <c r="L27" t="s">
        <v>5</v>
      </c>
      <c r="M27">
        <v>0.75</v>
      </c>
      <c r="N27">
        <v>1</v>
      </c>
      <c r="O27">
        <v>1.5</v>
      </c>
      <c r="P27">
        <v>2</v>
      </c>
      <c r="Q27">
        <v>2.5</v>
      </c>
      <c r="R27">
        <v>3</v>
      </c>
      <c r="S27">
        <v>3.5</v>
      </c>
      <c r="T27">
        <v>4</v>
      </c>
      <c r="U27">
        <v>5</v>
      </c>
      <c r="W27" t="s">
        <v>5</v>
      </c>
      <c r="X27">
        <v>0.75</v>
      </c>
      <c r="Y27">
        <v>1</v>
      </c>
      <c r="Z27">
        <v>1.5</v>
      </c>
      <c r="AA27">
        <v>2</v>
      </c>
      <c r="AB27">
        <v>2.5</v>
      </c>
      <c r="AC27">
        <v>3</v>
      </c>
      <c r="AD27">
        <v>3.5</v>
      </c>
      <c r="AE27">
        <v>4</v>
      </c>
      <c r="AF27">
        <v>5</v>
      </c>
      <c r="AH27" t="s">
        <v>5</v>
      </c>
      <c r="AI27">
        <v>0.75</v>
      </c>
      <c r="AJ27">
        <v>1</v>
      </c>
      <c r="AK27">
        <v>1.5</v>
      </c>
      <c r="AL27">
        <v>2</v>
      </c>
      <c r="AM27">
        <v>2.5</v>
      </c>
      <c r="AN27">
        <v>3</v>
      </c>
      <c r="AO27">
        <v>3.5</v>
      </c>
      <c r="AP27">
        <v>4</v>
      </c>
      <c r="AQ27">
        <v>5</v>
      </c>
    </row>
    <row r="28" spans="1:43" x14ac:dyDescent="0.25">
      <c r="A28" t="s">
        <v>6</v>
      </c>
      <c r="B28">
        <f>((6640.63/  2400500000000000)*  5930000000000)</f>
        <v>16.404472359925016</v>
      </c>
      <c r="C28" s="3">
        <f>(6210000000000*(6640.63/  2400500000000000))</f>
        <v>17.179051156009166</v>
      </c>
      <c r="D28" s="3">
        <f>(5630000000000*(6640.63/  2400500000000000))</f>
        <v>15.574566506977714</v>
      </c>
      <c r="E28" s="3">
        <f>(4030000000000*(6640.63/  2400500000000000))</f>
        <v>11.148401957925433</v>
      </c>
      <c r="F28" s="3">
        <f>(2482600000000*(6640.63/  2400500000000000))</f>
        <v>6.8677475684232459</v>
      </c>
      <c r="G28" s="3">
        <f>(1450000000000*(6640.63/2400500000000000))</f>
        <v>4.0112116225786298</v>
      </c>
      <c r="H28" s="3">
        <f>(840700000000*((6640.63/2400500000000000)))</f>
        <v>2.3256728352426581</v>
      </c>
      <c r="I28" s="3">
        <f>(492000000000*(6640.63/2400500000000000))</f>
        <v>1.3610455988335766</v>
      </c>
      <c r="J28" s="3">
        <f>(177000000000*(6640.63/  2400500000000000))</f>
        <v>0.48964445323890859</v>
      </c>
      <c r="K28" s="3"/>
      <c r="L28" t="s">
        <v>6</v>
      </c>
      <c r="M28">
        <f>((16.4/5930000000000)*2355500000000)</f>
        <v>6.5143676222596953</v>
      </c>
      <c r="N28" s="3">
        <f>((16.4/5930000000000)*  2467800000000)</f>
        <v>6.8249443507588525</v>
      </c>
      <c r="O28" s="3">
        <f>((16.4/5930000000000)*  2365000000000)</f>
        <v>6.5406408094435067</v>
      </c>
      <c r="P28" s="3">
        <f>((16.4/5930000000000)*  1910700000000)</f>
        <v>5.2842293423271496</v>
      </c>
      <c r="Q28" s="3">
        <f>((16.4/5930000000000)* 1357500000000)</f>
        <v>3.7543001686340638</v>
      </c>
      <c r="R28" s="3">
        <f>((16.4/5930000000000)*  895040000000)</f>
        <v>2.4753214165261381</v>
      </c>
      <c r="S28" s="3">
        <f>((16.4/5930000000000)*  566290000000)</f>
        <v>1.5661308600337267</v>
      </c>
      <c r="T28" s="3">
        <f>((16.4/5930000000000)*  357000000000)</f>
        <v>0.98731871838111285</v>
      </c>
      <c r="U28" s="3">
        <f>((16.4/5930000000000)* 140690000000)</f>
        <v>0.38909207419898817</v>
      </c>
      <c r="V28" s="3"/>
      <c r="W28" t="s">
        <v>6</v>
      </c>
      <c r="X28">
        <f>((6.51/2355500000000)* 1039300000000)</f>
        <v>2.8723595839524516</v>
      </c>
      <c r="Y28">
        <f>((6.51/2355500000000)*1098400000000)</f>
        <v>3.0356968796433876</v>
      </c>
      <c r="Z28">
        <f>((6.51/2355500000000)* 1100300000000)</f>
        <v>3.0409479940564634</v>
      </c>
      <c r="AA28">
        <f>((6.51/2355500000000)*955430000000)</f>
        <v>2.6405643387815747</v>
      </c>
      <c r="AB28">
        <f>((6.51/2355500000000)*745910000000)</f>
        <v>2.061504606240713</v>
      </c>
      <c r="AC28">
        <f>((6.51/2355500000000)*  536910000000)</f>
        <v>1.4838820208023773</v>
      </c>
      <c r="AD28">
        <f>((6.51/2355500000000)*368890000000)</f>
        <v>1.0195176820208023</v>
      </c>
      <c r="AE28">
        <f>((6.51/2355500000000)* 247480000000)</f>
        <v>0.68397147102526001</v>
      </c>
      <c r="AF28">
        <f>((6.51/2355500000000)*  107300000000)</f>
        <v>0.29654977711738484</v>
      </c>
      <c r="AH28" t="s">
        <v>6</v>
      </c>
      <c r="AI28" s="3">
        <f>((2.87/1039300000000)*488000000000)</f>
        <v>1.347599345713461</v>
      </c>
      <c r="AJ28" s="3">
        <f>(520000000000*(2.87/1039300000000))</f>
        <v>1.4359665159241797</v>
      </c>
      <c r="AK28" s="3">
        <f>(536000000000*(2.87/1039300000000))</f>
        <v>1.480150101029539</v>
      </c>
      <c r="AL28" s="3">
        <f>(495000000000*((2.87/1039300000000)))</f>
        <v>1.3669296641970556</v>
      </c>
      <c r="AM28" s="3">
        <f>( 412440000000*(2.87/1039300000000))</f>
        <v>1.1389423650534014</v>
      </c>
      <c r="AN28" s="3">
        <f>(321000000000*(2.87/1039300000000))</f>
        <v>0.88643317617627249</v>
      </c>
      <c r="AO28" s="3">
        <f>(234490000000*(2.87/1039300000000))</f>
        <v>0.64753805445973245</v>
      </c>
      <c r="AP28" s="3">
        <f>(167000000000*(2.87/1039300000000))</f>
        <v>0.46116616953718848</v>
      </c>
      <c r="AQ28" s="3">
        <f>(79700000000*(2.87/1039300000000))</f>
        <v>0.22008948330607139</v>
      </c>
    </row>
    <row r="29" spans="1:43" x14ac:dyDescent="0.25">
      <c r="A29" t="s">
        <v>11</v>
      </c>
      <c r="B29">
        <f>((12352.6264/  23812000000000000)*1957100000000000)</f>
        <v>1015.2580685133546</v>
      </c>
      <c r="C29">
        <f t="shared" ref="C29:J29" si="29">((12352.6264/  23812000000000000)*1957100000000000)</f>
        <v>1015.2580685133546</v>
      </c>
      <c r="D29">
        <f t="shared" si="29"/>
        <v>1015.2580685133546</v>
      </c>
      <c r="E29">
        <f t="shared" si="29"/>
        <v>1015.2580685133546</v>
      </c>
      <c r="F29">
        <f t="shared" si="29"/>
        <v>1015.2580685133546</v>
      </c>
      <c r="G29">
        <f t="shared" si="29"/>
        <v>1015.2580685133546</v>
      </c>
      <c r="H29">
        <f t="shared" si="29"/>
        <v>1015.2580685133546</v>
      </c>
      <c r="I29">
        <f t="shared" si="29"/>
        <v>1015.2580685133546</v>
      </c>
      <c r="J29">
        <f t="shared" si="29"/>
        <v>1015.2580685133546</v>
      </c>
      <c r="L29" t="s">
        <v>11</v>
      </c>
      <c r="M29">
        <f>((1015.26/1957100000000000)*  1110400000000000)</f>
        <v>576.02815594502067</v>
      </c>
      <c r="N29">
        <f t="shared" ref="N29:U29" si="30">((1015.26/1957100000000000)*  1110400000000000)</f>
        <v>576.02815594502067</v>
      </c>
      <c r="O29">
        <f t="shared" si="30"/>
        <v>576.02815594502067</v>
      </c>
      <c r="P29">
        <f t="shared" si="30"/>
        <v>576.02815594502067</v>
      </c>
      <c r="Q29">
        <f t="shared" si="30"/>
        <v>576.02815594502067</v>
      </c>
      <c r="R29">
        <f t="shared" si="30"/>
        <v>576.02815594502067</v>
      </c>
      <c r="S29">
        <f t="shared" si="30"/>
        <v>576.02815594502067</v>
      </c>
      <c r="T29">
        <f t="shared" si="30"/>
        <v>576.02815594502067</v>
      </c>
      <c r="U29">
        <f t="shared" si="30"/>
        <v>576.02815594502067</v>
      </c>
      <c r="W29" t="s">
        <v>11</v>
      </c>
      <c r="X29">
        <f>((576/ 1110400000000000)*658330000000000)</f>
        <v>341.49682997118157</v>
      </c>
      <c r="Y29">
        <f t="shared" ref="Y29:AF29" si="31">((576/ 1110400000000000)*658330000000000)</f>
        <v>341.49682997118157</v>
      </c>
      <c r="Z29">
        <f t="shared" si="31"/>
        <v>341.49682997118157</v>
      </c>
      <c r="AA29">
        <f t="shared" si="31"/>
        <v>341.49682997118157</v>
      </c>
      <c r="AB29">
        <f t="shared" si="31"/>
        <v>341.49682997118157</v>
      </c>
      <c r="AC29">
        <f t="shared" si="31"/>
        <v>341.49682997118157</v>
      </c>
      <c r="AD29">
        <f t="shared" si="31"/>
        <v>341.49682997118157</v>
      </c>
      <c r="AE29">
        <f t="shared" si="31"/>
        <v>341.49682997118157</v>
      </c>
      <c r="AF29">
        <f t="shared" si="31"/>
        <v>341.49682997118157</v>
      </c>
      <c r="AH29" t="s">
        <v>11</v>
      </c>
      <c r="AI29">
        <f>((341.496/658330000000000)*  403290000000000)</f>
        <v>209.19891519450729</v>
      </c>
      <c r="AJ29">
        <f t="shared" ref="AJ29:AQ29" si="32">((341.496/658330000000000)*  403290000000000)</f>
        <v>209.19891519450729</v>
      </c>
      <c r="AK29">
        <f t="shared" si="32"/>
        <v>209.19891519450729</v>
      </c>
      <c r="AL29">
        <f t="shared" si="32"/>
        <v>209.19891519450729</v>
      </c>
      <c r="AM29">
        <f t="shared" si="32"/>
        <v>209.19891519450729</v>
      </c>
      <c r="AN29">
        <f t="shared" si="32"/>
        <v>209.19891519450729</v>
      </c>
      <c r="AO29">
        <f t="shared" si="32"/>
        <v>209.19891519450729</v>
      </c>
      <c r="AP29">
        <f t="shared" si="32"/>
        <v>209.19891519450729</v>
      </c>
      <c r="AQ29">
        <f t="shared" si="32"/>
        <v>209.19891519450729</v>
      </c>
    </row>
    <row r="30" spans="1:43" x14ac:dyDescent="0.25">
      <c r="A30" t="s">
        <v>8</v>
      </c>
      <c r="B30">
        <f>(B28/B29)</f>
        <v>1.6157933503494471E-2</v>
      </c>
      <c r="C30">
        <f t="shared" ref="C30:J30" si="33">(C28/C29)</f>
        <v>1.6920871341770768E-2</v>
      </c>
      <c r="D30">
        <f t="shared" si="33"/>
        <v>1.5340500105341293E-2</v>
      </c>
      <c r="E30">
        <f t="shared" si="33"/>
        <v>1.0980855315191015E-2</v>
      </c>
      <c r="F30">
        <f t="shared" si="33"/>
        <v>6.7645338475169261E-3</v>
      </c>
      <c r="G30">
        <f t="shared" si="33"/>
        <v>3.9509280910736905E-3</v>
      </c>
      <c r="H30">
        <f t="shared" si="33"/>
        <v>2.290720859424587E-3</v>
      </c>
      <c r="I30">
        <f t="shared" si="33"/>
        <v>1.3405907729712109E-3</v>
      </c>
      <c r="J30">
        <f t="shared" si="33"/>
        <v>4.8228570491037459E-4</v>
      </c>
      <c r="L30" t="s">
        <v>8</v>
      </c>
      <c r="M30">
        <f>(M28/M29)</f>
        <v>1.1309113200503802E-2</v>
      </c>
      <c r="N30">
        <f t="shared" ref="N30:U30" si="34">(N28/N29)</f>
        <v>1.1848282554108802E-2</v>
      </c>
      <c r="O30">
        <f t="shared" si="34"/>
        <v>1.1354724143150707E-2</v>
      </c>
      <c r="P30">
        <f t="shared" si="34"/>
        <v>9.1735608542571068E-3</v>
      </c>
      <c r="Q30">
        <f t="shared" si="34"/>
        <v>6.5175636466499303E-3</v>
      </c>
      <c r="R30">
        <f t="shared" si="34"/>
        <v>4.2972229585985667E-3</v>
      </c>
      <c r="S30">
        <f t="shared" si="34"/>
        <v>2.7188442854227547E-3</v>
      </c>
      <c r="T30">
        <f t="shared" si="34"/>
        <v>1.7140112131521362E-3</v>
      </c>
      <c r="U30">
        <f t="shared" si="34"/>
        <v>6.7547405484138395E-4</v>
      </c>
      <c r="W30" t="s">
        <v>8</v>
      </c>
      <c r="X30">
        <f>(X28/X29)</f>
        <v>8.4110871078798763E-3</v>
      </c>
      <c r="Y30">
        <f t="shared" ref="Y30:AF30" si="35">(Y28/Y29)</f>
        <v>8.8893852393873343E-3</v>
      </c>
      <c r="Z30">
        <f t="shared" si="35"/>
        <v>8.9047619982682846E-3</v>
      </c>
      <c r="AA30">
        <f t="shared" si="35"/>
        <v>7.7323245987507647E-3</v>
      </c>
      <c r="AB30">
        <f t="shared" si="35"/>
        <v>6.0366727457314331E-3</v>
      </c>
      <c r="AC30">
        <f t="shared" si="35"/>
        <v>4.3452292688268878E-3</v>
      </c>
      <c r="AD30">
        <f t="shared" si="35"/>
        <v>2.9854382018914727E-3</v>
      </c>
      <c r="AE30">
        <f t="shared" si="35"/>
        <v>2.0028633093987416E-3</v>
      </c>
      <c r="AF30">
        <f t="shared" si="35"/>
        <v>8.6838222522419976E-4</v>
      </c>
      <c r="AH30" t="s">
        <v>8</v>
      </c>
      <c r="AI30" s="3">
        <f>(AI28/AI29)</f>
        <v>6.4417128762857155E-3</v>
      </c>
      <c r="AJ30">
        <f t="shared" ref="AJ30:AQ30" si="36">(AJ28/AJ29)</f>
        <v>6.8641202780093686E-3</v>
      </c>
      <c r="AK30">
        <f t="shared" si="36"/>
        <v>7.0753239788711947E-3</v>
      </c>
      <c r="AL30">
        <f t="shared" si="36"/>
        <v>6.5341144954127644E-3</v>
      </c>
      <c r="AM30">
        <f t="shared" si="36"/>
        <v>5.4443033989657391E-3</v>
      </c>
      <c r="AN30">
        <f t="shared" si="36"/>
        <v>4.2372742485403984E-3</v>
      </c>
      <c r="AO30">
        <f t="shared" si="36"/>
        <v>3.0953222384431092E-3</v>
      </c>
      <c r="AP30">
        <f t="shared" si="36"/>
        <v>2.2044386277453162E-3</v>
      </c>
      <c r="AQ30">
        <f t="shared" si="36"/>
        <v>1.0520584349179743E-3</v>
      </c>
    </row>
    <row r="32" spans="1:43" x14ac:dyDescent="0.25">
      <c r="B32" t="s">
        <v>12</v>
      </c>
      <c r="M32" t="s">
        <v>12</v>
      </c>
      <c r="X32" t="s">
        <v>12</v>
      </c>
      <c r="AI32" t="s">
        <v>12</v>
      </c>
    </row>
    <row r="33" spans="1:43" x14ac:dyDescent="0.25">
      <c r="A33" t="s">
        <v>5</v>
      </c>
      <c r="B33">
        <v>0.75</v>
      </c>
      <c r="C33">
        <v>1</v>
      </c>
      <c r="D33">
        <v>1.5</v>
      </c>
      <c r="E33">
        <v>2</v>
      </c>
      <c r="F33">
        <v>2.5</v>
      </c>
      <c r="G33">
        <v>3</v>
      </c>
      <c r="H33">
        <v>3.5</v>
      </c>
      <c r="I33">
        <v>4</v>
      </c>
      <c r="J33">
        <v>5</v>
      </c>
      <c r="L33" t="s">
        <v>5</v>
      </c>
      <c r="M33">
        <v>0.75</v>
      </c>
      <c r="N33">
        <v>1</v>
      </c>
      <c r="O33">
        <v>1.5</v>
      </c>
      <c r="P33">
        <v>2</v>
      </c>
      <c r="Q33">
        <v>2.5</v>
      </c>
      <c r="R33">
        <v>3</v>
      </c>
      <c r="S33">
        <v>3.5</v>
      </c>
      <c r="T33">
        <v>4</v>
      </c>
      <c r="U33">
        <v>5</v>
      </c>
      <c r="W33" t="s">
        <v>5</v>
      </c>
      <c r="X33">
        <v>0.75</v>
      </c>
      <c r="Y33">
        <v>1</v>
      </c>
      <c r="Z33">
        <v>1.5</v>
      </c>
      <c r="AA33">
        <v>2</v>
      </c>
      <c r="AB33">
        <v>2.5</v>
      </c>
      <c r="AC33">
        <v>3</v>
      </c>
      <c r="AD33">
        <v>3.5</v>
      </c>
      <c r="AE33">
        <v>4</v>
      </c>
      <c r="AF33">
        <v>5</v>
      </c>
      <c r="AH33" t="s">
        <v>5</v>
      </c>
      <c r="AI33">
        <v>0.75</v>
      </c>
      <c r="AJ33">
        <v>1</v>
      </c>
      <c r="AK33">
        <v>1.5</v>
      </c>
      <c r="AL33">
        <v>2</v>
      </c>
      <c r="AM33">
        <v>2.5</v>
      </c>
      <c r="AN33">
        <v>3</v>
      </c>
      <c r="AO33">
        <v>3.5</v>
      </c>
      <c r="AP33">
        <v>4</v>
      </c>
      <c r="AQ33">
        <v>5</v>
      </c>
    </row>
    <row r="34" spans="1:43" x14ac:dyDescent="0.25">
      <c r="A34" t="s">
        <v>6</v>
      </c>
      <c r="B34">
        <f>((1387.2/  2603300000000000)*  4443100000000)</f>
        <v>2.367559758767718</v>
      </c>
      <c r="C34">
        <f>(4918100000000*(1387.2/  2603300000000000))</f>
        <v>2.6206692736142587</v>
      </c>
      <c r="D34">
        <f>(5346400000000*(1387.2/  2603300000000000))</f>
        <v>2.8488941266853609</v>
      </c>
      <c r="E34">
        <f>( 4701700000000*(1387.2/  2603300000000000))</f>
        <v>2.5053579072715397</v>
      </c>
      <c r="F34">
        <f>(3528500000000*(1387.2/  2603300000000000))</f>
        <v>1.8802040487074096</v>
      </c>
      <c r="G34">
        <f>(2404700000000*(1387.2/  2603300000000000))</f>
        <v>1.2813735796873198</v>
      </c>
      <c r="H34">
        <f>(1604900000000*(1387.2/  2603300000000000))</f>
        <v>0.85519044289939683</v>
      </c>
      <c r="I34">
        <f>(1069900000000*(1387.2/  2603300000000000))</f>
        <v>0.57010919986171393</v>
      </c>
      <c r="J34">
        <f>( 517150000000*(1387.2/  2603300000000000))</f>
        <v>0.27556965390081817</v>
      </c>
      <c r="L34" t="s">
        <v>6</v>
      </c>
      <c r="M34">
        <f>((2.37/4443100000000)*2199000000000)</f>
        <v>1.1729715739011053</v>
      </c>
      <c r="N34">
        <f>((2.37/4443100000000)*2346200000000)</f>
        <v>1.2514897256420068</v>
      </c>
      <c r="O34">
        <f>((2.37/4443100000000)*  2528800000000)</f>
        <v>1.3488906394184241</v>
      </c>
      <c r="P34">
        <f>((2.37/4443100000000)*2379100000000)</f>
        <v>1.2690389592851838</v>
      </c>
      <c r="Q34">
        <f>((2.37/4443100000000)*1990800000000)</f>
        <v>1.0619153293871397</v>
      </c>
      <c r="R34">
        <f>((2.37/4443100000000)*1523700000000)</f>
        <v>0.81275888456258027</v>
      </c>
      <c r="S34">
        <f>((2.37/4443100000000)*1121400000000)</f>
        <v>0.59816749566743943</v>
      </c>
      <c r="T34">
        <f>((2.37/4443100000000)*812950000000)</f>
        <v>0.43363676262069278</v>
      </c>
      <c r="U34">
        <f>((2.37/4443100000000)* 430540000000)</f>
        <v>0.22965492561499856</v>
      </c>
      <c r="W34" t="s">
        <v>6</v>
      </c>
      <c r="X34">
        <f>((1.17/2199000000000)*1205100000000)</f>
        <v>0.64118553888130958</v>
      </c>
      <c r="Y34">
        <f>((1.17/2199000000000)* 1279100000000)</f>
        <v>0.6805579809004092</v>
      </c>
      <c r="Z34">
        <f>((1.17/2199000000000)*1365400000000)</f>
        <v>0.7264747612551159</v>
      </c>
      <c r="AA34">
        <f>((1.17/2199000000000)*  1328900000000)</f>
        <v>0.70705457025920859</v>
      </c>
      <c r="AB34">
        <f>((1.17/2199000000000)* 1186500000000)</f>
        <v>0.63128922237380614</v>
      </c>
      <c r="AC34">
        <f>((1.17/2199000000000)*984810000000)</f>
        <v>0.52397803547066846</v>
      </c>
      <c r="AD34">
        <f>((1.17/2199000000000)* 788080000000)</f>
        <v>0.41930586630286487</v>
      </c>
      <c r="AE34">
        <f>((1.17/2199000000000)*  603610000000)</f>
        <v>0.32115675306957703</v>
      </c>
      <c r="AF34">
        <f>((1.17/2199000000000)*350510000000)</f>
        <v>0.18649236016371076</v>
      </c>
      <c r="AH34" t="s">
        <v>6</v>
      </c>
      <c r="AI34">
        <f>(697520000000*(0.64/  1205100000000))</f>
        <v>0.37043631233922497</v>
      </c>
      <c r="AJ34">
        <f>(743060000000*(0.64/  1205100000000))</f>
        <v>0.39462152518463195</v>
      </c>
      <c r="AK34">
        <f>(799700000000*(0.64/  1205100000000))</f>
        <v>0.42470168450750972</v>
      </c>
      <c r="AL34">
        <f>(802370000000*(0.64/  1205100000000))</f>
        <v>0.42611965811965813</v>
      </c>
      <c r="AM34">
        <f>(742310000000*(0.64/  1205100000000))</f>
        <v>0.39422321799020826</v>
      </c>
      <c r="AN34">
        <f>(651460000000*(0.64/  1205100000000))</f>
        <v>0.3459749398390175</v>
      </c>
      <c r="AO34">
        <f>(545420000000*(0.64/1205100000000))</f>
        <v>0.28965961331009876</v>
      </c>
      <c r="AP34" s="3">
        <f>(441750000000*(0.64/  1205100000000))</f>
        <v>0.23460293751555886</v>
      </c>
      <c r="AQ34">
        <f>(280010000000*(0.64/  1205100000000))</f>
        <v>0.14870666334744004</v>
      </c>
    </row>
    <row r="35" spans="1:43" x14ac:dyDescent="0.25">
      <c r="A35" t="s">
        <v>7</v>
      </c>
      <c r="B35">
        <f>((735.83/  22668000000000000)*  2669900000000000)</f>
        <v>86.668101155814369</v>
      </c>
      <c r="C35">
        <f t="shared" ref="C35:J35" si="37">((735.83/  22668000000000000)*  2669900000000000)</f>
        <v>86.668101155814369</v>
      </c>
      <c r="D35">
        <f t="shared" si="37"/>
        <v>86.668101155814369</v>
      </c>
      <c r="E35">
        <f t="shared" si="37"/>
        <v>86.668101155814369</v>
      </c>
      <c r="F35">
        <f t="shared" si="37"/>
        <v>86.668101155814369</v>
      </c>
      <c r="G35">
        <f t="shared" si="37"/>
        <v>86.668101155814369</v>
      </c>
      <c r="H35">
        <f t="shared" si="37"/>
        <v>86.668101155814369</v>
      </c>
      <c r="I35">
        <f t="shared" si="37"/>
        <v>86.668101155814369</v>
      </c>
      <c r="J35">
        <f t="shared" si="37"/>
        <v>86.668101155814369</v>
      </c>
      <c r="L35" t="s">
        <v>7</v>
      </c>
      <c r="M35">
        <f>((86.67/2669900000000000)* 1849600000000000)</f>
        <v>60.041511667103642</v>
      </c>
      <c r="N35">
        <f t="shared" ref="N35:U35" si="38">((86.67/2669900000000000)* 1849600000000000)</f>
        <v>60.041511667103642</v>
      </c>
      <c r="O35">
        <f t="shared" si="38"/>
        <v>60.041511667103642</v>
      </c>
      <c r="P35">
        <f t="shared" si="38"/>
        <v>60.041511667103642</v>
      </c>
      <c r="Q35">
        <f t="shared" si="38"/>
        <v>60.041511667103642</v>
      </c>
      <c r="R35">
        <f t="shared" si="38"/>
        <v>60.041511667103642</v>
      </c>
      <c r="S35">
        <f t="shared" si="38"/>
        <v>60.041511667103642</v>
      </c>
      <c r="T35">
        <f t="shared" si="38"/>
        <v>60.041511667103642</v>
      </c>
      <c r="U35">
        <f t="shared" si="38"/>
        <v>60.041511667103642</v>
      </c>
      <c r="W35" t="s">
        <v>7</v>
      </c>
      <c r="X35">
        <f>((60/1849600000000000)*1335800000000000)</f>
        <v>43.332612456747405</v>
      </c>
      <c r="Y35">
        <f>((60/1849600000000000)*1335800000000000)</f>
        <v>43.332612456747405</v>
      </c>
      <c r="Z35">
        <f t="shared" ref="Z35:AF35" si="39">((60/1849600000000000)*1335800000000000)</f>
        <v>43.332612456747405</v>
      </c>
      <c r="AA35">
        <f t="shared" si="39"/>
        <v>43.332612456747405</v>
      </c>
      <c r="AB35">
        <f t="shared" si="39"/>
        <v>43.332612456747405</v>
      </c>
      <c r="AC35">
        <f t="shared" si="39"/>
        <v>43.332612456747405</v>
      </c>
      <c r="AD35">
        <f t="shared" si="39"/>
        <v>43.332612456747405</v>
      </c>
      <c r="AE35">
        <f t="shared" si="39"/>
        <v>43.332612456747405</v>
      </c>
      <c r="AF35">
        <f t="shared" si="39"/>
        <v>43.332612456747405</v>
      </c>
      <c r="AH35" t="s">
        <v>7</v>
      </c>
      <c r="AI35">
        <f>((43.33/1335800000000000)*  995390000000000)</f>
        <v>32.287953810450666</v>
      </c>
      <c r="AJ35">
        <f t="shared" ref="AJ35:AQ35" si="40">((43.33/1335800000000000)*  995390000000000)</f>
        <v>32.287953810450666</v>
      </c>
      <c r="AK35">
        <f t="shared" si="40"/>
        <v>32.287953810450666</v>
      </c>
      <c r="AL35">
        <f t="shared" si="40"/>
        <v>32.287953810450666</v>
      </c>
      <c r="AM35">
        <f t="shared" si="40"/>
        <v>32.287953810450666</v>
      </c>
      <c r="AN35">
        <f t="shared" si="40"/>
        <v>32.287953810450666</v>
      </c>
      <c r="AO35">
        <f t="shared" si="40"/>
        <v>32.287953810450666</v>
      </c>
      <c r="AP35">
        <f t="shared" si="40"/>
        <v>32.287953810450666</v>
      </c>
      <c r="AQ35">
        <f t="shared" si="40"/>
        <v>32.287953810450666</v>
      </c>
    </row>
    <row r="36" spans="1:43" x14ac:dyDescent="0.25">
      <c r="A36" t="s">
        <v>8</v>
      </c>
      <c r="B36">
        <f>(B34/B35)</f>
        <v>2.7317545062066746E-2</v>
      </c>
      <c r="C36">
        <f t="shared" ref="C36:J36" si="41">(C34/C35)</f>
        <v>3.0237991125509317E-2</v>
      </c>
      <c r="D36">
        <f t="shared" si="41"/>
        <v>3.2871311228609222E-2</v>
      </c>
      <c r="E36">
        <f t="shared" si="41"/>
        <v>2.89074973820799E-2</v>
      </c>
      <c r="F36">
        <f t="shared" si="41"/>
        <v>2.1694303020751839E-2</v>
      </c>
      <c r="G36">
        <f t="shared" si="41"/>
        <v>1.4784835050021808E-2</v>
      </c>
      <c r="H36">
        <f t="shared" si="41"/>
        <v>9.867418709934711E-3</v>
      </c>
      <c r="I36">
        <f t="shared" si="41"/>
        <v>6.5780741963730746E-3</v>
      </c>
      <c r="J36">
        <f t="shared" si="41"/>
        <v>3.1795972246512153E-3</v>
      </c>
      <c r="L36" t="s">
        <v>8</v>
      </c>
      <c r="M36">
        <f t="shared" ref="M36:U36" si="42">(M34/M35)</f>
        <v>1.9536010025939583E-2</v>
      </c>
      <c r="N36">
        <f t="shared" si="42"/>
        <v>2.0843741119990655E-2</v>
      </c>
      <c r="O36">
        <f t="shared" si="42"/>
        <v>2.2465967327692595E-2</v>
      </c>
      <c r="P36">
        <f t="shared" si="42"/>
        <v>2.1136026126745276E-2</v>
      </c>
      <c r="Q36">
        <f t="shared" si="42"/>
        <v>1.7686352323620064E-2</v>
      </c>
      <c r="R36">
        <f t="shared" si="42"/>
        <v>1.3536615951125121E-2</v>
      </c>
      <c r="S36">
        <f t="shared" si="42"/>
        <v>9.9625655493809223E-3</v>
      </c>
      <c r="T36">
        <f t="shared" si="42"/>
        <v>7.2222825605218659E-3</v>
      </c>
      <c r="U36">
        <f t="shared" si="42"/>
        <v>3.8249357692442146E-3</v>
      </c>
      <c r="W36" t="s">
        <v>8</v>
      </c>
      <c r="X36">
        <f>(X34/X35)</f>
        <v>1.479683551323639E-2</v>
      </c>
      <c r="Y36">
        <f t="shared" ref="Y36:AF36" si="43">(Y34/Y35)</f>
        <v>1.570544544434542E-2</v>
      </c>
      <c r="Z36">
        <f t="shared" si="43"/>
        <v>1.6765081080219874E-2</v>
      </c>
      <c r="AA36">
        <f t="shared" si="43"/>
        <v>1.6316915370956631E-2</v>
      </c>
      <c r="AB36">
        <f t="shared" si="43"/>
        <v>1.4568455179200876E-2</v>
      </c>
      <c r="AC36">
        <f t="shared" si="43"/>
        <v>1.2092001976425468E-2</v>
      </c>
      <c r="AD36">
        <f t="shared" si="43"/>
        <v>9.6764501960595259E-3</v>
      </c>
      <c r="AE36">
        <f t="shared" si="43"/>
        <v>7.4114329799557024E-3</v>
      </c>
      <c r="AF36">
        <f t="shared" si="43"/>
        <v>4.3037414453111671E-3</v>
      </c>
      <c r="AH36" t="s">
        <v>8</v>
      </c>
      <c r="AI36">
        <f>(AI34/AI35)</f>
        <v>1.1472895263475185E-2</v>
      </c>
      <c r="AJ36">
        <f t="shared" ref="AJ36:AQ36" si="44">(AJ34/AJ35)</f>
        <v>1.2221942818095351E-2</v>
      </c>
      <c r="AK36">
        <f t="shared" si="44"/>
        <v>1.3153564546107787E-2</v>
      </c>
      <c r="AL36">
        <f t="shared" si="44"/>
        <v>1.3197481036464308E-2</v>
      </c>
      <c r="AM36">
        <f t="shared" si="44"/>
        <v>1.2209606725298576E-2</v>
      </c>
      <c r="AN36">
        <f t="shared" si="44"/>
        <v>1.0715294684515918E-2</v>
      </c>
      <c r="AO36">
        <f t="shared" si="44"/>
        <v>8.9711356442892468E-3</v>
      </c>
      <c r="AP36">
        <f t="shared" si="44"/>
        <v>7.2659586573003811E-3</v>
      </c>
      <c r="AQ36">
        <f t="shared" si="44"/>
        <v>4.6056391253665643E-3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899B8-FE16-4228-85D5-C3FB4F23A22F}">
  <dimension ref="A1:AQ37"/>
  <sheetViews>
    <sheetView topLeftCell="U1" workbookViewId="0">
      <selection activeCell="AJ40" sqref="AJ40"/>
    </sheetView>
  </sheetViews>
  <sheetFormatPr defaultRowHeight="15" x14ac:dyDescent="0.25"/>
  <cols>
    <col min="1" max="1" width="33" bestFit="1" customWidth="1"/>
    <col min="6" max="6" width="11.5703125" bestFit="1" customWidth="1"/>
    <col min="12" max="12" width="33" bestFit="1" customWidth="1"/>
    <col min="13" max="13" width="12" bestFit="1" customWidth="1"/>
    <col min="23" max="23" width="33" bestFit="1" customWidth="1"/>
    <col min="24" max="24" width="12" bestFit="1" customWidth="1"/>
    <col min="34" max="34" width="33" bestFit="1" customWidth="1"/>
  </cols>
  <sheetData>
    <row r="1" spans="1:43" x14ac:dyDescent="0.25">
      <c r="A1" s="9" t="s">
        <v>0</v>
      </c>
      <c r="B1" t="s">
        <v>1</v>
      </c>
      <c r="L1" s="2" t="s">
        <v>2</v>
      </c>
      <c r="M1" t="s">
        <v>1</v>
      </c>
      <c r="W1" s="8" t="s">
        <v>3</v>
      </c>
      <c r="X1" t="s">
        <v>1</v>
      </c>
      <c r="AH1" s="10" t="s">
        <v>4</v>
      </c>
      <c r="AI1" t="s">
        <v>1</v>
      </c>
    </row>
    <row r="2" spans="1:43" x14ac:dyDescent="0.25">
      <c r="A2" t="s">
        <v>5</v>
      </c>
      <c r="B2">
        <v>0.75</v>
      </c>
      <c r="C2">
        <v>1</v>
      </c>
      <c r="D2">
        <v>1.5</v>
      </c>
      <c r="E2">
        <v>2</v>
      </c>
      <c r="F2">
        <v>2.5</v>
      </c>
      <c r="G2">
        <v>3</v>
      </c>
      <c r="H2">
        <v>3.5</v>
      </c>
      <c r="I2">
        <v>4</v>
      </c>
      <c r="J2">
        <v>5</v>
      </c>
      <c r="L2" t="s">
        <v>5</v>
      </c>
      <c r="M2">
        <v>0.75</v>
      </c>
      <c r="N2">
        <v>1</v>
      </c>
      <c r="O2">
        <v>1.5</v>
      </c>
      <c r="P2">
        <v>2</v>
      </c>
      <c r="Q2">
        <v>2.5</v>
      </c>
      <c r="R2">
        <v>3</v>
      </c>
      <c r="S2">
        <v>3.5</v>
      </c>
      <c r="T2">
        <v>4</v>
      </c>
      <c r="U2">
        <v>5</v>
      </c>
      <c r="W2" t="s">
        <v>5</v>
      </c>
      <c r="X2">
        <v>0.75</v>
      </c>
      <c r="Y2">
        <v>1</v>
      </c>
      <c r="Z2">
        <v>1.5</v>
      </c>
      <c r="AA2">
        <v>2</v>
      </c>
      <c r="AB2">
        <v>2.5</v>
      </c>
      <c r="AC2">
        <v>3</v>
      </c>
      <c r="AD2">
        <v>3.5</v>
      </c>
      <c r="AE2">
        <v>4</v>
      </c>
      <c r="AF2">
        <v>5</v>
      </c>
      <c r="AH2" t="s">
        <v>5</v>
      </c>
      <c r="AI2">
        <v>0.75</v>
      </c>
      <c r="AJ2">
        <v>1</v>
      </c>
      <c r="AK2">
        <v>1.5</v>
      </c>
      <c r="AL2">
        <v>2</v>
      </c>
      <c r="AM2">
        <v>2.5</v>
      </c>
      <c r="AN2">
        <v>3</v>
      </c>
      <c r="AO2">
        <v>3.5</v>
      </c>
      <c r="AP2">
        <v>4</v>
      </c>
      <c r="AQ2">
        <v>5</v>
      </c>
    </row>
    <row r="3" spans="1:43" x14ac:dyDescent="0.25">
      <c r="A3" t="s">
        <v>6</v>
      </c>
      <c r="B3">
        <f>((232.60688/1462800000000000)*1832800000000000)</f>
        <v>291.44236372983318</v>
      </c>
      <c r="C3">
        <f>((232.60688/1462800000000000)*450840000000000)</f>
        <v>71.690241850697291</v>
      </c>
      <c r="D3">
        <f>((232.60688/1462800000000000)*60012000000000)</f>
        <v>9.54279743133716</v>
      </c>
      <c r="E3">
        <f>((232.60688/1462800000000000)*13660000000000)</f>
        <v>2.1721424533770848</v>
      </c>
      <c r="F3">
        <f>((232.60688/1462800000000000)*  3985300000000)</f>
        <v>0.63372176569866001</v>
      </c>
      <c r="G3">
        <f>((232.60688/1462800000000000)*  1335400000000)</f>
        <v>0.21234839181843038</v>
      </c>
      <c r="H3">
        <f>((232.60688/1462800000000000)*484270000000)</f>
        <v>7.7006107313098163E-2</v>
      </c>
      <c r="I3">
        <f>((232.60688/1462800000000000)* 187520000000)</f>
        <v>2.9818459213563027E-2</v>
      </c>
      <c r="J3">
        <f>((232.60688/1462800000000000)*32086000000)</f>
        <v>5.1021495431227779E-3</v>
      </c>
      <c r="L3" t="s">
        <v>6</v>
      </c>
      <c r="M3">
        <v>232.60687999999999</v>
      </c>
      <c r="N3">
        <f>(405000000000000*(232.60688/1462800000000000))</f>
        <v>64.401002461033627</v>
      </c>
      <c r="O3">
        <f>(57900000000000*(232.60688/1462800000000000))</f>
        <v>9.2069581296144367</v>
      </c>
      <c r="P3">
        <f>(13400000000000*(232.60688/1462800000000000))</f>
        <v>2.1307985999453103</v>
      </c>
      <c r="Q3">
        <f>( 3946800000000*(232.60688/1462800000000000))</f>
        <v>0.62759969509433955</v>
      </c>
      <c r="R3">
        <f>(1330000000000*(232.60688/1462800000000000))</f>
        <v>0.2114897117856166</v>
      </c>
      <c r="S3">
        <f>(  485360000000*(232.60688/1462800000000000))</f>
        <v>7.7179433467869832E-2</v>
      </c>
      <c r="T3">
        <f>(189000000000*(232.60688/1462800000000000))</f>
        <v>3.005380114848236E-2</v>
      </c>
      <c r="U3">
        <f>(32100000000*(232.60688/1462800000000000))</f>
        <v>5.1043757506152579E-3</v>
      </c>
      <c r="W3" t="s">
        <v>6</v>
      </c>
      <c r="X3">
        <f>((232.60688/1462800000000000)* 321860000000000)</f>
        <v>51.18051025211922</v>
      </c>
      <c r="Y3">
        <f>((232.60688/1462800000000000)*169880000000000)</f>
        <v>27.013437773038007</v>
      </c>
      <c r="Z3">
        <f>((232.60688/1462800000000000)*  40112000000000)</f>
        <v>6.3784024955974834</v>
      </c>
      <c r="AA3">
        <f>((232.60688/1462800000000000)*10919000000000)</f>
        <v>1.736282829313645</v>
      </c>
      <c r="AB3">
        <f>((232.60688/1462800000000000)*     3434800000000)</f>
        <v>0.54618410679792173</v>
      </c>
      <c r="AC3">
        <f>((232.60688/1462800000000000)*  1193500000000)</f>
        <v>0.18978418873393491</v>
      </c>
      <c r="AD3">
        <f>((232.60688/1462800000000000)* 446590000000)</f>
        <v>7.101442886190866E-2</v>
      </c>
      <c r="AE3">
        <f>((232.60688/1462800000000000)* 175560000000)</f>
        <v>2.7916641955701392E-2</v>
      </c>
      <c r="AF3">
        <f>((232.60688/1462800000000000)*  30390000000)</f>
        <v>4.8324604068908936E-3</v>
      </c>
      <c r="AH3" t="s">
        <v>6</v>
      </c>
      <c r="AI3">
        <f>((232.60688/1462800000000000)*  45435000000000)</f>
        <v>7.2248383872026247</v>
      </c>
      <c r="AJ3">
        <f>((232.60688/1462800000000000)*  36013000000000)</f>
        <v>5.7266007447634664</v>
      </c>
      <c r="AK3">
        <f>((232.60688/1462800000000000)*
  15988000000000)</f>
        <v>2.5423289564123595</v>
      </c>
      <c r="AL3">
        <f>((232.60688/1462800000000000)*  6037300000000)</f>
        <v>0.96002017816789709</v>
      </c>
      <c r="AM3">
        <f>((232.60688/1462800000000000)*  2248100000000)</f>
        <v>0.35748121884604867</v>
      </c>
      <c r="AN3">
        <f>((232.60688/1462800000000000)*  868540000000)</f>
        <v>0.13811073253705222</v>
      </c>
      <c r="AO3">
        <f>((232.60688/1462800000000000)*  347180000000)</f>
        <v>5.5206765517090507E-2</v>
      </c>
      <c r="AP3">
        <f>((232.60688/1462800000000000)*  142530000000)</f>
        <v>2.2664382421657095E-2</v>
      </c>
      <c r="AQ3">
        <f>((232.60688/1462800000000000)*
  26170000000)</f>
        <v>4.1614178627290121E-3</v>
      </c>
    </row>
    <row r="4" spans="1:43" x14ac:dyDescent="0.25">
      <c r="A4" t="s">
        <v>7</v>
      </c>
      <c r="B4">
        <f>((1702.25/ 40155000000000000)* 68514000000000000)</f>
        <v>2904.4441912588718</v>
      </c>
      <c r="C4">
        <f t="shared" ref="C4:J4" si="0">((1702.25/ 40155000000000000)* 68514000000000000)</f>
        <v>2904.4441912588718</v>
      </c>
      <c r="D4">
        <f t="shared" si="0"/>
        <v>2904.4441912588718</v>
      </c>
      <c r="E4">
        <f t="shared" si="0"/>
        <v>2904.4441912588718</v>
      </c>
      <c r="F4">
        <f t="shared" si="0"/>
        <v>2904.4441912588718</v>
      </c>
      <c r="G4">
        <f t="shared" si="0"/>
        <v>2904.4441912588718</v>
      </c>
      <c r="H4">
        <f t="shared" si="0"/>
        <v>2904.4441912588718</v>
      </c>
      <c r="I4">
        <f t="shared" si="0"/>
        <v>2904.4441912588718</v>
      </c>
      <c r="J4">
        <f t="shared" si="0"/>
        <v>2904.4441912588718</v>
      </c>
      <c r="L4" t="s">
        <v>7</v>
      </c>
      <c r="M4">
        <v>1702.25</v>
      </c>
      <c r="N4">
        <v>1702.25</v>
      </c>
      <c r="O4">
        <v>1702.25</v>
      </c>
      <c r="P4">
        <v>1702.25</v>
      </c>
      <c r="Q4">
        <v>1702.25</v>
      </c>
      <c r="R4">
        <v>1702.25</v>
      </c>
      <c r="S4">
        <v>1702.25</v>
      </c>
      <c r="T4">
        <v>1702.25</v>
      </c>
      <c r="U4">
        <v>1702.25</v>
      </c>
      <c r="W4" t="s">
        <v>7</v>
      </c>
      <c r="X4">
        <f>((1702.25/ 40155000000000000)*
  12888000000000000)</f>
        <v>546.34785207321625</v>
      </c>
      <c r="Y4">
        <f t="shared" ref="Y4:AF4" si="1">((1702.25/ 40155000000000000)*
  12888000000000000)</f>
        <v>546.34785207321625</v>
      </c>
      <c r="Z4">
        <f>((1702.25/ 40155000000000000)*12888000000000000)</f>
        <v>546.34785207321625</v>
      </c>
      <c r="AA4">
        <f>((1702.25/ 40155000000000000)*12888000000000000)</f>
        <v>546.34785207321625</v>
      </c>
      <c r="AB4">
        <f t="shared" si="1"/>
        <v>546.34785207321625</v>
      </c>
      <c r="AC4">
        <f t="shared" si="1"/>
        <v>546.34785207321625</v>
      </c>
      <c r="AD4">
        <f t="shared" si="1"/>
        <v>546.34785207321625</v>
      </c>
      <c r="AE4">
        <f t="shared" si="1"/>
        <v>546.34785207321625</v>
      </c>
      <c r="AF4">
        <f t="shared" si="1"/>
        <v>546.34785207321625</v>
      </c>
      <c r="AH4" t="s">
        <v>7</v>
      </c>
      <c r="AI4">
        <f>((1702.25/ 40155000000000000)*  3726000000000000)</f>
        <v>157.95252147926783</v>
      </c>
      <c r="AJ4">
        <f t="shared" ref="AJ4:AQ4" si="2">((1702.25/ 40155000000000000)*  3726000000000000)</f>
        <v>157.95252147926783</v>
      </c>
      <c r="AK4">
        <f t="shared" si="2"/>
        <v>157.95252147926783</v>
      </c>
      <c r="AL4">
        <f t="shared" si="2"/>
        <v>157.95252147926783</v>
      </c>
      <c r="AM4">
        <f t="shared" si="2"/>
        <v>157.95252147926783</v>
      </c>
      <c r="AN4">
        <f t="shared" si="2"/>
        <v>157.95252147926783</v>
      </c>
      <c r="AO4">
        <f t="shared" si="2"/>
        <v>157.95252147926783</v>
      </c>
      <c r="AP4">
        <f t="shared" si="2"/>
        <v>157.95252147926783</v>
      </c>
      <c r="AQ4">
        <f t="shared" si="2"/>
        <v>157.95252147926783</v>
      </c>
    </row>
    <row r="5" spans="1:43" x14ac:dyDescent="0.25">
      <c r="A5" t="s">
        <v>8</v>
      </c>
      <c r="B5">
        <f>(B3/B4)</f>
        <v>0.10034359228073632</v>
      </c>
      <c r="C5">
        <f t="shared" ref="C5:J5" si="3">(C3/C4)</f>
        <v>2.468294693575249E-2</v>
      </c>
      <c r="D5">
        <f t="shared" si="3"/>
        <v>3.2855847118897575E-3</v>
      </c>
      <c r="E5">
        <f t="shared" si="3"/>
        <v>7.4786854569776199E-4</v>
      </c>
      <c r="F5">
        <f t="shared" si="3"/>
        <v>2.1819037446334485E-4</v>
      </c>
      <c r="G5">
        <f t="shared" si="3"/>
        <v>7.3111541429340501E-5</v>
      </c>
      <c r="H5">
        <f t="shared" si="3"/>
        <v>2.651319916728076E-5</v>
      </c>
      <c r="I5">
        <f t="shared" si="3"/>
        <v>1.026649412073531E-5</v>
      </c>
      <c r="J5">
        <f t="shared" si="3"/>
        <v>1.7566698504581546E-6</v>
      </c>
      <c r="L5" t="s">
        <v>8</v>
      </c>
      <c r="M5">
        <f>(M3/M4)</f>
        <v>0.13664672051696283</v>
      </c>
      <c r="N5">
        <f t="shared" ref="N5:U5" si="4">(N3/N4)</f>
        <v>3.7832869708346969E-2</v>
      </c>
      <c r="O5">
        <f t="shared" si="4"/>
        <v>5.4086991508970105E-3</v>
      </c>
      <c r="P5">
        <f t="shared" si="4"/>
        <v>1.2517542076341962E-3</v>
      </c>
      <c r="Q5">
        <f t="shared" si="4"/>
        <v>3.6868832139482421E-4</v>
      </c>
      <c r="R5">
        <f t="shared" si="4"/>
        <v>1.2424127583234929E-4</v>
      </c>
      <c r="S5">
        <f t="shared" si="4"/>
        <v>4.5339658374427866E-5</v>
      </c>
      <c r="T5">
        <f t="shared" si="4"/>
        <v>1.7655339197228586E-5</v>
      </c>
      <c r="U5">
        <f t="shared" si="4"/>
        <v>2.9986052287356484E-6</v>
      </c>
      <c r="W5" t="s">
        <v>8</v>
      </c>
      <c r="X5">
        <f>(X3/X4)</f>
        <v>9.367751709447647E-2</v>
      </c>
      <c r="Y5">
        <f t="shared" ref="Y5:AF5" si="5">(Y3/Y4)</f>
        <v>4.9443660610233219E-2</v>
      </c>
      <c r="Z5">
        <f t="shared" si="5"/>
        <v>1.1674618050374822E-2</v>
      </c>
      <c r="AA5">
        <f t="shared" si="5"/>
        <v>3.1779805168538765E-3</v>
      </c>
      <c r="AB5">
        <f t="shared" si="5"/>
        <v>9.9970029117040882E-4</v>
      </c>
      <c r="AC5">
        <f t="shared" si="5"/>
        <v>3.4736878348430274E-4</v>
      </c>
      <c r="AD5">
        <f t="shared" si="5"/>
        <v>1.2998024718580205E-4</v>
      </c>
      <c r="AE5">
        <f t="shared" si="5"/>
        <v>5.1096827506078078E-5</v>
      </c>
      <c r="AF5">
        <f t="shared" si="5"/>
        <v>8.8450249937896604E-6</v>
      </c>
      <c r="AH5" t="s">
        <v>8</v>
      </c>
      <c r="AI5">
        <f>(AI3/AI4)</f>
        <v>4.5740570138039401E-2</v>
      </c>
      <c r="AJ5">
        <f t="shared" ref="AJ5:AQ5" si="6">(AJ3/AJ4)</f>
        <v>3.6255203089715256E-2</v>
      </c>
      <c r="AK5">
        <f t="shared" si="6"/>
        <v>1.6095526254362801E-2</v>
      </c>
      <c r="AL5">
        <f t="shared" si="6"/>
        <v>6.0779034685679596E-3</v>
      </c>
      <c r="AM5">
        <f t="shared" si="6"/>
        <v>2.2632194503648369E-3</v>
      </c>
      <c r="AN5">
        <f t="shared" si="6"/>
        <v>8.7438130929223595E-4</v>
      </c>
      <c r="AO5">
        <f t="shared" si="6"/>
        <v>3.4951493651424049E-4</v>
      </c>
      <c r="AP5">
        <f t="shared" si="6"/>
        <v>1.4348857624683076E-4</v>
      </c>
      <c r="AQ5">
        <f t="shared" si="6"/>
        <v>2.6346004633267106E-5</v>
      </c>
    </row>
    <row r="7" spans="1:43" x14ac:dyDescent="0.25">
      <c r="B7" t="s">
        <v>9</v>
      </c>
      <c r="M7" t="s">
        <v>9</v>
      </c>
      <c r="X7" t="s">
        <v>9</v>
      </c>
      <c r="AI7" t="s">
        <v>9</v>
      </c>
    </row>
    <row r="8" spans="1:43" x14ac:dyDescent="0.25">
      <c r="A8" t="s">
        <v>10</v>
      </c>
      <c r="B8">
        <v>0.75</v>
      </c>
      <c r="C8">
        <v>1</v>
      </c>
      <c r="D8">
        <v>1.5</v>
      </c>
      <c r="E8">
        <v>2</v>
      </c>
      <c r="F8">
        <v>2.5</v>
      </c>
      <c r="G8">
        <v>3</v>
      </c>
      <c r="H8">
        <v>3.5</v>
      </c>
      <c r="I8">
        <v>4</v>
      </c>
      <c r="J8">
        <v>5</v>
      </c>
      <c r="L8" t="s">
        <v>10</v>
      </c>
      <c r="M8">
        <v>0.75</v>
      </c>
      <c r="N8">
        <v>1</v>
      </c>
      <c r="O8">
        <v>1.5</v>
      </c>
      <c r="P8">
        <v>2</v>
      </c>
      <c r="Q8">
        <v>2.5</v>
      </c>
      <c r="R8">
        <v>3</v>
      </c>
      <c r="S8">
        <v>3.5</v>
      </c>
      <c r="T8">
        <v>4</v>
      </c>
      <c r="U8">
        <v>5</v>
      </c>
      <c r="W8" t="s">
        <v>10</v>
      </c>
      <c r="X8">
        <v>0.75</v>
      </c>
      <c r="Y8">
        <v>1</v>
      </c>
      <c r="Z8">
        <v>1.5</v>
      </c>
      <c r="AA8">
        <v>2</v>
      </c>
      <c r="AB8">
        <v>2.5</v>
      </c>
      <c r="AC8">
        <v>3</v>
      </c>
      <c r="AD8">
        <v>3.5</v>
      </c>
      <c r="AE8">
        <v>4</v>
      </c>
      <c r="AF8">
        <v>5</v>
      </c>
      <c r="AH8" t="s">
        <v>10</v>
      </c>
      <c r="AI8">
        <v>0.75</v>
      </c>
      <c r="AJ8">
        <v>1</v>
      </c>
      <c r="AK8">
        <v>1.5</v>
      </c>
      <c r="AL8">
        <v>2</v>
      </c>
      <c r="AM8">
        <v>2.5</v>
      </c>
      <c r="AN8">
        <v>3</v>
      </c>
      <c r="AO8">
        <v>3.5</v>
      </c>
      <c r="AP8">
        <v>4</v>
      </c>
      <c r="AQ8">
        <v>5</v>
      </c>
    </row>
    <row r="9" spans="1:43" x14ac:dyDescent="0.25">
      <c r="A9" t="s">
        <v>6</v>
      </c>
      <c r="B9">
        <f>((10100/2400500000000000)*  4220700000000000)</f>
        <v>17758.41283066028</v>
      </c>
      <c r="C9">
        <f>((10100/2400500000000000)*  1363200000000000)</f>
        <v>5735.6050822745256</v>
      </c>
      <c r="D9">
        <f>((10100/2400500000000000)*  146660000000000)</f>
        <v>617.06561133097273</v>
      </c>
      <c r="E9">
        <f>((10100/2400500000000000)*  27962000000000)</f>
        <v>117.64890647781712</v>
      </c>
      <c r="F9">
        <f>((10100/2400500000000000)*  8520600000000)</f>
        <v>35.850056238283692</v>
      </c>
      <c r="G9">
        <f>((10100/2400500000000000)* 3380600000000)</f>
        <v>14.223728389918767</v>
      </c>
      <c r="H9">
        <f>((10100/2400500000000000)*  1557800000000)</f>
        <v>6.5543761716309099</v>
      </c>
      <c r="I9">
        <f>((10100/2400500000000000)* 786300000000)</f>
        <v>3.3083232659862527</v>
      </c>
      <c r="J9">
        <f>((10100/2400500000000000)*  240990000000)</f>
        <v>1.0139550093730472</v>
      </c>
      <c r="L9" t="s">
        <v>6</v>
      </c>
      <c r="M9" s="3">
        <v>10100</v>
      </c>
      <c r="N9">
        <f>(984000000000000*(10100/2400500000000000))</f>
        <v>4140.1374713601335</v>
      </c>
      <c r="O9">
        <f>(132000000000000*(10100/2400500000000000))</f>
        <v>555.38429493855449</v>
      </c>
      <c r="P9">
        <f>(27000000000000*(10100/2400500000000000))</f>
        <v>113.60133305561341</v>
      </c>
      <c r="Q9">
        <f>(8397800000000*(10100/2400500000000000))</f>
        <v>35.333380545719642</v>
      </c>
      <c r="R9">
        <f>(3360000000000*(10100/2400500000000000))</f>
        <v>14.137054780254113</v>
      </c>
      <c r="S9">
        <f>(  1552700000000*(10100/2400500000000000))</f>
        <v>6.5329181420537381</v>
      </c>
      <c r="T9">
        <f>(787000000000*(10100/2400500000000000))</f>
        <v>3.3112684857321391</v>
      </c>
      <c r="U9">
        <f>(242000000000*(10100/2400500000000000))</f>
        <v>1.0182045407206832</v>
      </c>
      <c r="W9" t="s">
        <v>6</v>
      </c>
      <c r="X9">
        <f>((10100/2400500000000000)*    158390000000000)</f>
        <v>666.419079358467</v>
      </c>
      <c r="Y9">
        <f>((10100/2400500000000000)*    154310000000000)</f>
        <v>649.25265569672979</v>
      </c>
      <c r="Z9">
        <f>((10100/2400500000000000)*   69767000000000)</f>
        <v>293.5416371589252</v>
      </c>
      <c r="AA9">
        <f>((10100/2400500000000000)*    25109000000000)</f>
        <v>105.64503228494063</v>
      </c>
      <c r="AB9">
        <f>((10100/2400500000000000)*
  10388000000000)</f>
        <v>43.707061028952303</v>
      </c>
      <c r="AC9">
        <f>((10100/2400500000000000)*   5064700000000)</f>
        <v>21.309506352843158</v>
      </c>
      <c r="AD9">
        <f>((10100/2400500000000000)*    2762600000000)</f>
        <v>11.623520099979171</v>
      </c>
      <c r="AE9">
        <f>((10100/2400500000000000)*   1644200000000)</f>
        <v>6.9179004374088731</v>
      </c>
      <c r="AF9">
        <f>((10100/2400500000000000)*    688450000000)</f>
        <v>2.8966236200791502</v>
      </c>
      <c r="AH9" t="s">
        <v>6</v>
      </c>
      <c r="AI9">
        <f>((10100/2400500000000000)*  23361000000000)</f>
        <v>98.290397833784624</v>
      </c>
      <c r="AJ9">
        <f>((10100/2400500000000000)*  25278000000000)</f>
        <v>106.35609248073318</v>
      </c>
      <c r="AK9">
        <f>((10100/2400500000000000)*  20858000000000)</f>
        <v>87.759133513851282</v>
      </c>
      <c r="AL9">
        <f>((10100/2400500000000000)*  12534000000000)</f>
        <v>52.736263278483648</v>
      </c>
      <c r="AM9">
        <f>((10100/2400500000000000)*6904200000000)</f>
        <v>29.049123099354301</v>
      </c>
      <c r="AN9">
        <f>((10100/2400500000000000)*  3885300000000)</f>
        <v>16.347231826702771</v>
      </c>
      <c r="AO9">
        <f>((10100/2400500000000000)*
  2303400000000)</f>
        <v>9.6914559466777757</v>
      </c>
      <c r="AP9">
        <f>((10100/2400500000000000)*
  1439600000000)</f>
        <v>6.0570547802541137</v>
      </c>
      <c r="AQ9">
        <f>((10100/2400500000000000)*  634930000000)</f>
        <v>2.6714405332222451</v>
      </c>
    </row>
    <row r="10" spans="1:43" x14ac:dyDescent="0.25">
      <c r="A10" t="s">
        <v>11</v>
      </c>
      <c r="B10">
        <f>((12352.6264/  23812000000000000)*  49900000000000000)</f>
        <v>25885.942271123804</v>
      </c>
      <c r="C10">
        <f t="shared" ref="C10:J10" si="7">((12352.6264/  23812000000000000)*  49900000000000000)</f>
        <v>25885.942271123804</v>
      </c>
      <c r="D10">
        <f t="shared" si="7"/>
        <v>25885.942271123804</v>
      </c>
      <c r="E10">
        <f t="shared" si="7"/>
        <v>25885.942271123804</v>
      </c>
      <c r="F10">
        <f t="shared" si="7"/>
        <v>25885.942271123804</v>
      </c>
      <c r="G10">
        <f t="shared" si="7"/>
        <v>25885.942271123804</v>
      </c>
      <c r="H10">
        <f t="shared" si="7"/>
        <v>25885.942271123804</v>
      </c>
      <c r="I10">
        <f t="shared" si="7"/>
        <v>25885.942271123804</v>
      </c>
      <c r="J10">
        <f t="shared" si="7"/>
        <v>25885.942271123804</v>
      </c>
      <c r="L10" t="s">
        <v>11</v>
      </c>
      <c r="M10">
        <v>12352.626399999999</v>
      </c>
      <c r="N10">
        <v>12352.626399999999</v>
      </c>
      <c r="O10">
        <v>12352.626399999999</v>
      </c>
      <c r="P10">
        <v>12352.626399999999</v>
      </c>
      <c r="Q10">
        <v>12352.626399999999</v>
      </c>
      <c r="R10">
        <v>12352.626399999999</v>
      </c>
      <c r="S10">
        <v>12352.626399999999</v>
      </c>
      <c r="T10">
        <v>12352.626399999999</v>
      </c>
      <c r="U10">
        <v>12352.626399999999</v>
      </c>
      <c r="W10" t="s">
        <v>11</v>
      </c>
      <c r="X10">
        <f>((12352.6264/  23812000000000000)*    9960600000000000)</f>
        <v>5167.124580876869</v>
      </c>
      <c r="Y10">
        <f t="shared" ref="Y10:AF10" si="8">((12352.6264/  23812000000000000)*    9960600000000000)</f>
        <v>5167.124580876869</v>
      </c>
      <c r="Z10">
        <f t="shared" si="8"/>
        <v>5167.124580876869</v>
      </c>
      <c r="AA10">
        <f t="shared" si="8"/>
        <v>5167.124580876869</v>
      </c>
      <c r="AB10">
        <f t="shared" si="8"/>
        <v>5167.124580876869</v>
      </c>
      <c r="AC10">
        <f t="shared" si="8"/>
        <v>5167.124580876869</v>
      </c>
      <c r="AD10">
        <f t="shared" si="8"/>
        <v>5167.124580876869</v>
      </c>
      <c r="AE10">
        <f t="shared" si="8"/>
        <v>5167.124580876869</v>
      </c>
      <c r="AF10">
        <f t="shared" si="8"/>
        <v>5167.124580876869</v>
      </c>
      <c r="AH10" t="s">
        <v>11</v>
      </c>
      <c r="AI10">
        <f>((12352.6264/  23812000000000000)*  5167300000000000)</f>
        <v>2680.5697294103811</v>
      </c>
      <c r="AJ10">
        <f t="shared" ref="AJ10:AQ10" si="9">((12352.6264/  23812000000000000)*  5167300000000000)</f>
        <v>2680.5697294103811</v>
      </c>
      <c r="AK10">
        <f t="shared" si="9"/>
        <v>2680.5697294103811</v>
      </c>
      <c r="AL10">
        <f t="shared" si="9"/>
        <v>2680.5697294103811</v>
      </c>
      <c r="AM10">
        <f t="shared" si="9"/>
        <v>2680.5697294103811</v>
      </c>
      <c r="AN10">
        <f t="shared" si="9"/>
        <v>2680.5697294103811</v>
      </c>
      <c r="AO10">
        <f t="shared" si="9"/>
        <v>2680.5697294103811</v>
      </c>
      <c r="AP10">
        <f t="shared" si="9"/>
        <v>2680.5697294103811</v>
      </c>
      <c r="AQ10">
        <f t="shared" si="9"/>
        <v>2680.5697294103811</v>
      </c>
    </row>
    <row r="11" spans="1:43" x14ac:dyDescent="0.25">
      <c r="A11" t="s">
        <v>8</v>
      </c>
      <c r="B11">
        <f t="shared" ref="B11:J11" si="10">(B9 / B10)</f>
        <v>0.68602535865461167</v>
      </c>
      <c r="C11">
        <f t="shared" si="10"/>
        <v>0.22157219629871028</v>
      </c>
      <c r="D11">
        <f t="shared" si="10"/>
        <v>2.3837865543697809E-2</v>
      </c>
      <c r="E11">
        <f t="shared" si="10"/>
        <v>4.5448956520719903E-3</v>
      </c>
      <c r="F11">
        <f t="shared" si="10"/>
        <v>1.3849237498406624E-3</v>
      </c>
      <c r="G11">
        <f t="shared" si="10"/>
        <v>5.494769416134243E-4</v>
      </c>
      <c r="H11">
        <f t="shared" si="10"/>
        <v>2.5320214744287768E-4</v>
      </c>
      <c r="I11">
        <f t="shared" si="10"/>
        <v>1.2780385706402282E-4</v>
      </c>
      <c r="J11">
        <f t="shared" si="10"/>
        <v>3.9170102395852545E-5</v>
      </c>
      <c r="L11" t="s">
        <v>8</v>
      </c>
      <c r="M11">
        <f t="shared" ref="M11:U11" si="11">(M9 / M10)</f>
        <v>0.81763988264066667</v>
      </c>
      <c r="N11">
        <f t="shared" si="11"/>
        <v>0.33516252635634913</v>
      </c>
      <c r="O11">
        <f t="shared" si="11"/>
        <v>4.4960826706339517E-2</v>
      </c>
      <c r="P11">
        <f t="shared" si="11"/>
        <v>9.1965327353876278E-3</v>
      </c>
      <c r="Q11">
        <f t="shared" si="11"/>
        <v>2.8603941705643786E-3</v>
      </c>
      <c r="R11">
        <f t="shared" si="11"/>
        <v>1.1444574070704602E-3</v>
      </c>
      <c r="S11">
        <f t="shared" si="11"/>
        <v>5.2886875474949504E-4</v>
      </c>
      <c r="T11">
        <f t="shared" si="11"/>
        <v>2.6806189862037271E-4</v>
      </c>
      <c r="U11">
        <f t="shared" si="11"/>
        <v>8.2428182294955773E-5</v>
      </c>
      <c r="W11" t="s">
        <v>8</v>
      </c>
      <c r="X11">
        <f t="shared" ref="X11:AF11" si="12">(X9 / X10)</f>
        <v>0.12897290725771018</v>
      </c>
      <c r="Y11">
        <f t="shared" si="12"/>
        <v>0.12565066809102376</v>
      </c>
      <c r="Z11">
        <f t="shared" si="12"/>
        <v>5.6809475476031726E-2</v>
      </c>
      <c r="AA11">
        <f t="shared" si="12"/>
        <v>2.0445613538315831E-2</v>
      </c>
      <c r="AB11">
        <f t="shared" si="12"/>
        <v>8.4586814861613326E-3</v>
      </c>
      <c r="AC11">
        <f t="shared" si="12"/>
        <v>4.1240550753717077E-3</v>
      </c>
      <c r="AD11">
        <f t="shared" si="12"/>
        <v>2.2495141965411334E-3</v>
      </c>
      <c r="AE11">
        <f t="shared" si="12"/>
        <v>1.3388298132023932E-3</v>
      </c>
      <c r="AF11">
        <f t="shared" si="12"/>
        <v>5.605871456630505E-4</v>
      </c>
      <c r="AH11" t="s">
        <v>8</v>
      </c>
      <c r="AI11">
        <f>(AI9 / AI10)</f>
        <v>3.6667726549088731E-2</v>
      </c>
      <c r="AJ11">
        <f t="shared" ref="AJ11:AQ11" si="13">(AJ9 / AJ10)</f>
        <v>3.9676674444923801E-2</v>
      </c>
      <c r="AK11">
        <f t="shared" si="13"/>
        <v>3.2738985504083419E-2</v>
      </c>
      <c r="AL11">
        <f t="shared" si="13"/>
        <v>1.9673527869794878E-2</v>
      </c>
      <c r="AM11">
        <f t="shared" si="13"/>
        <v>1.0836921263653885E-2</v>
      </c>
      <c r="AN11">
        <f t="shared" si="13"/>
        <v>6.098416932544602E-3</v>
      </c>
      <c r="AO11">
        <f t="shared" si="13"/>
        <v>3.6154463136497147E-3</v>
      </c>
      <c r="AP11">
        <f t="shared" si="13"/>
        <v>2.2596147057090082E-3</v>
      </c>
      <c r="AQ11">
        <f t="shared" si="13"/>
        <v>9.9659430751307333E-4</v>
      </c>
    </row>
    <row r="13" spans="1:43" x14ac:dyDescent="0.25">
      <c r="B13" t="s">
        <v>12</v>
      </c>
      <c r="M13" t="s">
        <v>12</v>
      </c>
      <c r="X13" t="s">
        <v>12</v>
      </c>
      <c r="AI13" t="s">
        <v>12</v>
      </c>
    </row>
    <row r="14" spans="1:43" x14ac:dyDescent="0.25">
      <c r="A14" t="s">
        <v>5</v>
      </c>
      <c r="B14">
        <v>0.75</v>
      </c>
      <c r="C14">
        <v>1</v>
      </c>
      <c r="D14">
        <v>1.5</v>
      </c>
      <c r="E14">
        <v>2</v>
      </c>
      <c r="F14">
        <v>2.5</v>
      </c>
      <c r="G14">
        <v>3</v>
      </c>
      <c r="H14">
        <v>3.5</v>
      </c>
      <c r="I14">
        <v>4</v>
      </c>
      <c r="J14">
        <v>5</v>
      </c>
      <c r="L14" t="s">
        <v>5</v>
      </c>
      <c r="M14">
        <v>0.75</v>
      </c>
      <c r="N14">
        <v>1</v>
      </c>
      <c r="O14">
        <v>1.5</v>
      </c>
      <c r="P14">
        <v>2</v>
      </c>
      <c r="Q14">
        <v>2.5</v>
      </c>
      <c r="R14">
        <v>3</v>
      </c>
      <c r="S14">
        <v>3.5</v>
      </c>
      <c r="T14">
        <v>4</v>
      </c>
      <c r="U14">
        <v>5</v>
      </c>
      <c r="W14" t="s">
        <v>5</v>
      </c>
      <c r="X14">
        <v>0.75</v>
      </c>
      <c r="Y14">
        <v>1</v>
      </c>
      <c r="Z14">
        <v>1.5</v>
      </c>
      <c r="AA14">
        <v>2</v>
      </c>
      <c r="AB14">
        <v>2.5</v>
      </c>
      <c r="AC14">
        <v>3</v>
      </c>
      <c r="AD14">
        <v>3.5</v>
      </c>
      <c r="AE14">
        <v>4</v>
      </c>
      <c r="AF14">
        <v>5</v>
      </c>
      <c r="AH14" t="s">
        <v>5</v>
      </c>
      <c r="AI14">
        <v>0.75</v>
      </c>
      <c r="AJ14">
        <v>1</v>
      </c>
      <c r="AK14">
        <v>1.5</v>
      </c>
      <c r="AL14">
        <v>2</v>
      </c>
      <c r="AM14">
        <v>2.5</v>
      </c>
      <c r="AN14">
        <v>3</v>
      </c>
      <c r="AO14">
        <v>3.5</v>
      </c>
      <c r="AP14">
        <v>4</v>
      </c>
      <c r="AQ14">
        <v>5</v>
      </c>
    </row>
    <row r="15" spans="1:43" x14ac:dyDescent="0.25">
      <c r="A15" t="s">
        <v>6</v>
      </c>
      <c r="B15">
        <f>((2370/ 2603300000000000)* 5514700000000000)</f>
        <v>5020.4889947374486</v>
      </c>
      <c r="C15">
        <f>((2370/ 2603300000000000)* 2378600000000000)</f>
        <v>2165.4369454154339</v>
      </c>
      <c r="D15">
        <f>((2370/ 2603300000000000)*  329530000000000)</f>
        <v>299.9985019014328</v>
      </c>
      <c r="E15">
        <f>((2370/ 2603300000000000)*  58464000000000)</f>
        <v>53.224630276956169</v>
      </c>
      <c r="F15">
        <f>((2370/ 2603300000000000)*  16135000000000)</f>
        <v>14.689029308954019</v>
      </c>
      <c r="G15">
        <f>((2370/ 2603300000000000)* 6267800000000)</f>
        <v>5.7060984135520298</v>
      </c>
      <c r="H15">
        <f>((2370/ 2603300000000000)  *3024400000000)</f>
        <v>2.7533622709637764</v>
      </c>
      <c r="I15">
        <f>((2370/ 2603300000000000)*  1690000000000)</f>
        <v>1.5385472285176507</v>
      </c>
      <c r="J15">
        <f>((2370/ 2603300000000000)*  668220000000)</f>
        <v>0.60833611185802627</v>
      </c>
      <c r="L15" t="s">
        <v>6</v>
      </c>
      <c r="M15" s="3">
        <v>2370</v>
      </c>
      <c r="N15">
        <f>((2370/ 2603300000000000)*1482700000000000)</f>
        <v>1349.8248377059886</v>
      </c>
      <c r="O15">
        <f>((2370/ 2603300000000000)*272760000000000)</f>
        <v>248.31606038489608</v>
      </c>
      <c r="P15">
        <f>( (2370/ 2603300000000000)*54393000000000)</f>
        <v>49.518461183881996</v>
      </c>
      <c r="Q15" s="1">
        <f>(15711000000000*(2370/ 2603300000000000))</f>
        <v>14.303026927361426</v>
      </c>
      <c r="R15">
        <f>(6216600000000*(2370/ 2603300000000000))</f>
        <v>5.6594868052087728</v>
      </c>
      <c r="S15">
        <f>(  3021700000000*(2370/ 2603300000000000))</f>
        <v>2.75090423693005</v>
      </c>
      <c r="T15">
        <f>(1689500000000*(2370/ 2603300000000000))</f>
        <v>1.5380920370299234</v>
      </c>
      <c r="U15">
        <f>(671530000000*(2370/ 2603300000000000))</f>
        <v>0.61134947950677987</v>
      </c>
      <c r="W15" t="s">
        <v>6</v>
      </c>
      <c r="X15">
        <f>((2370/ 2603300000000000)*   88287000000000)</f>
        <v>80.374981753927699</v>
      </c>
      <c r="Y15">
        <f>((2370/ 2603300000000000)*   110170000000000)</f>
        <v>100.29689240579265</v>
      </c>
      <c r="Z15">
        <f>((2370/ 2603300000000000)*    74110000000000)</f>
        <v>67.468482310913075</v>
      </c>
      <c r="AA15">
        <f>((2370/ 2603300000000000)*   30293000000000)</f>
        <v>27.578231475435022</v>
      </c>
      <c r="AB15">
        <f>((2370/ 2603300000000000)*    11968000000000)</f>
        <v>10.895463450236237</v>
      </c>
      <c r="AC15">
        <f>((2370/ 2603300000000000)*   5390400000000)</f>
        <v>4.9073283908884875</v>
      </c>
      <c r="AD15">
        <f>((2370/ 2603300000000000)  *  2775100000000)</f>
        <v>2.5264037951830369</v>
      </c>
      <c r="AE15">
        <f>((2370/ 2603300000000000)*    1594900000000)</f>
        <v>1.4519698075519532</v>
      </c>
      <c r="AF15">
        <f>((2370/ 2603300000000000)*    651100000000)</f>
        <v>0.59275035531824982</v>
      </c>
      <c r="AH15" t="s">
        <v>6</v>
      </c>
      <c r="AI15">
        <f>((2370/2603300000000000)*11630000000000)</f>
        <v>10.587754004532707</v>
      </c>
      <c r="AJ15">
        <f>((2370/2603300000000000)*  13995000000000)</f>
        <v>12.740809741481964</v>
      </c>
      <c r="AK15">
        <f>((2370/2603300000000000)*  14998000000000)</f>
        <v>13.653923865862557</v>
      </c>
      <c r="AL15">
        <f>((2370/2603300000000000)*  10945000000000)</f>
        <v>9.9641416663465598</v>
      </c>
      <c r="AM15">
        <f>((2370/2603300000000000)*  6560300000000)</f>
        <v>5.9723854338723923</v>
      </c>
      <c r="AN15">
        <f>((2370/2603300000000000)*  3732000000000)</f>
        <v>3.3975492643951903</v>
      </c>
      <c r="AO15">
        <f>((2370/2603300000000000)*  2200500000000)</f>
        <v>2.0032977374870358</v>
      </c>
      <c r="AP15">
        <f>((2370/2603300000000000)*  1347500000000)</f>
        <v>1.2267410594245765</v>
      </c>
      <c r="AQ15">
        <f>((2370/2603300000000000)*  592190000000)</f>
        <v>0.53911969423424111</v>
      </c>
    </row>
    <row r="16" spans="1:43" x14ac:dyDescent="0.25">
      <c r="A16" t="s">
        <v>7</v>
      </c>
      <c r="B16">
        <f>((735.83/  22668000000000000)* 49673000000000000)</f>
        <v>1612.4441322569262</v>
      </c>
      <c r="C16">
        <f t="shared" ref="C16:J16" si="14">((735.83/  22668000000000000)* 49673000000000000)</f>
        <v>1612.4441322569262</v>
      </c>
      <c r="D16">
        <f t="shared" si="14"/>
        <v>1612.4441322569262</v>
      </c>
      <c r="E16">
        <f t="shared" si="14"/>
        <v>1612.4441322569262</v>
      </c>
      <c r="F16">
        <f t="shared" si="14"/>
        <v>1612.4441322569262</v>
      </c>
      <c r="G16">
        <f t="shared" si="14"/>
        <v>1612.4441322569262</v>
      </c>
      <c r="H16">
        <f t="shared" si="14"/>
        <v>1612.4441322569262</v>
      </c>
      <c r="I16">
        <f t="shared" si="14"/>
        <v>1612.4441322569262</v>
      </c>
      <c r="J16">
        <f t="shared" si="14"/>
        <v>1612.4441322569262</v>
      </c>
      <c r="L16" t="s">
        <v>7</v>
      </c>
      <c r="M16">
        <v>735.83</v>
      </c>
      <c r="N16">
        <v>735.83</v>
      </c>
      <c r="O16">
        <v>735.83</v>
      </c>
      <c r="P16">
        <v>735.83</v>
      </c>
      <c r="Q16">
        <v>735.83</v>
      </c>
      <c r="R16">
        <v>735.83</v>
      </c>
      <c r="S16">
        <v>735.83</v>
      </c>
      <c r="T16">
        <v>735.83</v>
      </c>
      <c r="U16">
        <v>735.83</v>
      </c>
      <c r="W16" t="s">
        <v>7</v>
      </c>
      <c r="X16">
        <f>((735.83/  22668000000000000)*   7614800000000000)</f>
        <v>247.18538397741312</v>
      </c>
      <c r="Y16">
        <f t="shared" ref="Y16:AF16" si="15">((735.83/  22668000000000000)*   7614800000000000)</f>
        <v>247.18538397741312</v>
      </c>
      <c r="Z16">
        <f t="shared" si="15"/>
        <v>247.18538397741312</v>
      </c>
      <c r="AA16">
        <f t="shared" si="15"/>
        <v>247.18538397741312</v>
      </c>
      <c r="AB16">
        <f t="shared" si="15"/>
        <v>247.18538397741312</v>
      </c>
      <c r="AC16">
        <f t="shared" si="15"/>
        <v>247.18538397741312</v>
      </c>
      <c r="AD16">
        <f t="shared" si="15"/>
        <v>247.18538397741312</v>
      </c>
      <c r="AE16">
        <f t="shared" si="15"/>
        <v>247.18538397741312</v>
      </c>
      <c r="AF16">
        <f t="shared" si="15"/>
        <v>247.18538397741312</v>
      </c>
      <c r="AH16" t="s">
        <v>7</v>
      </c>
      <c r="AI16">
        <f>((735.83/  22668000000000000)*   4102800000000000)</f>
        <v>133.18172419269456</v>
      </c>
      <c r="AJ16">
        <f>((735.83/  22668000000000000)*   4102800000000000)</f>
        <v>133.18172419269456</v>
      </c>
      <c r="AK16">
        <f t="shared" ref="AK16:AQ16" si="16">((735.83/  22668000000000000)*   4102800000000000)</f>
        <v>133.18172419269456</v>
      </c>
      <c r="AL16">
        <f t="shared" si="16"/>
        <v>133.18172419269456</v>
      </c>
      <c r="AM16">
        <f t="shared" si="16"/>
        <v>133.18172419269456</v>
      </c>
      <c r="AN16">
        <f t="shared" si="16"/>
        <v>133.18172419269456</v>
      </c>
      <c r="AO16">
        <f>((735.83/  22668000000000000)*   4102800000000000)</f>
        <v>133.18172419269456</v>
      </c>
      <c r="AP16">
        <f t="shared" si="16"/>
        <v>133.18172419269456</v>
      </c>
      <c r="AQ16">
        <f t="shared" si="16"/>
        <v>133.18172419269456</v>
      </c>
    </row>
    <row r="17" spans="1:43" x14ac:dyDescent="0.25">
      <c r="A17" t="s">
        <v>8</v>
      </c>
      <c r="B17">
        <f>(B15/B16)</f>
        <v>3.1135894226054872</v>
      </c>
      <c r="C17">
        <f t="shared" ref="C17:J17" si="17">(C15/C16)</f>
        <v>1.3429531616605455</v>
      </c>
      <c r="D17">
        <f t="shared" si="17"/>
        <v>0.18605202865635234</v>
      </c>
      <c r="E17">
        <f t="shared" si="17"/>
        <v>3.3008666292492286E-2</v>
      </c>
      <c r="F17">
        <f t="shared" si="17"/>
        <v>9.1097911642953437E-3</v>
      </c>
      <c r="G17">
        <f t="shared" si="17"/>
        <v>3.5387882900260524E-3</v>
      </c>
      <c r="H17">
        <f t="shared" si="17"/>
        <v>1.7075706474927075E-3</v>
      </c>
      <c r="I17">
        <f t="shared" si="17"/>
        <v>9.5417087497112686E-4</v>
      </c>
      <c r="J17">
        <f t="shared" si="17"/>
        <v>3.772757763746783E-4</v>
      </c>
      <c r="L17" t="s">
        <v>8</v>
      </c>
      <c r="M17">
        <f>(M15/M16)</f>
        <v>3.2208526425940773</v>
      </c>
      <c r="N17">
        <f t="shared" ref="N17:U17" si="18">(N15/N16)</f>
        <v>1.8344248504491369</v>
      </c>
      <c r="O17">
        <f t="shared" si="18"/>
        <v>0.33746389843427976</v>
      </c>
      <c r="P17">
        <f t="shared" si="18"/>
        <v>6.7296061840210364E-2</v>
      </c>
      <c r="Q17">
        <f t="shared" si="18"/>
        <v>1.9437950243074386E-2</v>
      </c>
      <c r="R17">
        <f t="shared" si="18"/>
        <v>7.6912966380940874E-3</v>
      </c>
      <c r="S17">
        <f t="shared" si="18"/>
        <v>3.7385051396790696E-3</v>
      </c>
      <c r="T17">
        <f t="shared" si="18"/>
        <v>2.09028177300453E-3</v>
      </c>
      <c r="U17">
        <f t="shared" si="18"/>
        <v>8.3082978338309098E-4</v>
      </c>
      <c r="W17" t="s">
        <v>8</v>
      </c>
      <c r="X17">
        <f>(X15/X16)</f>
        <v>0.32516073750247332</v>
      </c>
      <c r="Y17">
        <f t="shared" ref="Y17:AF17" si="19">(Y15/Y16)</f>
        <v>0.40575575623418497</v>
      </c>
      <c r="Z17">
        <f t="shared" si="19"/>
        <v>0.27294689202610012</v>
      </c>
      <c r="AA17">
        <f t="shared" si="19"/>
        <v>0.11156902172644244</v>
      </c>
      <c r="AB17">
        <f t="shared" si="19"/>
        <v>4.4078105569671643E-2</v>
      </c>
      <c r="AC17">
        <f t="shared" si="19"/>
        <v>1.9852825890939008E-2</v>
      </c>
      <c r="AD17">
        <f t="shared" si="19"/>
        <v>1.0220684388903391E-2</v>
      </c>
      <c r="AE17">
        <f t="shared" si="19"/>
        <v>5.8740115786321276E-3</v>
      </c>
      <c r="AF17">
        <f t="shared" si="19"/>
        <v>2.3979992092591248E-3</v>
      </c>
      <c r="AH17" t="s">
        <v>8</v>
      </c>
      <c r="AI17">
        <f>(AI15/AI16)</f>
        <v>7.9498550335733525E-2</v>
      </c>
      <c r="AJ17">
        <f t="shared" ref="AJ17:AQ17" si="20">(AJ15/AJ16)</f>
        <v>9.5664850554478986E-2</v>
      </c>
      <c r="AK17">
        <f t="shared" si="20"/>
        <v>0.10252100240200614</v>
      </c>
      <c r="AL17">
        <f t="shared" si="20"/>
        <v>7.4816133570473217E-2</v>
      </c>
      <c r="AM17">
        <f t="shared" si="20"/>
        <v>4.484388132136824E-2</v>
      </c>
      <c r="AN17">
        <f t="shared" si="20"/>
        <v>2.5510626814527732E-2</v>
      </c>
      <c r="AO17">
        <f t="shared" si="20"/>
        <v>1.5041836630591714E-2</v>
      </c>
      <c r="AP17">
        <f t="shared" si="20"/>
        <v>9.2110315199828829E-3</v>
      </c>
      <c r="AQ17">
        <f t="shared" si="20"/>
        <v>4.0480005609043884E-3</v>
      </c>
    </row>
    <row r="18" spans="1:43" x14ac:dyDescent="0.25">
      <c r="E18">
        <f>(MEDIAN(E17:I17))</f>
        <v>3.5387882900260524E-3</v>
      </c>
      <c r="P18">
        <f>(MEDIAN(P17:T17))</f>
        <v>7.6912966380940874E-3</v>
      </c>
      <c r="AA18">
        <f>(MEDIAN(AA17:AE17))</f>
        <v>1.9852825890939008E-2</v>
      </c>
      <c r="AL18">
        <f>(MEDIAN(AL17:AP17))</f>
        <v>2.5510626814527732E-2</v>
      </c>
    </row>
    <row r="20" spans="1:43" x14ac:dyDescent="0.25">
      <c r="A20" s="4" t="s">
        <v>13</v>
      </c>
      <c r="B20" t="s">
        <v>1</v>
      </c>
      <c r="L20" s="5" t="s">
        <v>14</v>
      </c>
      <c r="M20" t="s">
        <v>1</v>
      </c>
      <c r="W20" s="6" t="s">
        <v>15</v>
      </c>
      <c r="X20" t="s">
        <v>1</v>
      </c>
      <c r="AH20" s="7" t="s">
        <v>16</v>
      </c>
      <c r="AI20" t="s">
        <v>1</v>
      </c>
    </row>
    <row r="21" spans="1:43" x14ac:dyDescent="0.25">
      <c r="A21" t="s">
        <v>5</v>
      </c>
      <c r="B21">
        <v>0.75</v>
      </c>
      <c r="C21">
        <v>1</v>
      </c>
      <c r="D21">
        <v>1.5</v>
      </c>
      <c r="E21">
        <v>2</v>
      </c>
      <c r="F21">
        <v>2.5</v>
      </c>
      <c r="G21">
        <v>3</v>
      </c>
      <c r="H21">
        <v>3.5</v>
      </c>
      <c r="I21">
        <v>4</v>
      </c>
      <c r="J21">
        <v>5</v>
      </c>
      <c r="L21" t="s">
        <v>5</v>
      </c>
      <c r="M21">
        <v>0.75</v>
      </c>
      <c r="N21">
        <v>1</v>
      </c>
      <c r="O21">
        <v>1.5</v>
      </c>
      <c r="P21">
        <v>2</v>
      </c>
      <c r="Q21">
        <v>2.5</v>
      </c>
      <c r="R21">
        <v>3</v>
      </c>
      <c r="S21">
        <v>3.5</v>
      </c>
      <c r="T21">
        <v>4</v>
      </c>
      <c r="U21">
        <v>5</v>
      </c>
      <c r="W21" t="s">
        <v>5</v>
      </c>
      <c r="X21">
        <v>0.75</v>
      </c>
      <c r="Y21">
        <v>1</v>
      </c>
      <c r="Z21">
        <v>1.5</v>
      </c>
      <c r="AA21">
        <v>2</v>
      </c>
      <c r="AB21">
        <v>2.5</v>
      </c>
      <c r="AC21">
        <v>3</v>
      </c>
      <c r="AD21">
        <v>3.5</v>
      </c>
      <c r="AE21">
        <v>4</v>
      </c>
      <c r="AF21">
        <v>5</v>
      </c>
      <c r="AH21" t="s">
        <v>5</v>
      </c>
      <c r="AI21">
        <v>0.75</v>
      </c>
      <c r="AJ21">
        <v>1</v>
      </c>
      <c r="AK21">
        <v>1.5</v>
      </c>
      <c r="AL21">
        <v>2</v>
      </c>
      <c r="AM21">
        <v>2.5</v>
      </c>
      <c r="AN21">
        <v>3</v>
      </c>
      <c r="AO21">
        <v>3.5</v>
      </c>
      <c r="AP21">
        <v>4</v>
      </c>
      <c r="AQ21">
        <v>5</v>
      </c>
    </row>
    <row r="22" spans="1:43" x14ac:dyDescent="0.25">
      <c r="A22" t="s">
        <v>6</v>
      </c>
      <c r="B22">
        <f>((232.60688/1462800000000000)*9208900000000)</f>
        <v>1.4643515841071915</v>
      </c>
      <c r="C22">
        <f>(8580000000000*((232.60688/1462800000000000)))</f>
        <v>1.3643471632485642</v>
      </c>
      <c r="D22">
        <f>(5430000000000*((232.60688/1462800000000000)))</f>
        <v>0.86345047744052494</v>
      </c>
      <c r="E22">
        <f>(2710000000000*((232.60688/1462800000000000)))</f>
        <v>0.43093016461580524</v>
      </c>
      <c r="F22">
        <f>( 1227000000000*(232.60688/1462800000000000))</f>
        <v>0.19511118523379817</v>
      </c>
      <c r="G22" s="3">
        <f>(543000000000*(232.60688/1462800000000000))</f>
        <v>8.6345047744052494E-2</v>
      </c>
      <c r="H22" s="3">
        <f>(  235160000000*(232.60688/1462800000000000))</f>
        <v>3.7393925280831276E-2</v>
      </c>
      <c r="I22">
        <f>(104000000000*(232.60688/1462800000000000))</f>
        <v>1.6537541372709869E-2</v>
      </c>
      <c r="J22">
        <f>(20700000000*(232.60688/1462800000000000))</f>
        <v>3.2916067924528298E-3</v>
      </c>
      <c r="L22" t="s">
        <v>6</v>
      </c>
      <c r="M22">
        <f>((1.46/9208900000000)*  2219400000000)</f>
        <v>0.3518687356796143</v>
      </c>
      <c r="N22">
        <f>((1.46/9208900000000)*    2273200000000)</f>
        <v>0.36039831033022401</v>
      </c>
      <c r="O22">
        <f>((1.46/9208900000000)*  1790600000000)</f>
        <v>0.28388580612233816</v>
      </c>
      <c r="P22">
        <f>((1.46/9208900000000)*    1105300000000)</f>
        <v>0.17523678180890226</v>
      </c>
      <c r="Q22">
        <f>((1.46/9208900000000)*   594760000000)</f>
        <v>9.4294606304770379E-2</v>
      </c>
      <c r="R22">
        <f>((1.46/9208900000000)*    295620000000)</f>
        <v>4.6868268740023235E-2</v>
      </c>
      <c r="S22">
        <f>((1.46/9208900000000)*   142910000000)</f>
        <v>2.2657277199231177E-2</v>
      </c>
      <c r="T22">
        <f>((1.46/9208900000000)*    67420000000)</f>
        <v>1.0688920500819859E-2</v>
      </c>
      <c r="U22">
        <f>((1.46/9208900000000)*   14923000000)</f>
        <v>2.3659264407258195E-3</v>
      </c>
      <c r="W22" t="s">
        <v>6</v>
      </c>
      <c r="X22">
        <f>((0.35/2219400000000)*598770000000)</f>
        <v>9.4426196269261964E-2</v>
      </c>
      <c r="Y22">
        <f>((0.35/2219400000000)*  652700000000)</f>
        <v>0.10293097233486527</v>
      </c>
      <c r="Z22">
        <f>((0.35/2219400000000)* 598230000000)</f>
        <v>9.4341038118410381E-2</v>
      </c>
      <c r="AA22">
        <f>((0.35/2219400000000)*432280000000)</f>
        <v>6.8170676759484544E-2</v>
      </c>
      <c r="AB22">
        <f>((0.35/2219400000000)* 266250000000)</f>
        <v>4.1987699378210327E-2</v>
      </c>
      <c r="AC22">
        <f>((0.35/2219400000000)*149920000000)</f>
        <v>2.3642425880868703E-2</v>
      </c>
      <c r="AD22">
        <f>((0.35/2219400000000)*78893000000)</f>
        <v>1.2441448139136703E-2</v>
      </c>
      <c r="AE22">
        <f>((0.35/2219400000000)*  40326000000)</f>
        <v>6.3594214652608816E-3</v>
      </c>
      <c r="AF22">
        <f>((0.35/2219400000000)*10050000000)</f>
        <v>1.5848878075155448E-3</v>
      </c>
      <c r="AH22" t="s">
        <v>6</v>
      </c>
      <c r="AI22" s="3">
        <f>(179000000000*(0.094/598770000000))</f>
        <v>2.8100940260868113E-2</v>
      </c>
      <c r="AJ22" s="3">
        <f>(202000000000*(0.094/598770000000))</f>
        <v>3.1711675601650051E-2</v>
      </c>
      <c r="AK22" s="3">
        <f>((0.094/598770000000))*206000000000</f>
        <v>3.2339629573959951E-2</v>
      </c>
      <c r="AL22" s="3">
        <f>(166000000000*(0.094/598770000000))</f>
        <v>2.6060089850860932E-2</v>
      </c>
      <c r="AM22" s="3">
        <f>( 114790000000*(0.094/598770000000))</f>
        <v>1.8020709120363413E-2</v>
      </c>
      <c r="AN22" s="3">
        <f>((0.094/598770000000)*71600000000)</f>
        <v>1.1240376104347244E-2</v>
      </c>
      <c r="AO22" s="3">
        <f>(  41545000000*(0.094/598770000000))</f>
        <v>6.5220869449037194E-3</v>
      </c>
      <c r="AP22" s="3">
        <f>(22900000000*(0.094/598770000000))</f>
        <v>3.5950364914741888E-3</v>
      </c>
      <c r="AQ22" s="3">
        <f>((0.094/598770000000)*6339200000)</f>
        <v>9.951814553167326E-4</v>
      </c>
    </row>
    <row r="23" spans="1:43" x14ac:dyDescent="0.25">
      <c r="A23" t="s">
        <v>11</v>
      </c>
      <c r="B23">
        <f>((1702.25/ 40155000000000000)*  1291300000000000)</f>
        <v>54.740765160004976</v>
      </c>
      <c r="C23">
        <f t="shared" ref="C23:J23" si="21">((1702.25/ 40155000000000000)*  1291300000000000)</f>
        <v>54.740765160004976</v>
      </c>
      <c r="D23">
        <f t="shared" si="21"/>
        <v>54.740765160004976</v>
      </c>
      <c r="E23">
        <f t="shared" si="21"/>
        <v>54.740765160004976</v>
      </c>
      <c r="F23">
        <f t="shared" si="21"/>
        <v>54.740765160004976</v>
      </c>
      <c r="G23">
        <f t="shared" si="21"/>
        <v>54.740765160004976</v>
      </c>
      <c r="H23">
        <f t="shared" si="21"/>
        <v>54.740765160004976</v>
      </c>
      <c r="I23">
        <f t="shared" si="21"/>
        <v>54.740765160004976</v>
      </c>
      <c r="J23">
        <f t="shared" si="21"/>
        <v>54.740765160004976</v>
      </c>
      <c r="L23" t="s">
        <v>11</v>
      </c>
      <c r="M23">
        <f>((54.74/1291300000000000)*489290000000000)</f>
        <v>20.741682490513437</v>
      </c>
      <c r="N23">
        <f t="shared" ref="N23:U23" si="22">((54.74/1291300000000000)*489290000000000)</f>
        <v>20.741682490513437</v>
      </c>
      <c r="O23">
        <f t="shared" si="22"/>
        <v>20.741682490513437</v>
      </c>
      <c r="P23">
        <f t="shared" si="22"/>
        <v>20.741682490513437</v>
      </c>
      <c r="Q23">
        <f t="shared" si="22"/>
        <v>20.741682490513437</v>
      </c>
      <c r="R23">
        <f t="shared" si="22"/>
        <v>20.741682490513437</v>
      </c>
      <c r="S23">
        <f t="shared" si="22"/>
        <v>20.741682490513437</v>
      </c>
      <c r="T23">
        <f t="shared" si="22"/>
        <v>20.741682490513437</v>
      </c>
      <c r="U23">
        <f t="shared" si="22"/>
        <v>20.741682490513437</v>
      </c>
      <c r="W23" t="s">
        <v>11</v>
      </c>
      <c r="X23">
        <f>(20.74/489290000000000)*198170000000000</f>
        <v>8.4000200290216434</v>
      </c>
      <c r="Y23">
        <f t="shared" ref="Y23:AF23" si="23">(20.74/489290000000000)*198170000000000</f>
        <v>8.4000200290216434</v>
      </c>
      <c r="Z23">
        <f t="shared" si="23"/>
        <v>8.4000200290216434</v>
      </c>
      <c r="AA23">
        <f t="shared" si="23"/>
        <v>8.4000200290216434</v>
      </c>
      <c r="AB23">
        <f t="shared" si="23"/>
        <v>8.4000200290216434</v>
      </c>
      <c r="AC23">
        <f t="shared" si="23"/>
        <v>8.4000200290216434</v>
      </c>
      <c r="AD23">
        <f t="shared" si="23"/>
        <v>8.4000200290216434</v>
      </c>
      <c r="AE23">
        <f t="shared" si="23"/>
        <v>8.4000200290216434</v>
      </c>
      <c r="AF23">
        <f t="shared" si="23"/>
        <v>8.4000200290216434</v>
      </c>
      <c r="AH23" t="s">
        <v>11</v>
      </c>
      <c r="AI23">
        <f>(83780000000000* (8.4/198170000000000))</f>
        <v>3.5512539738608266</v>
      </c>
      <c r="AJ23">
        <f t="shared" ref="AJ23:AQ23" si="24">(83780000000000* (8.4/198170000000000))</f>
        <v>3.5512539738608266</v>
      </c>
      <c r="AK23">
        <f t="shared" si="24"/>
        <v>3.5512539738608266</v>
      </c>
      <c r="AL23">
        <f t="shared" si="24"/>
        <v>3.5512539738608266</v>
      </c>
      <c r="AM23">
        <f t="shared" si="24"/>
        <v>3.5512539738608266</v>
      </c>
      <c r="AN23">
        <f t="shared" si="24"/>
        <v>3.5512539738608266</v>
      </c>
      <c r="AO23">
        <f t="shared" si="24"/>
        <v>3.5512539738608266</v>
      </c>
      <c r="AP23">
        <f t="shared" si="24"/>
        <v>3.5512539738608266</v>
      </c>
      <c r="AQ23">
        <f t="shared" si="24"/>
        <v>3.5512539738608266</v>
      </c>
    </row>
    <row r="24" spans="1:43" x14ac:dyDescent="0.25">
      <c r="A24" t="s">
        <v>8</v>
      </c>
      <c r="B24">
        <f>(B22/B23)</f>
        <v>2.6750659765660066E-2</v>
      </c>
      <c r="C24">
        <f t="shared" ref="C24:J24" si="25">(C22/C23)</f>
        <v>2.492378685721024E-2</v>
      </c>
      <c r="D24">
        <f t="shared" si="25"/>
        <v>1.5773445528514174E-2</v>
      </c>
      <c r="E24">
        <f t="shared" si="25"/>
        <v>7.8721984129416951E-3</v>
      </c>
      <c r="F24">
        <f t="shared" si="25"/>
        <v>3.5642758127968489E-3</v>
      </c>
      <c r="G24">
        <f t="shared" si="25"/>
        <v>1.5773445528514173E-3</v>
      </c>
      <c r="H24">
        <f t="shared" si="25"/>
        <v>6.8310929106544984E-4</v>
      </c>
      <c r="I24">
        <f t="shared" si="25"/>
        <v>3.0210650736012414E-4</v>
      </c>
      <c r="J24">
        <f t="shared" si="25"/>
        <v>6.0130814445717013E-5</v>
      </c>
      <c r="L24" t="s">
        <v>8</v>
      </c>
      <c r="M24">
        <f>(M22/M23)</f>
        <v>1.6964329477155361E-2</v>
      </c>
      <c r="N24">
        <f t="shared" ref="N24:U24" si="26">(N22/N23)</f>
        <v>1.7375558154217159E-2</v>
      </c>
      <c r="O24">
        <f t="shared" si="26"/>
        <v>1.3686729909792911E-2</v>
      </c>
      <c r="P24">
        <f t="shared" si="26"/>
        <v>8.4485326534648186E-3</v>
      </c>
      <c r="Q24">
        <f t="shared" si="26"/>
        <v>4.5461406685739034E-3</v>
      </c>
      <c r="R24">
        <f t="shared" si="26"/>
        <v>2.2596175002418074E-3</v>
      </c>
      <c r="S24">
        <f t="shared" si="26"/>
        <v>1.0923548371543086E-3</v>
      </c>
      <c r="T24">
        <f t="shared" si="26"/>
        <v>5.1533526779751931E-4</v>
      </c>
      <c r="U24">
        <f t="shared" si="26"/>
        <v>1.1406627412255087E-4</v>
      </c>
      <c r="W24" t="s">
        <v>8</v>
      </c>
      <c r="X24">
        <f>(X22/X23)</f>
        <v>1.1241187038009939E-2</v>
      </c>
      <c r="Y24">
        <f t="shared" ref="Y24:AF24" si="27">(Y22/Y23)</f>
        <v>1.225365796501008E-2</v>
      </c>
      <c r="Z24">
        <f t="shared" si="27"/>
        <v>1.1231049187081326E-2</v>
      </c>
      <c r="AA24">
        <f t="shared" si="27"/>
        <v>8.1155374063345467E-3</v>
      </c>
      <c r="AB24">
        <f t="shared" si="27"/>
        <v>4.9985237217464902E-3</v>
      </c>
      <c r="AC24">
        <f t="shared" si="27"/>
        <v>2.8145677985511128E-3</v>
      </c>
      <c r="AD24">
        <f t="shared" si="27"/>
        <v>1.4811212468722849E-3</v>
      </c>
      <c r="AE24">
        <f t="shared" si="27"/>
        <v>7.5707217879116993E-4</v>
      </c>
      <c r="AF24">
        <f t="shared" si="27"/>
        <v>1.8867667006029006E-4</v>
      </c>
      <c r="AH24" t="s">
        <v>8</v>
      </c>
      <c r="AI24" s="3">
        <f>(AI22/AI23)</f>
        <v>7.9129627077382855E-3</v>
      </c>
      <c r="AJ24">
        <f t="shared" ref="AJ24:AQ24" si="28">(AJ22/AJ23)</f>
        <v>8.9297121059392949E-3</v>
      </c>
      <c r="AK24">
        <f t="shared" si="28"/>
        <v>9.1065380882351214E-3</v>
      </c>
      <c r="AL24">
        <f t="shared" si="28"/>
        <v>7.3382782652768458E-3</v>
      </c>
      <c r="AM24">
        <f t="shared" si="28"/>
        <v>5.0744636269345134E-3</v>
      </c>
      <c r="AN24">
        <f t="shared" si="28"/>
        <v>3.1651850830953141E-3</v>
      </c>
      <c r="AO24">
        <f t="shared" si="28"/>
        <v>1.8365588586200395E-3</v>
      </c>
      <c r="AP24">
        <f t="shared" si="28"/>
        <v>1.0123287486436131E-3</v>
      </c>
      <c r="AQ24">
        <f t="shared" si="28"/>
        <v>2.8023381674242755E-4</v>
      </c>
    </row>
    <row r="26" spans="1:43" x14ac:dyDescent="0.25">
      <c r="B26" t="s">
        <v>9</v>
      </c>
      <c r="M26" t="s">
        <v>9</v>
      </c>
      <c r="X26" t="s">
        <v>9</v>
      </c>
      <c r="AI26" t="s">
        <v>9</v>
      </c>
    </row>
    <row r="27" spans="1:43" x14ac:dyDescent="0.25">
      <c r="A27" t="s">
        <v>5</v>
      </c>
      <c r="B27">
        <v>0.75</v>
      </c>
      <c r="C27">
        <v>1</v>
      </c>
      <c r="D27">
        <v>1.5</v>
      </c>
      <c r="E27">
        <v>2</v>
      </c>
      <c r="F27">
        <v>2.5</v>
      </c>
      <c r="G27">
        <v>3</v>
      </c>
      <c r="H27">
        <v>3.5</v>
      </c>
      <c r="I27">
        <v>4</v>
      </c>
      <c r="J27">
        <v>5</v>
      </c>
      <c r="L27" t="s">
        <v>5</v>
      </c>
      <c r="M27">
        <v>0.75</v>
      </c>
      <c r="N27">
        <v>1</v>
      </c>
      <c r="O27">
        <v>1.5</v>
      </c>
      <c r="P27">
        <v>2</v>
      </c>
      <c r="Q27">
        <v>2.5</v>
      </c>
      <c r="R27">
        <v>3</v>
      </c>
      <c r="S27">
        <v>3.5</v>
      </c>
      <c r="T27">
        <v>4</v>
      </c>
      <c r="U27">
        <v>5</v>
      </c>
      <c r="W27" t="s">
        <v>5</v>
      </c>
      <c r="X27">
        <v>0.75</v>
      </c>
      <c r="Y27">
        <v>1</v>
      </c>
      <c r="Z27">
        <v>1.5</v>
      </c>
      <c r="AA27">
        <v>2</v>
      </c>
      <c r="AB27">
        <v>2.5</v>
      </c>
      <c r="AC27">
        <v>3</v>
      </c>
      <c r="AD27">
        <v>3.5</v>
      </c>
      <c r="AE27">
        <v>4</v>
      </c>
      <c r="AF27">
        <v>5</v>
      </c>
      <c r="AH27" t="s">
        <v>5</v>
      </c>
      <c r="AI27">
        <v>0.75</v>
      </c>
      <c r="AJ27">
        <v>1</v>
      </c>
      <c r="AK27">
        <v>1.5</v>
      </c>
      <c r="AL27">
        <v>2</v>
      </c>
      <c r="AM27">
        <v>2.5</v>
      </c>
      <c r="AN27">
        <v>3</v>
      </c>
      <c r="AO27">
        <v>3.5</v>
      </c>
      <c r="AP27">
        <v>4</v>
      </c>
      <c r="AQ27">
        <v>5</v>
      </c>
    </row>
    <row r="28" spans="1:43" x14ac:dyDescent="0.25">
      <c r="A28" t="s">
        <v>6</v>
      </c>
      <c r="B28">
        <f>((10100/  2400500000000000)*  5930000000000)</f>
        <v>24.950218704436576</v>
      </c>
      <c r="C28" s="3">
        <f>(6210000000000*(10100/  2400500000000000))</f>
        <v>26.128306602791085</v>
      </c>
      <c r="D28" s="3">
        <f>(5630000000000*(10100/  2400500000000000))</f>
        <v>23.687981670485314</v>
      </c>
      <c r="E28" s="3">
        <f>(4030000000000*(10100/  2400500000000000))</f>
        <v>16.956050822745262</v>
      </c>
      <c r="F28" s="3">
        <f>(2482600000000*(10100/  2400500000000000))</f>
        <v>10.44543220162466</v>
      </c>
      <c r="G28" s="3">
        <f>(1450000000000*(10100/2400500000000000))</f>
        <v>6.1008123307644242</v>
      </c>
      <c r="H28" s="3">
        <f>(840700000000*((10100/2400500000000000)))</f>
        <v>3.5372089148094146</v>
      </c>
      <c r="I28" s="3">
        <f>(492000000000*(10100/2400500000000000))</f>
        <v>2.0700687356800667</v>
      </c>
      <c r="J28" s="3">
        <f>(177000000000*(10100/  2400500000000000))</f>
        <v>0.74471985003124341</v>
      </c>
      <c r="K28" s="3"/>
      <c r="L28" t="s">
        <v>6</v>
      </c>
      <c r="M28">
        <f>((24.95/5930000000000)*2355500000000)</f>
        <v>9.9105775716694779</v>
      </c>
      <c r="N28" s="3">
        <f>((24.95/5930000000000)*  2467800000000)</f>
        <v>10.383070826306914</v>
      </c>
      <c r="O28" s="3">
        <f>((24.95/5930000000000)*  2365000000000)</f>
        <v>9.9505480607082628</v>
      </c>
      <c r="P28" s="3">
        <f>((24.95/5930000000000)*  1910700000000)</f>
        <v>8.0391172006745375</v>
      </c>
      <c r="Q28" s="3">
        <f>((24.95/5930000000000)* 1357500000000)</f>
        <v>5.7115725126475549</v>
      </c>
      <c r="R28" s="3">
        <f>((24.95/5930000000000)*  895040000000)</f>
        <v>3.7658091062394607</v>
      </c>
      <c r="S28" s="3">
        <f>((24.95/5930000000000)*  566290000000)</f>
        <v>2.3826198145025295</v>
      </c>
      <c r="T28" s="3">
        <f>((24.95/5930000000000)*  357000000000)</f>
        <v>1.5020489038785836</v>
      </c>
      <c r="U28" s="3">
        <f>((24.95/5930000000000)* 140690000000)</f>
        <v>0.5919419055649241</v>
      </c>
      <c r="W28" t="s">
        <v>6</v>
      </c>
      <c r="X28">
        <f>((9.91/2355500000000)* 1039300000000)</f>
        <v>4.372516663128847</v>
      </c>
      <c r="Y28">
        <f>((9.91/2355500000000)*1098400000000)</f>
        <v>4.6211606877520692</v>
      </c>
      <c r="Z28">
        <f>((9.91/2355500000000)* 1100300000000)</f>
        <v>4.629154319677351</v>
      </c>
      <c r="AA28">
        <f>((9.91/2355500000000)*955430000000)</f>
        <v>4.0196609212481427</v>
      </c>
      <c r="AB28">
        <f>((9.91/2355500000000)*745910000000)</f>
        <v>3.1381736786244958</v>
      </c>
      <c r="AC28">
        <f>((9.91/2355500000000)*  536910000000)</f>
        <v>2.2588741668435577</v>
      </c>
      <c r="AD28">
        <f>((9.91/2355500000000)*368890000000)</f>
        <v>1.5519846741668435</v>
      </c>
      <c r="AE28">
        <f>((9.91/2355500000000)* 247480000000)</f>
        <v>1.0411915941413712</v>
      </c>
      <c r="AF28">
        <f>((9.91/2355500000000)*  107300000000)</f>
        <v>0.45142984504351519</v>
      </c>
      <c r="AH28" t="s">
        <v>6</v>
      </c>
      <c r="AI28" s="3">
        <f>((4.37/1039300000000)*488000000000)</f>
        <v>2.0519195612431447</v>
      </c>
      <c r="AJ28" s="3">
        <f>(520000000000*(4.37/1039300000000))</f>
        <v>2.1864716636197441</v>
      </c>
      <c r="AK28" s="3">
        <f>(536000000000*(4.37/1039300000000))</f>
        <v>2.253747714808044</v>
      </c>
      <c r="AL28" s="3">
        <f>(495000000000*((4.37/1039300000000)))</f>
        <v>2.0813528336380256</v>
      </c>
      <c r="AM28" s="3">
        <f>( 412440000000*(4.37/1039300000000))</f>
        <v>1.7342084095063988</v>
      </c>
      <c r="AN28" s="3">
        <f>(321000000000*(4.37/1039300000000))</f>
        <v>1.3497257769652651</v>
      </c>
      <c r="AO28" s="3">
        <f>(234490000000*(4.37/1039300000000))</f>
        <v>0.98597257769652658</v>
      </c>
      <c r="AP28" s="3">
        <f>(167000000000*(4.37/1039300000000))</f>
        <v>0.70219378427787937</v>
      </c>
      <c r="AQ28" s="3">
        <f>(79700000000*(4.37/1039300000000))</f>
        <v>0.33511882998171849</v>
      </c>
    </row>
    <row r="29" spans="1:43" x14ac:dyDescent="0.25">
      <c r="A29" t="s">
        <v>11</v>
      </c>
      <c r="B29">
        <f>((12352.6264/  23812000000000000)*1957100000000000)</f>
        <v>1015.2580685133546</v>
      </c>
      <c r="C29">
        <f t="shared" ref="C29:J29" si="29">((12352.6264/  23812000000000000)*1957100000000000)</f>
        <v>1015.2580685133546</v>
      </c>
      <c r="D29">
        <f t="shared" si="29"/>
        <v>1015.2580685133546</v>
      </c>
      <c r="E29">
        <f t="shared" si="29"/>
        <v>1015.2580685133546</v>
      </c>
      <c r="F29">
        <f t="shared" si="29"/>
        <v>1015.2580685133546</v>
      </c>
      <c r="G29">
        <f t="shared" si="29"/>
        <v>1015.2580685133546</v>
      </c>
      <c r="H29">
        <f t="shared" si="29"/>
        <v>1015.2580685133546</v>
      </c>
      <c r="I29">
        <f t="shared" si="29"/>
        <v>1015.2580685133546</v>
      </c>
      <c r="J29">
        <f t="shared" si="29"/>
        <v>1015.2580685133546</v>
      </c>
      <c r="L29" t="s">
        <v>11</v>
      </c>
      <c r="M29">
        <f>((1015.26/1957100000000000)*  1110400000000000)</f>
        <v>576.02815594502067</v>
      </c>
      <c r="N29">
        <f t="shared" ref="N29:U29" si="30">((1015.26/1957100000000000)*  1110400000000000)</f>
        <v>576.02815594502067</v>
      </c>
      <c r="O29">
        <f t="shared" si="30"/>
        <v>576.02815594502067</v>
      </c>
      <c r="P29">
        <f t="shared" si="30"/>
        <v>576.02815594502067</v>
      </c>
      <c r="Q29">
        <f t="shared" si="30"/>
        <v>576.02815594502067</v>
      </c>
      <c r="R29">
        <f t="shared" si="30"/>
        <v>576.02815594502067</v>
      </c>
      <c r="S29">
        <f t="shared" si="30"/>
        <v>576.02815594502067</v>
      </c>
      <c r="T29">
        <f t="shared" si="30"/>
        <v>576.02815594502067</v>
      </c>
      <c r="U29">
        <f t="shared" si="30"/>
        <v>576.02815594502067</v>
      </c>
      <c r="W29" t="s">
        <v>11</v>
      </c>
      <c r="X29">
        <f>((576/ 1110400000000000)*658330000000000)</f>
        <v>341.49682997118157</v>
      </c>
      <c r="Y29">
        <f t="shared" ref="Y29:AF29" si="31">((576/ 1110400000000000)*658330000000000)</f>
        <v>341.49682997118157</v>
      </c>
      <c r="Z29">
        <f t="shared" si="31"/>
        <v>341.49682997118157</v>
      </c>
      <c r="AA29">
        <f t="shared" si="31"/>
        <v>341.49682997118157</v>
      </c>
      <c r="AB29">
        <f t="shared" si="31"/>
        <v>341.49682997118157</v>
      </c>
      <c r="AC29">
        <f t="shared" si="31"/>
        <v>341.49682997118157</v>
      </c>
      <c r="AD29">
        <f t="shared" si="31"/>
        <v>341.49682997118157</v>
      </c>
      <c r="AE29">
        <f t="shared" si="31"/>
        <v>341.49682997118157</v>
      </c>
      <c r="AF29">
        <f t="shared" si="31"/>
        <v>341.49682997118157</v>
      </c>
      <c r="AH29" t="s">
        <v>11</v>
      </c>
      <c r="AI29">
        <f>((341.496/658330000000000)*  403290000000000)</f>
        <v>209.19891519450729</v>
      </c>
      <c r="AJ29">
        <f t="shared" ref="AJ29:AQ29" si="32">((341.496/658330000000000)*  403290000000000)</f>
        <v>209.19891519450729</v>
      </c>
      <c r="AK29">
        <f t="shared" si="32"/>
        <v>209.19891519450729</v>
      </c>
      <c r="AL29">
        <f t="shared" si="32"/>
        <v>209.19891519450729</v>
      </c>
      <c r="AM29">
        <f t="shared" si="32"/>
        <v>209.19891519450729</v>
      </c>
      <c r="AN29">
        <f t="shared" si="32"/>
        <v>209.19891519450729</v>
      </c>
      <c r="AO29">
        <f t="shared" si="32"/>
        <v>209.19891519450729</v>
      </c>
      <c r="AP29">
        <f t="shared" si="32"/>
        <v>209.19891519450729</v>
      </c>
      <c r="AQ29">
        <f t="shared" si="32"/>
        <v>209.19891519450729</v>
      </c>
    </row>
    <row r="30" spans="1:43" x14ac:dyDescent="0.25">
      <c r="A30" t="s">
        <v>8</v>
      </c>
      <c r="B30">
        <f>(B28/B29)</f>
        <v>2.4575247888422354E-2</v>
      </c>
      <c r="C30">
        <f t="shared" ref="C30:J30" si="33">(C28/C29)</f>
        <v>2.573563058804432E-2</v>
      </c>
      <c r="D30">
        <f t="shared" si="33"/>
        <v>2.333198071025596E-2</v>
      </c>
      <c r="E30">
        <f t="shared" si="33"/>
        <v>1.670122242670187E-2</v>
      </c>
      <c r="F30">
        <f t="shared" si="33"/>
        <v>1.0288450321719617E-2</v>
      </c>
      <c r="G30">
        <f t="shared" si="33"/>
        <v>6.009124694470896E-3</v>
      </c>
      <c r="H30">
        <f t="shared" si="33"/>
        <v>3.4840490556149531E-3</v>
      </c>
      <c r="I30">
        <f t="shared" si="33"/>
        <v>2.0389581721928832E-3</v>
      </c>
      <c r="J30">
        <f t="shared" si="33"/>
        <v>7.3352763511817136E-4</v>
      </c>
      <c r="L30" t="s">
        <v>8</v>
      </c>
      <c r="M30">
        <f>(M28/M29)</f>
        <v>1.7205022826376214E-2</v>
      </c>
      <c r="N30">
        <f t="shared" ref="N30:U30" si="34">(N28/N29)</f>
        <v>1.8025283519817966E-2</v>
      </c>
      <c r="O30">
        <f t="shared" si="34"/>
        <v>1.7274412644610375E-2</v>
      </c>
      <c r="P30">
        <f t="shared" si="34"/>
        <v>1.3956118494738712E-2</v>
      </c>
      <c r="Q30">
        <f t="shared" si="34"/>
        <v>9.9154398160924261E-3</v>
      </c>
      <c r="R30">
        <f t="shared" si="34"/>
        <v>6.5375434644533081E-3</v>
      </c>
      <c r="S30">
        <f t="shared" si="34"/>
        <v>4.1362905439815689E-3</v>
      </c>
      <c r="T30">
        <f t="shared" si="34"/>
        <v>2.6075963273259639E-3</v>
      </c>
      <c r="U30">
        <f t="shared" si="34"/>
        <v>1.027626687091008E-3</v>
      </c>
      <c r="W30" t="s">
        <v>8</v>
      </c>
      <c r="X30">
        <f>(X28/X29)</f>
        <v>1.2803974383884727E-2</v>
      </c>
      <c r="Y30">
        <f t="shared" ref="Y30:AF30" si="35">(Y28/Y29)</f>
        <v>1.3532074918944467E-2</v>
      </c>
      <c r="Z30">
        <f t="shared" si="35"/>
        <v>1.3555482550359248E-2</v>
      </c>
      <c r="AA30">
        <f t="shared" si="35"/>
        <v>1.1770712254012303E-2</v>
      </c>
      <c r="AB30">
        <f t="shared" si="35"/>
        <v>9.1894664992624442E-3</v>
      </c>
      <c r="AC30">
        <f t="shared" si="35"/>
        <v>6.6146270436366304E-3</v>
      </c>
      <c r="AD30">
        <f t="shared" si="35"/>
        <v>4.5446532382095997E-3</v>
      </c>
      <c r="AE30">
        <f t="shared" si="35"/>
        <v>3.0489055908051498E-3</v>
      </c>
      <c r="AF30">
        <f t="shared" si="35"/>
        <v>1.3219151846346881E-3</v>
      </c>
      <c r="AH30" t="s">
        <v>8</v>
      </c>
      <c r="AI30" s="3">
        <f>(AI28/AI29)</f>
        <v>9.8084617663305156E-3</v>
      </c>
      <c r="AJ30">
        <f t="shared" ref="AJ30:AQ30" si="36">(AJ28/AJ29)</f>
        <v>1.04516395870735E-2</v>
      </c>
      <c r="AK30">
        <f t="shared" si="36"/>
        <v>1.0773228497444992E-2</v>
      </c>
      <c r="AL30">
        <f t="shared" si="36"/>
        <v>9.9491569146180417E-3</v>
      </c>
      <c r="AM30">
        <f t="shared" si="36"/>
        <v>8.2897581371011424E-3</v>
      </c>
      <c r="AN30">
        <f t="shared" si="36"/>
        <v>6.4518775143280636E-3</v>
      </c>
      <c r="AO30">
        <f t="shared" si="36"/>
        <v>4.7130864745632012E-3</v>
      </c>
      <c r="AP30">
        <f t="shared" si="36"/>
        <v>3.3565842520024507E-3</v>
      </c>
      <c r="AQ30">
        <f t="shared" si="36"/>
        <v>1.601914759787996E-3</v>
      </c>
    </row>
    <row r="32" spans="1:43" x14ac:dyDescent="0.25">
      <c r="B32" t="s">
        <v>12</v>
      </c>
      <c r="M32" t="s">
        <v>12</v>
      </c>
      <c r="X32" t="s">
        <v>12</v>
      </c>
      <c r="AI32" t="s">
        <v>12</v>
      </c>
    </row>
    <row r="33" spans="1:43" x14ac:dyDescent="0.25">
      <c r="A33" t="s">
        <v>5</v>
      </c>
      <c r="B33">
        <v>0.75</v>
      </c>
      <c r="C33">
        <v>1</v>
      </c>
      <c r="D33">
        <v>1.5</v>
      </c>
      <c r="E33">
        <v>2</v>
      </c>
      <c r="F33">
        <v>2.5</v>
      </c>
      <c r="G33">
        <v>3</v>
      </c>
      <c r="H33">
        <v>3.5</v>
      </c>
      <c r="I33">
        <v>4</v>
      </c>
      <c r="J33">
        <v>5</v>
      </c>
      <c r="L33" t="s">
        <v>5</v>
      </c>
      <c r="M33">
        <v>0.75</v>
      </c>
      <c r="N33">
        <v>1</v>
      </c>
      <c r="O33">
        <v>1.5</v>
      </c>
      <c r="P33">
        <v>2</v>
      </c>
      <c r="Q33">
        <v>2.5</v>
      </c>
      <c r="R33">
        <v>3</v>
      </c>
      <c r="S33">
        <v>3.5</v>
      </c>
      <c r="T33">
        <v>4</v>
      </c>
      <c r="U33">
        <v>5</v>
      </c>
      <c r="W33" t="s">
        <v>5</v>
      </c>
      <c r="X33">
        <v>0.75</v>
      </c>
      <c r="Y33">
        <v>1</v>
      </c>
      <c r="Z33">
        <v>1.5</v>
      </c>
      <c r="AA33">
        <v>2</v>
      </c>
      <c r="AB33">
        <v>2.5</v>
      </c>
      <c r="AC33">
        <v>3</v>
      </c>
      <c r="AD33">
        <v>3.5</v>
      </c>
      <c r="AE33">
        <v>4</v>
      </c>
      <c r="AF33">
        <v>5</v>
      </c>
      <c r="AH33" t="s">
        <v>5</v>
      </c>
      <c r="AI33">
        <v>0.75</v>
      </c>
      <c r="AJ33">
        <v>1</v>
      </c>
      <c r="AK33">
        <v>1.5</v>
      </c>
      <c r="AL33">
        <v>2</v>
      </c>
      <c r="AM33">
        <v>2.5</v>
      </c>
      <c r="AN33">
        <v>3</v>
      </c>
      <c r="AO33">
        <v>3.5</v>
      </c>
      <c r="AP33">
        <v>4</v>
      </c>
      <c r="AQ33">
        <v>5</v>
      </c>
    </row>
    <row r="34" spans="1:43" x14ac:dyDescent="0.25">
      <c r="A34" t="s">
        <v>6</v>
      </c>
      <c r="B34">
        <f>((2370/  2603300000000000)*  4443100000000)</f>
        <v>4.044922598240694</v>
      </c>
      <c r="C34">
        <f>(4918100000000*(2370/  2603300000000000))</f>
        <v>4.4773545115814537</v>
      </c>
      <c r="D34">
        <f>(5346400000000*(2370/  2603300000000000))</f>
        <v>4.8672715399685016</v>
      </c>
      <c r="E34">
        <f>( 4701700000000*(2370/  2603300000000000))</f>
        <v>4.2803476356931585</v>
      </c>
      <c r="F34">
        <f>(3528500000000*(2370/  2603300000000000))</f>
        <v>3.2122863288902543</v>
      </c>
      <c r="G34">
        <f>(2404700000000*(2370/  2603300000000000))</f>
        <v>2.1891979410747897</v>
      </c>
      <c r="H34">
        <f>(1604900000000*(2370/  2603300000000000))</f>
        <v>1.4610736373064954</v>
      </c>
      <c r="I34">
        <f>(1069900000000*(2370/  2603300000000000))</f>
        <v>0.97401874543848188</v>
      </c>
      <c r="J34">
        <f>( 517150000000*(2370/  2603300000000000))</f>
        <v>0.4708045557561556</v>
      </c>
      <c r="L34" t="s">
        <v>6</v>
      </c>
      <c r="M34">
        <f>((4.04/4443100000000)*2199000000000)</f>
        <v>1.9994958474938669</v>
      </c>
      <c r="N34">
        <f>((4.04/4443100000000)*2346200000000)</f>
        <v>2.1333411356935472</v>
      </c>
      <c r="O34">
        <f>((4.04/4443100000000)*  2528800000000)</f>
        <v>2.2993747608651618</v>
      </c>
      <c r="P34">
        <f>((4.04/4443100000000)*2379100000000)</f>
        <v>2.1632562850262205</v>
      </c>
      <c r="Q34">
        <f>((4.04/4443100000000)*1990800000000)</f>
        <v>1.8101847808962213</v>
      </c>
      <c r="R34">
        <f>((4.04/4443100000000)*1523700000000)</f>
        <v>1.385462402376719</v>
      </c>
      <c r="S34">
        <f>((4.04/4443100000000)*1121400000000)</f>
        <v>1.0196610474668588</v>
      </c>
      <c r="T34">
        <f>((4.04/4443100000000)*812950000000)</f>
        <v>0.73919515653485179</v>
      </c>
      <c r="U34">
        <f>((4.04/4443100000000)* 430540000000)</f>
        <v>0.39147928248295111</v>
      </c>
      <c r="W34" t="s">
        <v>6</v>
      </c>
      <c r="X34">
        <f>((2/2199000000000)*1205100000000)</f>
        <v>1.096043656207367</v>
      </c>
      <c r="Y34">
        <f>((2/2199000000000)* 1279100000000)</f>
        <v>1.1633469758981356</v>
      </c>
      <c r="Z34">
        <f>((2/2199000000000)*1365400000000)</f>
        <v>1.2418371987266941</v>
      </c>
      <c r="AA34">
        <f>((2/2199000000000)*  1328900000000)</f>
        <v>1.2086402910413825</v>
      </c>
      <c r="AB34">
        <f>((2/2199000000000)* 1186500000000)</f>
        <v>1.0791268758526604</v>
      </c>
      <c r="AC34">
        <f>((2/2199000000000)*
  984810000000)</f>
        <v>0.89568894952251021</v>
      </c>
      <c r="AD34">
        <f>((2/2199000000000)* 788080000000)</f>
        <v>0.71676216462028197</v>
      </c>
      <c r="AE34">
        <f>((2/2199000000000)*  603610000000)</f>
        <v>0.54898590268303771</v>
      </c>
      <c r="AF34">
        <f>((2/2199000000000)*350510000000)</f>
        <v>0.31879035925420646</v>
      </c>
      <c r="AH34" t="s">
        <v>6</v>
      </c>
      <c r="AI34">
        <f>(697520000000*(1.096/  1205100000000))</f>
        <v>0.63437218488092273</v>
      </c>
      <c r="AJ34">
        <f>(743060000000*(1.096/  1205100000000))</f>
        <v>0.67578936187868233</v>
      </c>
      <c r="AK34">
        <f>(799700000000*(1.096/  1205100000000))</f>
        <v>0.72730163471911047</v>
      </c>
      <c r="AL34">
        <f>(802370000000*(1.096/  1205100000000))</f>
        <v>0.72972991452991454</v>
      </c>
      <c r="AM34">
        <f>(742310000000*(1.096/  1205100000000))</f>
        <v>0.67510726080823169</v>
      </c>
      <c r="AN34">
        <f>(651460000000*(1.096/  1205100000000))</f>
        <v>0.59248208447431749</v>
      </c>
      <c r="AO34">
        <f>(545420000000*(1.096/1205100000000))</f>
        <v>0.49604208779354414</v>
      </c>
      <c r="AP34" s="3">
        <f>(441750000000*(1.096/  1205100000000))</f>
        <v>0.40175753049539459</v>
      </c>
      <c r="AQ34">
        <f>(280010000000*(1.096/  1205100000000))</f>
        <v>0.25466016098249111</v>
      </c>
    </row>
    <row r="35" spans="1:43" x14ac:dyDescent="0.25">
      <c r="A35" t="s">
        <v>7</v>
      </c>
      <c r="B35">
        <f>((735.83/  22668000000000000)*  2669900000000000)</f>
        <v>86.668101155814369</v>
      </c>
      <c r="C35">
        <f t="shared" ref="C35:J35" si="37">((735.83/  22668000000000000)*  2669900000000000)</f>
        <v>86.668101155814369</v>
      </c>
      <c r="D35">
        <f t="shared" si="37"/>
        <v>86.668101155814369</v>
      </c>
      <c r="E35">
        <f t="shared" si="37"/>
        <v>86.668101155814369</v>
      </c>
      <c r="F35">
        <f t="shared" si="37"/>
        <v>86.668101155814369</v>
      </c>
      <c r="G35">
        <f t="shared" si="37"/>
        <v>86.668101155814369</v>
      </c>
      <c r="H35">
        <f t="shared" si="37"/>
        <v>86.668101155814369</v>
      </c>
      <c r="I35">
        <f t="shared" si="37"/>
        <v>86.668101155814369</v>
      </c>
      <c r="J35">
        <f t="shared" si="37"/>
        <v>86.668101155814369</v>
      </c>
      <c r="L35" t="s">
        <v>7</v>
      </c>
      <c r="M35">
        <f>((86.67/2669900000000000)* 1849600000000000)</f>
        <v>60.041511667103642</v>
      </c>
      <c r="N35">
        <f t="shared" ref="N35:U35" si="38">((86.67/2669900000000000)* 1849600000000000)</f>
        <v>60.041511667103642</v>
      </c>
      <c r="O35">
        <f t="shared" si="38"/>
        <v>60.041511667103642</v>
      </c>
      <c r="P35">
        <f t="shared" si="38"/>
        <v>60.041511667103642</v>
      </c>
      <c r="Q35">
        <f t="shared" si="38"/>
        <v>60.041511667103642</v>
      </c>
      <c r="R35">
        <f t="shared" si="38"/>
        <v>60.041511667103642</v>
      </c>
      <c r="S35">
        <f t="shared" si="38"/>
        <v>60.041511667103642</v>
      </c>
      <c r="T35">
        <f t="shared" si="38"/>
        <v>60.041511667103642</v>
      </c>
      <c r="U35">
        <f t="shared" si="38"/>
        <v>60.041511667103642</v>
      </c>
      <c r="W35" t="s">
        <v>7</v>
      </c>
      <c r="X35">
        <f>((60/1849600000000000)*1335800000000000)</f>
        <v>43.332612456747405</v>
      </c>
      <c r="Y35">
        <f>((60/1849600000000000)*1335800000000000)</f>
        <v>43.332612456747405</v>
      </c>
      <c r="Z35">
        <f t="shared" ref="Z35:AF35" si="39">((60/1849600000000000)*1335800000000000)</f>
        <v>43.332612456747405</v>
      </c>
      <c r="AA35">
        <f t="shared" si="39"/>
        <v>43.332612456747405</v>
      </c>
      <c r="AB35">
        <f t="shared" si="39"/>
        <v>43.332612456747405</v>
      </c>
      <c r="AC35">
        <f t="shared" si="39"/>
        <v>43.332612456747405</v>
      </c>
      <c r="AD35">
        <f t="shared" si="39"/>
        <v>43.332612456747405</v>
      </c>
      <c r="AE35">
        <f t="shared" si="39"/>
        <v>43.332612456747405</v>
      </c>
      <c r="AF35">
        <f t="shared" si="39"/>
        <v>43.332612456747405</v>
      </c>
      <c r="AH35" t="s">
        <v>7</v>
      </c>
      <c r="AI35">
        <f>((43.33/1335800000000000)*  995390000000000)</f>
        <v>32.287953810450666</v>
      </c>
      <c r="AJ35">
        <f t="shared" ref="AJ35:AQ35" si="40">((43.33/1335800000000000)*  995390000000000)</f>
        <v>32.287953810450666</v>
      </c>
      <c r="AK35">
        <f t="shared" si="40"/>
        <v>32.287953810450666</v>
      </c>
      <c r="AL35">
        <f t="shared" si="40"/>
        <v>32.287953810450666</v>
      </c>
      <c r="AM35">
        <f t="shared" si="40"/>
        <v>32.287953810450666</v>
      </c>
      <c r="AN35">
        <f t="shared" si="40"/>
        <v>32.287953810450666</v>
      </c>
      <c r="AO35">
        <f t="shared" si="40"/>
        <v>32.287953810450666</v>
      </c>
      <c r="AP35">
        <f t="shared" si="40"/>
        <v>32.287953810450666</v>
      </c>
      <c r="AQ35">
        <f t="shared" si="40"/>
        <v>32.287953810450666</v>
      </c>
    </row>
    <row r="36" spans="1:43" x14ac:dyDescent="0.25">
      <c r="A36" t="s">
        <v>8</v>
      </c>
      <c r="B36">
        <f>(B34/B35)</f>
        <v>4.6671411330088071E-2</v>
      </c>
      <c r="C36">
        <f t="shared" ref="C36:J36" si="41">(C34/C35)</f>
        <v>5.166092774470666E-2</v>
      </c>
      <c r="D36">
        <f t="shared" si="41"/>
        <v>5.615989591393012E-2</v>
      </c>
      <c r="E36">
        <f t="shared" si="41"/>
        <v>4.9387809108657268E-2</v>
      </c>
      <c r="F36">
        <f t="shared" si="41"/>
        <v>3.7064228776803529E-2</v>
      </c>
      <c r="G36">
        <f t="shared" si="41"/>
        <v>2.5259558152070132E-2</v>
      </c>
      <c r="H36">
        <f t="shared" si="41"/>
        <v>1.6858262934360772E-2</v>
      </c>
      <c r="I36">
        <f t="shared" si="41"/>
        <v>1.1238491814737735E-2</v>
      </c>
      <c r="J36">
        <f t="shared" si="41"/>
        <v>5.4322703448842135E-3</v>
      </c>
      <c r="L36" t="s">
        <v>8</v>
      </c>
      <c r="M36">
        <f t="shared" ref="M36:U36" si="42">(M34/M35)</f>
        <v>3.3301890508352701E-2</v>
      </c>
      <c r="N36">
        <f t="shared" si="42"/>
        <v>3.553110300622879E-2</v>
      </c>
      <c r="O36">
        <f t="shared" si="42"/>
        <v>3.8296416879273452E-2</v>
      </c>
      <c r="P36">
        <f t="shared" si="42"/>
        <v>3.6029344114789412E-2</v>
      </c>
      <c r="Q36">
        <f t="shared" si="42"/>
        <v>3.0148887505242642E-2</v>
      </c>
      <c r="R36">
        <f t="shared" si="42"/>
        <v>2.3075075292213285E-2</v>
      </c>
      <c r="S36">
        <f t="shared" si="42"/>
        <v>1.6982601189661994E-2</v>
      </c>
      <c r="T36">
        <f t="shared" si="42"/>
        <v>1.2311401495573138E-2</v>
      </c>
      <c r="U36">
        <f t="shared" si="42"/>
        <v>6.5201436741546947E-3</v>
      </c>
      <c r="W36" t="s">
        <v>8</v>
      </c>
      <c r="X36">
        <f>(X34/X35)</f>
        <v>2.5293735920062208E-2</v>
      </c>
      <c r="Y36">
        <f t="shared" ref="Y36:AF36" si="43">(Y34/Y35)</f>
        <v>2.684691528947936E-2</v>
      </c>
      <c r="Z36">
        <f t="shared" si="43"/>
        <v>2.8658258256786112E-2</v>
      </c>
      <c r="AA36">
        <f t="shared" si="43"/>
        <v>2.78921630272763E-2</v>
      </c>
      <c r="AB36">
        <f t="shared" si="43"/>
        <v>2.4903342186668172E-2</v>
      </c>
      <c r="AC36">
        <f t="shared" si="43"/>
        <v>2.0670088848590545E-2</v>
      </c>
      <c r="AD36">
        <f t="shared" si="43"/>
        <v>1.6540940506084661E-2</v>
      </c>
      <c r="AE36">
        <f t="shared" si="43"/>
        <v>1.2669116205052485E-2</v>
      </c>
      <c r="AF36">
        <f t="shared" si="43"/>
        <v>7.3568229834378935E-3</v>
      </c>
      <c r="AH36" t="s">
        <v>8</v>
      </c>
      <c r="AI36">
        <f>(AI34/AI35)</f>
        <v>1.9647333138701251E-2</v>
      </c>
      <c r="AJ36">
        <f t="shared" ref="AJ36:AQ36" si="44">(AJ34/AJ35)</f>
        <v>2.0930077075988294E-2</v>
      </c>
      <c r="AK36">
        <f t="shared" si="44"/>
        <v>2.2525479285209586E-2</v>
      </c>
      <c r="AL36">
        <f t="shared" si="44"/>
        <v>2.2600686274945124E-2</v>
      </c>
      <c r="AM36">
        <f t="shared" si="44"/>
        <v>2.0908951517073813E-2</v>
      </c>
      <c r="AN36">
        <f t="shared" si="44"/>
        <v>1.8349942147233511E-2</v>
      </c>
      <c r="AO36">
        <f t="shared" si="44"/>
        <v>1.5363069790845334E-2</v>
      </c>
      <c r="AP36">
        <f t="shared" si="44"/>
        <v>1.2442954200626905E-2</v>
      </c>
      <c r="AQ36">
        <f t="shared" si="44"/>
        <v>7.8871570021902433E-3</v>
      </c>
    </row>
    <row r="37" spans="1:43" x14ac:dyDescent="0.25">
      <c r="E37">
        <f>(MEDIAN(E36:I36))</f>
        <v>2.5259558152070132E-2</v>
      </c>
      <c r="P37">
        <f>(MEDIAN(P36:T36))</f>
        <v>2.3075075292213285E-2</v>
      </c>
      <c r="AA37">
        <f>(MEDIAN(AA36:AE36))</f>
        <v>2.0670088848590545E-2</v>
      </c>
      <c r="AL37">
        <f>(MEDIAN(AL36:AP36))</f>
        <v>1.8349942147233511E-2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F99A5-6E36-41DA-854C-18517B0C0C2A}">
  <dimension ref="A1:AQ59"/>
  <sheetViews>
    <sheetView tabSelected="1" topLeftCell="L28" workbookViewId="0">
      <selection activeCell="X55" sqref="X55:AF55"/>
    </sheetView>
  </sheetViews>
  <sheetFormatPr defaultRowHeight="15" x14ac:dyDescent="0.25"/>
  <cols>
    <col min="1" max="1" width="33" bestFit="1" customWidth="1"/>
    <col min="12" max="12" width="33" bestFit="1" customWidth="1"/>
    <col min="13" max="13" width="12" bestFit="1" customWidth="1"/>
    <col min="17" max="17" width="11.5703125" bestFit="1" customWidth="1"/>
    <col min="23" max="23" width="33" bestFit="1" customWidth="1"/>
    <col min="28" max="28" width="12" bestFit="1" customWidth="1"/>
    <col min="34" max="34" width="33" bestFit="1" customWidth="1"/>
    <col min="35" max="35" width="12" bestFit="1" customWidth="1"/>
  </cols>
  <sheetData>
    <row r="1" spans="1:43" x14ac:dyDescent="0.25">
      <c r="A1" s="9" t="s">
        <v>0</v>
      </c>
      <c r="B1" t="s">
        <v>1</v>
      </c>
      <c r="L1" s="2" t="s">
        <v>2</v>
      </c>
      <c r="M1" t="s">
        <v>1</v>
      </c>
      <c r="W1" s="8" t="s">
        <v>3</v>
      </c>
      <c r="X1" t="s">
        <v>1</v>
      </c>
      <c r="AH1" s="10" t="s">
        <v>4</v>
      </c>
      <c r="AI1" t="s">
        <v>1</v>
      </c>
    </row>
    <row r="2" spans="1:43" x14ac:dyDescent="0.25">
      <c r="A2" t="s">
        <v>5</v>
      </c>
      <c r="B2">
        <v>0.75</v>
      </c>
      <c r="C2">
        <v>1</v>
      </c>
      <c r="D2">
        <v>1.5</v>
      </c>
      <c r="E2">
        <v>2</v>
      </c>
      <c r="F2">
        <v>2.5</v>
      </c>
      <c r="G2">
        <v>3</v>
      </c>
      <c r="H2">
        <v>3.5</v>
      </c>
      <c r="I2">
        <v>4</v>
      </c>
      <c r="J2">
        <v>5</v>
      </c>
      <c r="L2" t="s">
        <v>5</v>
      </c>
      <c r="M2">
        <v>0.75</v>
      </c>
      <c r="N2">
        <v>1</v>
      </c>
      <c r="O2">
        <v>1.5</v>
      </c>
      <c r="P2">
        <v>2</v>
      </c>
      <c r="Q2">
        <v>2.5</v>
      </c>
      <c r="R2">
        <v>3</v>
      </c>
      <c r="S2">
        <v>3.5</v>
      </c>
      <c r="T2">
        <v>4</v>
      </c>
      <c r="U2">
        <v>5</v>
      </c>
      <c r="W2" t="s">
        <v>5</v>
      </c>
      <c r="X2">
        <v>0.75</v>
      </c>
      <c r="Y2">
        <v>1</v>
      </c>
      <c r="Z2">
        <v>1.5</v>
      </c>
      <c r="AA2">
        <v>2</v>
      </c>
      <c r="AB2">
        <v>2.5</v>
      </c>
      <c r="AC2">
        <v>3</v>
      </c>
      <c r="AD2">
        <v>3.5</v>
      </c>
      <c r="AE2">
        <v>4</v>
      </c>
      <c r="AF2">
        <v>5</v>
      </c>
      <c r="AH2" t="s">
        <v>5</v>
      </c>
      <c r="AI2">
        <v>0.75</v>
      </c>
      <c r="AJ2">
        <v>1</v>
      </c>
      <c r="AK2">
        <v>1.5</v>
      </c>
      <c r="AL2">
        <v>2</v>
      </c>
      <c r="AM2">
        <v>2.5</v>
      </c>
      <c r="AN2">
        <v>3</v>
      </c>
      <c r="AO2">
        <v>3.5</v>
      </c>
      <c r="AP2">
        <v>4</v>
      </c>
      <c r="AQ2">
        <v>5</v>
      </c>
    </row>
    <row r="3" spans="1:43" x14ac:dyDescent="0.25">
      <c r="A3" t="s">
        <v>6</v>
      </c>
      <c r="B3">
        <f>((370.28/1462800000000000)*1832800000000000)</f>
        <v>463.93846322121954</v>
      </c>
      <c r="C3">
        <f>((370.28/1462800000000000)*450840000000000)</f>
        <v>114.12157178014766</v>
      </c>
      <c r="D3">
        <f>((370.28/1462800000000000)*60012000000000)</f>
        <v>15.190896472518457</v>
      </c>
      <c r="E3">
        <f>((370.28/1462800000000000)*13660000000000)</f>
        <v>3.4577692097347552</v>
      </c>
      <c r="F3">
        <f>((370.28/1462800000000000)*  3985300000000)</f>
        <v>1.0088029012852064</v>
      </c>
      <c r="G3">
        <f>((370.28/1462800000000000)*  1335400000000)</f>
        <v>0.33803111293409899</v>
      </c>
      <c r="H3">
        <f>((370.28/1462800000000000)*484270000000)</f>
        <v>0.12258374049767569</v>
      </c>
      <c r="I3">
        <f>((370.28/1462800000000000)* 187520000000)</f>
        <v>4.7467121684440797E-2</v>
      </c>
      <c r="J3">
        <f>((370.28/1462800000000000)*32086000000)</f>
        <v>8.1219606781514891E-3</v>
      </c>
      <c r="L3" t="s">
        <v>6</v>
      </c>
      <c r="M3">
        <v>370.28</v>
      </c>
      <c r="N3">
        <f>(405000000000000*(370.28/1462800000000000))</f>
        <v>102.51804757998359</v>
      </c>
      <c r="O3">
        <f>(57900000000000*(370.28/1462800000000000))</f>
        <v>14.656283839212469</v>
      </c>
      <c r="P3">
        <f>(13400000000000*(370.28/1462800000000000))</f>
        <v>3.3919551544982225</v>
      </c>
      <c r="Q3">
        <f>( 3946800000000*(370.28/1462800000000000))</f>
        <v>0.99905735849056598</v>
      </c>
      <c r="R3">
        <f>(1330000000000*(370.28/1462800000000000))</f>
        <v>0.33666420563303251</v>
      </c>
      <c r="S3">
        <f>(  485360000000*(370.28/1462800000000000))</f>
        <v>0.12285965326770576</v>
      </c>
      <c r="T3">
        <f>(189000000000*(370.28/1462800000000000))</f>
        <v>4.7841755537325677E-2</v>
      </c>
      <c r="U3">
        <f>(32100000000*(370.28/1462800000000000))</f>
        <v>8.1255045118949955E-3</v>
      </c>
      <c r="W3" t="s">
        <v>6</v>
      </c>
      <c r="X3">
        <f>((370.28/1462800000000000)* 321860000000000)</f>
        <v>81.472737763193877</v>
      </c>
      <c r="Y3">
        <f>((370.28/1462800000000000)*169880000000000)</f>
        <v>43.001891167623732</v>
      </c>
      <c r="Z3">
        <f>((370.28/1462800000000000)*  40112000000000)</f>
        <v>10.153589937106918</v>
      </c>
      <c r="AA3">
        <f>((370.28/1462800000000000)*10919000000000)</f>
        <v>2.7639371889526934</v>
      </c>
      <c r="AB3">
        <f>((370.28/1462800000000000)*     3434800000000)</f>
        <v>0.86945429587093237</v>
      </c>
      <c r="AC3">
        <f>((370.28/1462800000000000)*  1193500000000)</f>
        <v>0.30211182663385289</v>
      </c>
      <c r="AD3">
        <f>((370.28/1462800000000000)* 446590000000)</f>
        <v>0.11304576510801202</v>
      </c>
      <c r="AE3">
        <f>((370.28/1462800000000000)* 175560000000)</f>
        <v>4.4439675143560294E-2</v>
      </c>
      <c r="AF3">
        <f>((370.28/1462800000000000)*  30390000000)</f>
        <v>7.6926505332239534E-3</v>
      </c>
      <c r="AH3" t="s">
        <v>6</v>
      </c>
      <c r="AI3">
        <f>((370.28/1462800000000000)*  45435000000000)</f>
        <v>11.501006152584084</v>
      </c>
      <c r="AJ3">
        <f>((370.28/1462800000000000)*  36013000000000)</f>
        <v>9.1160060432048127</v>
      </c>
      <c r="AK3">
        <f>((370.28/1462800000000000)*
  15988000000000)</f>
        <v>4.0470581350834012</v>
      </c>
      <c r="AL3">
        <f>((370.28/1462800000000000)*  6037300000000)</f>
        <v>1.5282276756904565</v>
      </c>
      <c r="AM3">
        <f>((370.28/1462800000000000)*  2248100000000)</f>
        <v>0.56906375991249658</v>
      </c>
      <c r="AN3">
        <f>((370.28/1462800000000000)*  868540000000)</f>
        <v>0.21985438282745418</v>
      </c>
      <c r="AO3">
        <f>((370.28/1462800000000000)*  347180000000)</f>
        <v>8.7882014219305443E-2</v>
      </c>
      <c r="AP3">
        <f>((370.28/1462800000000000)*  142530000000)</f>
        <v>3.607875881870385E-2</v>
      </c>
      <c r="AQ3">
        <f>((370.28/1462800000000000)*
  26170000000)</f>
        <v>6.6244377905386922E-3</v>
      </c>
    </row>
    <row r="4" spans="1:43" x14ac:dyDescent="0.25">
      <c r="A4" t="s">
        <v>7</v>
      </c>
      <c r="B4">
        <f>((1702.25/ 40155000000000000)* 68514000000000000)</f>
        <v>2904.4441912588718</v>
      </c>
      <c r="C4">
        <f t="shared" ref="C4:J4" si="0">((1702.25/ 40155000000000000)* 68514000000000000)</f>
        <v>2904.4441912588718</v>
      </c>
      <c r="D4">
        <f t="shared" si="0"/>
        <v>2904.4441912588718</v>
      </c>
      <c r="E4">
        <f t="shared" si="0"/>
        <v>2904.4441912588718</v>
      </c>
      <c r="F4">
        <f t="shared" si="0"/>
        <v>2904.4441912588718</v>
      </c>
      <c r="G4">
        <f t="shared" si="0"/>
        <v>2904.4441912588718</v>
      </c>
      <c r="H4">
        <f t="shared" si="0"/>
        <v>2904.4441912588718</v>
      </c>
      <c r="I4">
        <f t="shared" si="0"/>
        <v>2904.4441912588718</v>
      </c>
      <c r="J4">
        <f t="shared" si="0"/>
        <v>2904.4441912588718</v>
      </c>
      <c r="L4" t="s">
        <v>7</v>
      </c>
      <c r="M4">
        <v>1702.25</v>
      </c>
      <c r="N4">
        <v>1702.25</v>
      </c>
      <c r="O4">
        <v>1702.25</v>
      </c>
      <c r="P4">
        <v>1702.25</v>
      </c>
      <c r="Q4">
        <v>1702.25</v>
      </c>
      <c r="R4">
        <v>1702.25</v>
      </c>
      <c r="S4">
        <v>1702.25</v>
      </c>
      <c r="T4">
        <v>1702.25</v>
      </c>
      <c r="U4">
        <v>1702.25</v>
      </c>
      <c r="W4" t="s">
        <v>7</v>
      </c>
      <c r="X4">
        <f>((1702.25/ 40155000000000000)*
  12888000000000000)</f>
        <v>546.34785207321625</v>
      </c>
      <c r="Y4">
        <f t="shared" ref="Y4:AF4" si="1">((1702.25/ 40155000000000000)*
  12888000000000000)</f>
        <v>546.34785207321625</v>
      </c>
      <c r="Z4">
        <f>((1702.25/ 40155000000000000)*12888000000000000)</f>
        <v>546.34785207321625</v>
      </c>
      <c r="AA4">
        <f>((1702.25/ 40155000000000000)*12888000000000000)</f>
        <v>546.34785207321625</v>
      </c>
      <c r="AB4">
        <f t="shared" si="1"/>
        <v>546.34785207321625</v>
      </c>
      <c r="AC4">
        <f t="shared" si="1"/>
        <v>546.34785207321625</v>
      </c>
      <c r="AD4">
        <f t="shared" si="1"/>
        <v>546.34785207321625</v>
      </c>
      <c r="AE4">
        <f t="shared" si="1"/>
        <v>546.34785207321625</v>
      </c>
      <c r="AF4">
        <f t="shared" si="1"/>
        <v>546.34785207321625</v>
      </c>
      <c r="AH4" t="s">
        <v>7</v>
      </c>
      <c r="AI4">
        <f>((1702.25/ 40155000000000000)*  3726000000000000)</f>
        <v>157.95252147926783</v>
      </c>
      <c r="AJ4">
        <f t="shared" ref="AJ4:AQ4" si="2">((1702.25/ 40155000000000000)*  3726000000000000)</f>
        <v>157.95252147926783</v>
      </c>
      <c r="AK4">
        <f t="shared" si="2"/>
        <v>157.95252147926783</v>
      </c>
      <c r="AL4">
        <f t="shared" si="2"/>
        <v>157.95252147926783</v>
      </c>
      <c r="AM4">
        <f t="shared" si="2"/>
        <v>157.95252147926783</v>
      </c>
      <c r="AN4">
        <f t="shared" si="2"/>
        <v>157.95252147926783</v>
      </c>
      <c r="AO4">
        <f t="shared" si="2"/>
        <v>157.95252147926783</v>
      </c>
      <c r="AP4">
        <f t="shared" si="2"/>
        <v>157.95252147926783</v>
      </c>
      <c r="AQ4">
        <f t="shared" si="2"/>
        <v>157.95252147926783</v>
      </c>
    </row>
    <row r="5" spans="1:43" x14ac:dyDescent="0.25">
      <c r="A5" t="s">
        <v>8</v>
      </c>
      <c r="B5">
        <f>(B3/B4)</f>
        <v>0.15973399131492175</v>
      </c>
      <c r="C5">
        <f t="shared" ref="C5:J5" si="3">(C3/C4)</f>
        <v>3.929205185749636E-2</v>
      </c>
      <c r="D5">
        <f t="shared" si="3"/>
        <v>5.2302249491439782E-3</v>
      </c>
      <c r="E5">
        <f t="shared" si="3"/>
        <v>1.1905097781328192E-3</v>
      </c>
      <c r="F5">
        <f t="shared" si="3"/>
        <v>3.4733079200532392E-4</v>
      </c>
      <c r="G5">
        <f t="shared" si="3"/>
        <v>1.1638409646548807E-4</v>
      </c>
      <c r="H5">
        <f t="shared" si="3"/>
        <v>4.2205576153468549E-5</v>
      </c>
      <c r="I5">
        <f t="shared" si="3"/>
        <v>1.6342927788833547E-5</v>
      </c>
      <c r="J5">
        <f t="shared" si="3"/>
        <v>2.7963906838337945E-6</v>
      </c>
      <c r="L5" t="s">
        <v>8</v>
      </c>
      <c r="M5">
        <f>(M3/M4)</f>
        <v>0.21752386547216918</v>
      </c>
      <c r="N5">
        <f t="shared" ref="N5:U5" si="4">(N3/N4)</f>
        <v>6.022502427962026E-2</v>
      </c>
      <c r="O5">
        <f t="shared" si="4"/>
        <v>8.6099479155308974E-3</v>
      </c>
      <c r="P5">
        <f t="shared" si="4"/>
        <v>1.992630432955337E-3</v>
      </c>
      <c r="Q5">
        <f t="shared" si="4"/>
        <v>5.8690401438717349E-4</v>
      </c>
      <c r="R5">
        <f t="shared" si="4"/>
        <v>1.9777600565899986E-4</v>
      </c>
      <c r="S5">
        <f t="shared" si="4"/>
        <v>7.2174858726806139E-5</v>
      </c>
      <c r="T5">
        <f t="shared" si="4"/>
        <v>2.8105011330489457E-5</v>
      </c>
      <c r="U5">
        <f t="shared" si="4"/>
        <v>4.7733908132736055E-6</v>
      </c>
      <c r="W5" t="s">
        <v>8</v>
      </c>
      <c r="X5">
        <f>(X3/X4)</f>
        <v>0.14912246374545221</v>
      </c>
      <c r="Y5">
        <f t="shared" ref="Y5:AF5" si="5">(Y3/Y4)</f>
        <v>7.8707898282102215E-2</v>
      </c>
      <c r="Z5">
        <f t="shared" si="5"/>
        <v>1.8584478548926798E-2</v>
      </c>
      <c r="AA5">
        <f t="shared" si="5"/>
        <v>5.0589330194388635E-3</v>
      </c>
      <c r="AB5">
        <f t="shared" si="5"/>
        <v>1.5913932718352054E-3</v>
      </c>
      <c r="AC5">
        <f t="shared" si="5"/>
        <v>5.52966073697251E-4</v>
      </c>
      <c r="AD5">
        <f t="shared" si="5"/>
        <v>2.0691170410762908E-4</v>
      </c>
      <c r="AE5">
        <f t="shared" si="5"/>
        <v>8.1339525679337559E-5</v>
      </c>
      <c r="AF5">
        <f t="shared" si="5"/>
        <v>1.4080133204574325E-5</v>
      </c>
      <c r="AH5" t="s">
        <v>8</v>
      </c>
      <c r="AI5">
        <f>(AI3/AI4)</f>
        <v>7.281305828405947E-2</v>
      </c>
      <c r="AJ5">
        <f t="shared" ref="AJ5:AQ5" si="6">(AJ3/AJ4)</f>
        <v>5.7713583536565069E-2</v>
      </c>
      <c r="AK5">
        <f t="shared" si="6"/>
        <v>2.5621991324871637E-2</v>
      </c>
      <c r="AL5">
        <f t="shared" si="6"/>
        <v>9.6752344399329213E-3</v>
      </c>
      <c r="AM5">
        <f t="shared" si="6"/>
        <v>3.6027519825771789E-3</v>
      </c>
      <c r="AN5">
        <f t="shared" si="6"/>
        <v>1.391901697854892E-3</v>
      </c>
      <c r="AO5">
        <f t="shared" si="6"/>
        <v>5.563824711138939E-4</v>
      </c>
      <c r="AP5">
        <f t="shared" si="6"/>
        <v>2.2841521288053255E-4</v>
      </c>
      <c r="AQ5">
        <f t="shared" si="6"/>
        <v>4.1939424128839802E-5</v>
      </c>
    </row>
    <row r="7" spans="1:43" x14ac:dyDescent="0.25">
      <c r="B7" t="s">
        <v>9</v>
      </c>
      <c r="M7" t="s">
        <v>9</v>
      </c>
      <c r="X7" t="s">
        <v>9</v>
      </c>
      <c r="AI7" t="s">
        <v>9</v>
      </c>
    </row>
    <row r="8" spans="1:43" x14ac:dyDescent="0.25">
      <c r="A8" t="s">
        <v>10</v>
      </c>
      <c r="B8">
        <v>0.75</v>
      </c>
      <c r="C8">
        <v>1</v>
      </c>
      <c r="D8">
        <v>1.5</v>
      </c>
      <c r="E8">
        <v>2</v>
      </c>
      <c r="F8">
        <v>2.5</v>
      </c>
      <c r="G8">
        <v>3</v>
      </c>
      <c r="H8">
        <v>3.5</v>
      </c>
      <c r="I8">
        <v>4</v>
      </c>
      <c r="J8">
        <v>5</v>
      </c>
      <c r="L8" t="s">
        <v>10</v>
      </c>
      <c r="M8">
        <v>0.75</v>
      </c>
      <c r="N8">
        <v>1</v>
      </c>
      <c r="O8">
        <v>1.5</v>
      </c>
      <c r="P8">
        <v>2</v>
      </c>
      <c r="Q8">
        <v>2.5</v>
      </c>
      <c r="R8">
        <v>3</v>
      </c>
      <c r="S8">
        <v>3.5</v>
      </c>
      <c r="T8">
        <v>4</v>
      </c>
      <c r="U8">
        <v>5</v>
      </c>
      <c r="W8" t="s">
        <v>10</v>
      </c>
      <c r="X8">
        <v>0.75</v>
      </c>
      <c r="Y8">
        <v>1</v>
      </c>
      <c r="Z8">
        <v>1.5</v>
      </c>
      <c r="AA8">
        <v>2</v>
      </c>
      <c r="AB8">
        <v>2.5</v>
      </c>
      <c r="AC8">
        <v>3</v>
      </c>
      <c r="AD8">
        <v>3.5</v>
      </c>
      <c r="AE8">
        <v>4</v>
      </c>
      <c r="AF8">
        <v>5</v>
      </c>
      <c r="AH8" t="s">
        <v>10</v>
      </c>
      <c r="AI8">
        <v>0.75</v>
      </c>
      <c r="AJ8">
        <v>1</v>
      </c>
      <c r="AK8">
        <v>1.5</v>
      </c>
      <c r="AL8">
        <v>2</v>
      </c>
      <c r="AM8">
        <v>2.5</v>
      </c>
      <c r="AN8">
        <v>3</v>
      </c>
      <c r="AO8">
        <v>3.5</v>
      </c>
      <c r="AP8">
        <v>4</v>
      </c>
      <c r="AQ8">
        <v>5</v>
      </c>
    </row>
    <row r="9" spans="1:43" x14ac:dyDescent="0.25">
      <c r="A9" t="s">
        <v>6</v>
      </c>
      <c r="B9">
        <f>((13811.94/2400500000000000)*  4220700000000000)</f>
        <v>24284.963615080193</v>
      </c>
      <c r="C9">
        <f>((13811.94/2400500000000000)*  1363200000000000)</f>
        <v>7843.547847531765</v>
      </c>
      <c r="D9">
        <f>((13811.94/2400500000000000)*  146660000000000)</f>
        <v>843.84883166007091</v>
      </c>
      <c r="E9">
        <f>((13811.94/2400500000000000)*  27962000000000)</f>
        <v>160.8870928056655</v>
      </c>
      <c r="F9">
        <f>((13811.94/2400500000000000)*  8520600000000)</f>
        <v>49.025626312851493</v>
      </c>
      <c r="G9">
        <f>((13811.94/2400500000000000)* 3380600000000)</f>
        <v>19.451216148302439</v>
      </c>
      <c r="H9">
        <f>((13811.94/2400500000000000)*  1557800000000)</f>
        <v>8.963232714851074</v>
      </c>
      <c r="I9">
        <f>((13811.94/2400500000000000)* 786300000000)</f>
        <v>4.5241943020204127</v>
      </c>
      <c r="J9">
        <f>((13811.94/2400500000000000)*  240990000000)</f>
        <v>1.3866025497188086</v>
      </c>
      <c r="L9" t="s">
        <v>6</v>
      </c>
      <c r="M9">
        <v>13811.94</v>
      </c>
      <c r="N9">
        <f>(984000000000000*(13811.94/2400500000000000))</f>
        <v>5661.7158758591968</v>
      </c>
      <c r="O9">
        <f>(132000000000000*(13811.94/2400500000000000))</f>
        <v>759.49847115184343</v>
      </c>
      <c r="P9">
        <f>(27000000000000*(13811.94/2400500000000000))</f>
        <v>155.35196000833162</v>
      </c>
      <c r="Q9">
        <f>(8397800000000*(13811.94/2400500000000000))</f>
        <v>48.319062583628416</v>
      </c>
      <c r="R9">
        <f>(3360000000000*(13811.94/2400500000000000))</f>
        <v>19.332688356592378</v>
      </c>
      <c r="S9">
        <f>(  1552700000000*(13811.94/2400500000000000))</f>
        <v>8.9338884557383889</v>
      </c>
      <c r="T9">
        <f>(787000000000*(13811.94/2400500000000000))</f>
        <v>4.5282219454280357</v>
      </c>
      <c r="U9">
        <f>(242000000000*(13811.94/2400500000000000))</f>
        <v>1.3924138637783796</v>
      </c>
      <c r="W9" t="s">
        <v>6</v>
      </c>
      <c r="X9">
        <f>((13811.94/2400500000000000)*    158390000000000)</f>
        <v>911.34062761924611</v>
      </c>
      <c r="Y9">
        <f>((13811.94/2400500000000000)*    154310000000000)</f>
        <v>887.86522032909818</v>
      </c>
      <c r="Z9">
        <f>((13811.94/2400500000000000)*   69767000000000)</f>
        <v>401.42371088523225</v>
      </c>
      <c r="AA9">
        <f>((13811.94/2400500000000000)*    25109000000000)</f>
        <v>144.47156903145179</v>
      </c>
      <c r="AB9">
        <f>((13811.94/2400500000000000)*
  10388000000000)</f>
        <v>59.770228169131435</v>
      </c>
      <c r="AC9">
        <f>((13811.94/2400500000000000)*   5064700000000)</f>
        <v>29.141150809414707</v>
      </c>
      <c r="AD9">
        <f>((13811.94/2400500000000000)*    2762600000000)</f>
        <v>15.895382397000626</v>
      </c>
      <c r="AE9">
        <f>((13811.94/2400500000000000)*   1644200000000)</f>
        <v>9.4603589868777345</v>
      </c>
      <c r="AF9">
        <f>((13811.94/2400500000000000)*    688450000000)</f>
        <v>3.9611872913976258</v>
      </c>
      <c r="AH9" t="s">
        <v>6</v>
      </c>
      <c r="AI9">
        <f>((13811.94/2400500000000000)*  23361000000000)</f>
        <v>134.41396806498648</v>
      </c>
      <c r="AJ9">
        <f>((13811.94/2400500000000000)*  25278000000000)</f>
        <v>145.443957225578</v>
      </c>
      <c r="AK9">
        <f>((13811.94/2400500000000000)*  20858000000000)</f>
        <v>120.01226599458447</v>
      </c>
      <c r="AL9">
        <f>((13811.94/2400500000000000)*  12534000000000)</f>
        <v>72.11783210164549</v>
      </c>
      <c r="AM9">
        <f>((13811.94/2400500000000000)*6904200000000)</f>
        <v>39.725222307019372</v>
      </c>
      <c r="AN9">
        <f>((13811.94/2400500000000000)*  3885300000000)</f>
        <v>22.355147045198919</v>
      </c>
      <c r="AO9">
        <f>((13811.94/2400500000000000)*
  2303400000000)</f>
        <v>13.253248321599667</v>
      </c>
      <c r="AP9">
        <f>((13811.94/2400500000000000)*
  1439600000000)</f>
        <v>8.2831363565923777</v>
      </c>
      <c r="AQ9">
        <f>((13811.94/2400500000000000)*  634930000000)</f>
        <v>3.6532451840033331</v>
      </c>
    </row>
    <row r="10" spans="1:43" x14ac:dyDescent="0.25">
      <c r="A10" t="s">
        <v>11</v>
      </c>
      <c r="B10">
        <f>((12352.6264/  23812000000000000)*  49900000000000000)</f>
        <v>25885.942271123804</v>
      </c>
      <c r="C10">
        <f t="shared" ref="C10:J10" si="7">((12352.6264/  23812000000000000)*  49900000000000000)</f>
        <v>25885.942271123804</v>
      </c>
      <c r="D10">
        <f t="shared" si="7"/>
        <v>25885.942271123804</v>
      </c>
      <c r="E10">
        <f t="shared" si="7"/>
        <v>25885.942271123804</v>
      </c>
      <c r="F10">
        <f t="shared" si="7"/>
        <v>25885.942271123804</v>
      </c>
      <c r="G10">
        <f t="shared" si="7"/>
        <v>25885.942271123804</v>
      </c>
      <c r="H10">
        <f t="shared" si="7"/>
        <v>25885.942271123804</v>
      </c>
      <c r="I10">
        <f t="shared" si="7"/>
        <v>25885.942271123804</v>
      </c>
      <c r="J10">
        <f t="shared" si="7"/>
        <v>25885.942271123804</v>
      </c>
      <c r="L10" t="s">
        <v>11</v>
      </c>
      <c r="M10">
        <v>12352.626399999999</v>
      </c>
      <c r="N10">
        <v>12352.626399999999</v>
      </c>
      <c r="O10">
        <v>12352.626399999999</v>
      </c>
      <c r="P10">
        <v>12352.626399999999</v>
      </c>
      <c r="Q10">
        <v>12352.626399999999</v>
      </c>
      <c r="R10">
        <v>12352.626399999999</v>
      </c>
      <c r="S10">
        <v>12352.626399999999</v>
      </c>
      <c r="T10">
        <v>12352.626399999999</v>
      </c>
      <c r="U10">
        <v>12352.626399999999</v>
      </c>
      <c r="W10" t="s">
        <v>11</v>
      </c>
      <c r="X10">
        <f>((12352.6264/  23812000000000000)*    9960600000000000)</f>
        <v>5167.124580876869</v>
      </c>
      <c r="Y10">
        <f t="shared" ref="Y10:AF10" si="8">((12352.6264/  23812000000000000)*    9960600000000000)</f>
        <v>5167.124580876869</v>
      </c>
      <c r="Z10">
        <f t="shared" si="8"/>
        <v>5167.124580876869</v>
      </c>
      <c r="AA10">
        <f t="shared" si="8"/>
        <v>5167.124580876869</v>
      </c>
      <c r="AB10">
        <f t="shared" si="8"/>
        <v>5167.124580876869</v>
      </c>
      <c r="AC10">
        <f t="shared" si="8"/>
        <v>5167.124580876869</v>
      </c>
      <c r="AD10">
        <f t="shared" si="8"/>
        <v>5167.124580876869</v>
      </c>
      <c r="AE10">
        <f t="shared" si="8"/>
        <v>5167.124580876869</v>
      </c>
      <c r="AF10">
        <f t="shared" si="8"/>
        <v>5167.124580876869</v>
      </c>
      <c r="AH10" t="s">
        <v>11</v>
      </c>
      <c r="AI10">
        <f>((12352.6264/  23812000000000000)*  5167300000000000)</f>
        <v>2680.5697294103811</v>
      </c>
      <c r="AJ10">
        <f t="shared" ref="AJ10:AQ10" si="9">((12352.6264/  23812000000000000)*  5167300000000000)</f>
        <v>2680.5697294103811</v>
      </c>
      <c r="AK10">
        <f t="shared" si="9"/>
        <v>2680.5697294103811</v>
      </c>
      <c r="AL10">
        <f t="shared" si="9"/>
        <v>2680.5697294103811</v>
      </c>
      <c r="AM10">
        <f t="shared" si="9"/>
        <v>2680.5697294103811</v>
      </c>
      <c r="AN10">
        <f t="shared" si="9"/>
        <v>2680.5697294103811</v>
      </c>
      <c r="AO10">
        <f t="shared" si="9"/>
        <v>2680.5697294103811</v>
      </c>
      <c r="AP10">
        <f t="shared" si="9"/>
        <v>2680.5697294103811</v>
      </c>
      <c r="AQ10">
        <f t="shared" si="9"/>
        <v>2680.5697294103811</v>
      </c>
    </row>
    <row r="11" spans="1:43" x14ac:dyDescent="0.25">
      <c r="A11" t="s">
        <v>8</v>
      </c>
      <c r="B11">
        <f>(B9 / B10)</f>
        <v>0.93815258338772045</v>
      </c>
      <c r="C11">
        <f t="shared" ref="C11:J11" si="10">(C9 / C10)</f>
        <v>0.30300414662831771</v>
      </c>
      <c r="D11">
        <f t="shared" si="10"/>
        <v>3.2598729566101145E-2</v>
      </c>
      <c r="E11">
        <f t="shared" si="10"/>
        <v>6.2152303022454669E-3</v>
      </c>
      <c r="F11">
        <f t="shared" si="10"/>
        <v>1.8939092809281426E-3</v>
      </c>
      <c r="G11">
        <f t="shared" si="10"/>
        <v>7.5142005435129911E-4</v>
      </c>
      <c r="H11">
        <f t="shared" si="10"/>
        <v>3.4625869983684961E-4</v>
      </c>
      <c r="I11">
        <f t="shared" si="10"/>
        <v>1.7477417876602568E-4</v>
      </c>
      <c r="J11">
        <f t="shared" si="10"/>
        <v>5.3565851889640759E-5</v>
      </c>
      <c r="L11" t="s">
        <v>8</v>
      </c>
      <c r="M11">
        <f t="shared" ref="M11:U11" si="11">(M9 / M10)</f>
        <v>1.1181379208554385</v>
      </c>
      <c r="N11">
        <f t="shared" si="11"/>
        <v>0.45834105982993195</v>
      </c>
      <c r="O11">
        <f t="shared" si="11"/>
        <v>6.148477631864941E-2</v>
      </c>
      <c r="P11">
        <f t="shared" si="11"/>
        <v>1.2576431519723742E-2</v>
      </c>
      <c r="Q11">
        <f t="shared" si="11"/>
        <v>3.9116428376420754E-3</v>
      </c>
      <c r="R11">
        <f t="shared" si="11"/>
        <v>1.5650670335656213E-3</v>
      </c>
      <c r="S11">
        <f t="shared" si="11"/>
        <v>7.232379711361132E-4</v>
      </c>
      <c r="T11">
        <f t="shared" si="11"/>
        <v>3.6657968911194753E-4</v>
      </c>
      <c r="U11">
        <f t="shared" si="11"/>
        <v>1.1272208991752392E-4</v>
      </c>
      <c r="W11" t="s">
        <v>8</v>
      </c>
      <c r="X11">
        <f>(X9 / X10)</f>
        <v>0.17637287689792649</v>
      </c>
      <c r="Y11">
        <f t="shared" ref="Y11:AF11" si="12">(Y9 / Y10)</f>
        <v>0.17182965233991437</v>
      </c>
      <c r="Z11">
        <f t="shared" si="12"/>
        <v>7.7688026406576405E-2</v>
      </c>
      <c r="AA11">
        <f t="shared" si="12"/>
        <v>2.7959761134099606E-2</v>
      </c>
      <c r="AB11">
        <f t="shared" si="12"/>
        <v>1.1567406056036747E-2</v>
      </c>
      <c r="AC11">
        <f t="shared" si="12"/>
        <v>5.639722896804901E-3</v>
      </c>
      <c r="AD11">
        <f t="shared" si="12"/>
        <v>3.0762529813637965E-3</v>
      </c>
      <c r="AE11">
        <f t="shared" si="12"/>
        <v>1.83087495546165E-3</v>
      </c>
      <c r="AF11">
        <f t="shared" si="12"/>
        <v>7.6661346739300145E-4</v>
      </c>
      <c r="AH11" t="s">
        <v>8</v>
      </c>
      <c r="AI11">
        <f>(AI9 / AI10)</f>
        <v>5.0143805844794123E-2</v>
      </c>
      <c r="AJ11">
        <f t="shared" ref="AJ11:AQ11" si="13">(AJ9 / AJ10)</f>
        <v>5.4258598696318897E-2</v>
      </c>
      <c r="AK11">
        <f t="shared" si="13"/>
        <v>4.4771178558739598E-2</v>
      </c>
      <c r="AL11">
        <f t="shared" si="13"/>
        <v>2.6903919458013334E-2</v>
      </c>
      <c r="AM11">
        <f t="shared" si="13"/>
        <v>1.4819693690921946E-2</v>
      </c>
      <c r="AN11">
        <f t="shared" si="13"/>
        <v>8.3396998779495142E-3</v>
      </c>
      <c r="AO11">
        <f t="shared" si="13"/>
        <v>4.9441908472624791E-3</v>
      </c>
      <c r="AP11">
        <f t="shared" si="13"/>
        <v>3.0900656176604435E-3</v>
      </c>
      <c r="AQ11">
        <f t="shared" si="13"/>
        <v>1.3628614633378337E-3</v>
      </c>
    </row>
    <row r="13" spans="1:43" x14ac:dyDescent="0.25">
      <c r="B13" t="s">
        <v>12</v>
      </c>
      <c r="M13" t="s">
        <v>12</v>
      </c>
      <c r="X13" t="s">
        <v>12</v>
      </c>
      <c r="AI13" t="s">
        <v>12</v>
      </c>
    </row>
    <row r="14" spans="1:43" x14ac:dyDescent="0.25">
      <c r="A14" t="s">
        <v>5</v>
      </c>
      <c r="B14">
        <v>0.75</v>
      </c>
      <c r="C14">
        <v>1</v>
      </c>
      <c r="D14">
        <v>1.5</v>
      </c>
      <c r="E14">
        <v>2</v>
      </c>
      <c r="F14">
        <v>2.5</v>
      </c>
      <c r="G14">
        <v>3</v>
      </c>
      <c r="H14">
        <v>3.5</v>
      </c>
      <c r="I14">
        <v>4</v>
      </c>
      <c r="J14">
        <v>5</v>
      </c>
      <c r="L14" t="s">
        <v>5</v>
      </c>
      <c r="M14">
        <v>0.75</v>
      </c>
      <c r="N14">
        <v>1</v>
      </c>
      <c r="O14">
        <v>1.5</v>
      </c>
      <c r="P14">
        <v>2</v>
      </c>
      <c r="Q14">
        <v>2.5</v>
      </c>
      <c r="R14">
        <v>3</v>
      </c>
      <c r="S14">
        <v>3.5</v>
      </c>
      <c r="T14">
        <v>4</v>
      </c>
      <c r="U14">
        <v>5</v>
      </c>
      <c r="W14" t="s">
        <v>5</v>
      </c>
      <c r="X14">
        <v>0.75</v>
      </c>
      <c r="Y14">
        <v>1</v>
      </c>
      <c r="Z14">
        <v>1.5</v>
      </c>
      <c r="AA14">
        <v>2</v>
      </c>
      <c r="AB14">
        <v>2.5</v>
      </c>
      <c r="AC14">
        <v>3</v>
      </c>
      <c r="AD14">
        <v>3.5</v>
      </c>
      <c r="AE14">
        <v>4</v>
      </c>
      <c r="AF14">
        <v>5</v>
      </c>
      <c r="AH14" t="s">
        <v>5</v>
      </c>
      <c r="AI14">
        <v>0.75</v>
      </c>
      <c r="AJ14">
        <v>1</v>
      </c>
      <c r="AK14">
        <v>1.5</v>
      </c>
      <c r="AL14">
        <v>2</v>
      </c>
      <c r="AM14">
        <v>2.5</v>
      </c>
      <c r="AN14">
        <v>3</v>
      </c>
      <c r="AO14">
        <v>3.5</v>
      </c>
      <c r="AP14">
        <v>4</v>
      </c>
      <c r="AQ14">
        <v>5</v>
      </c>
    </row>
    <row r="15" spans="1:43" x14ac:dyDescent="0.25">
      <c r="A15" t="s">
        <v>6</v>
      </c>
      <c r="B15">
        <f>((3533.966/ 2603300000000000)* 5514700000000000)</f>
        <v>7486.1761226904318</v>
      </c>
      <c r="C15">
        <f>((3533.966/ 2603300000000000)* 2378600000000000)</f>
        <v>3228.936936810971</v>
      </c>
      <c r="D15">
        <f>((3533.966/ 2603300000000000)*  329530000000000)</f>
        <v>447.33523450236243</v>
      </c>
      <c r="E15">
        <f>((3533.966/ 2603300000000000)*  58464000000000)</f>
        <v>79.364571207313801</v>
      </c>
      <c r="F15">
        <f>((3533.966/ 2603300000000000)*  16135000000000)</f>
        <v>21.903177278838399</v>
      </c>
      <c r="G15">
        <f>((3533.966/ 2603300000000000)* 6267800000000)</f>
        <v>8.5085053949986555</v>
      </c>
      <c r="H15">
        <f>((3533.966/ 2603300000000000)  *3024400000000)</f>
        <v>4.1056070258518034</v>
      </c>
      <c r="I15">
        <f>((3533.966/ 2603300000000000)*  1690000000000)</f>
        <v>2.2941660738293703</v>
      </c>
      <c r="J15">
        <f>((3533.966/ 2603300000000000)*  668220000000)</f>
        <v>0.90710512062382365</v>
      </c>
      <c r="L15" t="s">
        <v>6</v>
      </c>
      <c r="M15">
        <v>3533.9659999999999</v>
      </c>
      <c r="N15">
        <f>((3533.966/ 2603300000000000)*1482700000000000)</f>
        <v>2012.7574187377561</v>
      </c>
      <c r="O15">
        <f>((3533.966/ 2603300000000000)*272760000000000)</f>
        <v>370.27025934775094</v>
      </c>
      <c r="P15">
        <f>( (3533.966/ 2603300000000000)*54393000000000)</f>
        <v>73.838210209349668</v>
      </c>
      <c r="Q15" s="1">
        <f>(15711000000000*(3533.966/ 2603300000000000))</f>
        <v>21.327599518303693</v>
      </c>
      <c r="R15">
        <f>(6216600000000*(3533.966/ 2603300000000000))</f>
        <v>8.4390016654246534</v>
      </c>
      <c r="S15">
        <f>(  3021700000000*(3533.966/ 2603300000000000))</f>
        <v>4.1019417901125497</v>
      </c>
      <c r="T15">
        <f>(1689500000000*(3533.966/ 2603300000000000))</f>
        <v>2.2934873264702493</v>
      </c>
      <c r="U15">
        <f>(671530000000*(3533.966/ 2603300000000000))</f>
        <v>0.9115984281412054</v>
      </c>
      <c r="W15" t="s">
        <v>6</v>
      </c>
      <c r="X15">
        <f>((3533.966/ 2603300000000000)*   88287000000000)</f>
        <v>119.84913618945185</v>
      </c>
      <c r="Y15">
        <f>((3533.966/ 2603300000000000)*   110170000000000)</f>
        <v>149.55519310874661</v>
      </c>
      <c r="Z15">
        <f>((3533.966/ 2603300000000000)*    74110000000000)</f>
        <v>100.60393356893175</v>
      </c>
      <c r="AA15">
        <f>((3533.966/ 2603300000000000)*   30293000000000)</f>
        <v>41.122587499711905</v>
      </c>
      <c r="AB15">
        <f>((3533.966/ 2603300000000000)*    11968000000000)</f>
        <v>16.246496787923022</v>
      </c>
      <c r="AC15">
        <f>((3533.966/ 2603300000000000)*   5390400000000)</f>
        <v>7.3174395292129226</v>
      </c>
      <c r="AD15">
        <f>((3533.966/ 2603300000000000)  *  2775100000000)</f>
        <v>3.7671835925940154</v>
      </c>
      <c r="AE15">
        <f>((3533.966/ 2603300000000000)*    1594900000000)</f>
        <v>2.1650683261245343</v>
      </c>
      <c r="AF15">
        <f>((3533.966/ 2603300000000000)*    651100000000)</f>
        <v>0.88386481104751669</v>
      </c>
      <c r="AH15" t="s">
        <v>6</v>
      </c>
      <c r="AI15">
        <f>((3533.966/2603300000000000)*11630000000000)</f>
        <v>15.787663573157147</v>
      </c>
      <c r="AJ15">
        <f>((3533.966/2603300000000000)*  13995000000000)</f>
        <v>18.998138581800024</v>
      </c>
      <c r="AK15">
        <f>((3533.966/2603300000000000)*  14998000000000)</f>
        <v>20.359705784196983</v>
      </c>
      <c r="AL15">
        <f>((3533.966/2603300000000000)*  10945000000000)</f>
        <v>14.85777969116122</v>
      </c>
      <c r="AM15">
        <f>((3533.966/2603300000000000)*  6560300000000)</f>
        <v>8.9055726000845077</v>
      </c>
      <c r="AN15">
        <f>((3533.966/2603300000000000)*  3732000000000)</f>
        <v>5.0661702884800066</v>
      </c>
      <c r="AO15">
        <f>((3533.966/2603300000000000)*  2200500000000)</f>
        <v>2.9871671274920293</v>
      </c>
      <c r="AP15">
        <f>((3533.966/2603300000000000)*  1347500000000)</f>
        <v>1.8292241328314063</v>
      </c>
      <c r="AQ15">
        <f>((3533.966/2603300000000000)*  592190000000)</f>
        <v>0.80389479719586676</v>
      </c>
    </row>
    <row r="16" spans="1:43" x14ac:dyDescent="0.25">
      <c r="A16" t="s">
        <v>7</v>
      </c>
      <c r="B16">
        <f>((735.83/  22668000000000000)* 49673000000000000)</f>
        <v>1612.4441322569262</v>
      </c>
      <c r="C16">
        <f t="shared" ref="C16:J16" si="14">((735.83/  22668000000000000)* 49673000000000000)</f>
        <v>1612.4441322569262</v>
      </c>
      <c r="D16">
        <f t="shared" si="14"/>
        <v>1612.4441322569262</v>
      </c>
      <c r="E16">
        <f t="shared" si="14"/>
        <v>1612.4441322569262</v>
      </c>
      <c r="F16">
        <f t="shared" si="14"/>
        <v>1612.4441322569262</v>
      </c>
      <c r="G16">
        <f t="shared" si="14"/>
        <v>1612.4441322569262</v>
      </c>
      <c r="H16">
        <f t="shared" si="14"/>
        <v>1612.4441322569262</v>
      </c>
      <c r="I16">
        <f t="shared" si="14"/>
        <v>1612.4441322569262</v>
      </c>
      <c r="J16">
        <f t="shared" si="14"/>
        <v>1612.4441322569262</v>
      </c>
      <c r="L16" t="s">
        <v>7</v>
      </c>
      <c r="M16">
        <v>735.83</v>
      </c>
      <c r="N16">
        <v>735.83</v>
      </c>
      <c r="O16">
        <v>735.83</v>
      </c>
      <c r="P16">
        <v>735.83</v>
      </c>
      <c r="Q16">
        <v>735.83</v>
      </c>
      <c r="R16">
        <v>735.83</v>
      </c>
      <c r="S16">
        <v>735.83</v>
      </c>
      <c r="T16">
        <v>735.83</v>
      </c>
      <c r="U16">
        <v>735.83</v>
      </c>
      <c r="W16" t="s">
        <v>7</v>
      </c>
      <c r="X16">
        <f>((735.83/  22668000000000000)*   7614800000000000)</f>
        <v>247.18538397741312</v>
      </c>
      <c r="Y16">
        <f t="shared" ref="Y16:AF16" si="15">((735.83/  22668000000000000)*   7614800000000000)</f>
        <v>247.18538397741312</v>
      </c>
      <c r="Z16">
        <f t="shared" si="15"/>
        <v>247.18538397741312</v>
      </c>
      <c r="AA16">
        <f t="shared" si="15"/>
        <v>247.18538397741312</v>
      </c>
      <c r="AB16">
        <f t="shared" si="15"/>
        <v>247.18538397741312</v>
      </c>
      <c r="AC16">
        <f t="shared" si="15"/>
        <v>247.18538397741312</v>
      </c>
      <c r="AD16">
        <f t="shared" si="15"/>
        <v>247.18538397741312</v>
      </c>
      <c r="AE16">
        <f t="shared" si="15"/>
        <v>247.18538397741312</v>
      </c>
      <c r="AF16">
        <f t="shared" si="15"/>
        <v>247.18538397741312</v>
      </c>
      <c r="AH16" t="s">
        <v>7</v>
      </c>
      <c r="AI16">
        <f>((735.83/  22668000000000000)*   4102800000000000)</f>
        <v>133.18172419269456</v>
      </c>
      <c r="AJ16">
        <f>((735.83/  22668000000000000)*   4102800000000000)</f>
        <v>133.18172419269456</v>
      </c>
      <c r="AK16">
        <f t="shared" ref="AK16:AQ16" si="16">((735.83/  22668000000000000)*   4102800000000000)</f>
        <v>133.18172419269456</v>
      </c>
      <c r="AL16">
        <f t="shared" si="16"/>
        <v>133.18172419269456</v>
      </c>
      <c r="AM16">
        <f t="shared" si="16"/>
        <v>133.18172419269456</v>
      </c>
      <c r="AN16">
        <f t="shared" si="16"/>
        <v>133.18172419269456</v>
      </c>
      <c r="AO16">
        <f>((735.83/  22668000000000000)*   4102800000000000)</f>
        <v>133.18172419269456</v>
      </c>
      <c r="AP16">
        <f t="shared" si="16"/>
        <v>133.18172419269456</v>
      </c>
      <c r="AQ16">
        <f t="shared" si="16"/>
        <v>133.18172419269456</v>
      </c>
    </row>
    <row r="17" spans="1:43" x14ac:dyDescent="0.25">
      <c r="A17" t="s">
        <v>8</v>
      </c>
      <c r="B17">
        <f>(B15/B16)</f>
        <v>4.6427506993449041</v>
      </c>
      <c r="C17">
        <f t="shared" ref="C17:J17" si="17">(C15/C16)</f>
        <v>2.0025108915193557</v>
      </c>
      <c r="D17">
        <f t="shared" si="17"/>
        <v>0.27742681160446198</v>
      </c>
      <c r="E17">
        <f t="shared" si="17"/>
        <v>4.9220044043465735E-2</v>
      </c>
      <c r="F17">
        <f t="shared" si="17"/>
        <v>1.3583836388911461E-2</v>
      </c>
      <c r="G17">
        <f t="shared" si="17"/>
        <v>5.2767753156751935E-3</v>
      </c>
      <c r="H17">
        <f t="shared" si="17"/>
        <v>2.5462011016190778E-3</v>
      </c>
      <c r="I17">
        <f t="shared" si="17"/>
        <v>1.4227879452903853E-3</v>
      </c>
      <c r="J17">
        <f t="shared" si="17"/>
        <v>5.6256530224966942E-4</v>
      </c>
      <c r="L17" t="s">
        <v>8</v>
      </c>
      <c r="M17">
        <f>(M15/M16)</f>
        <v>4.8026935569357052</v>
      </c>
      <c r="N17">
        <f t="shared" ref="N17:U17" si="18">(N15/N16)</f>
        <v>2.7353565616212387</v>
      </c>
      <c r="O17">
        <f t="shared" si="18"/>
        <v>0.50320081995535781</v>
      </c>
      <c r="P17">
        <f t="shared" si="18"/>
        <v>0.10034683311274298</v>
      </c>
      <c r="Q17">
        <f t="shared" si="18"/>
        <v>2.8984411505787601E-2</v>
      </c>
      <c r="R17">
        <f t="shared" si="18"/>
        <v>1.1468683888159838E-2</v>
      </c>
      <c r="S17">
        <f t="shared" si="18"/>
        <v>5.5745780820468712E-3</v>
      </c>
      <c r="T17">
        <f t="shared" si="18"/>
        <v>3.1168711882775223E-3</v>
      </c>
      <c r="U17">
        <f t="shared" si="18"/>
        <v>1.238870973106839E-3</v>
      </c>
      <c r="W17" t="s">
        <v>8</v>
      </c>
      <c r="X17">
        <f>(X15/X16)</f>
        <v>0.48485527040871973</v>
      </c>
      <c r="Y17">
        <f t="shared" ref="Y17:AF17" si="19">(Y15/Y16)</f>
        <v>0.60503250921345897</v>
      </c>
      <c r="Z17">
        <f t="shared" si="19"/>
        <v>0.40699790558055232</v>
      </c>
      <c r="AA17">
        <f t="shared" si="19"/>
        <v>0.16636334575295736</v>
      </c>
      <c r="AB17">
        <f t="shared" si="19"/>
        <v>6.5725960517987445E-2</v>
      </c>
      <c r="AC17">
        <f t="shared" si="19"/>
        <v>2.9603042912446486E-2</v>
      </c>
      <c r="AD17">
        <f t="shared" si="19"/>
        <v>1.5240316931272306E-2</v>
      </c>
      <c r="AE17">
        <f t="shared" si="19"/>
        <v>8.7588848955663587E-3</v>
      </c>
      <c r="AF17">
        <f t="shared" si="19"/>
        <v>3.5757163179530103E-3</v>
      </c>
      <c r="AH17" t="s">
        <v>8</v>
      </c>
      <c r="AI17">
        <f>(AI15/AI16)</f>
        <v>0.11854226748344764</v>
      </c>
      <c r="AJ17">
        <f t="shared" ref="AJ17:AQ17" si="20">(AJ15/AJ16)</f>
        <v>0.14264824019181854</v>
      </c>
      <c r="AK17">
        <f t="shared" si="20"/>
        <v>0.15287161889223971</v>
      </c>
      <c r="AL17">
        <f t="shared" si="20"/>
        <v>0.11156019927827467</v>
      </c>
      <c r="AM17">
        <f t="shared" si="20"/>
        <v>6.6867827804957994E-2</v>
      </c>
      <c r="AN17">
        <f t="shared" si="20"/>
        <v>3.8039530717818279E-2</v>
      </c>
      <c r="AO17">
        <f t="shared" si="20"/>
        <v>2.2429257059099442E-2</v>
      </c>
      <c r="AP17">
        <f t="shared" si="20"/>
        <v>1.3734798403606679E-2</v>
      </c>
      <c r="AQ17">
        <f t="shared" si="20"/>
        <v>6.0360744093742773E-3</v>
      </c>
    </row>
    <row r="18" spans="1:43" x14ac:dyDescent="0.25">
      <c r="E18">
        <f>(MEDIAN(E17:I17))</f>
        <v>5.2767753156751935E-3</v>
      </c>
      <c r="P18">
        <f>(MEDIAN(P17:T17))</f>
        <v>1.1468683888159838E-2</v>
      </c>
      <c r="AA18">
        <f>(MEDIAN(AA17:AE17))</f>
        <v>2.9603042912446486E-2</v>
      </c>
      <c r="AL18">
        <f>(MEDIAN(AL17:AP17))</f>
        <v>3.8039530717818279E-2</v>
      </c>
    </row>
    <row r="19" spans="1:43" x14ac:dyDescent="0.25">
      <c r="P19">
        <f>(AVERAGE(Q17:S17))</f>
        <v>1.5342557825331437E-2</v>
      </c>
      <c r="AA19">
        <f>(AVERAGE(AB17:AD17))</f>
        <v>3.6856440120568747E-2</v>
      </c>
      <c r="AL19">
        <f>(AVERAGE(AM17:AO17))</f>
        <v>4.2445538527291903E-2</v>
      </c>
    </row>
    <row r="22" spans="1:43" x14ac:dyDescent="0.25">
      <c r="M22" t="s">
        <v>19</v>
      </c>
      <c r="X22" t="s">
        <v>19</v>
      </c>
    </row>
    <row r="23" spans="1:43" x14ac:dyDescent="0.25">
      <c r="M23" t="s">
        <v>12</v>
      </c>
      <c r="X23" t="s">
        <v>12</v>
      </c>
    </row>
    <row r="24" spans="1:43" x14ac:dyDescent="0.25">
      <c r="L24" t="s">
        <v>5</v>
      </c>
      <c r="M24">
        <v>0.75</v>
      </c>
      <c r="N24">
        <v>1</v>
      </c>
      <c r="O24">
        <v>1.5</v>
      </c>
      <c r="P24">
        <v>2</v>
      </c>
      <c r="Q24">
        <v>2.5</v>
      </c>
      <c r="R24">
        <v>3</v>
      </c>
      <c r="S24">
        <v>3.5</v>
      </c>
      <c r="T24">
        <v>4</v>
      </c>
      <c r="U24">
        <v>5</v>
      </c>
      <c r="W24" t="s">
        <v>5</v>
      </c>
      <c r="X24">
        <v>0.75</v>
      </c>
      <c r="Y24">
        <v>1</v>
      </c>
      <c r="Z24">
        <v>1.5</v>
      </c>
      <c r="AA24">
        <v>2</v>
      </c>
      <c r="AB24">
        <v>2.5</v>
      </c>
      <c r="AC24">
        <v>3</v>
      </c>
      <c r="AD24">
        <v>3.5</v>
      </c>
      <c r="AE24">
        <v>4</v>
      </c>
      <c r="AF24">
        <v>5</v>
      </c>
    </row>
    <row r="25" spans="1:43" x14ac:dyDescent="0.25">
      <c r="L25" t="s">
        <v>6</v>
      </c>
      <c r="M25">
        <f>((3533.966/ 2603300000000000)*    46527000000000)</f>
        <v>63.160156755656281</v>
      </c>
      <c r="N25">
        <f>((3533.966/ 2603300000000000)*  39547000000000)</f>
        <v>53.684843622325509</v>
      </c>
      <c r="O25">
        <f>((3533.966/ 2603300000000000)*23938000000000)</f>
        <v>32.495708565282527</v>
      </c>
      <c r="P25">
        <f>( (3533.966/ 2603300000000000)*12868000000000)</f>
        <v>17.468242034341028</v>
      </c>
      <c r="Q25" s="1">
        <f>(  6783300000000*(3533.966/ 2603300000000000))</f>
        <v>9.2082939222525262</v>
      </c>
      <c r="R25">
        <f>(3713700000000*(3533.966/ 2603300000000000))</f>
        <v>5.0413281351361734</v>
      </c>
      <c r="S25">
        <f>(
  2154100000000*(3533.966/ 2603300000000000))</f>
        <v>2.92417937256559</v>
      </c>
      <c r="T25">
        <f>( 1333300000000*(3533.966/ 2603300000000000))</f>
        <v>1.8099477078323667</v>
      </c>
      <c r="U25">
        <f>( 584820000000*(3533.966/ 2603300000000000))</f>
        <v>0.79389006112242155</v>
      </c>
      <c r="W25" t="s">
        <v>6</v>
      </c>
      <c r="X25">
        <f>((3533.966/ 2603300000000000)*     44754000000000)</f>
        <v>60.753318620212809</v>
      </c>
      <c r="Y25">
        <f>((3533.966/ 2603300000000000)*    37698000000000)</f>
        <v>51.174835888295625</v>
      </c>
      <c r="Z25">
        <f>((3533.966/ 2603300000000000)*      22377000000000)</f>
        <v>30.376659310106405</v>
      </c>
      <c r="AA25">
        <f>((3533.966/ 2603300000000000)*   11911000000000)</f>
        <v>16.169119588983214</v>
      </c>
      <c r="AB25">
        <f>((3533.966/ 2603300000000000)*    6331300000000)</f>
        <v>8.5947063096070373</v>
      </c>
      <c r="AC25">
        <f>((3533.966/ 2603300000000000)*     3512900000000)</f>
        <v>4.7687431957131334</v>
      </c>
      <c r="AD25">
        <f>((3533.966/ 2603300000000000)  *   2063300000000)</f>
        <v>2.8009188521491954</v>
      </c>
      <c r="AE25">
        <f>((3533.966/ 2603300000000000)*     1287400000000)</f>
        <v>1.7476387002650482</v>
      </c>
      <c r="AF25">
        <f>((3533.966/ 2603300000000000)*     572980000000)</f>
        <v>0.77781732365843359</v>
      </c>
    </row>
    <row r="26" spans="1:43" x14ac:dyDescent="0.25">
      <c r="L26" t="s">
        <v>7</v>
      </c>
      <c r="M26">
        <v>735.83</v>
      </c>
      <c r="N26">
        <v>735.83</v>
      </c>
      <c r="O26">
        <v>735.83</v>
      </c>
      <c r="P26">
        <v>735.83</v>
      </c>
      <c r="Q26">
        <v>735.83</v>
      </c>
      <c r="R26">
        <v>735.83</v>
      </c>
      <c r="S26">
        <v>735.83</v>
      </c>
      <c r="T26">
        <v>735.83</v>
      </c>
      <c r="U26">
        <v>735.83</v>
      </c>
      <c r="W26" t="s">
        <v>7</v>
      </c>
      <c r="X26">
        <f>((735.83/  22668000000000000)*   7614800000000000)</f>
        <v>247.18538397741312</v>
      </c>
      <c r="Y26">
        <f>((735.83/  22668000000000000)*   7614800000000000)</f>
        <v>247.18538397741312</v>
      </c>
      <c r="Z26">
        <f t="shared" ref="Y26:AF26" si="21">((735.83/  22668000000000000)*   7614800000000000)</f>
        <v>247.18538397741312</v>
      </c>
      <c r="AA26">
        <f t="shared" si="21"/>
        <v>247.18538397741312</v>
      </c>
      <c r="AB26">
        <f t="shared" si="21"/>
        <v>247.18538397741312</v>
      </c>
      <c r="AC26">
        <f>((735.83/  22668000000000000)*   7614800000000000)</f>
        <v>247.18538397741312</v>
      </c>
      <c r="AD26">
        <f t="shared" si="21"/>
        <v>247.18538397741312</v>
      </c>
      <c r="AE26">
        <f t="shared" si="21"/>
        <v>247.18538397741312</v>
      </c>
      <c r="AF26">
        <f t="shared" si="21"/>
        <v>247.18538397741312</v>
      </c>
    </row>
    <row r="27" spans="1:43" x14ac:dyDescent="0.25">
      <c r="L27" t="s">
        <v>8</v>
      </c>
      <c r="M27">
        <f>(M25/M26)</f>
        <v>8.5835256452789749E-2</v>
      </c>
      <c r="N27">
        <f t="shared" ref="N27:U27" si="22">(N25/N26)</f>
        <v>7.2958215378994482E-2</v>
      </c>
      <c r="O27">
        <f t="shared" si="22"/>
        <v>4.4161978398927097E-2</v>
      </c>
      <c r="P27">
        <f t="shared" si="22"/>
        <v>2.3739507813409385E-2</v>
      </c>
      <c r="Q27">
        <f t="shared" si="22"/>
        <v>1.2514159414881869E-2</v>
      </c>
      <c r="R27">
        <f t="shared" si="22"/>
        <v>6.8512130996781504E-3</v>
      </c>
      <c r="S27">
        <f t="shared" si="22"/>
        <v>3.9739877044501987E-3</v>
      </c>
      <c r="T27">
        <f t="shared" si="22"/>
        <v>2.4597362268898612E-3</v>
      </c>
      <c r="U27">
        <f t="shared" si="22"/>
        <v>1.0789041777617405E-3</v>
      </c>
      <c r="W27" t="s">
        <v>8</v>
      </c>
      <c r="X27">
        <f>(X25/X26)</f>
        <v>0.2457803841094594</v>
      </c>
      <c r="Y27">
        <f t="shared" ref="Y27:AF27" si="23">(Y25/Y26)</f>
        <v>0.20703018546182242</v>
      </c>
      <c r="Z27">
        <f t="shared" si="23"/>
        <v>0.1228901920547297</v>
      </c>
      <c r="AA27">
        <f t="shared" si="23"/>
        <v>6.5412927450680849E-2</v>
      </c>
      <c r="AB27">
        <f t="shared" si="23"/>
        <v>3.4770285246284581E-2</v>
      </c>
      <c r="AC27">
        <f t="shared" si="23"/>
        <v>1.9292173020023236E-2</v>
      </c>
      <c r="AD27">
        <f t="shared" si="23"/>
        <v>1.1331247855678768E-2</v>
      </c>
      <c r="AE27">
        <f t="shared" si="23"/>
        <v>7.0701538745702739E-3</v>
      </c>
      <c r="AF27">
        <f t="shared" si="23"/>
        <v>3.1466962614970294E-3</v>
      </c>
    </row>
    <row r="28" spans="1:43" x14ac:dyDescent="0.25">
      <c r="P28">
        <f>(MEDIAN(P27:T27))</f>
        <v>6.8512130996781504E-3</v>
      </c>
      <c r="AA28">
        <f>(MEDIAN(AA27:AE27))</f>
        <v>1.9292173020023236E-2</v>
      </c>
    </row>
    <row r="29" spans="1:43" x14ac:dyDescent="0.25">
      <c r="P29">
        <f>(AVERAGE(Q27:S27))</f>
        <v>7.7797867396700721E-3</v>
      </c>
      <c r="AA29">
        <f>(AVERAGE(AB27:AD27))</f>
        <v>2.1797902040662193E-2</v>
      </c>
    </row>
    <row r="31" spans="1:43" x14ac:dyDescent="0.25">
      <c r="A31" s="4" t="s">
        <v>13</v>
      </c>
      <c r="B31" t="s">
        <v>1</v>
      </c>
      <c r="L31" s="5" t="s">
        <v>14</v>
      </c>
      <c r="M31" t="s">
        <v>1</v>
      </c>
      <c r="W31" s="6" t="s">
        <v>15</v>
      </c>
      <c r="X31" t="s">
        <v>1</v>
      </c>
      <c r="AH31" s="7" t="s">
        <v>16</v>
      </c>
      <c r="AI31" t="s">
        <v>1</v>
      </c>
    </row>
    <row r="32" spans="1:43" x14ac:dyDescent="0.25">
      <c r="A32" t="s">
        <v>5</v>
      </c>
      <c r="B32">
        <v>0.75</v>
      </c>
      <c r="C32">
        <v>1</v>
      </c>
      <c r="D32">
        <v>1.5</v>
      </c>
      <c r="E32">
        <v>2</v>
      </c>
      <c r="F32">
        <v>2.5</v>
      </c>
      <c r="G32">
        <v>3</v>
      </c>
      <c r="H32">
        <v>3.5</v>
      </c>
      <c r="I32">
        <v>4</v>
      </c>
      <c r="J32">
        <v>5</v>
      </c>
      <c r="L32" t="s">
        <v>5</v>
      </c>
      <c r="M32">
        <v>0.75</v>
      </c>
      <c r="N32">
        <v>1</v>
      </c>
      <c r="O32">
        <v>1.5</v>
      </c>
      <c r="P32">
        <v>2</v>
      </c>
      <c r="Q32">
        <v>2.5</v>
      </c>
      <c r="R32">
        <v>3</v>
      </c>
      <c r="S32">
        <v>3.5</v>
      </c>
      <c r="T32">
        <v>4</v>
      </c>
      <c r="U32">
        <v>5</v>
      </c>
      <c r="W32" t="s">
        <v>5</v>
      </c>
      <c r="X32">
        <v>0.75</v>
      </c>
      <c r="Y32">
        <v>1</v>
      </c>
      <c r="Z32">
        <v>1.5</v>
      </c>
      <c r="AA32">
        <v>2</v>
      </c>
      <c r="AB32">
        <v>2.5</v>
      </c>
      <c r="AC32">
        <v>3</v>
      </c>
      <c r="AD32">
        <v>3.5</v>
      </c>
      <c r="AE32">
        <v>4</v>
      </c>
      <c r="AF32">
        <v>5</v>
      </c>
      <c r="AH32" t="s">
        <v>5</v>
      </c>
      <c r="AI32">
        <v>0.75</v>
      </c>
      <c r="AJ32">
        <v>1</v>
      </c>
      <c r="AK32">
        <v>1.5</v>
      </c>
      <c r="AL32">
        <v>2</v>
      </c>
      <c r="AM32">
        <v>2.5</v>
      </c>
      <c r="AN32">
        <v>3</v>
      </c>
      <c r="AO32">
        <v>3.5</v>
      </c>
      <c r="AP32">
        <v>4</v>
      </c>
      <c r="AQ32">
        <v>5</v>
      </c>
    </row>
    <row r="33" spans="1:43" x14ac:dyDescent="0.25">
      <c r="A33" t="s">
        <v>6</v>
      </c>
      <c r="B33">
        <f>((370.28/1462800000000000)*9208900000000)</f>
        <v>2.3310578971834834</v>
      </c>
      <c r="C33">
        <f>(8580000000000*((370.28/1462800000000000)))</f>
        <v>2.1718638228055784</v>
      </c>
      <c r="D33">
        <f>(5430000000000*((370.28/1462800000000000)))</f>
        <v>1.3745012305168169</v>
      </c>
      <c r="E33">
        <f>(2710000000000*((370.28/1462800000000000)))</f>
        <v>0.68598496035001366</v>
      </c>
      <c r="F33">
        <f>( 1227000000000*(370.28/1462800000000000))</f>
        <v>0.31059171452009843</v>
      </c>
      <c r="G33" s="3">
        <f>(543000000000*(370.28/1462800000000000))</f>
        <v>0.13745012305168169</v>
      </c>
      <c r="H33" s="3">
        <f>(  235160000000*(370.28/1462800000000000))</f>
        <v>5.9526281651627017E-2</v>
      </c>
      <c r="I33">
        <f>(104000000000*(370.28/1462800000000000))</f>
        <v>2.6325622094613071E-2</v>
      </c>
      <c r="J33">
        <f>(20700000000*(370.28/1462800000000000))</f>
        <v>5.2398113207547167E-3</v>
      </c>
      <c r="L33" t="s">
        <v>6</v>
      </c>
      <c r="M33">
        <f>((2.33/9208900000000)*  2219400000000)</f>
        <v>0.56154394118732964</v>
      </c>
      <c r="N33">
        <f>((2.33/9208900000000)*    2273200000000)</f>
        <v>0.57515620758179586</v>
      </c>
      <c r="O33">
        <f>((2.33/9208900000000)*  1790600000000)</f>
        <v>0.45305063579797805</v>
      </c>
      <c r="P33">
        <f>((2.33/9208900000000)*    1105300000000)</f>
        <v>0.27965869973612484</v>
      </c>
      <c r="Q33">
        <f>((2.33/9208900000000)*   594760000000)</f>
        <v>0.1504838580069281</v>
      </c>
      <c r="R33">
        <f>((2.33/9208900000000)*    295620000000)</f>
        <v>7.4796620660448052E-2</v>
      </c>
      <c r="S33">
        <f>((2.33/9208900000000)*   142910000000)</f>
        <v>3.6158531420690851E-2</v>
      </c>
      <c r="T33">
        <f>((2.33/9208900000000)*    67420000000)</f>
        <v>1.7058345730760462E-2</v>
      </c>
      <c r="U33">
        <f>((2.33/9208900000000)*   14923000000)</f>
        <v>3.7757593197884657E-3</v>
      </c>
      <c r="W33" t="s">
        <v>6</v>
      </c>
      <c r="X33">
        <f>((0.56/2219400000000)*598770000000)</f>
        <v>0.15108191403081916</v>
      </c>
      <c r="Y33">
        <f>((0.56/2219400000000)*  652700000000)</f>
        <v>0.16468955573578448</v>
      </c>
      <c r="Z33">
        <f>((0.56/2219400000000)* 598230000000)</f>
        <v>0.15094566098945664</v>
      </c>
      <c r="AA33">
        <f>((0.56/2219400000000)*432280000000)</f>
        <v>0.10907308281517529</v>
      </c>
      <c r="AB33">
        <f>((0.56/2219400000000)* 266250000000)</f>
        <v>6.7180319005136532E-2</v>
      </c>
      <c r="AC33">
        <f>((0.56/2219400000000)*149920000000)</f>
        <v>3.7827881409389932E-2</v>
      </c>
      <c r="AD33">
        <f>((0.56/2219400000000)*78893000000)</f>
        <v>1.990631702261873E-2</v>
      </c>
      <c r="AE33">
        <f>((0.56/2219400000000)*  40326000000)</f>
        <v>1.0175074344417412E-2</v>
      </c>
      <c r="AF33">
        <f>((0.56/2219400000000)*10050000000)</f>
        <v>2.5358204920248721E-3</v>
      </c>
      <c r="AH33" t="s">
        <v>6</v>
      </c>
      <c r="AI33" s="3">
        <f>(179000000000*(0.15/598770000000))</f>
        <v>4.4841925948193799E-2</v>
      </c>
      <c r="AJ33" s="3">
        <f>(202000000000*(0.15/598770000000))</f>
        <v>5.0603737662207528E-2</v>
      </c>
      <c r="AK33" s="3">
        <f>((0.15/598770000000))*206000000000</f>
        <v>5.160579187334035E-2</v>
      </c>
      <c r="AL33" s="3">
        <f>(166000000000*(0.15/598770000000))</f>
        <v>4.1585249762012125E-2</v>
      </c>
      <c r="AM33" s="3">
        <f>( 114790000000*(0.15/598770000000))</f>
        <v>2.8756450723984167E-2</v>
      </c>
      <c r="AN33" s="3">
        <f>((0.15/598770000000)*71600000000)</f>
        <v>1.793677037927752E-2</v>
      </c>
      <c r="AO33" s="3">
        <f>(  41545000000*(0.15/598770000000))</f>
        <v>1.0407585550378275E-2</v>
      </c>
      <c r="AP33" s="3">
        <f>(22900000000*(0.15/598770000000))</f>
        <v>5.7367603587354073E-3</v>
      </c>
      <c r="AQ33" s="3">
        <f>((0.15/598770000000)*6339200000)</f>
        <v>1.5880555138032967E-3</v>
      </c>
    </row>
    <row r="34" spans="1:43" x14ac:dyDescent="0.25">
      <c r="A34" t="s">
        <v>11</v>
      </c>
      <c r="B34">
        <f>((1702.25/ 40155000000000000)*  1291300000000000)</f>
        <v>54.740765160004976</v>
      </c>
      <c r="C34">
        <f t="shared" ref="C34:J34" si="24">((1702.25/ 40155000000000000)*  1291300000000000)</f>
        <v>54.740765160004976</v>
      </c>
      <c r="D34">
        <f t="shared" si="24"/>
        <v>54.740765160004976</v>
      </c>
      <c r="E34">
        <f t="shared" si="24"/>
        <v>54.740765160004976</v>
      </c>
      <c r="F34">
        <f t="shared" si="24"/>
        <v>54.740765160004976</v>
      </c>
      <c r="G34">
        <f t="shared" si="24"/>
        <v>54.740765160004976</v>
      </c>
      <c r="H34">
        <f t="shared" si="24"/>
        <v>54.740765160004976</v>
      </c>
      <c r="I34">
        <f t="shared" si="24"/>
        <v>54.740765160004976</v>
      </c>
      <c r="J34">
        <f t="shared" si="24"/>
        <v>54.740765160004976</v>
      </c>
      <c r="L34" t="s">
        <v>11</v>
      </c>
      <c r="M34">
        <f>((54.74/1291300000000000)*489290000000000)</f>
        <v>20.741682490513437</v>
      </c>
      <c r="N34">
        <f t="shared" ref="N34:U34" si="25">((54.74/1291300000000000)*489290000000000)</f>
        <v>20.741682490513437</v>
      </c>
      <c r="O34">
        <f t="shared" si="25"/>
        <v>20.741682490513437</v>
      </c>
      <c r="P34">
        <f t="shared" si="25"/>
        <v>20.741682490513437</v>
      </c>
      <c r="Q34">
        <f t="shared" si="25"/>
        <v>20.741682490513437</v>
      </c>
      <c r="R34">
        <f t="shared" si="25"/>
        <v>20.741682490513437</v>
      </c>
      <c r="S34">
        <f t="shared" si="25"/>
        <v>20.741682490513437</v>
      </c>
      <c r="T34">
        <f t="shared" si="25"/>
        <v>20.741682490513437</v>
      </c>
      <c r="U34">
        <f t="shared" si="25"/>
        <v>20.741682490513437</v>
      </c>
      <c r="W34" t="s">
        <v>11</v>
      </c>
      <c r="X34">
        <f>(20.74/489290000000000)*198170000000000</f>
        <v>8.4000200290216434</v>
      </c>
      <c r="Y34">
        <f t="shared" ref="Y34:AF34" si="26">(20.74/489290000000000)*198170000000000</f>
        <v>8.4000200290216434</v>
      </c>
      <c r="Z34">
        <f t="shared" si="26"/>
        <v>8.4000200290216434</v>
      </c>
      <c r="AA34">
        <f t="shared" si="26"/>
        <v>8.4000200290216434</v>
      </c>
      <c r="AB34">
        <f t="shared" si="26"/>
        <v>8.4000200290216434</v>
      </c>
      <c r="AC34">
        <f t="shared" si="26"/>
        <v>8.4000200290216434</v>
      </c>
      <c r="AD34">
        <f t="shared" si="26"/>
        <v>8.4000200290216434</v>
      </c>
      <c r="AE34">
        <f t="shared" si="26"/>
        <v>8.4000200290216434</v>
      </c>
      <c r="AF34">
        <f t="shared" si="26"/>
        <v>8.4000200290216434</v>
      </c>
      <c r="AH34" t="s">
        <v>11</v>
      </c>
      <c r="AI34">
        <f>(83780000000000* (8.4/198170000000000))</f>
        <v>3.5512539738608266</v>
      </c>
      <c r="AJ34">
        <f t="shared" ref="AJ34:AQ34" si="27">(83780000000000* (8.4/198170000000000))</f>
        <v>3.5512539738608266</v>
      </c>
      <c r="AK34">
        <f t="shared" si="27"/>
        <v>3.5512539738608266</v>
      </c>
      <c r="AL34">
        <f t="shared" si="27"/>
        <v>3.5512539738608266</v>
      </c>
      <c r="AM34">
        <f t="shared" si="27"/>
        <v>3.5512539738608266</v>
      </c>
      <c r="AN34">
        <f t="shared" si="27"/>
        <v>3.5512539738608266</v>
      </c>
      <c r="AO34">
        <f t="shared" si="27"/>
        <v>3.5512539738608266</v>
      </c>
      <c r="AP34">
        <f t="shared" si="27"/>
        <v>3.5512539738608266</v>
      </c>
      <c r="AQ34">
        <f t="shared" si="27"/>
        <v>3.5512539738608266</v>
      </c>
    </row>
    <row r="35" spans="1:43" x14ac:dyDescent="0.25">
      <c r="A35" t="s">
        <v>8</v>
      </c>
      <c r="B35">
        <f>(B33/B34)</f>
        <v>4.2583582643938175E-2</v>
      </c>
      <c r="C35">
        <f t="shared" ref="C35:J35" si="28">(C33/C34)</f>
        <v>3.9675437792243327E-2</v>
      </c>
      <c r="D35">
        <f t="shared" si="28"/>
        <v>2.5109280560825321E-2</v>
      </c>
      <c r="E35">
        <f t="shared" si="28"/>
        <v>1.2531519395918346E-2</v>
      </c>
      <c r="F35">
        <f t="shared" si="28"/>
        <v>5.6738650549047276E-3</v>
      </c>
      <c r="G35">
        <f t="shared" si="28"/>
        <v>2.5109280560825322E-3</v>
      </c>
      <c r="H35">
        <f t="shared" si="28"/>
        <v>1.0874214395365899E-3</v>
      </c>
      <c r="I35">
        <f t="shared" si="28"/>
        <v>4.8091439748173734E-4</v>
      </c>
      <c r="J35">
        <f t="shared" si="28"/>
        <v>9.5720461806461166E-5</v>
      </c>
      <c r="L35" t="s">
        <v>8</v>
      </c>
      <c r="M35">
        <f>(M33/M34)</f>
        <v>2.7073210740939716E-2</v>
      </c>
      <c r="N35">
        <f t="shared" ref="N35:U35" si="29">(N33/N34)</f>
        <v>2.7729486643373959E-2</v>
      </c>
      <c r="O35">
        <f t="shared" si="29"/>
        <v>2.1842521020422934E-2</v>
      </c>
      <c r="P35">
        <f t="shared" si="29"/>
        <v>1.348293224833769E-2</v>
      </c>
      <c r="Q35">
        <f t="shared" si="29"/>
        <v>7.2551422998473943E-3</v>
      </c>
      <c r="R35">
        <f t="shared" si="29"/>
        <v>3.6061019010708299E-3</v>
      </c>
      <c r="S35">
        <f t="shared" si="29"/>
        <v>1.7432786099791362E-3</v>
      </c>
      <c r="T35">
        <f t="shared" si="29"/>
        <v>8.2241861230700002E-4</v>
      </c>
      <c r="U35">
        <f t="shared" si="29"/>
        <v>1.8203727308598874E-4</v>
      </c>
      <c r="W35" t="s">
        <v>8</v>
      </c>
      <c r="X35">
        <f>(X33/X34)</f>
        <v>1.7985899260815903E-2</v>
      </c>
      <c r="Y35">
        <f t="shared" ref="Y35:AF35" si="30">(Y33/Y34)</f>
        <v>1.9605852744016133E-2</v>
      </c>
      <c r="Z35">
        <f t="shared" si="30"/>
        <v>1.7969678699330124E-2</v>
      </c>
      <c r="AA35">
        <f t="shared" si="30"/>
        <v>1.2984859850135276E-2</v>
      </c>
      <c r="AB35">
        <f t="shared" si="30"/>
        <v>7.9976379547943861E-3</v>
      </c>
      <c r="AC35">
        <f t="shared" si="30"/>
        <v>4.5033084776817814E-3</v>
      </c>
      <c r="AD35">
        <f t="shared" si="30"/>
        <v>2.3697939949956564E-3</v>
      </c>
      <c r="AE35">
        <f t="shared" si="30"/>
        <v>1.2113154860658719E-3</v>
      </c>
      <c r="AF35">
        <f t="shared" si="30"/>
        <v>3.0188267209646416E-4</v>
      </c>
      <c r="AH35" t="s">
        <v>8</v>
      </c>
      <c r="AI35" s="3">
        <f>(AI33/AI34)</f>
        <v>1.26270681506462E-2</v>
      </c>
      <c r="AJ35">
        <f t="shared" ref="AJ35:AQ35" si="31">(AJ33/AJ34)</f>
        <v>1.4249540594583981E-2</v>
      </c>
      <c r="AK35">
        <f t="shared" si="31"/>
        <v>1.4531709715268811E-2</v>
      </c>
      <c r="AL35">
        <f t="shared" si="31"/>
        <v>1.1710018508420498E-2</v>
      </c>
      <c r="AM35">
        <f t="shared" si="31"/>
        <v>8.0975483408529461E-3</v>
      </c>
      <c r="AN35">
        <f t="shared" si="31"/>
        <v>5.0508272602584805E-3</v>
      </c>
      <c r="AO35">
        <f t="shared" si="31"/>
        <v>2.9306790297128288E-3</v>
      </c>
      <c r="AP35">
        <f t="shared" si="31"/>
        <v>1.6154182159206589E-3</v>
      </c>
      <c r="AQ35">
        <f t="shared" si="31"/>
        <v>4.4718162246132061E-4</v>
      </c>
    </row>
    <row r="37" spans="1:43" x14ac:dyDescent="0.25">
      <c r="B37" t="s">
        <v>9</v>
      </c>
      <c r="M37" t="s">
        <v>9</v>
      </c>
      <c r="X37" t="s">
        <v>9</v>
      </c>
      <c r="AI37" t="s">
        <v>9</v>
      </c>
    </row>
    <row r="38" spans="1:43" x14ac:dyDescent="0.25">
      <c r="A38" t="s">
        <v>5</v>
      </c>
      <c r="B38">
        <v>0.75</v>
      </c>
      <c r="C38">
        <v>1</v>
      </c>
      <c r="D38">
        <v>1.5</v>
      </c>
      <c r="E38">
        <v>2</v>
      </c>
      <c r="F38">
        <v>2.5</v>
      </c>
      <c r="G38">
        <v>3</v>
      </c>
      <c r="H38">
        <v>3.5</v>
      </c>
      <c r="I38">
        <v>4</v>
      </c>
      <c r="J38">
        <v>5</v>
      </c>
      <c r="L38" t="s">
        <v>5</v>
      </c>
      <c r="M38">
        <v>0.75</v>
      </c>
      <c r="N38">
        <v>1</v>
      </c>
      <c r="O38">
        <v>1.5</v>
      </c>
      <c r="P38">
        <v>2</v>
      </c>
      <c r="Q38">
        <v>2.5</v>
      </c>
      <c r="R38">
        <v>3</v>
      </c>
      <c r="S38">
        <v>3.5</v>
      </c>
      <c r="T38">
        <v>4</v>
      </c>
      <c r="U38">
        <v>5</v>
      </c>
      <c r="W38" t="s">
        <v>5</v>
      </c>
      <c r="X38">
        <v>0.75</v>
      </c>
      <c r="Y38">
        <v>1</v>
      </c>
      <c r="Z38">
        <v>1.5</v>
      </c>
      <c r="AA38">
        <v>2</v>
      </c>
      <c r="AB38">
        <v>2.5</v>
      </c>
      <c r="AC38">
        <v>3</v>
      </c>
      <c r="AD38">
        <v>3.5</v>
      </c>
      <c r="AE38">
        <v>4</v>
      </c>
      <c r="AF38">
        <v>5</v>
      </c>
      <c r="AH38" t="s">
        <v>5</v>
      </c>
      <c r="AI38">
        <v>0.75</v>
      </c>
      <c r="AJ38">
        <v>1</v>
      </c>
      <c r="AK38">
        <v>1.5</v>
      </c>
      <c r="AL38">
        <v>2</v>
      </c>
      <c r="AM38">
        <v>2.5</v>
      </c>
      <c r="AN38">
        <v>3</v>
      </c>
      <c r="AO38">
        <v>3.5</v>
      </c>
      <c r="AP38">
        <v>4</v>
      </c>
      <c r="AQ38">
        <v>5</v>
      </c>
    </row>
    <row r="39" spans="1:43" x14ac:dyDescent="0.25">
      <c r="A39" t="s">
        <v>6</v>
      </c>
      <c r="B39">
        <f>((13811.94/  2400500000000000)*  5930000000000)</f>
        <v>34.119893438866903</v>
      </c>
      <c r="C39" s="3">
        <f>(6210000000000*(13811.94/  2400500000000000))</f>
        <v>35.730950801916272</v>
      </c>
      <c r="D39" s="3">
        <f>(5630000000000*(13811.94/  2400500000000000))</f>
        <v>32.393760549885442</v>
      </c>
      <c r="E39" s="3">
        <f>(4030000000000*(13811.94/  2400500000000000))</f>
        <v>23.187718475317645</v>
      </c>
      <c r="F39" s="3">
        <f>(2482600000000*(13811.94/  2400500000000000))</f>
        <v>14.28432503395126</v>
      </c>
      <c r="G39" s="3">
        <f>(1450000000000*(13811.94/2400500000000000))</f>
        <v>8.342975630077067</v>
      </c>
      <c r="H39" s="3">
        <f>(840700000000*((13811.94/2400500000000000)))</f>
        <v>4.8371997325557174</v>
      </c>
      <c r="I39" s="3">
        <f>(492000000000*(13811.94/2400500000000000))</f>
        <v>2.8308579379295984</v>
      </c>
      <c r="J39" s="3">
        <f>(177000000000*(13811.94/  2400500000000000))</f>
        <v>1.0184184044990627</v>
      </c>
      <c r="L39" t="s">
        <v>6</v>
      </c>
      <c r="M39">
        <f>((34.12/5930000000000)*2355500000000)</f>
        <v>13.553062394603709</v>
      </c>
      <c r="N39" s="3">
        <f>((34.12/5930000000000)*  2467800000000)</f>
        <v>14.199213490725125</v>
      </c>
      <c r="O39" s="3">
        <f>((34.12/5930000000000)*  2365000000000)</f>
        <v>13.607723440134905</v>
      </c>
      <c r="P39" s="3">
        <f>((34.12/5930000000000)*  1910700000000)</f>
        <v>10.993774704890386</v>
      </c>
      <c r="Q39" s="3">
        <f>((34.12/5930000000000)* 1357500000000)</f>
        <v>7.8107757166947716</v>
      </c>
      <c r="R39" s="3">
        <f>((34.12/5930000000000)*  895040000000)</f>
        <v>5.1498760202360874</v>
      </c>
      <c r="S39" s="3">
        <f>((34.12/5930000000000)*  566290000000)</f>
        <v>3.2583161551433384</v>
      </c>
      <c r="T39" s="3">
        <f>((34.12/5930000000000)*  357000000000)</f>
        <v>2.0541045531197297</v>
      </c>
      <c r="U39" s="3">
        <f>((34.12/5930000000000)* 140690000000)</f>
        <v>0.80950131534569969</v>
      </c>
      <c r="W39" t="s">
        <v>6</v>
      </c>
      <c r="X39">
        <f>((13.55/2355500000000)* 1039300000000)</f>
        <v>5.9785671831882832</v>
      </c>
      <c r="Y39">
        <f>((13.55/2355500000000)*1098400000000)</f>
        <v>6.3185395881978348</v>
      </c>
      <c r="Z39">
        <f>((13.55/2355500000000)* 1100300000000)</f>
        <v>6.3294693271067715</v>
      </c>
      <c r="AA39">
        <f>((13.55/2355500000000)*955430000000)</f>
        <v>5.4961054977711736</v>
      </c>
      <c r="AB39">
        <f>((13.55/2355500000000)*745910000000)</f>
        <v>4.2908429208236045</v>
      </c>
      <c r="AC39">
        <f>((13.55/2355500000000)*  536910000000)</f>
        <v>3.0885716408405859</v>
      </c>
      <c r="AD39">
        <f>((13.55/2355500000000)*368890000000)</f>
        <v>2.1220375716408406</v>
      </c>
      <c r="AE39">
        <f>((13.55/2355500000000)* 247480000000)</f>
        <v>1.4236272553597962</v>
      </c>
      <c r="AF39">
        <f>((13.55/2355500000000)*  107300000000)</f>
        <v>0.61724262364678417</v>
      </c>
      <c r="AH39" t="s">
        <v>6</v>
      </c>
      <c r="AI39" s="3">
        <f>((5.98/1039300000000)*488000000000)</f>
        <v>2.8078899259116716</v>
      </c>
      <c r="AJ39" s="3">
        <f>(520000000000*(5.98/1039300000000))</f>
        <v>2.9920138554796503</v>
      </c>
      <c r="AK39" s="3">
        <f>(536000000000*(5.98/1039300000000))</f>
        <v>3.0840758202636391</v>
      </c>
      <c r="AL39" s="3">
        <f>(495000000000*((5.98/1039300000000)))</f>
        <v>2.8481670355046669</v>
      </c>
      <c r="AM39" s="3">
        <f>( 412440000000*(5.98/1039300000000))</f>
        <v>2.3731272972192823</v>
      </c>
      <c r="AN39" s="3">
        <f>(321000000000*(5.98/1039300000000))</f>
        <v>1.8469931684787839</v>
      </c>
      <c r="AO39" s="3">
        <f>(234490000000*(5.98/1039300000000))</f>
        <v>1.3492256326373522</v>
      </c>
      <c r="AP39" s="3">
        <f>(167000000000*(5.98/1039300000000))</f>
        <v>0.9608967574328876</v>
      </c>
      <c r="AQ39" s="3">
        <f>(79700000000*(5.98/1039300000000))</f>
        <v>0.45858366208024637</v>
      </c>
    </row>
    <row r="40" spans="1:43" x14ac:dyDescent="0.25">
      <c r="A40" t="s">
        <v>11</v>
      </c>
      <c r="B40">
        <f>((12352.6264/  23812000000000000)*1957100000000000)</f>
        <v>1015.2580685133546</v>
      </c>
      <c r="C40">
        <f t="shared" ref="C40:J40" si="32">((12352.6264/  23812000000000000)*1957100000000000)</f>
        <v>1015.2580685133546</v>
      </c>
      <c r="D40">
        <f t="shared" si="32"/>
        <v>1015.2580685133546</v>
      </c>
      <c r="E40">
        <f t="shared" si="32"/>
        <v>1015.2580685133546</v>
      </c>
      <c r="F40">
        <f t="shared" si="32"/>
        <v>1015.2580685133546</v>
      </c>
      <c r="G40">
        <f t="shared" si="32"/>
        <v>1015.2580685133546</v>
      </c>
      <c r="H40">
        <f t="shared" si="32"/>
        <v>1015.2580685133546</v>
      </c>
      <c r="I40">
        <f t="shared" si="32"/>
        <v>1015.2580685133546</v>
      </c>
      <c r="J40">
        <f t="shared" si="32"/>
        <v>1015.2580685133546</v>
      </c>
      <c r="L40" t="s">
        <v>11</v>
      </c>
      <c r="M40">
        <f>((1015.26/1957100000000000)*  1110400000000000)</f>
        <v>576.02815594502067</v>
      </c>
      <c r="N40">
        <f t="shared" ref="N40:U40" si="33">((1015.26/1957100000000000)*  1110400000000000)</f>
        <v>576.02815594502067</v>
      </c>
      <c r="O40">
        <f t="shared" si="33"/>
        <v>576.02815594502067</v>
      </c>
      <c r="P40">
        <f t="shared" si="33"/>
        <v>576.02815594502067</v>
      </c>
      <c r="Q40">
        <f t="shared" si="33"/>
        <v>576.02815594502067</v>
      </c>
      <c r="R40">
        <f t="shared" si="33"/>
        <v>576.02815594502067</v>
      </c>
      <c r="S40">
        <f t="shared" si="33"/>
        <v>576.02815594502067</v>
      </c>
      <c r="T40">
        <f t="shared" si="33"/>
        <v>576.02815594502067</v>
      </c>
      <c r="U40">
        <f t="shared" si="33"/>
        <v>576.02815594502067</v>
      </c>
      <c r="W40" t="s">
        <v>11</v>
      </c>
      <c r="X40">
        <f>((576/ 1110400000000000)*658330000000000)</f>
        <v>341.49682997118157</v>
      </c>
      <c r="Y40">
        <f t="shared" ref="Y40:AF40" si="34">((576/ 1110400000000000)*658330000000000)</f>
        <v>341.49682997118157</v>
      </c>
      <c r="Z40">
        <f t="shared" si="34"/>
        <v>341.49682997118157</v>
      </c>
      <c r="AA40">
        <f t="shared" si="34"/>
        <v>341.49682997118157</v>
      </c>
      <c r="AB40">
        <f t="shared" si="34"/>
        <v>341.49682997118157</v>
      </c>
      <c r="AC40">
        <f t="shared" si="34"/>
        <v>341.49682997118157</v>
      </c>
      <c r="AD40">
        <f t="shared" si="34"/>
        <v>341.49682997118157</v>
      </c>
      <c r="AE40">
        <f t="shared" si="34"/>
        <v>341.49682997118157</v>
      </c>
      <c r="AF40">
        <f t="shared" si="34"/>
        <v>341.49682997118157</v>
      </c>
      <c r="AH40" t="s">
        <v>11</v>
      </c>
      <c r="AI40">
        <f>((341.496/658330000000000)*  403290000000000)</f>
        <v>209.19891519450729</v>
      </c>
      <c r="AJ40">
        <f t="shared" ref="AJ40:AQ40" si="35">((341.496/658330000000000)*  403290000000000)</f>
        <v>209.19891519450729</v>
      </c>
      <c r="AK40">
        <f t="shared" si="35"/>
        <v>209.19891519450729</v>
      </c>
      <c r="AL40">
        <f t="shared" si="35"/>
        <v>209.19891519450729</v>
      </c>
      <c r="AM40">
        <f t="shared" si="35"/>
        <v>209.19891519450729</v>
      </c>
      <c r="AN40">
        <f t="shared" si="35"/>
        <v>209.19891519450729</v>
      </c>
      <c r="AO40">
        <f t="shared" si="35"/>
        <v>209.19891519450729</v>
      </c>
      <c r="AP40">
        <f t="shared" si="35"/>
        <v>209.19891519450729</v>
      </c>
      <c r="AQ40">
        <f t="shared" si="35"/>
        <v>209.19891519450729</v>
      </c>
    </row>
    <row r="41" spans="1:43" x14ac:dyDescent="0.25">
      <c r="A41" t="s">
        <v>8</v>
      </c>
      <c r="B41">
        <f>(B39/B40)</f>
        <v>3.3607113794061012E-2</v>
      </c>
      <c r="C41">
        <f t="shared" ref="C41:J41" si="36">(C39/C40)</f>
        <v>3.5193958964775535E-2</v>
      </c>
      <c r="D41">
        <f t="shared" si="36"/>
        <v>3.1906922539724034E-2</v>
      </c>
      <c r="E41">
        <f t="shared" si="36"/>
        <v>2.2839235849926798E-2</v>
      </c>
      <c r="F41">
        <f t="shared" si="36"/>
        <v>1.4069649360056641E-2</v>
      </c>
      <c r="G41">
        <f t="shared" si="36"/>
        <v>8.2175910626287475E-3</v>
      </c>
      <c r="H41">
        <f t="shared" si="36"/>
        <v>4.7645026250703361E-3</v>
      </c>
      <c r="I41">
        <f t="shared" si="36"/>
        <v>2.7883136571126513E-3</v>
      </c>
      <c r="J41">
        <f t="shared" si="36"/>
        <v>1.0031128400588196E-3</v>
      </c>
      <c r="L41" t="s">
        <v>8</v>
      </c>
      <c r="M41">
        <f>(M39/M40)</f>
        <v>2.3528472097633521E-2</v>
      </c>
      <c r="N41">
        <f t="shared" ref="N41:U41" si="37">(N39/N40)</f>
        <v>2.4650207362572701E-2</v>
      </c>
      <c r="O41">
        <f t="shared" si="37"/>
        <v>2.3623365107579397E-2</v>
      </c>
      <c r="P41">
        <f t="shared" si="37"/>
        <v>1.9085481484588565E-2</v>
      </c>
      <c r="Q41">
        <f t="shared" si="37"/>
        <v>1.3559711684371685E-2</v>
      </c>
      <c r="R41">
        <f t="shared" si="37"/>
        <v>8.9403199602062864E-3</v>
      </c>
      <c r="S41">
        <f t="shared" si="37"/>
        <v>5.6565223791844128E-3</v>
      </c>
      <c r="T41">
        <f t="shared" si="37"/>
        <v>3.5659794263872492E-3</v>
      </c>
      <c r="U41">
        <f t="shared" si="37"/>
        <v>1.4053155336090255E-3</v>
      </c>
      <c r="W41" t="s">
        <v>8</v>
      </c>
      <c r="X41">
        <f>(X39/X40)</f>
        <v>1.7506947820548745E-2</v>
      </c>
      <c r="Y41">
        <f t="shared" ref="Y41:AF41" si="38">(Y39/Y40)</f>
        <v>1.8502483869999753E-2</v>
      </c>
      <c r="Z41">
        <f t="shared" si="38"/>
        <v>1.8534489259068396E-2</v>
      </c>
      <c r="AA41">
        <f t="shared" si="38"/>
        <v>1.6094162567292299E-2</v>
      </c>
      <c r="AB41">
        <f t="shared" si="38"/>
        <v>1.2564810400101526E-2</v>
      </c>
      <c r="AC41">
        <f t="shared" si="38"/>
        <v>9.0442176025505895E-3</v>
      </c>
      <c r="AD41">
        <f t="shared" si="38"/>
        <v>6.2139305123854773E-3</v>
      </c>
      <c r="AE41">
        <f t="shared" si="38"/>
        <v>4.16878615089907E-3</v>
      </c>
      <c r="AF41">
        <f t="shared" si="38"/>
        <v>1.8074622352976816E-3</v>
      </c>
      <c r="AH41" t="s">
        <v>8</v>
      </c>
      <c r="AI41" s="3">
        <f>(AI39/AI40)</f>
        <v>1.34221055749786E-2</v>
      </c>
      <c r="AJ41">
        <f t="shared" ref="AJ41:AQ41" si="39">(AJ39/AJ40)</f>
        <v>1.4302243645469E-2</v>
      </c>
      <c r="AK41">
        <f t="shared" si="39"/>
        <v>1.4742312680714199E-2</v>
      </c>
      <c r="AL41">
        <f t="shared" si="39"/>
        <v>1.3614635777898374E-2</v>
      </c>
      <c r="AM41">
        <f t="shared" si="39"/>
        <v>1.1343879556033143E-2</v>
      </c>
      <c r="AN41">
        <f t="shared" si="39"/>
        <v>8.8288850196068247E-3</v>
      </c>
      <c r="AO41">
        <f t="shared" si="39"/>
        <v>6.4494867546654342E-3</v>
      </c>
      <c r="AP41">
        <f t="shared" si="39"/>
        <v>4.5932205553717749E-3</v>
      </c>
      <c r="AQ41">
        <f t="shared" si="39"/>
        <v>2.1920938818151526E-3</v>
      </c>
    </row>
    <row r="43" spans="1:43" x14ac:dyDescent="0.25">
      <c r="B43" t="s">
        <v>12</v>
      </c>
      <c r="M43" t="s">
        <v>12</v>
      </c>
      <c r="X43" t="s">
        <v>12</v>
      </c>
      <c r="AI43" t="s">
        <v>12</v>
      </c>
    </row>
    <row r="44" spans="1:43" x14ac:dyDescent="0.25">
      <c r="A44" t="s">
        <v>5</v>
      </c>
      <c r="B44">
        <v>0.75</v>
      </c>
      <c r="C44">
        <v>1</v>
      </c>
      <c r="D44">
        <v>1.5</v>
      </c>
      <c r="E44">
        <v>2</v>
      </c>
      <c r="F44">
        <v>2.5</v>
      </c>
      <c r="G44">
        <v>3</v>
      </c>
      <c r="H44">
        <v>3.5</v>
      </c>
      <c r="I44">
        <v>4</v>
      </c>
      <c r="J44">
        <v>5</v>
      </c>
      <c r="L44" t="s">
        <v>5</v>
      </c>
      <c r="M44">
        <v>0.75</v>
      </c>
      <c r="N44">
        <v>1</v>
      </c>
      <c r="O44">
        <v>1.5</v>
      </c>
      <c r="P44">
        <v>2</v>
      </c>
      <c r="Q44">
        <v>2.5</v>
      </c>
      <c r="R44">
        <v>3</v>
      </c>
      <c r="S44">
        <v>3.5</v>
      </c>
      <c r="T44">
        <v>4</v>
      </c>
      <c r="U44">
        <v>5</v>
      </c>
      <c r="W44" t="s">
        <v>5</v>
      </c>
      <c r="X44">
        <v>0.75</v>
      </c>
      <c r="Y44">
        <v>1</v>
      </c>
      <c r="Z44">
        <v>1.5</v>
      </c>
      <c r="AA44">
        <v>2</v>
      </c>
      <c r="AB44">
        <v>2.5</v>
      </c>
      <c r="AC44">
        <v>3</v>
      </c>
      <c r="AD44">
        <v>3.5</v>
      </c>
      <c r="AE44">
        <v>4</v>
      </c>
      <c r="AF44">
        <v>5</v>
      </c>
      <c r="AH44" t="s">
        <v>5</v>
      </c>
      <c r="AI44">
        <v>0.75</v>
      </c>
      <c r="AJ44">
        <v>1</v>
      </c>
      <c r="AK44">
        <v>1.5</v>
      </c>
      <c r="AL44">
        <v>2</v>
      </c>
      <c r="AM44">
        <v>2.5</v>
      </c>
      <c r="AN44">
        <v>3</v>
      </c>
      <c r="AO44">
        <v>3.5</v>
      </c>
      <c r="AP44">
        <v>4</v>
      </c>
      <c r="AQ44">
        <v>5</v>
      </c>
    </row>
    <row r="45" spans="1:43" x14ac:dyDescent="0.25">
      <c r="A45" t="s">
        <v>6</v>
      </c>
      <c r="B45">
        <f>((3533.966/  2603300000000000)*  4443100000000)</f>
        <v>6.0314847826220568</v>
      </c>
      <c r="C45">
        <f>(4918100000000*(3533.966/  2603300000000000))</f>
        <v>6.6762947737871166</v>
      </c>
      <c r="D45">
        <f>(5346400000000*(3533.966/  2603300000000000))</f>
        <v>7.2577097616102639</v>
      </c>
      <c r="E45">
        <f>( 4701700000000*(3533.966/  2603300000000000))</f>
        <v>6.382532916759498</v>
      </c>
      <c r="F45">
        <f>(3528500000000*(3533.966/  2603300000000000))</f>
        <v>4.7899201133177121</v>
      </c>
      <c r="G45">
        <f>(2404700000000*(3533.966/  2603300000000000))</f>
        <v>3.2643675489570931</v>
      </c>
      <c r="H45">
        <f>(1604900000000*(3533.966/  2603300000000000))</f>
        <v>2.1786432733069567</v>
      </c>
      <c r="I45">
        <f>(1069900000000*(3533.966/  2603300000000000))</f>
        <v>1.452383599047363</v>
      </c>
      <c r="J45">
        <f>( 517150000000*(3533.966/  2603300000000000))</f>
        <v>0.70202839353896984</v>
      </c>
      <c r="L45" t="s">
        <v>6</v>
      </c>
      <c r="M45">
        <f>((6.03/4443100000000)*2199000000000)</f>
        <v>2.9843960297990142</v>
      </c>
      <c r="N45">
        <f>((6.03/4443100000000)*2346200000000)</f>
        <v>3.1841700614435866</v>
      </c>
      <c r="O45">
        <f>((6.03/4443100000000)*  2528800000000)</f>
        <v>3.4319875762418133</v>
      </c>
      <c r="P45">
        <f>((6.03/4443100000000)*2379100000000)</f>
        <v>3.2288206432445814</v>
      </c>
      <c r="Q45">
        <f>((6.03/4443100000000)*1990800000000)</f>
        <v>2.7018352051495578</v>
      </c>
      <c r="R45">
        <f>((6.03/4443100000000)*1523700000000)</f>
        <v>2.0679055164187168</v>
      </c>
      <c r="S45">
        <f>((6.03/4443100000000)*1121400000000)</f>
        <v>1.5219198307488015</v>
      </c>
      <c r="T45">
        <f>((6.03/4443100000000)*812950000000)</f>
        <v>1.1033036618577119</v>
      </c>
      <c r="U45">
        <f>((6.03/4443100000000)* 430540000000)</f>
        <v>0.58431189934955319</v>
      </c>
      <c r="W45" t="s">
        <v>6</v>
      </c>
      <c r="X45">
        <f>((2.98/2199000000000)*1205100000000)</f>
        <v>1.6331050477489768</v>
      </c>
      <c r="Y45">
        <f>((2.98/2199000000000)* 1279100000000)</f>
        <v>1.7333869940882218</v>
      </c>
      <c r="Z45">
        <f>((2.98/2199000000000)*1365400000000)</f>
        <v>1.8503374261027741</v>
      </c>
      <c r="AA45">
        <f>((2.98/2199000000000)*  1328900000000)</f>
        <v>1.8008740336516598</v>
      </c>
      <c r="AB45">
        <f>((2.98/2199000000000)* 1186500000000)</f>
        <v>1.6078990450204638</v>
      </c>
      <c r="AC45">
        <f>((2.98/2199000000000)*
  984810000000)</f>
        <v>1.3345765347885403</v>
      </c>
      <c r="AD45">
        <f>((2.98/2199000000000)* 788080000000)</f>
        <v>1.0679756252842201</v>
      </c>
      <c r="AE45">
        <f>((2.98/2199000000000)*  603610000000)</f>
        <v>0.81798899499772626</v>
      </c>
      <c r="AF45">
        <f>((2.98/2199000000000)*350510000000)</f>
        <v>0.47499763528876759</v>
      </c>
      <c r="AH45" t="s">
        <v>6</v>
      </c>
      <c r="AI45">
        <f>(697520000000*(1.63/  1205100000000))</f>
        <v>0.94345498298896358</v>
      </c>
      <c r="AJ45">
        <f>(743060000000*(1.63/  1205100000000))</f>
        <v>1.0050516969546095</v>
      </c>
      <c r="AK45">
        <f>(799700000000*(1.63/  1205100000000))</f>
        <v>1.0816621027300639</v>
      </c>
      <c r="AL45">
        <f>(802370000000*(1.63/  1205100000000))</f>
        <v>1.0852735042735042</v>
      </c>
      <c r="AM45">
        <f>(742310000000*(1.63/  1205100000000))</f>
        <v>1.0040372583188117</v>
      </c>
      <c r="AN45">
        <f>(651460000000*(1.63/  1205100000000))</f>
        <v>0.88115492490249769</v>
      </c>
      <c r="AO45">
        <f>(545420000000*(1.63/1205100000000))</f>
        <v>0.73772682764915776</v>
      </c>
      <c r="AP45" s="3">
        <f>(441750000000*(1.63/  1205100000000))</f>
        <v>0.59750435648493905</v>
      </c>
      <c r="AQ45">
        <f>(280010000000*(1.63/  1205100000000))</f>
        <v>0.37873728321301137</v>
      </c>
    </row>
    <row r="46" spans="1:43" x14ac:dyDescent="0.25">
      <c r="A46" t="s">
        <v>7</v>
      </c>
      <c r="B46">
        <f>((735.83/  22668000000000000)*  2669900000000000)</f>
        <v>86.668101155814369</v>
      </c>
      <c r="C46">
        <f t="shared" ref="C46:J46" si="40">((735.83/  22668000000000000)*  2669900000000000)</f>
        <v>86.668101155814369</v>
      </c>
      <c r="D46">
        <f t="shared" si="40"/>
        <v>86.668101155814369</v>
      </c>
      <c r="E46">
        <f t="shared" si="40"/>
        <v>86.668101155814369</v>
      </c>
      <c r="F46">
        <f t="shared" si="40"/>
        <v>86.668101155814369</v>
      </c>
      <c r="G46">
        <f t="shared" si="40"/>
        <v>86.668101155814369</v>
      </c>
      <c r="H46">
        <f t="shared" si="40"/>
        <v>86.668101155814369</v>
      </c>
      <c r="I46">
        <f t="shared" si="40"/>
        <v>86.668101155814369</v>
      </c>
      <c r="J46">
        <f t="shared" si="40"/>
        <v>86.668101155814369</v>
      </c>
      <c r="L46" t="s">
        <v>7</v>
      </c>
      <c r="M46">
        <f>((86.67/2669900000000000)* 1849600000000000)</f>
        <v>60.041511667103642</v>
      </c>
      <c r="N46">
        <f t="shared" ref="N46:U46" si="41">((86.67/2669900000000000)* 1849600000000000)</f>
        <v>60.041511667103642</v>
      </c>
      <c r="O46">
        <f t="shared" si="41"/>
        <v>60.041511667103642</v>
      </c>
      <c r="P46">
        <f t="shared" si="41"/>
        <v>60.041511667103642</v>
      </c>
      <c r="Q46">
        <f t="shared" si="41"/>
        <v>60.041511667103642</v>
      </c>
      <c r="R46">
        <f t="shared" si="41"/>
        <v>60.041511667103642</v>
      </c>
      <c r="S46">
        <f t="shared" si="41"/>
        <v>60.041511667103642</v>
      </c>
      <c r="T46">
        <f t="shared" si="41"/>
        <v>60.041511667103642</v>
      </c>
      <c r="U46">
        <f t="shared" si="41"/>
        <v>60.041511667103642</v>
      </c>
      <c r="W46" t="s">
        <v>7</v>
      </c>
      <c r="X46">
        <f>((60/1849600000000000)*1335800000000000)</f>
        <v>43.332612456747405</v>
      </c>
      <c r="Y46">
        <f>((60/1849600000000000)*1335800000000000)</f>
        <v>43.332612456747405</v>
      </c>
      <c r="Z46">
        <f t="shared" ref="Z46:AF46" si="42">((60/1849600000000000)*1335800000000000)</f>
        <v>43.332612456747405</v>
      </c>
      <c r="AA46">
        <f t="shared" si="42"/>
        <v>43.332612456747405</v>
      </c>
      <c r="AB46">
        <f t="shared" si="42"/>
        <v>43.332612456747405</v>
      </c>
      <c r="AC46">
        <f t="shared" si="42"/>
        <v>43.332612456747405</v>
      </c>
      <c r="AD46">
        <f t="shared" si="42"/>
        <v>43.332612456747405</v>
      </c>
      <c r="AE46">
        <f t="shared" si="42"/>
        <v>43.332612456747405</v>
      </c>
      <c r="AF46">
        <f t="shared" si="42"/>
        <v>43.332612456747405</v>
      </c>
      <c r="AH46" t="s">
        <v>7</v>
      </c>
      <c r="AI46">
        <f>((43.33/1335800000000000)*  995390000000000)</f>
        <v>32.287953810450666</v>
      </c>
      <c r="AJ46">
        <f t="shared" ref="AJ46:AQ46" si="43">((43.33/1335800000000000)*  995390000000000)</f>
        <v>32.287953810450666</v>
      </c>
      <c r="AK46">
        <f t="shared" si="43"/>
        <v>32.287953810450666</v>
      </c>
      <c r="AL46">
        <f t="shared" si="43"/>
        <v>32.287953810450666</v>
      </c>
      <c r="AM46">
        <f t="shared" si="43"/>
        <v>32.287953810450666</v>
      </c>
      <c r="AN46">
        <f t="shared" si="43"/>
        <v>32.287953810450666</v>
      </c>
      <c r="AO46">
        <f t="shared" si="43"/>
        <v>32.287953810450666</v>
      </c>
      <c r="AP46">
        <f t="shared" si="43"/>
        <v>32.287953810450666</v>
      </c>
      <c r="AQ46">
        <f t="shared" si="43"/>
        <v>32.287953810450666</v>
      </c>
    </row>
    <row r="47" spans="1:43" x14ac:dyDescent="0.25">
      <c r="A47" t="s">
        <v>8</v>
      </c>
      <c r="B47">
        <f>(B45/B46)</f>
        <v>6.9592903296432931E-2</v>
      </c>
      <c r="C47">
        <f t="shared" ref="C47:J47" si="44">(C45/C46)</f>
        <v>7.7032895433860771E-2</v>
      </c>
      <c r="D47">
        <f t="shared" si="44"/>
        <v>8.3741418870619394E-2</v>
      </c>
      <c r="E47">
        <f t="shared" si="44"/>
        <v>7.3643391647462073E-2</v>
      </c>
      <c r="F47">
        <f t="shared" si="44"/>
        <v>5.5267394225082395E-2</v>
      </c>
      <c r="G47">
        <f t="shared" si="44"/>
        <v>3.7665155984995223E-2</v>
      </c>
      <c r="H47">
        <f t="shared" si="44"/>
        <v>2.5137775539700934E-2</v>
      </c>
      <c r="I47">
        <f t="shared" si="44"/>
        <v>1.6757994921755892E-2</v>
      </c>
      <c r="J47">
        <f t="shared" si="44"/>
        <v>8.1001935449911758E-3</v>
      </c>
      <c r="L47" t="s">
        <v>8</v>
      </c>
      <c r="M47">
        <f t="shared" ref="M47:U47" si="45">(M45/M46)</f>
        <v>4.9705544496377922E-2</v>
      </c>
      <c r="N47">
        <f t="shared" si="45"/>
        <v>5.3032809685039504E-2</v>
      </c>
      <c r="O47">
        <f t="shared" si="45"/>
        <v>5.7160245985648249E-2</v>
      </c>
      <c r="P47">
        <f t="shared" si="45"/>
        <v>5.3776471537668354E-2</v>
      </c>
      <c r="Q47">
        <f t="shared" si="45"/>
        <v>4.4999453380349781E-2</v>
      </c>
      <c r="R47">
        <f t="shared" si="45"/>
        <v>3.4441263369318346E-2</v>
      </c>
      <c r="S47">
        <f t="shared" si="45"/>
        <v>2.5347793359817281E-2</v>
      </c>
      <c r="T47">
        <f t="shared" si="45"/>
        <v>1.8375680945125251E-2</v>
      </c>
      <c r="U47">
        <f t="shared" si="45"/>
        <v>9.7317986027605947E-3</v>
      </c>
      <c r="W47" t="s">
        <v>8</v>
      </c>
      <c r="X47">
        <f>(X45/X46)</f>
        <v>3.7687666520892692E-2</v>
      </c>
      <c r="Y47">
        <f t="shared" ref="Y47:AF47" si="46">(Y45/Y46)</f>
        <v>4.000190378132424E-2</v>
      </c>
      <c r="Z47">
        <f t="shared" si="46"/>
        <v>4.2700804802611306E-2</v>
      </c>
      <c r="AA47">
        <f t="shared" si="46"/>
        <v>4.1559322910641683E-2</v>
      </c>
      <c r="AB47">
        <f t="shared" si="46"/>
        <v>3.7105979858135574E-2</v>
      </c>
      <c r="AC47">
        <f t="shared" si="46"/>
        <v>3.0798432384399912E-2</v>
      </c>
      <c r="AD47">
        <f t="shared" si="46"/>
        <v>2.4646001354066145E-2</v>
      </c>
      <c r="AE47">
        <f t="shared" si="46"/>
        <v>1.8876983145528204E-2</v>
      </c>
      <c r="AF47">
        <f t="shared" si="46"/>
        <v>1.096166624532246E-2</v>
      </c>
      <c r="AH47" t="s">
        <v>8</v>
      </c>
      <c r="AI47">
        <f>(AI45/AI46)</f>
        <v>2.9220030124163358E-2</v>
      </c>
      <c r="AJ47">
        <f t="shared" ref="AJ47:AQ47" si="47">(AJ45/AJ46)</f>
        <v>3.1127760614836599E-2</v>
      </c>
      <c r="AK47">
        <f t="shared" si="47"/>
        <v>3.350048470336827E-2</v>
      </c>
      <c r="AL47">
        <f t="shared" si="47"/>
        <v>3.3612334514745032E-2</v>
      </c>
      <c r="AM47">
        <f t="shared" si="47"/>
        <v>3.1096342128494815E-2</v>
      </c>
      <c r="AN47">
        <f t="shared" si="47"/>
        <v>2.7290516149626479E-2</v>
      </c>
      <c r="AO47">
        <f t="shared" si="47"/>
        <v>2.2848361094049172E-2</v>
      </c>
      <c r="AP47">
        <f t="shared" si="47"/>
        <v>1.850548845531191E-2</v>
      </c>
      <c r="AQ47">
        <f t="shared" si="47"/>
        <v>1.1729987147417969E-2</v>
      </c>
    </row>
    <row r="48" spans="1:43" x14ac:dyDescent="0.25">
      <c r="E48">
        <f>(MEDIAN(E47:I47))</f>
        <v>3.7665155984995223E-2</v>
      </c>
      <c r="P48">
        <f>(MEDIAN(P47:T47))</f>
        <v>3.4441263369318346E-2</v>
      </c>
      <c r="AA48">
        <f>(MEDIAN(AA47:AE47))</f>
        <v>3.0798432384399912E-2</v>
      </c>
      <c r="AL48">
        <f>(MEDIAN(AL47:AP47))</f>
        <v>2.7290516149626479E-2</v>
      </c>
    </row>
    <row r="49" spans="1:32" x14ac:dyDescent="0.25">
      <c r="E49">
        <f>(MEDIAN(F47:H47))</f>
        <v>3.7665155984995223E-2</v>
      </c>
      <c r="P49">
        <f>(MEDIAN(Q47:S47))</f>
        <v>3.4441263369318346E-2</v>
      </c>
    </row>
    <row r="50" spans="1:32" x14ac:dyDescent="0.25">
      <c r="X50" t="s">
        <v>19</v>
      </c>
    </row>
    <row r="51" spans="1:32" x14ac:dyDescent="0.25">
      <c r="L51">
        <f>(3413700000000/3528500000000)</f>
        <v>0.96746492843984699</v>
      </c>
      <c r="X51" t="s">
        <v>12</v>
      </c>
    </row>
    <row r="52" spans="1:32" x14ac:dyDescent="0.25">
      <c r="B52" t="s">
        <v>17</v>
      </c>
      <c r="L52">
        <f>(2180900000000/2404700000000)</f>
        <v>0.90693225766207841</v>
      </c>
      <c r="W52" t="s">
        <v>5</v>
      </c>
      <c r="X52">
        <v>0.75</v>
      </c>
      <c r="Y52">
        <v>1</v>
      </c>
      <c r="Z52">
        <v>1.5</v>
      </c>
      <c r="AA52">
        <v>2</v>
      </c>
      <c r="AB52">
        <v>2.5</v>
      </c>
      <c r="AC52">
        <v>3</v>
      </c>
      <c r="AD52">
        <v>3.5</v>
      </c>
      <c r="AE52">
        <v>4</v>
      </c>
      <c r="AF52">
        <v>5</v>
      </c>
    </row>
    <row r="53" spans="1:32" x14ac:dyDescent="0.25">
      <c r="A53" t="s">
        <v>5</v>
      </c>
      <c r="B53">
        <v>0.75</v>
      </c>
      <c r="C53">
        <v>1</v>
      </c>
      <c r="D53">
        <v>1.5</v>
      </c>
      <c r="E53">
        <v>2</v>
      </c>
      <c r="F53">
        <v>2.5</v>
      </c>
      <c r="G53">
        <v>3</v>
      </c>
      <c r="H53">
        <v>3.5</v>
      </c>
      <c r="I53">
        <v>4</v>
      </c>
      <c r="J53">
        <v>5</v>
      </c>
      <c r="L53">
        <f>(1422200000000/1604900000000)</f>
        <v>0.88616113153467502</v>
      </c>
      <c r="W53" t="s">
        <v>6</v>
      </c>
      <c r="X53">
        <f>((2.98/2199000000000)*  1362700000000)</f>
        <v>1.8466784902228286</v>
      </c>
      <c r="Y53">
        <f>((2.98/2199000000000)* 1476100000000)</f>
        <v>2.0003537971805367</v>
      </c>
      <c r="Z53">
        <f>((2.98/2199000000000)* 1598100000000)</f>
        <v>2.1656834924965893</v>
      </c>
      <c r="AA53">
        <f>((2.98/2199000000000)*
  1510200000000)</f>
        <v>2.0465648021828104</v>
      </c>
      <c r="AB53">
        <f>((2.98/2199000000000)* 1268300000000)</f>
        <v>1.7187512505684401</v>
      </c>
      <c r="AC53">
        <f>((2.98/2199000000000)*
    1003000000000)</f>
        <v>1.3592269213278763</v>
      </c>
      <c r="AD53">
        <f>((2.98/2199000000000)*   765530000000)</f>
        <v>1.0374167348794907</v>
      </c>
      <c r="AE53">
        <f>((2.98/2199000000000)*    579670000000)</f>
        <v>0.78554643019554338</v>
      </c>
      <c r="AF53">
        <f>((2.98/2199000000000)*  332590000000)</f>
        <v>0.4507131423374261</v>
      </c>
    </row>
    <row r="54" spans="1:32" x14ac:dyDescent="0.25">
      <c r="A54" t="s">
        <v>6</v>
      </c>
      <c r="B54">
        <f>((3533.966/  2603300000000000)*  13444000000000)</f>
        <v>18.250158992048554</v>
      </c>
      <c r="C54">
        <f>(  12245000000000*(3533.966/  2603300000000000))</f>
        <v>16.622522824876118</v>
      </c>
      <c r="D54">
        <f>(8550800000000*(3533.966/  2603300000000000))</f>
        <v>11.607665836745669</v>
      </c>
      <c r="E54">
        <f>(  5440900000000*(3533.966/  2603300000000000))</f>
        <v>7.3859930124841551</v>
      </c>
      <c r="F54">
        <f>( 3413700000000*(3533.966/  2603300000000000))</f>
        <v>4.6340797196635037</v>
      </c>
      <c r="G54">
        <f>(  2180900000000*(3533.966/  2603300000000000))</f>
        <v>2.9605602310144818</v>
      </c>
      <c r="H54">
        <f>(   1422200000000*(3533.966/  2603300000000000))</f>
        <v>1.930628988284101</v>
      </c>
      <c r="I54">
        <f>(  958190000000*(3533.966/  2603300000000000))</f>
        <v>1.3007378640725233</v>
      </c>
      <c r="J54">
        <f>(
   471240000000*(3533.966/  2603300000000000))</f>
        <v>0.639705811024469</v>
      </c>
      <c r="L54">
        <f>(AVERAGE(L51:L53))</f>
        <v>0.92018610587886684</v>
      </c>
      <c r="W54" t="s">
        <v>7</v>
      </c>
      <c r="X54">
        <f>((60/1849600000000000)*1335800000000000)</f>
        <v>43.332612456747405</v>
      </c>
      <c r="Y54">
        <f>((60/1849600000000000)*1335800000000000)</f>
        <v>43.332612456747405</v>
      </c>
      <c r="Z54">
        <f t="shared" ref="Z54:AF54" si="48">((60/1849600000000000)*1335800000000000)</f>
        <v>43.332612456747405</v>
      </c>
      <c r="AA54">
        <f t="shared" si="48"/>
        <v>43.332612456747405</v>
      </c>
      <c r="AB54">
        <f t="shared" si="48"/>
        <v>43.332612456747405</v>
      </c>
      <c r="AC54">
        <f t="shared" si="48"/>
        <v>43.332612456747405</v>
      </c>
      <c r="AD54">
        <f t="shared" si="48"/>
        <v>43.332612456747405</v>
      </c>
      <c r="AE54">
        <f t="shared" si="48"/>
        <v>43.332612456747405</v>
      </c>
      <c r="AF54">
        <f t="shared" si="48"/>
        <v>43.332612456747405</v>
      </c>
    </row>
    <row r="55" spans="1:32" x14ac:dyDescent="0.25">
      <c r="A55" t="s">
        <v>7</v>
      </c>
      <c r="B55">
        <f>((735.83/  22668000000000000)*  2669900000000000)</f>
        <v>86.668101155814369</v>
      </c>
      <c r="C55">
        <f t="shared" ref="C55:J55" si="49">((735.83/  22668000000000000)*  2669900000000000)</f>
        <v>86.668101155814369</v>
      </c>
      <c r="D55">
        <f t="shared" si="49"/>
        <v>86.668101155814369</v>
      </c>
      <c r="E55">
        <f t="shared" si="49"/>
        <v>86.668101155814369</v>
      </c>
      <c r="F55">
        <f t="shared" si="49"/>
        <v>86.668101155814369</v>
      </c>
      <c r="G55">
        <f t="shared" si="49"/>
        <v>86.668101155814369</v>
      </c>
      <c r="H55">
        <f>((735.83/  22668000000000000)*  2669900000000000)</f>
        <v>86.668101155814369</v>
      </c>
      <c r="I55">
        <f t="shared" si="49"/>
        <v>86.668101155814369</v>
      </c>
      <c r="J55">
        <f t="shared" si="49"/>
        <v>86.668101155814369</v>
      </c>
      <c r="W55" t="s">
        <v>8</v>
      </c>
      <c r="X55">
        <f>(X53/X54)</f>
        <v>4.2616366416082047E-2</v>
      </c>
      <c r="Y55">
        <f t="shared" ref="Y55:AF55" si="50">(Y53/Y54)</f>
        <v>4.6162778650310932E-2</v>
      </c>
      <c r="Z55">
        <f t="shared" si="50"/>
        <v>4.9978142782373752E-2</v>
      </c>
      <c r="AA55">
        <f t="shared" si="50"/>
        <v>4.7229204198698985E-2</v>
      </c>
      <c r="AB55">
        <f t="shared" si="50"/>
        <v>3.9664150235207203E-2</v>
      </c>
      <c r="AC55">
        <f t="shared" si="50"/>
        <v>3.1367296921795178E-2</v>
      </c>
      <c r="AD55">
        <f t="shared" si="50"/>
        <v>2.3940784459164369E-2</v>
      </c>
      <c r="AE55">
        <f t="shared" si="50"/>
        <v>1.8128296118302103E-2</v>
      </c>
      <c r="AF55">
        <f t="shared" si="50"/>
        <v>1.0401245546580118E-2</v>
      </c>
    </row>
    <row r="56" spans="1:32" x14ac:dyDescent="0.25">
      <c r="A56" t="s">
        <v>8</v>
      </c>
      <c r="B56">
        <f>(B54/B55)</f>
        <v>0.21057527220122085</v>
      </c>
      <c r="C56">
        <f t="shared" ref="C56:J56" si="51">(C54/C55)</f>
        <v>0.19179516573221878</v>
      </c>
      <c r="D56">
        <f t="shared" si="51"/>
        <v>0.1339323889867747</v>
      </c>
      <c r="E56">
        <f t="shared" si="51"/>
        <v>8.5221585727433991E-2</v>
      </c>
      <c r="F56">
        <f t="shared" si="51"/>
        <v>5.346926559902615E-2</v>
      </c>
      <c r="G56">
        <f t="shared" si="51"/>
        <v>3.4159744952666063E-2</v>
      </c>
      <c r="H56">
        <f t="shared" si="51"/>
        <v>2.2276119616526056E-2</v>
      </c>
      <c r="I56">
        <f t="shared" si="51"/>
        <v>1.5008265402446281E-2</v>
      </c>
      <c r="J56">
        <f t="shared" si="51"/>
        <v>7.3810987259820974E-3</v>
      </c>
      <c r="AA56">
        <f>(MEDIAN(AA55:AE55))</f>
        <v>3.1367296921795178E-2</v>
      </c>
    </row>
    <row r="57" spans="1:32" x14ac:dyDescent="0.25">
      <c r="E57">
        <f>(MEDIAN(E56:I56))</f>
        <v>3.4159744952666063E-2</v>
      </c>
    </row>
    <row r="58" spans="1:32" x14ac:dyDescent="0.25">
      <c r="E58">
        <f>(MEDIAN(F56:H56))</f>
        <v>3.4159744952666063E-2</v>
      </c>
      <c r="O58" t="s">
        <v>18</v>
      </c>
    </row>
    <row r="59" spans="1:32" x14ac:dyDescent="0.25">
      <c r="J59">
        <f>(E58/E49)</f>
        <v>0.90693225766207841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Bottom 25%</vt:lpstr>
      <vt:lpstr>Average</vt:lpstr>
      <vt:lpstr>Top 25%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Mark Niedre</dc:creator>
  <cp:keywords/>
  <dc:description/>
  <cp:lastModifiedBy>Mark Niedre</cp:lastModifiedBy>
  <cp:revision/>
  <dcterms:created xsi:type="dcterms:W3CDTF">2015-06-05T18:17:20Z</dcterms:created>
  <dcterms:modified xsi:type="dcterms:W3CDTF">2022-05-04T19:47:59Z</dcterms:modified>
  <cp:category/>
  <cp:contentStatus/>
</cp:coreProperties>
</file>