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MC_paper/Figures/"/>
    </mc:Choice>
  </mc:AlternateContent>
  <xr:revisionPtr revIDLastSave="987" documentId="8_{1C2FF3F0-07A8-45E0-940C-3832F75325E2}" xr6:coauthVersionLast="47" xr6:coauthVersionMax="47" xr10:uidLastSave="{A729FE45-2112-4933-BC4D-7000135B2742}"/>
  <bookViews>
    <workbookView xWindow="-120" yWindow="-120" windowWidth="29040" windowHeight="15840" activeTab="1" xr2:uid="{00000000-000D-0000-FFFF-FFFF00000000}"/>
  </bookViews>
  <sheets>
    <sheet name="varying u-sphere brightness" sheetId="2" r:id="rId1"/>
    <sheet name="varying optical properti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W7" i="1"/>
  <c r="K7" i="1"/>
  <c r="V7" i="1"/>
  <c r="U7" i="1"/>
  <c r="T7" i="1"/>
  <c r="S7" i="1"/>
  <c r="R7" i="1"/>
  <c r="Q7" i="1"/>
  <c r="P7" i="1"/>
  <c r="O7" i="1"/>
  <c r="C7" i="1"/>
  <c r="D7" i="1"/>
  <c r="E7" i="1"/>
  <c r="F7" i="1"/>
  <c r="G7" i="1"/>
  <c r="H7" i="1"/>
  <c r="I7" i="1"/>
  <c r="J7" i="1"/>
  <c r="B7" i="1"/>
  <c r="N4" i="1"/>
  <c r="N5" i="1"/>
  <c r="K22" i="1"/>
  <c r="K10" i="1"/>
  <c r="K12" i="1" s="1"/>
  <c r="K4" i="1"/>
  <c r="K6" i="1" s="1"/>
  <c r="K23" i="1"/>
  <c r="K5" i="1"/>
  <c r="K16" i="1"/>
  <c r="K18" i="1" s="1"/>
  <c r="K16" i="2"/>
  <c r="K18" i="2" s="1"/>
  <c r="K10" i="2"/>
  <c r="K12" i="2" s="1"/>
  <c r="K4" i="2"/>
  <c r="K6" i="2" s="1"/>
  <c r="W25" i="1"/>
  <c r="W23" i="1"/>
  <c r="W10" i="1"/>
  <c r="W4" i="1"/>
  <c r="W16" i="1"/>
  <c r="W24" i="1"/>
  <c r="W11" i="1"/>
  <c r="W5" i="1"/>
  <c r="W6" i="1" s="1"/>
  <c r="W17" i="1"/>
  <c r="W18" i="1" s="1"/>
  <c r="W6" i="2"/>
  <c r="W16" i="2"/>
  <c r="W10" i="2"/>
  <c r="W4" i="2"/>
  <c r="W5" i="2"/>
  <c r="W11" i="2"/>
  <c r="W17" i="2"/>
  <c r="V16" i="2"/>
  <c r="V18" i="2" s="1"/>
  <c r="U16" i="2"/>
  <c r="T16" i="2"/>
  <c r="S16" i="2"/>
  <c r="R16" i="2"/>
  <c r="Q16" i="2"/>
  <c r="P16" i="2"/>
  <c r="P18" i="2" s="1"/>
  <c r="O16" i="2"/>
  <c r="V4" i="2"/>
  <c r="V6" i="2" s="1"/>
  <c r="U4" i="2"/>
  <c r="T4" i="2"/>
  <c r="S4" i="2"/>
  <c r="R4" i="2"/>
  <c r="Q4" i="2"/>
  <c r="P4" i="2"/>
  <c r="O4" i="2"/>
  <c r="O6" i="2" s="1"/>
  <c r="N16" i="2"/>
  <c r="N18" i="2" s="1"/>
  <c r="N4" i="2"/>
  <c r="N10" i="2"/>
  <c r="V10" i="2"/>
  <c r="U10" i="2"/>
  <c r="T10" i="2"/>
  <c r="S10" i="2"/>
  <c r="R10" i="2"/>
  <c r="R12" i="2" s="1"/>
  <c r="Q10" i="2"/>
  <c r="P10" i="2"/>
  <c r="O10" i="2"/>
  <c r="T12" i="2"/>
  <c r="N16" i="1"/>
  <c r="B12" i="2"/>
  <c r="B6" i="2"/>
  <c r="C16" i="2"/>
  <c r="C18" i="2" s="1"/>
  <c r="B16" i="2"/>
  <c r="B4" i="2"/>
  <c r="V17" i="2"/>
  <c r="U17" i="2"/>
  <c r="U18" i="2" s="1"/>
  <c r="T17" i="2"/>
  <c r="S17" i="2"/>
  <c r="R17" i="2"/>
  <c r="Q17" i="2"/>
  <c r="P17" i="2"/>
  <c r="O17" i="2"/>
  <c r="N17" i="2"/>
  <c r="V11" i="2"/>
  <c r="U11" i="2"/>
  <c r="T11" i="2"/>
  <c r="S11" i="2"/>
  <c r="R11" i="2"/>
  <c r="Q11" i="2"/>
  <c r="P11" i="2"/>
  <c r="O11" i="2"/>
  <c r="N11" i="2"/>
  <c r="N12" i="2" s="1"/>
  <c r="O5" i="2"/>
  <c r="P5" i="2"/>
  <c r="P6" i="2" s="1"/>
  <c r="Q5" i="2"/>
  <c r="R5" i="2"/>
  <c r="S5" i="2"/>
  <c r="T5" i="2"/>
  <c r="U5" i="2"/>
  <c r="V5" i="2"/>
  <c r="N5" i="2"/>
  <c r="V10" i="1"/>
  <c r="U10" i="1"/>
  <c r="T10" i="1"/>
  <c r="S10" i="1"/>
  <c r="R10" i="1"/>
  <c r="Q10" i="1"/>
  <c r="P10" i="1"/>
  <c r="N10" i="1"/>
  <c r="N18" i="1"/>
  <c r="O11" i="1"/>
  <c r="O12" i="1" s="1"/>
  <c r="P11" i="1"/>
  <c r="Q11" i="1"/>
  <c r="R11" i="1"/>
  <c r="S11" i="1"/>
  <c r="T11" i="1"/>
  <c r="U11" i="1"/>
  <c r="V11" i="1"/>
  <c r="V12" i="1" s="1"/>
  <c r="N11" i="1"/>
  <c r="N24" i="1"/>
  <c r="O10" i="1"/>
  <c r="J10" i="1"/>
  <c r="V23" i="1"/>
  <c r="U23" i="1"/>
  <c r="T23" i="1"/>
  <c r="S23" i="1"/>
  <c r="S25" i="1" s="1"/>
  <c r="R23" i="1"/>
  <c r="R25" i="1" s="1"/>
  <c r="Q23" i="1"/>
  <c r="P23" i="1"/>
  <c r="O23" i="1"/>
  <c r="N23" i="1"/>
  <c r="O24" i="1"/>
  <c r="P24" i="1"/>
  <c r="Q24" i="1"/>
  <c r="R24" i="1"/>
  <c r="S24" i="1"/>
  <c r="T24" i="1"/>
  <c r="U24" i="1"/>
  <c r="V24" i="1"/>
  <c r="J23" i="1"/>
  <c r="O5" i="1"/>
  <c r="P5" i="1"/>
  <c r="Q5" i="1"/>
  <c r="R5" i="1"/>
  <c r="S5" i="1"/>
  <c r="T5" i="1"/>
  <c r="U5" i="1"/>
  <c r="V5" i="1"/>
  <c r="C23" i="1"/>
  <c r="D23" i="1"/>
  <c r="E23" i="1"/>
  <c r="F23" i="1"/>
  <c r="G23" i="1"/>
  <c r="H23" i="1"/>
  <c r="I23" i="1"/>
  <c r="B23" i="1"/>
  <c r="C5" i="1"/>
  <c r="D5" i="1"/>
  <c r="E5" i="1"/>
  <c r="F5" i="1"/>
  <c r="G5" i="1"/>
  <c r="H5" i="1"/>
  <c r="I5" i="1"/>
  <c r="J5" i="1"/>
  <c r="B5" i="1"/>
  <c r="B22" i="1"/>
  <c r="V16" i="1"/>
  <c r="V18" i="1" s="1"/>
  <c r="U16" i="1"/>
  <c r="U18" i="1" s="1"/>
  <c r="T16" i="1"/>
  <c r="S16" i="1"/>
  <c r="S18" i="1" s="1"/>
  <c r="R16" i="1"/>
  <c r="Q16" i="1"/>
  <c r="Q18" i="1" s="1"/>
  <c r="P16" i="1"/>
  <c r="P18" i="1" s="1"/>
  <c r="O16" i="1"/>
  <c r="O18" i="1" s="1"/>
  <c r="V4" i="1"/>
  <c r="U4" i="1"/>
  <c r="T4" i="1"/>
  <c r="T6" i="1" s="1"/>
  <c r="S4" i="1"/>
  <c r="R4" i="1"/>
  <c r="Q4" i="1"/>
  <c r="P4" i="1"/>
  <c r="O4" i="1"/>
  <c r="B4" i="1"/>
  <c r="B16" i="1"/>
  <c r="B18" i="1" s="1"/>
  <c r="B10" i="1"/>
  <c r="B12" i="1" s="1"/>
  <c r="C4" i="1"/>
  <c r="B18" i="2"/>
  <c r="S18" i="2"/>
  <c r="C4" i="2"/>
  <c r="C6" i="2" s="1"/>
  <c r="J16" i="2"/>
  <c r="J18" i="2" s="1"/>
  <c r="I16" i="2"/>
  <c r="H16" i="2"/>
  <c r="H18" i="2" s="1"/>
  <c r="G16" i="2"/>
  <c r="G18" i="2" s="1"/>
  <c r="F16" i="2"/>
  <c r="F18" i="2" s="1"/>
  <c r="E16" i="2"/>
  <c r="E18" i="2" s="1"/>
  <c r="D16" i="2"/>
  <c r="D18" i="2" s="1"/>
  <c r="J4" i="2"/>
  <c r="J6" i="2" s="1"/>
  <c r="I4" i="2"/>
  <c r="H4" i="2"/>
  <c r="G4" i="2"/>
  <c r="G6" i="2" s="1"/>
  <c r="F4" i="2"/>
  <c r="F6" i="2" s="1"/>
  <c r="E4" i="2"/>
  <c r="E6" i="2" s="1"/>
  <c r="D4" i="2"/>
  <c r="D6" i="2" s="1"/>
  <c r="I6" i="2"/>
  <c r="H6" i="2"/>
  <c r="I18" i="2"/>
  <c r="J10" i="2"/>
  <c r="J12" i="2" s="1"/>
  <c r="I10" i="2"/>
  <c r="I12" i="2" s="1"/>
  <c r="H10" i="2"/>
  <c r="H12" i="2" s="1"/>
  <c r="G10" i="2"/>
  <c r="G12" i="2" s="1"/>
  <c r="F10" i="2"/>
  <c r="F12" i="2" s="1"/>
  <c r="E10" i="2"/>
  <c r="E12" i="2" s="1"/>
  <c r="D10" i="2"/>
  <c r="D12" i="2" s="1"/>
  <c r="C10" i="2"/>
  <c r="C12" i="2" s="1"/>
  <c r="U25" i="1"/>
  <c r="R6" i="1"/>
  <c r="O6" i="1"/>
  <c r="J22" i="1"/>
  <c r="I22" i="1"/>
  <c r="H22" i="1"/>
  <c r="G22" i="1"/>
  <c r="F22" i="1"/>
  <c r="F24" i="1" s="1"/>
  <c r="E22" i="1"/>
  <c r="D22" i="1"/>
  <c r="C22" i="1"/>
  <c r="J12" i="1"/>
  <c r="I10" i="1"/>
  <c r="I12" i="1" s="1"/>
  <c r="J4" i="1"/>
  <c r="I4" i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H4" i="1"/>
  <c r="G4" i="1"/>
  <c r="G6" i="1" s="1"/>
  <c r="F4" i="1"/>
  <c r="E4" i="1"/>
  <c r="E6" i="1" s="1"/>
  <c r="D4" i="1"/>
  <c r="R12" i="1"/>
  <c r="H16" i="1"/>
  <c r="H18" i="1" s="1"/>
  <c r="F16" i="1"/>
  <c r="F18" i="1" s="1"/>
  <c r="D16" i="1"/>
  <c r="D18" i="1" s="1"/>
  <c r="J16" i="1"/>
  <c r="J18" i="1" s="1"/>
  <c r="I16" i="1"/>
  <c r="I18" i="1" s="1"/>
  <c r="G16" i="1"/>
  <c r="G18" i="1" s="1"/>
  <c r="E16" i="1"/>
  <c r="E18" i="1" s="1"/>
  <c r="C16" i="1"/>
  <c r="C18" i="1" s="1"/>
  <c r="T18" i="1"/>
  <c r="R18" i="1"/>
  <c r="K24" i="1" l="1"/>
  <c r="Q6" i="2"/>
  <c r="Q18" i="2"/>
  <c r="R6" i="2"/>
  <c r="P12" i="2"/>
  <c r="T18" i="2"/>
  <c r="W12" i="2"/>
  <c r="R18" i="2"/>
  <c r="O12" i="2"/>
  <c r="W18" i="2"/>
  <c r="S12" i="2"/>
  <c r="N25" i="1"/>
  <c r="S12" i="1"/>
  <c r="Q12" i="1"/>
  <c r="J6" i="1"/>
  <c r="O25" i="1"/>
  <c r="B6" i="1"/>
  <c r="N6" i="1"/>
  <c r="W12" i="1"/>
  <c r="N6" i="2"/>
  <c r="Q25" i="1"/>
  <c r="N12" i="1"/>
  <c r="Q6" i="1"/>
  <c r="S6" i="1"/>
  <c r="U6" i="1"/>
  <c r="C6" i="1"/>
  <c r="D24" i="1"/>
  <c r="P12" i="1"/>
  <c r="V25" i="1"/>
  <c r="E24" i="1"/>
  <c r="P6" i="1"/>
  <c r="F6" i="1"/>
  <c r="V6" i="1"/>
  <c r="G24" i="1"/>
  <c r="T25" i="1"/>
  <c r="O18" i="2"/>
  <c r="Q12" i="2"/>
  <c r="V12" i="2"/>
  <c r="U12" i="2"/>
  <c r="T6" i="2"/>
  <c r="S6" i="2"/>
  <c r="U6" i="2"/>
  <c r="T12" i="1"/>
  <c r="U12" i="1"/>
  <c r="P25" i="1"/>
  <c r="H24" i="1"/>
  <c r="I24" i="1"/>
  <c r="C24" i="1"/>
  <c r="J24" i="1"/>
  <c r="B24" i="1"/>
  <c r="H6" i="1"/>
  <c r="I6" i="1"/>
  <c r="D6" i="1"/>
</calcChain>
</file>

<file path=xl/sharedStrings.xml><?xml version="1.0" encoding="utf-8"?>
<sst xmlns="http://schemas.openxmlformats.org/spreadsheetml/2006/main" count="72" uniqueCount="12">
  <si>
    <t>tissue depth (mm)</t>
  </si>
  <si>
    <t>cell fluorescence</t>
  </si>
  <si>
    <t xml:space="preserve">autofluorescence </t>
  </si>
  <si>
    <t>cell fluorescence/autofluorescence</t>
  </si>
  <si>
    <t>NIR</t>
  </si>
  <si>
    <t>0.3mmSD</t>
  </si>
  <si>
    <t>3mmSD</t>
  </si>
  <si>
    <t>µa=.01 &amp; µs=9</t>
  </si>
  <si>
    <t>µa=.0025 &amp; µs=8</t>
  </si>
  <si>
    <t>µa=.002 &amp; µs=7</t>
  </si>
  <si>
    <t>µa=.001 &amp; µs=5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</si>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</sst>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26D52"/>
      <color rgb="FF8DBDB8"/>
      <color rgb="FF52B6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8791-7A5D-4420-9A34-226E763CC463}">
  <dimension ref="A1:AI36"/>
  <sheetViews>
    <sheetView workbookViewId="0">
      <selection activeCell="L25" sqref="L25"/>
    </sheetView>
  </sheetViews>
  <sheetFormatPr defaultColWidth="8.85546875" defaultRowHeight="15" x14ac:dyDescent="0.25"/>
  <cols>
    <col min="1" max="1" width="35.85546875" bestFit="1" customWidth="1"/>
    <col min="2" max="5" width="12" bestFit="1" customWidth="1"/>
    <col min="6" max="6" width="12" customWidth="1"/>
    <col min="7" max="7" width="12" bestFit="1" customWidth="1"/>
    <col min="8" max="8" width="12" customWidth="1"/>
    <col min="9" max="10" width="12" bestFit="1" customWidth="1"/>
    <col min="11" max="11" width="16.7109375" bestFit="1" customWidth="1"/>
    <col min="12" max="12" width="12" bestFit="1" customWidth="1"/>
    <col min="13" max="13" width="35.85546875" bestFit="1" customWidth="1"/>
    <col min="14" max="17" width="12" bestFit="1" customWidth="1"/>
    <col min="18" max="18" width="12" customWidth="1"/>
    <col min="19" max="19" width="12" bestFit="1" customWidth="1"/>
    <col min="20" max="20" width="12" customWidth="1"/>
    <col min="21" max="21" width="12" bestFit="1" customWidth="1"/>
    <col min="23" max="23" width="16.7109375" bestFit="1" customWidth="1"/>
    <col min="24" max="24" width="35.85546875" bestFit="1" customWidth="1"/>
    <col min="25" max="25" width="12" bestFit="1" customWidth="1"/>
    <col min="26" max="26" width="20.85546875" customWidth="1"/>
    <col min="27" max="27" width="12" bestFit="1" customWidth="1"/>
    <col min="28" max="28" width="15.5703125" bestFit="1" customWidth="1"/>
    <col min="29" max="29" width="15.5703125" customWidth="1"/>
    <col min="30" max="30" width="10" bestFit="1" customWidth="1"/>
    <col min="31" max="31" width="10" customWidth="1"/>
    <col min="32" max="33" width="16.42578125" bestFit="1" customWidth="1"/>
    <col min="34" max="34" width="16.5703125" bestFit="1" customWidth="1"/>
    <col min="36" max="36" width="35.85546875" bestFit="1" customWidth="1"/>
    <col min="37" max="37" width="16.5703125" bestFit="1" customWidth="1"/>
    <col min="38" max="38" width="9.28515625" bestFit="1" customWidth="1"/>
    <col min="39" max="40" width="9.140625" bestFit="1" customWidth="1"/>
    <col min="41" max="41" width="9.7109375" bestFit="1" customWidth="1"/>
    <col min="42" max="42" width="11.28515625" bestFit="1" customWidth="1"/>
    <col min="43" max="43" width="14" bestFit="1" customWidth="1"/>
    <col min="45" max="45" width="35.85546875" bestFit="1" customWidth="1"/>
    <col min="46" max="46" width="14" bestFit="1" customWidth="1"/>
    <col min="47" max="47" width="22.140625" bestFit="1" customWidth="1"/>
    <col min="48" max="48" width="9" bestFit="1" customWidth="1"/>
    <col min="49" max="49" width="15.5703125" bestFit="1" customWidth="1"/>
    <col min="50" max="51" width="9.5703125" bestFit="1" customWidth="1"/>
    <col min="52" max="52" width="14" bestFit="1" customWidth="1"/>
  </cols>
  <sheetData>
    <row r="1" spans="1:35" x14ac:dyDescent="0.2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M1" s="4" t="s">
        <v>6</v>
      </c>
      <c r="N1" s="4"/>
      <c r="O1" s="4"/>
      <c r="P1" s="4"/>
      <c r="Q1" s="4"/>
      <c r="R1" s="4"/>
      <c r="S1" s="4"/>
      <c r="T1" s="4"/>
      <c r="U1" s="4"/>
      <c r="V1" s="4"/>
    </row>
    <row r="2" spans="1:35" x14ac:dyDescent="0.25">
      <c r="B2" s="3">
        <v>-0.5</v>
      </c>
      <c r="N2" s="3">
        <v>-0.5</v>
      </c>
      <c r="Y2" s="3"/>
    </row>
    <row r="3" spans="1:35" x14ac:dyDescent="0.25">
      <c r="A3" t="s">
        <v>0</v>
      </c>
      <c r="B3">
        <v>0.75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5</v>
      </c>
      <c r="K3">
        <v>5.5</v>
      </c>
      <c r="M3" t="s">
        <v>0</v>
      </c>
      <c r="N3">
        <v>0.75</v>
      </c>
      <c r="O3">
        <v>1</v>
      </c>
      <c r="P3">
        <v>1.5</v>
      </c>
      <c r="Q3">
        <v>2</v>
      </c>
      <c r="R3">
        <v>2.5</v>
      </c>
      <c r="S3">
        <v>3</v>
      </c>
      <c r="T3">
        <v>3.5</v>
      </c>
      <c r="U3">
        <v>4</v>
      </c>
      <c r="V3">
        <v>5</v>
      </c>
      <c r="W3">
        <v>5.5</v>
      </c>
    </row>
    <row r="4" spans="1:35" x14ac:dyDescent="0.25">
      <c r="A4" t="s">
        <v>1</v>
      </c>
      <c r="B4">
        <f>(3533.966*0.5)</f>
        <v>1766.9829999999999</v>
      </c>
      <c r="C4">
        <f>((3533.966/ 2603300000000000)*1482700000000000*0.5)</f>
        <v>1006.378709368878</v>
      </c>
      <c r="D4">
        <f>((3533.966/ 2603300000000000)*272760000000000*0.5)</f>
        <v>185.13512967387547</v>
      </c>
      <c r="E4">
        <f>( (3533.966/ 2603300000000000)*54393000000000*0.5)</f>
        <v>36.919105104674834</v>
      </c>
      <c r="F4" s="2">
        <f>(0.5*15711000000000*(3533.966/ 2603300000000000))</f>
        <v>10.663799759151846</v>
      </c>
      <c r="G4">
        <f>(0.5*6216600000000*(3533.966/ 2603300000000000))</f>
        <v>4.2195008327123267</v>
      </c>
      <c r="H4">
        <f>( 0.5* 3021700000000*(3533.966/ 2603300000000000))</f>
        <v>2.0509708950562748</v>
      </c>
      <c r="I4">
        <f>(0.5*1689500000000*(3533.966/ 2603300000000000))</f>
        <v>1.1467436632351247</v>
      </c>
      <c r="J4">
        <f>(0.5*671530000000*(3533.966/ 2603300000000000))</f>
        <v>0.4557992140706027</v>
      </c>
      <c r="K4">
        <f>( 0.5*    457780000000*(3533.966/2603300000000000))</f>
        <v>0.31071696605846427</v>
      </c>
      <c r="M4" t="s">
        <v>1</v>
      </c>
      <c r="N4">
        <f>((3533.966/2603300000000000)*  4443100000000*0.5)</f>
        <v>3.0157423913110284</v>
      </c>
      <c r="O4">
        <f>(0.5*4918100000000*(3533.966/2603300000000000))</f>
        <v>3.3381473868935583</v>
      </c>
      <c r="P4">
        <f>(0.5*5346400000000*(3533.966/2603300000000000))</f>
        <v>3.628854880805132</v>
      </c>
      <c r="Q4">
        <f>( 0.5*4701700000000*(3533.966/2603300000000000))</f>
        <v>3.191266458379749</v>
      </c>
      <c r="R4">
        <f>(0.5*3528500000000*(3533.966/2603300000000000))</f>
        <v>2.394960056658856</v>
      </c>
      <c r="S4">
        <f>(0.5*2404700000000*(3533.966/2603300000000000))</f>
        <v>1.6321837744785466</v>
      </c>
      <c r="T4">
        <f>(0.5*1604900000000*(3533.966/2603300000000000))</f>
        <v>1.0893216366534784</v>
      </c>
      <c r="U4">
        <f>(0.5*1069900000000*(3533.966/2603300000000000))</f>
        <v>0.72619179952368151</v>
      </c>
      <c r="V4">
        <f>( 0.5*517150000000*(3533.966/2603300000000000))</f>
        <v>0.35101419676948492</v>
      </c>
      <c r="W4">
        <f>( 0.5*  369760000000*(3533.966/2603300000000000))</f>
        <v>0.25097362350862368</v>
      </c>
      <c r="AF4" s="1"/>
    </row>
    <row r="5" spans="1:35" x14ac:dyDescent="0.25">
      <c r="A5" t="s">
        <v>2</v>
      </c>
      <c r="B5">
        <v>735.83</v>
      </c>
      <c r="C5">
        <v>735.83</v>
      </c>
      <c r="D5">
        <v>735.83</v>
      </c>
      <c r="E5">
        <v>735.83</v>
      </c>
      <c r="F5">
        <v>735.83</v>
      </c>
      <c r="G5">
        <v>735.83</v>
      </c>
      <c r="H5">
        <v>735.83</v>
      </c>
      <c r="I5">
        <v>735.83</v>
      </c>
      <c r="J5">
        <v>735.83</v>
      </c>
      <c r="K5">
        <v>735.83</v>
      </c>
      <c r="M5" t="s">
        <v>2</v>
      </c>
      <c r="N5">
        <f>((735.83/  22668000000000000)*  2669900000000000)</f>
        <v>86.668101155814369</v>
      </c>
      <c r="O5">
        <f t="shared" ref="O5:W5" si="0">((735.83/  22668000000000000)*  2669900000000000)</f>
        <v>86.668101155814369</v>
      </c>
      <c r="P5">
        <f t="shared" si="0"/>
        <v>86.668101155814369</v>
      </c>
      <c r="Q5">
        <f t="shared" si="0"/>
        <v>86.668101155814369</v>
      </c>
      <c r="R5">
        <f t="shared" si="0"/>
        <v>86.668101155814369</v>
      </c>
      <c r="S5">
        <f t="shared" si="0"/>
        <v>86.668101155814369</v>
      </c>
      <c r="T5">
        <f t="shared" si="0"/>
        <v>86.668101155814369</v>
      </c>
      <c r="U5">
        <f t="shared" si="0"/>
        <v>86.668101155814369</v>
      </c>
      <c r="V5">
        <f t="shared" si="0"/>
        <v>86.668101155814369</v>
      </c>
      <c r="W5">
        <f t="shared" si="0"/>
        <v>86.668101155814369</v>
      </c>
    </row>
    <row r="6" spans="1:35" x14ac:dyDescent="0.25">
      <c r="A6" t="s">
        <v>3</v>
      </c>
      <c r="B6">
        <f>(B4/B5)</f>
        <v>2.4013467784678526</v>
      </c>
      <c r="C6">
        <f t="shared" ref="C6:J6" si="1">(C4/C5)</f>
        <v>1.3676782808106194</v>
      </c>
      <c r="D6">
        <f t="shared" si="1"/>
        <v>0.25160040997767891</v>
      </c>
      <c r="E6">
        <f t="shared" si="1"/>
        <v>5.0173416556371489E-2</v>
      </c>
      <c r="F6">
        <f t="shared" si="1"/>
        <v>1.44922057528938E-2</v>
      </c>
      <c r="G6">
        <f t="shared" si="1"/>
        <v>5.7343419440799188E-3</v>
      </c>
      <c r="H6">
        <f t="shared" si="1"/>
        <v>2.7872890410234356E-3</v>
      </c>
      <c r="I6">
        <f t="shared" si="1"/>
        <v>1.5584355941387611E-3</v>
      </c>
      <c r="J6">
        <f t="shared" si="1"/>
        <v>6.1943548655341951E-4</v>
      </c>
      <c r="K6">
        <f>(K4/K5)</f>
        <v>4.2226732541275055E-4</v>
      </c>
      <c r="M6" t="s">
        <v>3</v>
      </c>
      <c r="N6">
        <f>(N4/N5)</f>
        <v>3.4796451648216466E-2</v>
      </c>
      <c r="O6">
        <f t="shared" ref="O6:V6" si="2">(O4/O5)</f>
        <v>3.8516447716930385E-2</v>
      </c>
      <c r="P6">
        <f t="shared" si="2"/>
        <v>4.1870709435309697E-2</v>
      </c>
      <c r="Q6">
        <f t="shared" si="2"/>
        <v>3.6821695823731036E-2</v>
      </c>
      <c r="R6">
        <f t="shared" si="2"/>
        <v>2.7633697112541197E-2</v>
      </c>
      <c r="S6">
        <f t="shared" si="2"/>
        <v>1.8832577992497612E-2</v>
      </c>
      <c r="T6">
        <f t="shared" si="2"/>
        <v>1.2568887769850467E-2</v>
      </c>
      <c r="U6">
        <f t="shared" si="2"/>
        <v>8.3789974608779461E-3</v>
      </c>
      <c r="V6">
        <f t="shared" si="2"/>
        <v>4.0500967724955879E-3</v>
      </c>
      <c r="W6">
        <f>(W4/W5)</f>
        <v>2.8958015713003355E-3</v>
      </c>
    </row>
    <row r="7" spans="1:35" x14ac:dyDescent="0.25">
      <c r="X7" s="1"/>
      <c r="AB7" s="1"/>
      <c r="AC7" s="1"/>
    </row>
    <row r="8" spans="1:35" x14ac:dyDescent="0.25">
      <c r="B8" t="s">
        <v>4</v>
      </c>
      <c r="N8" t="s">
        <v>4</v>
      </c>
    </row>
    <row r="9" spans="1:35" x14ac:dyDescent="0.25">
      <c r="A9" t="s">
        <v>0</v>
      </c>
      <c r="B9">
        <v>0.75</v>
      </c>
      <c r="C9">
        <v>1</v>
      </c>
      <c r="D9">
        <v>1.5</v>
      </c>
      <c r="E9">
        <v>2</v>
      </c>
      <c r="F9">
        <v>2.5</v>
      </c>
      <c r="G9">
        <v>3</v>
      </c>
      <c r="H9">
        <v>3.5</v>
      </c>
      <c r="I9">
        <v>4</v>
      </c>
      <c r="J9">
        <v>5</v>
      </c>
      <c r="K9">
        <v>5.5</v>
      </c>
      <c r="M9" t="s">
        <v>0</v>
      </c>
      <c r="N9">
        <v>0.75</v>
      </c>
      <c r="O9">
        <v>1</v>
      </c>
      <c r="P9">
        <v>1.5</v>
      </c>
      <c r="Q9">
        <v>2</v>
      </c>
      <c r="R9">
        <v>2.5</v>
      </c>
      <c r="S9">
        <v>3</v>
      </c>
      <c r="T9">
        <v>3.5</v>
      </c>
      <c r="U9">
        <v>4</v>
      </c>
      <c r="V9">
        <v>5</v>
      </c>
      <c r="W9">
        <v>5.5</v>
      </c>
      <c r="AH9" s="1"/>
      <c r="AI9" s="1"/>
    </row>
    <row r="10" spans="1:35" x14ac:dyDescent="0.25">
      <c r="A10" t="s">
        <v>1</v>
      </c>
      <c r="B10">
        <v>3533.9659999999999</v>
      </c>
      <c r="C10">
        <f>((3533.966/ 2603300000000000)*1482700000000000)</f>
        <v>2012.7574187377561</v>
      </c>
      <c r="D10">
        <f>((3533.966/ 2603300000000000)*272760000000000)</f>
        <v>370.27025934775094</v>
      </c>
      <c r="E10">
        <f>( (3533.966/ 2603300000000000)*54393000000000)</f>
        <v>73.838210209349668</v>
      </c>
      <c r="F10" s="2">
        <f>(15711000000000*(3533.966/ 2603300000000000))</f>
        <v>21.327599518303693</v>
      </c>
      <c r="G10">
        <f>(6216600000000*(3533.966/ 2603300000000000))</f>
        <v>8.4390016654246534</v>
      </c>
      <c r="H10">
        <f>(  3021700000000*(3533.966/ 2603300000000000))</f>
        <v>4.1019417901125497</v>
      </c>
      <c r="I10">
        <f>(1689500000000*(3533.966/ 2603300000000000))</f>
        <v>2.2934873264702493</v>
      </c>
      <c r="J10">
        <f>(671530000000*(3533.966/ 2603300000000000))</f>
        <v>0.9115984281412054</v>
      </c>
      <c r="K10">
        <f>(     457780000000*(3533.966/2603300000000000))</f>
        <v>0.62143393211692854</v>
      </c>
      <c r="M10" t="s">
        <v>1</v>
      </c>
      <c r="N10">
        <f>((3533.966/2603300000000000)*  4443100000000)</f>
        <v>6.0314847826220568</v>
      </c>
      <c r="O10">
        <f>(4918100000000*(3533.966/2603300000000000))</f>
        <v>6.6762947737871166</v>
      </c>
      <c r="P10">
        <f>(5346400000000*(3533.966/2603300000000000))</f>
        <v>7.2577097616102639</v>
      </c>
      <c r="Q10">
        <f>( 4701700000000*(3533.966/2603300000000000))</f>
        <v>6.382532916759498</v>
      </c>
      <c r="R10">
        <f>(3528500000000*(3533.966/2603300000000000))</f>
        <v>4.7899201133177121</v>
      </c>
      <c r="S10">
        <f>(2404700000000*(3533.966/2603300000000000))</f>
        <v>3.2643675489570931</v>
      </c>
      <c r="T10">
        <f>(1604900000000*(3533.966/2603300000000000))</f>
        <v>2.1786432733069567</v>
      </c>
      <c r="U10">
        <f>(1069900000000*(3533.966/2603300000000000))</f>
        <v>1.452383599047363</v>
      </c>
      <c r="V10">
        <f>( 517150000000*(3533.966/2603300000000000))</f>
        <v>0.70202839353896984</v>
      </c>
      <c r="W10">
        <f>(   369760000000*(3533.966/2603300000000000))</f>
        <v>0.50194724701724736</v>
      </c>
      <c r="AF10" s="1"/>
    </row>
    <row r="11" spans="1:35" x14ac:dyDescent="0.25">
      <c r="A11" t="s">
        <v>2</v>
      </c>
      <c r="B11">
        <v>735.83</v>
      </c>
      <c r="C11">
        <v>735.83</v>
      </c>
      <c r="D11">
        <v>735.83</v>
      </c>
      <c r="E11">
        <v>735.83</v>
      </c>
      <c r="F11">
        <v>735.83</v>
      </c>
      <c r="G11">
        <v>735.83</v>
      </c>
      <c r="H11">
        <v>735.83</v>
      </c>
      <c r="I11">
        <v>735.83</v>
      </c>
      <c r="J11">
        <v>735.83</v>
      </c>
      <c r="K11">
        <v>735.83</v>
      </c>
      <c r="M11" t="s">
        <v>2</v>
      </c>
      <c r="N11">
        <f>((735.83/  22668000000000000)*  2669900000000000)</f>
        <v>86.668101155814369</v>
      </c>
      <c r="O11">
        <f t="shared" ref="O11:W11" si="3">((735.83/  22668000000000000)*  2669900000000000)</f>
        <v>86.668101155814369</v>
      </c>
      <c r="P11">
        <f t="shared" si="3"/>
        <v>86.668101155814369</v>
      </c>
      <c r="Q11">
        <f t="shared" si="3"/>
        <v>86.668101155814369</v>
      </c>
      <c r="R11">
        <f t="shared" si="3"/>
        <v>86.668101155814369</v>
      </c>
      <c r="S11">
        <f t="shared" si="3"/>
        <v>86.668101155814369</v>
      </c>
      <c r="T11">
        <f t="shared" si="3"/>
        <v>86.668101155814369</v>
      </c>
      <c r="U11">
        <f t="shared" si="3"/>
        <v>86.668101155814369</v>
      </c>
      <c r="V11">
        <f t="shared" si="3"/>
        <v>86.668101155814369</v>
      </c>
      <c r="W11">
        <f t="shared" si="3"/>
        <v>86.668101155814369</v>
      </c>
    </row>
    <row r="12" spans="1:35" x14ac:dyDescent="0.25">
      <c r="A12" t="s">
        <v>3</v>
      </c>
      <c r="B12">
        <f>(B10/B11)</f>
        <v>4.8026935569357052</v>
      </c>
      <c r="C12">
        <f t="shared" ref="C12:K12" si="4">(C10/C11)</f>
        <v>2.7353565616212387</v>
      </c>
      <c r="D12">
        <f t="shared" si="4"/>
        <v>0.50320081995535781</v>
      </c>
      <c r="E12">
        <f t="shared" si="4"/>
        <v>0.10034683311274298</v>
      </c>
      <c r="F12">
        <f t="shared" si="4"/>
        <v>2.8984411505787601E-2</v>
      </c>
      <c r="G12">
        <f t="shared" si="4"/>
        <v>1.1468683888159838E-2</v>
      </c>
      <c r="H12">
        <f t="shared" si="4"/>
        <v>5.5745780820468712E-3</v>
      </c>
      <c r="I12">
        <f t="shared" si="4"/>
        <v>3.1168711882775223E-3</v>
      </c>
      <c r="J12">
        <f t="shared" si="4"/>
        <v>1.238870973106839E-3</v>
      </c>
      <c r="K12">
        <f t="shared" si="4"/>
        <v>8.4453465082550111E-4</v>
      </c>
      <c r="M12" t="s">
        <v>3</v>
      </c>
      <c r="N12">
        <f>(N10/N11)</f>
        <v>6.9592903296432931E-2</v>
      </c>
      <c r="O12">
        <f t="shared" ref="O12:W12" si="5">(O10/O11)</f>
        <v>7.7032895433860771E-2</v>
      </c>
      <c r="P12">
        <f t="shared" si="5"/>
        <v>8.3741418870619394E-2</v>
      </c>
      <c r="Q12">
        <f t="shared" si="5"/>
        <v>7.3643391647462073E-2</v>
      </c>
      <c r="R12">
        <f t="shared" si="5"/>
        <v>5.5267394225082395E-2</v>
      </c>
      <c r="S12">
        <f t="shared" si="5"/>
        <v>3.7665155984995223E-2</v>
      </c>
      <c r="T12">
        <f t="shared" si="5"/>
        <v>2.5137775539700934E-2</v>
      </c>
      <c r="U12">
        <f t="shared" si="5"/>
        <v>1.6757994921755892E-2</v>
      </c>
      <c r="V12">
        <f t="shared" si="5"/>
        <v>8.1001935449911758E-3</v>
      </c>
      <c r="W12">
        <f t="shared" si="5"/>
        <v>5.7916031426006711E-3</v>
      </c>
    </row>
    <row r="14" spans="1:35" x14ac:dyDescent="0.25">
      <c r="B14" s="3">
        <v>0.5</v>
      </c>
      <c r="N14" s="3">
        <v>0.5</v>
      </c>
    </row>
    <row r="15" spans="1:35" x14ac:dyDescent="0.25">
      <c r="A15" t="s">
        <v>0</v>
      </c>
      <c r="B15">
        <v>0.75</v>
      </c>
      <c r="C15">
        <v>1</v>
      </c>
      <c r="D15">
        <v>1.5</v>
      </c>
      <c r="E15">
        <v>2</v>
      </c>
      <c r="F15">
        <v>2.5</v>
      </c>
      <c r="G15">
        <v>3</v>
      </c>
      <c r="H15">
        <v>3.5</v>
      </c>
      <c r="I15">
        <v>4</v>
      </c>
      <c r="J15">
        <v>5</v>
      </c>
      <c r="K15">
        <v>5.5</v>
      </c>
      <c r="M15" t="s">
        <v>0</v>
      </c>
      <c r="N15">
        <v>0.75</v>
      </c>
      <c r="O15">
        <v>1</v>
      </c>
      <c r="P15">
        <v>1.5</v>
      </c>
      <c r="Q15">
        <v>2</v>
      </c>
      <c r="R15">
        <v>2.5</v>
      </c>
      <c r="S15">
        <v>3</v>
      </c>
      <c r="T15">
        <v>3.5</v>
      </c>
      <c r="U15">
        <v>4</v>
      </c>
      <c r="V15">
        <v>5</v>
      </c>
      <c r="W15">
        <v>5.5</v>
      </c>
    </row>
    <row r="16" spans="1:35" x14ac:dyDescent="0.25">
      <c r="A16" t="s">
        <v>1</v>
      </c>
      <c r="B16">
        <f>(3533.966*1.5)</f>
        <v>5300.9489999999996</v>
      </c>
      <c r="C16">
        <f>((3533.966/ 2603300000000000)*1482700000000000*1.5)</f>
        <v>3019.1361281066343</v>
      </c>
      <c r="D16">
        <f>((3533.966/ 2603300000000000)*272760000000000*1.5)</f>
        <v>555.40538902162643</v>
      </c>
      <c r="E16">
        <f>( (3533.966/ 2603300000000000)*54393000000000*1.5)</f>
        <v>110.75731531402451</v>
      </c>
      <c r="F16" s="2">
        <f>(1.5*15711000000000*(3533.966/ 2603300000000000))</f>
        <v>31.991399277455539</v>
      </c>
      <c r="G16">
        <f>(1.5*6216600000000*(3533.966/ 2603300000000000))</f>
        <v>12.658502498136981</v>
      </c>
      <c r="H16">
        <f>(1.5*  3021700000000*(3533.966/ 2603300000000000))</f>
        <v>6.1529126851688245</v>
      </c>
      <c r="I16">
        <f>(1.5*1689500000000*(3533.966/ 2603300000000000))</f>
        <v>3.4402309897053742</v>
      </c>
      <c r="J16">
        <f>(1.5*671530000000*(3533.966/ 2603300000000000))</f>
        <v>1.3673976422118082</v>
      </c>
      <c r="K16">
        <f>(1.5*     457780000000*(3533.966/2603300000000000))</f>
        <v>0.93215089817539276</v>
      </c>
      <c r="M16" t="s">
        <v>1</v>
      </c>
      <c r="N16">
        <f>((3533.966/2603300000000000)*  4443100000000*1.5)</f>
        <v>9.0472271739330843</v>
      </c>
      <c r="O16">
        <f>(1.5*4918100000000*(3533.966/2603300000000000))</f>
        <v>10.014442160680675</v>
      </c>
      <c r="P16">
        <f>(1.5*5346400000000*(3533.966/2603300000000000))</f>
        <v>10.886564642415395</v>
      </c>
      <c r="Q16">
        <f>(1.5* 4701700000000*(3533.966/2603300000000000))</f>
        <v>9.5737993751392469</v>
      </c>
      <c r="R16">
        <f>(1.5*3528500000000*(3533.966/2603300000000000))</f>
        <v>7.1848801699765685</v>
      </c>
      <c r="S16">
        <f>(1.5*2404700000000*(3533.966/2603300000000000))</f>
        <v>4.8965513234356397</v>
      </c>
      <c r="T16">
        <f>(1.5*1604900000000*(3533.966/2603300000000000))</f>
        <v>3.2679649099604351</v>
      </c>
      <c r="U16">
        <f>(1.5*1069900000000*(3533.966/2603300000000000))</f>
        <v>2.1785753985710445</v>
      </c>
      <c r="V16">
        <f>(1.5* 517150000000*(3533.966/2603300000000000))</f>
        <v>1.0530425903084546</v>
      </c>
      <c r="W16">
        <f>(1.5*   369760000000*(3533.966/2603300000000000))</f>
        <v>0.75292087052587109</v>
      </c>
      <c r="AF16" s="1"/>
    </row>
    <row r="17" spans="1:32" x14ac:dyDescent="0.25">
      <c r="A17" t="s">
        <v>2</v>
      </c>
      <c r="B17">
        <v>735.83</v>
      </c>
      <c r="C17">
        <v>735.83</v>
      </c>
      <c r="D17">
        <v>735.83</v>
      </c>
      <c r="E17">
        <v>735.83</v>
      </c>
      <c r="F17">
        <v>735.83</v>
      </c>
      <c r="G17">
        <v>735.83</v>
      </c>
      <c r="H17">
        <v>735.83</v>
      </c>
      <c r="I17">
        <v>735.83</v>
      </c>
      <c r="J17">
        <v>735.83</v>
      </c>
      <c r="K17">
        <v>735.83</v>
      </c>
      <c r="M17" t="s">
        <v>2</v>
      </c>
      <c r="N17">
        <f>((735.83/  22668000000000000)*  2669900000000000)</f>
        <v>86.668101155814369</v>
      </c>
      <c r="O17">
        <f t="shared" ref="O17:W17" si="6">((735.83/  22668000000000000)*  2669900000000000)</f>
        <v>86.668101155814369</v>
      </c>
      <c r="P17">
        <f t="shared" si="6"/>
        <v>86.668101155814369</v>
      </c>
      <c r="Q17">
        <f t="shared" si="6"/>
        <v>86.668101155814369</v>
      </c>
      <c r="R17">
        <f t="shared" si="6"/>
        <v>86.668101155814369</v>
      </c>
      <c r="S17">
        <f t="shared" si="6"/>
        <v>86.668101155814369</v>
      </c>
      <c r="T17">
        <f t="shared" si="6"/>
        <v>86.668101155814369</v>
      </c>
      <c r="U17">
        <f t="shared" si="6"/>
        <v>86.668101155814369</v>
      </c>
      <c r="V17">
        <f t="shared" si="6"/>
        <v>86.668101155814369</v>
      </c>
      <c r="W17">
        <f t="shared" si="6"/>
        <v>86.668101155814369</v>
      </c>
    </row>
    <row r="18" spans="1:32" x14ac:dyDescent="0.25">
      <c r="A18" t="s">
        <v>3</v>
      </c>
      <c r="B18">
        <f>(B16/B17)</f>
        <v>7.2040403354035574</v>
      </c>
      <c r="C18">
        <f t="shared" ref="C18:K18" si="7">(C16/C17)</f>
        <v>4.1030348424318577</v>
      </c>
      <c r="D18">
        <f t="shared" si="7"/>
        <v>0.75480122993303667</v>
      </c>
      <c r="E18">
        <f t="shared" si="7"/>
        <v>0.15052024966911448</v>
      </c>
      <c r="F18">
        <f t="shared" si="7"/>
        <v>4.3476617258681405E-2</v>
      </c>
      <c r="G18">
        <f t="shared" si="7"/>
        <v>1.7203025832239757E-2</v>
      </c>
      <c r="H18">
        <f t="shared" si="7"/>
        <v>8.3618671230703077E-3</v>
      </c>
      <c r="I18">
        <f t="shared" si="7"/>
        <v>4.6753067824162834E-3</v>
      </c>
      <c r="J18">
        <f t="shared" si="7"/>
        <v>1.8583064596602585E-3</v>
      </c>
      <c r="K18">
        <f t="shared" si="7"/>
        <v>1.2668019762382516E-3</v>
      </c>
      <c r="M18" t="s">
        <v>3</v>
      </c>
      <c r="N18">
        <f>(N16/N17)</f>
        <v>0.10438935494464939</v>
      </c>
      <c r="O18">
        <f t="shared" ref="O18:W18" si="8">(O16/O17)</f>
        <v>0.11554934315079117</v>
      </c>
      <c r="P18">
        <f t="shared" si="8"/>
        <v>0.12561212830592908</v>
      </c>
      <c r="Q18">
        <f t="shared" si="8"/>
        <v>0.11046508747119312</v>
      </c>
      <c r="R18">
        <f t="shared" si="8"/>
        <v>8.2901091337623606E-2</v>
      </c>
      <c r="S18">
        <f t="shared" si="8"/>
        <v>5.6497733977492838E-2</v>
      </c>
      <c r="T18">
        <f t="shared" si="8"/>
        <v>3.77066633095514E-2</v>
      </c>
      <c r="U18">
        <f t="shared" si="8"/>
        <v>2.5136992382633835E-2</v>
      </c>
      <c r="V18">
        <f t="shared" si="8"/>
        <v>1.2150290317486762E-2</v>
      </c>
      <c r="W18">
        <f t="shared" si="8"/>
        <v>8.687404713901007E-3</v>
      </c>
    </row>
    <row r="22" spans="1:32" x14ac:dyDescent="0.25">
      <c r="B22" s="3"/>
      <c r="N22" s="3"/>
      <c r="Y22" s="3"/>
    </row>
    <row r="24" spans="1:32" x14ac:dyDescent="0.25">
      <c r="F24" s="2"/>
      <c r="AF24" s="1"/>
    </row>
    <row r="27" spans="1:32" x14ac:dyDescent="0.25">
      <c r="X27" s="1"/>
      <c r="AB27" s="1"/>
      <c r="AC27" s="1"/>
    </row>
    <row r="30" spans="1:32" x14ac:dyDescent="0.25">
      <c r="F30" s="2"/>
      <c r="AF30" s="1"/>
    </row>
    <row r="34" spans="2:32" x14ac:dyDescent="0.25">
      <c r="B34" s="3"/>
      <c r="N34" s="3"/>
    </row>
    <row r="36" spans="2:32" x14ac:dyDescent="0.25">
      <c r="F36" s="2"/>
      <c r="AF36" s="1"/>
    </row>
  </sheetData>
  <mergeCells count="2">
    <mergeCell ref="A1:J1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topLeftCell="I1" workbookViewId="0">
      <selection activeCell="X7" sqref="X7"/>
    </sheetView>
  </sheetViews>
  <sheetFormatPr defaultColWidth="8.85546875" defaultRowHeight="15" x14ac:dyDescent="0.25"/>
  <cols>
    <col min="1" max="1" width="35.85546875" bestFit="1" customWidth="1"/>
    <col min="2" max="2" width="15.140625" bestFit="1" customWidth="1"/>
    <col min="3" max="5" width="12" bestFit="1" customWidth="1"/>
    <col min="6" max="6" width="12" customWidth="1"/>
    <col min="7" max="7" width="12" bestFit="1" customWidth="1"/>
    <col min="8" max="8" width="12" customWidth="1"/>
    <col min="9" max="10" width="12" bestFit="1" customWidth="1"/>
    <col min="11" max="11" width="16.7109375" bestFit="1" customWidth="1"/>
    <col min="12" max="12" width="12" bestFit="1" customWidth="1"/>
    <col min="13" max="13" width="35.85546875" bestFit="1" customWidth="1"/>
    <col min="14" max="14" width="15.140625" bestFit="1" customWidth="1"/>
    <col min="15" max="17" width="12" bestFit="1" customWidth="1"/>
    <col min="18" max="18" width="12" customWidth="1"/>
    <col min="19" max="19" width="12" bestFit="1" customWidth="1"/>
    <col min="20" max="20" width="12" customWidth="1"/>
    <col min="21" max="21" width="12" bestFit="1" customWidth="1"/>
    <col min="23" max="23" width="16.7109375" bestFit="1" customWidth="1"/>
    <col min="24" max="24" width="35.85546875" bestFit="1" customWidth="1"/>
    <col min="25" max="25" width="12" bestFit="1" customWidth="1"/>
    <col min="26" max="26" width="20.85546875" customWidth="1"/>
    <col min="27" max="27" width="12" bestFit="1" customWidth="1"/>
    <col min="28" max="28" width="15.5703125" bestFit="1" customWidth="1"/>
    <col min="29" max="29" width="15.5703125" customWidth="1"/>
    <col min="30" max="30" width="10" bestFit="1" customWidth="1"/>
    <col min="31" max="32" width="10" customWidth="1"/>
    <col min="33" max="34" width="16.42578125" bestFit="1" customWidth="1"/>
    <col min="35" max="35" width="16.5703125" bestFit="1" customWidth="1"/>
    <col min="37" max="37" width="35.85546875" bestFit="1" customWidth="1"/>
    <col min="38" max="38" width="16.5703125" bestFit="1" customWidth="1"/>
    <col min="39" max="39" width="9.28515625" bestFit="1" customWidth="1"/>
    <col min="40" max="41" width="9.140625" bestFit="1" customWidth="1"/>
    <col min="42" max="42" width="9.7109375" bestFit="1" customWidth="1"/>
    <col min="43" max="43" width="11.28515625" bestFit="1" customWidth="1"/>
    <col min="44" max="44" width="14" bestFit="1" customWidth="1"/>
    <col min="46" max="46" width="35.85546875" bestFit="1" customWidth="1"/>
    <col min="47" max="47" width="14" bestFit="1" customWidth="1"/>
    <col min="48" max="48" width="22.140625" bestFit="1" customWidth="1"/>
    <col min="49" max="49" width="9" bestFit="1" customWidth="1"/>
    <col min="50" max="50" width="15.5703125" bestFit="1" customWidth="1"/>
    <col min="51" max="52" width="9.5703125" bestFit="1" customWidth="1"/>
    <col min="53" max="53" width="14" bestFit="1" customWidth="1"/>
  </cols>
  <sheetData>
    <row r="1" spans="1:36" x14ac:dyDescent="0.2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M1" s="4" t="s">
        <v>6</v>
      </c>
      <c r="N1" s="4"/>
      <c r="O1" s="4"/>
      <c r="P1" s="4"/>
      <c r="Q1" s="4"/>
      <c r="R1" s="4"/>
      <c r="S1" s="4"/>
      <c r="T1" s="4"/>
      <c r="U1" s="4"/>
      <c r="V1" s="4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6" x14ac:dyDescent="0.25">
      <c r="B2" t="s">
        <v>7</v>
      </c>
      <c r="N2" t="s">
        <v>7</v>
      </c>
    </row>
    <row r="3" spans="1:36" x14ac:dyDescent="0.25">
      <c r="A3" t="s">
        <v>0</v>
      </c>
      <c r="B3">
        <v>0.75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5</v>
      </c>
      <c r="K3">
        <v>5.5</v>
      </c>
      <c r="M3" t="s">
        <v>0</v>
      </c>
      <c r="N3">
        <v>0.75</v>
      </c>
      <c r="O3">
        <v>1</v>
      </c>
      <c r="P3">
        <v>1.5</v>
      </c>
      <c r="Q3">
        <v>2</v>
      </c>
      <c r="R3">
        <v>2.5</v>
      </c>
      <c r="S3">
        <v>3</v>
      </c>
      <c r="T3">
        <v>3.5</v>
      </c>
      <c r="U3">
        <v>4</v>
      </c>
      <c r="V3">
        <v>5</v>
      </c>
      <c r="W3">
        <v>5.5</v>
      </c>
    </row>
    <row r="4" spans="1:36" x14ac:dyDescent="0.25">
      <c r="A4" t="s">
        <v>1</v>
      </c>
      <c r="B4">
        <f>((3533.966/2603300000000000)*  2541700000000000)</f>
        <v>3450.3443253562787</v>
      </c>
      <c r="C4">
        <f>((3533.966/ 2603300000000000)*1150000000000000)</f>
        <v>1561.1189259785658</v>
      </c>
      <c r="D4">
        <f>((3533.966/ 2603300000000000)*169000000000000)</f>
        <v>229.41660738293706</v>
      </c>
      <c r="E4">
        <f>( (3533.966/ 2603300000000000)*35000000000000)</f>
        <v>47.512315138478087</v>
      </c>
      <c r="F4" s="2">
        <f>( 11127000000000*(3533.966/ 2603300000000000))</f>
        <v>15.104843729881305</v>
      </c>
      <c r="G4">
        <f>(4670000000000*(3533.966/ 2603300000000000))</f>
        <v>6.3395003341912188</v>
      </c>
      <c r="H4">
        <f>(2301800000000*(3533.966/ 2603300000000000))</f>
        <v>3.1246813424499673</v>
      </c>
      <c r="I4">
        <f>(1270000000000*(3533.966/ 2603300000000000))</f>
        <v>1.7240182921676335</v>
      </c>
      <c r="J4">
        <f>(460000000000*(3533.966/ 2603300000000000))</f>
        <v>0.62444757039142629</v>
      </c>
      <c r="K4">
        <f>(       297860000000*(3533.966/2603300000000000))</f>
        <v>0.40434337677563092</v>
      </c>
      <c r="M4" t="s">
        <v>1</v>
      </c>
      <c r="N4">
        <f>((3533.966/2603300000000000)*  6151300000000)</f>
        <v>8.3503572603234364</v>
      </c>
      <c r="O4">
        <f>( 6600000000000*(3533.966/2603300000000000) )</f>
        <v>8.9594651403987253</v>
      </c>
      <c r="P4">
        <f>(6360000000000*(3533.966/2603300000000000) )</f>
        <v>8.6336664080205896</v>
      </c>
      <c r="Q4">
        <f>( 4910000000000*(3533.966/2603300000000000) )</f>
        <v>6.6652990665693546</v>
      </c>
      <c r="R4">
        <f>(3296800000000*(3533.966/2603300000000000) )</f>
        <v>4.4753885871009871</v>
      </c>
      <c r="S4">
        <f>(2080000000000*(3533.966/2603300000000000) )</f>
        <v>2.8235890139438404</v>
      </c>
      <c r="T4">
        <f>(1297100000000*(3533.966/2603300000000000) )</f>
        <v>1.760806399031998</v>
      </c>
      <c r="U4">
        <f>(826000000000*(3533.966/2603300000000000) )</f>
        <v>1.1212906372680829</v>
      </c>
      <c r="V4">
        <f>( 350000000000*(3533.966/2603300000000000) )</f>
        <v>0.4751231513847809</v>
      </c>
      <c r="W4">
        <f>(     237080000000*(3533.966/2603300000000000))</f>
        <v>0.32183484780086813</v>
      </c>
      <c r="AG4" s="1"/>
    </row>
    <row r="5" spans="1:36" x14ac:dyDescent="0.25">
      <c r="A5" t="s">
        <v>2</v>
      </c>
      <c r="B5">
        <f>((735.83/  22668000000000000)*  24017000000000000)</f>
        <v>779.62013013940361</v>
      </c>
      <c r="C5">
        <f t="shared" ref="C5:K5" si="0">((735.83/  22668000000000000)*  24017000000000000)</f>
        <v>779.62013013940361</v>
      </c>
      <c r="D5">
        <f t="shared" si="0"/>
        <v>779.62013013940361</v>
      </c>
      <c r="E5">
        <f t="shared" si="0"/>
        <v>779.62013013940361</v>
      </c>
      <c r="F5">
        <f t="shared" si="0"/>
        <v>779.62013013940361</v>
      </c>
      <c r="G5">
        <f t="shared" si="0"/>
        <v>779.62013013940361</v>
      </c>
      <c r="H5">
        <f t="shared" si="0"/>
        <v>779.62013013940361</v>
      </c>
      <c r="I5">
        <f t="shared" si="0"/>
        <v>779.62013013940361</v>
      </c>
      <c r="J5">
        <f t="shared" si="0"/>
        <v>779.62013013940361</v>
      </c>
      <c r="K5">
        <f t="shared" si="0"/>
        <v>779.62013013940361</v>
      </c>
      <c r="M5" t="s">
        <v>2</v>
      </c>
      <c r="N5">
        <f>( (735.83/  22668000000000000)*  2479400000000000)</f>
        <v>80.484246603141003</v>
      </c>
      <c r="O5">
        <f t="shared" ref="O5:W5" si="1">( (735.83/  22668000000000000)*  2479400000000000)</f>
        <v>80.484246603141003</v>
      </c>
      <c r="P5">
        <f t="shared" si="1"/>
        <v>80.484246603141003</v>
      </c>
      <c r="Q5">
        <f t="shared" si="1"/>
        <v>80.484246603141003</v>
      </c>
      <c r="R5">
        <f t="shared" si="1"/>
        <v>80.484246603141003</v>
      </c>
      <c r="S5">
        <f t="shared" si="1"/>
        <v>80.484246603141003</v>
      </c>
      <c r="T5">
        <f t="shared" si="1"/>
        <v>80.484246603141003</v>
      </c>
      <c r="U5">
        <f t="shared" si="1"/>
        <v>80.484246603141003</v>
      </c>
      <c r="V5">
        <f t="shared" si="1"/>
        <v>80.484246603141003</v>
      </c>
      <c r="W5">
        <f t="shared" si="1"/>
        <v>80.484246603141003</v>
      </c>
    </row>
    <row r="6" spans="1:36" x14ac:dyDescent="0.25">
      <c r="A6" t="s">
        <v>3</v>
      </c>
      <c r="B6">
        <f>(B4/B5)</f>
        <v>4.4256737248938451</v>
      </c>
      <c r="C6">
        <f t="shared" ref="C6:J6" si="2">(C4/C5)</f>
        <v>2.0024097193326993</v>
      </c>
      <c r="D6">
        <f t="shared" si="2"/>
        <v>0.29426716744976189</v>
      </c>
      <c r="E6">
        <f t="shared" si="2"/>
        <v>6.094290450142998E-2</v>
      </c>
      <c r="F6">
        <f t="shared" si="2"/>
        <v>1.9374619953926038E-2</v>
      </c>
      <c r="G6">
        <f t="shared" si="2"/>
        <v>8.1315246863336577E-3</v>
      </c>
      <c r="H6">
        <f t="shared" si="2"/>
        <v>4.0079536451826147E-3</v>
      </c>
      <c r="I6">
        <f t="shared" si="2"/>
        <v>2.2113568204804594E-3</v>
      </c>
      <c r="J6">
        <f t="shared" si="2"/>
        <v>8.0096388773307978E-4</v>
      </c>
      <c r="K6">
        <f>(K4/K5)</f>
        <v>5.186415295655981E-4</v>
      </c>
      <c r="M6" t="s">
        <v>3</v>
      </c>
      <c r="N6">
        <f>(N4/N5)</f>
        <v>0.10375144966564864</v>
      </c>
      <c r="O6">
        <f t="shared" ref="O6:V6" si="3">(O4/O5)</f>
        <v>0.11131948820465284</v>
      </c>
      <c r="P6">
        <f t="shared" si="3"/>
        <v>0.10727150681539273</v>
      </c>
      <c r="Q6">
        <f t="shared" si="3"/>
        <v>8.2814952588612947E-2</v>
      </c>
      <c r="R6">
        <f t="shared" si="3"/>
        <v>5.5605771017136284E-2</v>
      </c>
      <c r="S6">
        <f t="shared" si="3"/>
        <v>3.5082505373587557E-2</v>
      </c>
      <c r="T6">
        <f t="shared" si="3"/>
        <v>2.1877652750038667E-2</v>
      </c>
      <c r="U6">
        <f t="shared" si="3"/>
        <v>1.3931802614703523E-2</v>
      </c>
      <c r="V6">
        <f t="shared" si="3"/>
        <v>5.9033061926709839E-3</v>
      </c>
      <c r="W6">
        <f>(W4/W5)</f>
        <v>3.9987309490241048E-3</v>
      </c>
    </row>
    <row r="7" spans="1:36" x14ac:dyDescent="0.25">
      <c r="A7" t="s">
        <v>11</v>
      </c>
      <c r="B7">
        <f>(AVERAGE(B6,B12))</f>
        <v>4.6256217003212985</v>
      </c>
      <c r="C7">
        <f t="shared" ref="C7:K7" si="4">(AVERAGE(C6,C12))</f>
        <v>2.2188047319736386</v>
      </c>
      <c r="D7">
        <f t="shared" si="4"/>
        <v>0.34545477504765909</v>
      </c>
      <c r="E7">
        <f t="shared" si="4"/>
        <v>7.0965872246389228E-2</v>
      </c>
      <c r="F7">
        <f t="shared" si="4"/>
        <v>2.2287623807052084E-2</v>
      </c>
      <c r="G7">
        <f t="shared" si="4"/>
        <v>9.3420284564984142E-3</v>
      </c>
      <c r="H7">
        <f t="shared" si="4"/>
        <v>4.6779921785243383E-3</v>
      </c>
      <c r="I7">
        <f t="shared" si="4"/>
        <v>2.6369024920812143E-3</v>
      </c>
      <c r="J7">
        <f t="shared" si="4"/>
        <v>1.0185061214770578E-3</v>
      </c>
      <c r="K7">
        <f t="shared" si="4"/>
        <v>6.7989082976748492E-4</v>
      </c>
      <c r="M7" t="s">
        <v>11</v>
      </c>
      <c r="N7">
        <f>(AVERAGE(N6,N12))</f>
        <v>9.3660027220326403E-2</v>
      </c>
      <c r="O7">
        <f t="shared" ref="O7" si="5">(AVERAGE(O6,O12))</f>
        <v>0.10116337756949037</v>
      </c>
      <c r="P7">
        <f t="shared" ref="P7" si="6">(AVERAGE(P6,P12))</f>
        <v>0.10032129943244897</v>
      </c>
      <c r="Q7">
        <f t="shared" ref="Q7" si="7">(AVERAGE(Q6,Q12))</f>
        <v>8.0188982090184824E-2</v>
      </c>
      <c r="R7">
        <f t="shared" ref="R7" si="8">(AVERAGE(R6,R12))</f>
        <v>5.5509870639840628E-2</v>
      </c>
      <c r="S7">
        <f t="shared" ref="S7" si="9">(AVERAGE(S6,S12))</f>
        <v>3.60825059339661E-2</v>
      </c>
      <c r="T7">
        <f t="shared" ref="T7" si="10">(AVERAGE(T6,T12))</f>
        <v>2.3097013115864325E-2</v>
      </c>
      <c r="U7">
        <f t="shared" ref="U7" si="11">(AVERAGE(U6,U12))</f>
        <v>1.5091550140773895E-2</v>
      </c>
      <c r="V7">
        <f t="shared" ref="V7:W7" si="12">(AVERAGE(V6,V12))</f>
        <v>6.8002558619836111E-3</v>
      </c>
      <c r="W7">
        <f t="shared" si="12"/>
        <v>4.7604609481088928E-3</v>
      </c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6" x14ac:dyDescent="0.25">
      <c r="B8" t="s">
        <v>8</v>
      </c>
      <c r="N8" t="s">
        <v>8</v>
      </c>
      <c r="AI8" s="1"/>
      <c r="AJ8" s="1"/>
    </row>
    <row r="9" spans="1:36" x14ac:dyDescent="0.25">
      <c r="A9" t="s">
        <v>0</v>
      </c>
      <c r="B9">
        <v>0.75</v>
      </c>
      <c r="C9">
        <v>1</v>
      </c>
      <c r="D9">
        <v>1.5</v>
      </c>
      <c r="E9">
        <v>2</v>
      </c>
      <c r="F9">
        <v>2.5</v>
      </c>
      <c r="G9">
        <v>3</v>
      </c>
      <c r="H9">
        <v>3.5</v>
      </c>
      <c r="I9">
        <v>4</v>
      </c>
      <c r="J9">
        <v>5</v>
      </c>
      <c r="K9">
        <v>5.5</v>
      </c>
      <c r="M9" t="s">
        <v>0</v>
      </c>
      <c r="N9">
        <v>0.75</v>
      </c>
      <c r="O9">
        <v>1</v>
      </c>
      <c r="P9">
        <v>1.5</v>
      </c>
      <c r="Q9">
        <v>2</v>
      </c>
      <c r="R9">
        <v>2.5</v>
      </c>
      <c r="S9">
        <v>3</v>
      </c>
      <c r="T9">
        <v>3.5</v>
      </c>
      <c r="U9">
        <v>4</v>
      </c>
      <c r="V9">
        <v>5</v>
      </c>
      <c r="W9">
        <v>5.5</v>
      </c>
    </row>
    <row r="10" spans="1:36" x14ac:dyDescent="0.25">
      <c r="A10" t="s">
        <v>1</v>
      </c>
      <c r="B10">
        <f>((3533.966/2603300000000000)*  2615700000000000)</f>
        <v>3550.7989345062038</v>
      </c>
      <c r="C10">
        <f>((3533.966/ 2603300000000000)*1320000000000000)</f>
        <v>1791.8930280797449</v>
      </c>
      <c r="D10">
        <f>((3533.966/ 2603300000000000)*215000000000000)</f>
        <v>291.8613644220797</v>
      </c>
      <c r="E10">
        <f>( (3533.966/ 2603300000000000)*43900000000000)</f>
        <v>59.594018130833945</v>
      </c>
      <c r="F10" s="2">
        <f>(13660000000000*(3533.966/ 2603300000000000))</f>
        <v>18.543377851188875</v>
      </c>
      <c r="G10">
        <f>(5720000000000*(3533.966/ 2603300000000000))</f>
        <v>7.7648697883455613</v>
      </c>
      <c r="H10">
        <f>(  2898900000000*(3533.966/ 2603300000000000))</f>
        <v>3.9352414387124037</v>
      </c>
      <c r="I10">
        <f>(1660000000000*(3533.966/ 2603300000000000))</f>
        <v>2.2534412322821034</v>
      </c>
      <c r="J10">
        <f>(670000000000*(3533.966/ 2603300000000000))</f>
        <v>0.90952146122229482</v>
      </c>
      <c r="K10">
        <f>(
  455940000000*(3533.966/2603300000000000))</f>
        <v>0.61893614183536283</v>
      </c>
      <c r="M10" t="s">
        <v>1</v>
      </c>
      <c r="N10">
        <f>((3533.966/2603300000000000)*  5656500000000)</f>
        <v>7.6786688737371804</v>
      </c>
      <c r="O10">
        <f>(6160000000000*(3533.966/ 2603300000000000))</f>
        <v>8.3621674643721438</v>
      </c>
      <c r="P10">
        <f>(6320000000000*(3533.966/2603300000000000))</f>
        <v>8.5793666192908997</v>
      </c>
      <c r="Q10">
        <f>(5250000000000*(3533.966/2603300000000000))</f>
        <v>7.1268472707717132</v>
      </c>
      <c r="R10">
        <f>(3750800000000*(3533.966/2603300000000000))</f>
        <v>5.0916911891829599</v>
      </c>
      <c r="S10">
        <f>(2510000000000*(3533.966/2603300000000000))</f>
        <v>3.407311742788</v>
      </c>
      <c r="T10">
        <f>(1645900000000*(3533.966/2603300000000000))</f>
        <v>2.2343005567548881</v>
      </c>
      <c r="U10">
        <f>(1100000000000*(3533.966/2603300000000000))</f>
        <v>1.4932441900664541</v>
      </c>
      <c r="V10">
        <f>( 521000000000 *(3533.966/2603300000000000))</f>
        <v>0.70725474820420242</v>
      </c>
      <c r="W10">
        <f>(     373780000000*(3533.966/2603300000000000))</f>
        <v>0.50740437578458109</v>
      </c>
      <c r="AG10" s="1"/>
    </row>
    <row r="11" spans="1:36" x14ac:dyDescent="0.25">
      <c r="A11" t="s">
        <v>2</v>
      </c>
      <c r="B11">
        <v>735.83</v>
      </c>
      <c r="C11">
        <v>735.83</v>
      </c>
      <c r="D11">
        <v>735.83</v>
      </c>
      <c r="E11">
        <v>735.83</v>
      </c>
      <c r="F11">
        <v>735.83</v>
      </c>
      <c r="G11">
        <v>735.83</v>
      </c>
      <c r="H11">
        <v>735.83</v>
      </c>
      <c r="I11">
        <v>735.83</v>
      </c>
      <c r="J11">
        <v>735.83</v>
      </c>
      <c r="K11">
        <v>735.83</v>
      </c>
      <c r="M11" t="s">
        <v>2</v>
      </c>
      <c r="N11">
        <f>((735.83/  22668000000000000)*
  2830600000000000)</f>
        <v>91.884612581612856</v>
      </c>
      <c r="O11">
        <f t="shared" ref="O11:W11" si="13">((735.83/  22668000000000000)*
  2830600000000000)</f>
        <v>91.884612581612856</v>
      </c>
      <c r="P11">
        <f t="shared" si="13"/>
        <v>91.884612581612856</v>
      </c>
      <c r="Q11">
        <f t="shared" si="13"/>
        <v>91.884612581612856</v>
      </c>
      <c r="R11">
        <f t="shared" si="13"/>
        <v>91.884612581612856</v>
      </c>
      <c r="S11">
        <f t="shared" si="13"/>
        <v>91.884612581612856</v>
      </c>
      <c r="T11">
        <f t="shared" si="13"/>
        <v>91.884612581612856</v>
      </c>
      <c r="U11">
        <f t="shared" si="13"/>
        <v>91.884612581612856</v>
      </c>
      <c r="V11">
        <f t="shared" si="13"/>
        <v>91.884612581612856</v>
      </c>
      <c r="W11">
        <f t="shared" si="13"/>
        <v>91.884612581612856</v>
      </c>
    </row>
    <row r="12" spans="1:36" x14ac:dyDescent="0.25">
      <c r="A12" t="s">
        <v>3</v>
      </c>
      <c r="B12">
        <f>(B10/B11)</f>
        <v>4.825569675748751</v>
      </c>
      <c r="C12">
        <f t="shared" ref="C12:K12" si="14">(C10/C11)</f>
        <v>2.4351997446145779</v>
      </c>
      <c r="D12">
        <f t="shared" si="14"/>
        <v>0.39664238264555629</v>
      </c>
      <c r="E12">
        <f t="shared" si="14"/>
        <v>8.0988839991348469E-2</v>
      </c>
      <c r="F12">
        <f t="shared" si="14"/>
        <v>2.5200627660178131E-2</v>
      </c>
      <c r="G12">
        <f t="shared" si="14"/>
        <v>1.0552532226663171E-2</v>
      </c>
      <c r="H12">
        <f t="shared" si="14"/>
        <v>5.348030711866061E-3</v>
      </c>
      <c r="I12">
        <f t="shared" si="14"/>
        <v>3.0624481636819692E-3</v>
      </c>
      <c r="J12">
        <f t="shared" si="14"/>
        <v>1.2360483552210358E-3</v>
      </c>
      <c r="K12">
        <f t="shared" si="14"/>
        <v>8.4114012996937173E-4</v>
      </c>
      <c r="M12" t="s">
        <v>3</v>
      </c>
      <c r="N12">
        <f>(N10/N11)</f>
        <v>8.3568604775004177E-2</v>
      </c>
      <c r="O12">
        <f t="shared" ref="O12:W12" si="15">(O10/O11)</f>
        <v>9.1007266934327882E-2</v>
      </c>
      <c r="P12">
        <f t="shared" si="15"/>
        <v>9.3371092049505222E-2</v>
      </c>
      <c r="Q12">
        <f t="shared" si="15"/>
        <v>7.7563011591756714E-2</v>
      </c>
      <c r="R12">
        <f t="shared" si="15"/>
        <v>5.5413970262544965E-2</v>
      </c>
      <c r="S12">
        <f t="shared" si="15"/>
        <v>3.7082506494344643E-2</v>
      </c>
      <c r="T12">
        <f t="shared" si="15"/>
        <v>2.4316373481689978E-2</v>
      </c>
      <c r="U12">
        <f t="shared" si="15"/>
        <v>1.6251297666844265E-2</v>
      </c>
      <c r="V12">
        <f t="shared" si="15"/>
        <v>7.6972055312962383E-3</v>
      </c>
      <c r="W12">
        <f t="shared" si="15"/>
        <v>5.5221909471936809E-3</v>
      </c>
    </row>
    <row r="13" spans="1:36" x14ac:dyDescent="0.25">
      <c r="X13" s="1"/>
      <c r="AB13" s="1"/>
      <c r="AC13" s="1"/>
    </row>
    <row r="14" spans="1:36" x14ac:dyDescent="0.25">
      <c r="B14" t="s">
        <v>9</v>
      </c>
      <c r="N14" t="s">
        <v>9</v>
      </c>
    </row>
    <row r="15" spans="1:36" x14ac:dyDescent="0.25">
      <c r="A15" t="s">
        <v>0</v>
      </c>
      <c r="B15">
        <v>0.75</v>
      </c>
      <c r="C15">
        <v>1</v>
      </c>
      <c r="D15">
        <v>1.5</v>
      </c>
      <c r="E15">
        <v>2</v>
      </c>
      <c r="F15">
        <v>2.5</v>
      </c>
      <c r="G15">
        <v>3</v>
      </c>
      <c r="H15">
        <v>3.5</v>
      </c>
      <c r="I15">
        <v>4</v>
      </c>
      <c r="J15">
        <v>5</v>
      </c>
      <c r="K15">
        <v>5.5</v>
      </c>
      <c r="M15" t="s">
        <v>0</v>
      </c>
      <c r="N15">
        <v>0.75</v>
      </c>
      <c r="O15">
        <v>1</v>
      </c>
      <c r="P15">
        <v>1.5</v>
      </c>
      <c r="Q15">
        <v>2</v>
      </c>
      <c r="R15">
        <v>2.5</v>
      </c>
      <c r="S15">
        <v>3</v>
      </c>
      <c r="T15">
        <v>3.5</v>
      </c>
      <c r="U15">
        <v>4</v>
      </c>
      <c r="V15">
        <v>5</v>
      </c>
      <c r="W15">
        <v>5.5</v>
      </c>
    </row>
    <row r="16" spans="1:36" x14ac:dyDescent="0.25">
      <c r="A16" t="s">
        <v>1</v>
      </c>
      <c r="B16">
        <f>((3533.966/2603300000000000)*
  2603300000000000)</f>
        <v>3533.9660000000003</v>
      </c>
      <c r="C16">
        <f>((3533.966/ 2603300000000000)*1482700000000000)</f>
        <v>2012.7574187377561</v>
      </c>
      <c r="D16">
        <f>((3533.966/ 2603300000000000)*272760000000000)</f>
        <v>370.27025934775094</v>
      </c>
      <c r="E16">
        <f>( (3533.966/ 2603300000000000)*54393000000000)</f>
        <v>73.838210209349668</v>
      </c>
      <c r="F16" s="2">
        <f>(15711000000000*(3533.966/ 2603300000000000))</f>
        <v>21.327599518303693</v>
      </c>
      <c r="G16">
        <f>(6216600000000*(3533.966/ 2603300000000000))</f>
        <v>8.4390016654246534</v>
      </c>
      <c r="H16">
        <f>(  3021700000000*(3533.966/ 2603300000000000))</f>
        <v>4.1019417901125497</v>
      </c>
      <c r="I16">
        <f>(1689500000000*(3533.966/ 2603300000000000))</f>
        <v>2.2934873264702493</v>
      </c>
      <c r="J16">
        <f>(671530000000*(3533.966/ 2603300000000000))</f>
        <v>0.9115984281412054</v>
      </c>
      <c r="K16">
        <f>(369760000000*(3533.966/2603300000000000))</f>
        <v>0.50194724701724736</v>
      </c>
      <c r="M16" t="s">
        <v>1</v>
      </c>
      <c r="N16">
        <f>((3533.966/2603300000000000)*  4443100000000)</f>
        <v>6.0314847826220568</v>
      </c>
      <c r="O16">
        <f>(4918100000000*(3533.966/2603300000000000))</f>
        <v>6.6762947737871166</v>
      </c>
      <c r="P16">
        <f>(5346400000000*(3533.966/2603300000000000))</f>
        <v>7.2577097616102639</v>
      </c>
      <c r="Q16">
        <f>( 4701700000000*(3533.966/2603300000000000))</f>
        <v>6.382532916759498</v>
      </c>
      <c r="R16">
        <f>(3528500000000*(3533.966/2603300000000000))</f>
        <v>4.7899201133177121</v>
      </c>
      <c r="S16">
        <f>(2404700000000*(3533.966/2603300000000000))</f>
        <v>3.2643675489570931</v>
      </c>
      <c r="T16">
        <f>(1604900000000*(3533.966/2603300000000000))</f>
        <v>2.1786432733069567</v>
      </c>
      <c r="U16">
        <f>(1069900000000*(3533.966/2603300000000000))</f>
        <v>1.452383599047363</v>
      </c>
      <c r="V16">
        <f>( 517150000000*(3533.966/2603300000000000))</f>
        <v>0.70202839353896984</v>
      </c>
      <c r="W16">
        <f>(369760000000*(3533.966/2603300000000000))</f>
        <v>0.50194724701724736</v>
      </c>
      <c r="AG16" s="1"/>
    </row>
    <row r="17" spans="1:33" x14ac:dyDescent="0.25">
      <c r="A17" t="s">
        <v>2</v>
      </c>
      <c r="B17">
        <v>735.83</v>
      </c>
      <c r="C17">
        <v>735.83</v>
      </c>
      <c r="D17">
        <v>735.83</v>
      </c>
      <c r="E17">
        <v>735.83</v>
      </c>
      <c r="F17">
        <v>735.83</v>
      </c>
      <c r="G17">
        <v>735.83</v>
      </c>
      <c r="H17">
        <v>735.83</v>
      </c>
      <c r="I17">
        <v>735.83</v>
      </c>
      <c r="J17">
        <v>735.83</v>
      </c>
      <c r="K17">
        <v>735.83</v>
      </c>
      <c r="M17" t="s">
        <v>2</v>
      </c>
      <c r="N17">
        <v>86.66</v>
      </c>
      <c r="O17">
        <v>86.66</v>
      </c>
      <c r="P17">
        <v>86.66</v>
      </c>
      <c r="Q17">
        <v>86.66</v>
      </c>
      <c r="R17">
        <v>86.66</v>
      </c>
      <c r="S17">
        <v>86.66</v>
      </c>
      <c r="T17">
        <v>86.66</v>
      </c>
      <c r="U17">
        <v>86.66</v>
      </c>
      <c r="V17">
        <v>86.66</v>
      </c>
      <c r="W17">
        <f t="shared" ref="W17" si="16">((735.83/  22668000000000000)*  2669900000000000)</f>
        <v>86.668101155814369</v>
      </c>
    </row>
    <row r="18" spans="1:33" x14ac:dyDescent="0.25">
      <c r="A18" t="s">
        <v>3</v>
      </c>
      <c r="B18">
        <f>(B16/B17)</f>
        <v>4.8026935569357052</v>
      </c>
      <c r="C18">
        <f t="shared" ref="C18:J18" si="17">(C16/C17)</f>
        <v>2.7353565616212387</v>
      </c>
      <c r="D18">
        <f t="shared" si="17"/>
        <v>0.50320081995535781</v>
      </c>
      <c r="E18">
        <f t="shared" si="17"/>
        <v>0.10034683311274298</v>
      </c>
      <c r="F18">
        <f t="shared" si="17"/>
        <v>2.8984411505787601E-2</v>
      </c>
      <c r="G18">
        <f t="shared" si="17"/>
        <v>1.1468683888159838E-2</v>
      </c>
      <c r="H18">
        <f t="shared" si="17"/>
        <v>5.5745780820468712E-3</v>
      </c>
      <c r="I18">
        <f t="shared" si="17"/>
        <v>3.1168711882775223E-3</v>
      </c>
      <c r="J18">
        <f t="shared" si="17"/>
        <v>1.238870973106839E-3</v>
      </c>
      <c r="K18">
        <f>(K16/K17)</f>
        <v>6.8215110421870179E-4</v>
      </c>
      <c r="M18" t="s">
        <v>3</v>
      </c>
      <c r="N18">
        <f>(N16/N17)</f>
        <v>6.9599408984791791E-2</v>
      </c>
      <c r="O18">
        <f t="shared" ref="O18:V18" si="18">(O16/O17)</f>
        <v>7.70400966280535E-2</v>
      </c>
      <c r="P18">
        <f t="shared" si="18"/>
        <v>8.3749247191440848E-2</v>
      </c>
      <c r="Q18">
        <f t="shared" si="18"/>
        <v>7.3650275983839122E-2</v>
      </c>
      <c r="R18">
        <f t="shared" si="18"/>
        <v>5.5272560735260934E-2</v>
      </c>
      <c r="S18">
        <f t="shared" si="18"/>
        <v>3.7668677001581968E-2</v>
      </c>
      <c r="T18">
        <f t="shared" si="18"/>
        <v>2.5140125470885722E-2</v>
      </c>
      <c r="U18">
        <f t="shared" si="18"/>
        <v>1.6759561493738324E-2</v>
      </c>
      <c r="V18">
        <f t="shared" si="18"/>
        <v>8.1009507678164068E-3</v>
      </c>
      <c r="W18">
        <f>(W16/W17)</f>
        <v>5.7916031426006711E-3</v>
      </c>
    </row>
    <row r="20" spans="1:33" x14ac:dyDescent="0.25">
      <c r="B20" t="s">
        <v>10</v>
      </c>
    </row>
    <row r="21" spans="1:33" x14ac:dyDescent="0.25">
      <c r="A21" t="s">
        <v>0</v>
      </c>
      <c r="B21">
        <v>0.75</v>
      </c>
      <c r="C21">
        <v>1</v>
      </c>
      <c r="D21">
        <v>1.5</v>
      </c>
      <c r="E21">
        <v>2</v>
      </c>
      <c r="F21">
        <v>2.5</v>
      </c>
      <c r="G21">
        <v>3</v>
      </c>
      <c r="H21">
        <v>3.5</v>
      </c>
      <c r="I21">
        <v>4</v>
      </c>
      <c r="J21">
        <v>5</v>
      </c>
      <c r="K21">
        <v>5.5</v>
      </c>
      <c r="N21" t="s">
        <v>10</v>
      </c>
    </row>
    <row r="22" spans="1:33" x14ac:dyDescent="0.25">
      <c r="A22" t="s">
        <v>1</v>
      </c>
      <c r="B22">
        <f>((3533.966/2603300000000000)  *2355600000000000)</f>
        <v>3197.7145582913995</v>
      </c>
      <c r="C22">
        <f>((3533.966/ 2603300000000000)*1800000000000000)</f>
        <v>2443.4904928360161</v>
      </c>
      <c r="D22">
        <f>((3533.966/ 2603300000000000)*504000000000000)</f>
        <v>684.1773379940845</v>
      </c>
      <c r="E22">
        <f>( (3533.966/ 2603300000000000)*110000000000000)</f>
        <v>149.32441900664543</v>
      </c>
      <c r="F22" s="2">
        <f>(28269000000000*(3533.966/ 2603300000000000))</f>
        <v>38.375018189989632</v>
      </c>
      <c r="G22">
        <f>(9400000000000*(3533.966/ 2603300000000000))</f>
        <v>12.760450351476972</v>
      </c>
      <c r="H22">
        <f>(  3970200000000*(3533.966/ 2603300000000000))</f>
        <v>5.3895255303653054</v>
      </c>
      <c r="I22">
        <f>(1980000000000*(3533.966/ 2603300000000000))</f>
        <v>2.6878395421196175</v>
      </c>
      <c r="J22">
        <f>(706000000000*(3533.966/ 2603300000000000))</f>
        <v>0.95839127107901512</v>
      </c>
      <c r="K22">
        <f>(
  469230000000*(3533.966/2603300000000000))</f>
        <v>0.63697724664080213</v>
      </c>
      <c r="M22" t="s">
        <v>0</v>
      </c>
      <c r="N22">
        <v>0.75</v>
      </c>
      <c r="O22">
        <v>1</v>
      </c>
      <c r="P22">
        <v>1.5</v>
      </c>
      <c r="Q22">
        <v>2</v>
      </c>
      <c r="R22">
        <v>2.5</v>
      </c>
      <c r="S22">
        <v>3</v>
      </c>
      <c r="T22">
        <v>3.5</v>
      </c>
      <c r="U22">
        <v>4</v>
      </c>
      <c r="V22">
        <v>5</v>
      </c>
      <c r="W22">
        <v>5.5</v>
      </c>
    </row>
    <row r="23" spans="1:33" x14ac:dyDescent="0.25">
      <c r="A23" t="s">
        <v>2</v>
      </c>
      <c r="B23">
        <f>( (735.83/  22668000000000000)*20898000000000000)</f>
        <v>678.37371360508212</v>
      </c>
      <c r="C23">
        <f t="shared" ref="C23:I23" si="19">( (735.83/  22668000000000000)*20898000000000000)</f>
        <v>678.37371360508212</v>
      </c>
      <c r="D23">
        <f t="shared" si="19"/>
        <v>678.37371360508212</v>
      </c>
      <c r="E23">
        <f t="shared" si="19"/>
        <v>678.37371360508212</v>
      </c>
      <c r="F23">
        <f t="shared" si="19"/>
        <v>678.37371360508212</v>
      </c>
      <c r="G23">
        <f t="shared" si="19"/>
        <v>678.37371360508212</v>
      </c>
      <c r="H23">
        <f t="shared" si="19"/>
        <v>678.37371360508212</v>
      </c>
      <c r="I23">
        <f t="shared" si="19"/>
        <v>678.37371360508212</v>
      </c>
      <c r="J23">
        <f>( (735.83/  22668000000000000)*20898000000000000)</f>
        <v>678.37371360508212</v>
      </c>
      <c r="K23">
        <f>( (735.83/  22668000000000000)*20898000000000000)</f>
        <v>678.37371360508212</v>
      </c>
      <c r="M23" t="s">
        <v>1</v>
      </c>
      <c r="N23">
        <f>((3533.966/2603300000000000) *
  2236700000000)</f>
        <v>3.0363084362923982</v>
      </c>
      <c r="O23">
        <f>(2580000000000*(3533.966/2603300000000000) )</f>
        <v>3.5023363730649559</v>
      </c>
      <c r="P23">
        <f>(3210000000000*(3533.966/2603300000000000) )</f>
        <v>4.3575580455575613</v>
      </c>
      <c r="Q23">
        <f>( 3330000000000*(3533.966/2603300000000000) )</f>
        <v>4.5204574117466292</v>
      </c>
      <c r="R23">
        <f>(2869300000000*(3533.966/2603300000000000) )</f>
        <v>3.8950595950524334</v>
      </c>
      <c r="S23">
        <f>( 2170000000000*(3533.966/2603300000000000) )</f>
        <v>2.9457635385856413</v>
      </c>
      <c r="T23">
        <f>(1529100000000*(3533.966/2603300000000000) )</f>
        <v>2.0757451736641954</v>
      </c>
      <c r="U23">
        <f>(1050000000000*(3533.966/2603300000000000) )</f>
        <v>1.4253694541543427</v>
      </c>
      <c r="V23">
        <f>( 504000000000 *(3533.966/2603300000000000) )</f>
        <v>0.68417733799408442</v>
      </c>
      <c r="W23">
        <f>(    363620000000*(3533.966/2603300000000000))</f>
        <v>0.49361222944724004</v>
      </c>
      <c r="AG23" s="1"/>
    </row>
    <row r="24" spans="1:33" x14ac:dyDescent="0.25">
      <c r="A24" t="s">
        <v>3</v>
      </c>
      <c r="B24">
        <f>(B22/B23)</f>
        <v>4.7137949100323802</v>
      </c>
      <c r="C24">
        <f t="shared" ref="C24:J24" si="20">(C22/C23)</f>
        <v>3.6019828655367143</v>
      </c>
      <c r="D24">
        <f t="shared" si="20"/>
        <v>1.00855520235028</v>
      </c>
      <c r="E24">
        <f t="shared" si="20"/>
        <v>0.22012117511613255</v>
      </c>
      <c r="F24">
        <f t="shared" si="20"/>
        <v>5.65691409032541E-2</v>
      </c>
      <c r="G24">
        <f t="shared" si="20"/>
        <v>1.8810354964469509E-2</v>
      </c>
      <c r="H24">
        <f t="shared" si="20"/>
        <v>7.9447735404188126E-3</v>
      </c>
      <c r="I24">
        <f t="shared" si="20"/>
        <v>3.9621811520903858E-3</v>
      </c>
      <c r="J24">
        <f t="shared" si="20"/>
        <v>1.4127777239271778E-3</v>
      </c>
      <c r="K24" s="1">
        <f>(K22/K23)</f>
        <v>9.3897689999766245E-4</v>
      </c>
      <c r="M24" t="s">
        <v>2</v>
      </c>
      <c r="N24" s="1">
        <f>((735.83/  22668000000000000)*2223600000000000)</f>
        <v>72.180677077818956</v>
      </c>
      <c r="O24" s="1">
        <f t="shared" ref="O24:W24" si="21">((735.83/  22668000000000000)*2223600000000000)</f>
        <v>72.180677077818956</v>
      </c>
      <c r="P24" s="1">
        <f t="shared" si="21"/>
        <v>72.180677077818956</v>
      </c>
      <c r="Q24" s="1">
        <f t="shared" si="21"/>
        <v>72.180677077818956</v>
      </c>
      <c r="R24" s="1">
        <f t="shared" si="21"/>
        <v>72.180677077818956</v>
      </c>
      <c r="S24" s="1">
        <f t="shared" si="21"/>
        <v>72.180677077818956</v>
      </c>
      <c r="T24" s="1">
        <f t="shared" si="21"/>
        <v>72.180677077818956</v>
      </c>
      <c r="U24" s="1">
        <f t="shared" si="21"/>
        <v>72.180677077818956</v>
      </c>
      <c r="V24" s="1">
        <f t="shared" si="21"/>
        <v>72.180677077818956</v>
      </c>
      <c r="W24" s="1">
        <f t="shared" si="21"/>
        <v>72.180677077818956</v>
      </c>
    </row>
    <row r="25" spans="1:33" x14ac:dyDescent="0.25">
      <c r="M25" t="s">
        <v>3</v>
      </c>
      <c r="N25" s="1">
        <f>(N23/N24)</f>
        <v>4.2065391448446975E-2</v>
      </c>
      <c r="O25">
        <f t="shared" ref="O25:V25" si="22">(O23/O24)</f>
        <v>4.8521799945005231E-2</v>
      </c>
      <c r="P25">
        <f t="shared" si="22"/>
        <v>6.0370146443204174E-2</v>
      </c>
      <c r="Q25">
        <f t="shared" si="22"/>
        <v>6.262697434762303E-2</v>
      </c>
      <c r="R25">
        <f t="shared" si="22"/>
        <v>5.3962635884574998E-2</v>
      </c>
      <c r="S25">
        <f t="shared" si="22"/>
        <v>4.0810971271574167E-2</v>
      </c>
      <c r="T25">
        <f t="shared" si="22"/>
        <v>2.8757629572057169E-2</v>
      </c>
      <c r="U25">
        <f t="shared" si="22"/>
        <v>1.9747244163664919E-2</v>
      </c>
      <c r="V25">
        <f t="shared" si="22"/>
        <v>9.4786771985591618E-3</v>
      </c>
      <c r="W25" s="1">
        <f>(W23/W24)</f>
        <v>6.8385646883731789E-3</v>
      </c>
    </row>
  </sheetData>
  <mergeCells count="2">
    <mergeCell ref="A1:J1"/>
    <mergeCell ref="M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varying u-sphere brightness</vt:lpstr>
      <vt:lpstr>varying optical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2021-06-11T19:50:08Z</dcterms:created>
  <dcterms:modified xsi:type="dcterms:W3CDTF">2022-01-21T20:32:04Z</dcterms:modified>
  <cp:category/>
  <cp:contentStatus/>
</cp:coreProperties>
</file>